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730"/>
  </bookViews>
  <sheets>
    <sheet name="Cover" sheetId="13" r:id="rId1"/>
    <sheet name="1TestYr" sheetId="58" r:id="rId2"/>
    <sheet name="1.1TYAdj." sheetId="93" r:id="rId3"/>
    <sheet name="2 Functionalization2" sheetId="1" r:id="rId4"/>
    <sheet name="2.1 SummaryFunc." sheetId="20" r:id="rId5"/>
    <sheet name="2.22Rate Base" sheetId="14" r:id="rId6"/>
    <sheet name="3Classific. Summary" sheetId="23" r:id="rId7"/>
    <sheet name="3.2 Classific. 2" sheetId="24" r:id="rId8"/>
    <sheet name="3.1 PlantClass." sheetId="11" r:id="rId9"/>
    <sheet name="4 Allocation" sheetId="22" r:id="rId10"/>
    <sheet name="4.1 kW &amp; kWh" sheetId="10" r:id="rId11"/>
    <sheet name="4.2 Consumer Alloc." sheetId="12" r:id="rId12"/>
    <sheet name="XX-5 IncStmt" sheetId="56" r:id="rId13"/>
    <sheet name="12 Inc Stmt Func" sheetId="55" r:id="rId14"/>
    <sheet name="XX-6 Increase" sheetId="21" r:id="rId15"/>
    <sheet name="Sheet1" sheetId="94" r:id="rId16"/>
    <sheet name="Sheet2" sheetId="9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2">'1.1TYAdj.'!$A$1:$K$28</definedName>
    <definedName name="_xlnm.Print_Area" localSheetId="13">'12 Inc Stmt Func'!$A$1:$U$54</definedName>
    <definedName name="_xlnm.Print_Area" localSheetId="1">'1TestYr'!$A$1:$J$113</definedName>
    <definedName name="_xlnm.Print_Area" localSheetId="3">'2 Functionalization2'!$A$1:$AD$91</definedName>
    <definedName name="_xlnm.Print_Area" localSheetId="4">'2.1 SummaryFunc.'!$A$1:$M$18</definedName>
    <definedName name="_xlnm.Print_Area" localSheetId="5">'2.22Rate Base'!$A$1:$N$45</definedName>
    <definedName name="_xlnm.Print_Area" localSheetId="8">'3.1 PlantClass.'!$A$1:$F$310</definedName>
    <definedName name="_xlnm.Print_Area" localSheetId="7">'3.2 Classific. 2'!$A$1:$N$41</definedName>
    <definedName name="_xlnm.Print_Area" localSheetId="6">'3Classific. Summary'!$A$1:$I$21</definedName>
    <definedName name="_xlnm.Print_Area" localSheetId="9">'4 Allocation'!$A$1:$T$32</definedName>
    <definedName name="_xlnm.Print_Area" localSheetId="10">'4.1 kW &amp; kWh'!$A$1:$S$122</definedName>
    <definedName name="_xlnm.Print_Area" localSheetId="11">'4.2 Consumer Alloc.'!$A$1:$J$120</definedName>
    <definedName name="_xlnm.Print_Area" localSheetId="0">Cover!$A$1:$H$42</definedName>
    <definedName name="_xlnm.Print_Area" localSheetId="14">'XX-6 Increase'!$A$1:$T$31</definedName>
    <definedName name="_xlnm.Print_Titles" localSheetId="13">'12 Inc Stmt Func'!$A:$D,'12 Inc Stmt Func'!$3:$6</definedName>
    <definedName name="_xlnm.Print_Titles" localSheetId="3">'2 Functionalization2'!$1:$4</definedName>
    <definedName name="_xlnm.Print_Titles" localSheetId="4">'2.1 SummaryFunc.'!$A:$B</definedName>
    <definedName name="_xlnm.Print_Titles" localSheetId="9">'4 Allocation'!$A:$B,'4 Allocation'!$3:$3</definedName>
    <definedName name="_xlnm.Print_Titles" localSheetId="14">'XX-6 Increase'!$A:$C</definedName>
    <definedName name="Z_18050E3F_BBF0_4BF6_9B33_B0817BE1B1C5_.wvu.Cols" localSheetId="3" hidden="1">'2 Functionalization2'!$C:$D,'2 Functionalization2'!$O:$O</definedName>
    <definedName name="Z_18050E3F_BBF0_4BF6_9B33_B0817BE1B1C5_.wvu.Cols" localSheetId="5" hidden="1">'2.22Rate Base'!$N:$N</definedName>
    <definedName name="Z_18050E3F_BBF0_4BF6_9B33_B0817BE1B1C5_.wvu.PrintArea" localSheetId="1" hidden="1">'1TestYr'!$A$1:$K$113</definedName>
    <definedName name="Z_18050E3F_BBF0_4BF6_9B33_B0817BE1B1C5_.wvu.PrintArea" localSheetId="3" hidden="1">'2 Functionalization2'!$A$1:$AD$88</definedName>
    <definedName name="Z_18050E3F_BBF0_4BF6_9B33_B0817BE1B1C5_.wvu.PrintArea" localSheetId="5" hidden="1">'2.22Rate Base'!$A$1:$P$98</definedName>
    <definedName name="Z_18050E3F_BBF0_4BF6_9B33_B0817BE1B1C5_.wvu.PrintArea" localSheetId="8" hidden="1">'3.1 PlantClass.'!$A$1:$F$330</definedName>
    <definedName name="Z_18050E3F_BBF0_4BF6_9B33_B0817BE1B1C5_.wvu.PrintArea" localSheetId="7" hidden="1">'3.2 Classific. 2'!$A$1:$N$41</definedName>
    <definedName name="Z_18050E3F_BBF0_4BF6_9B33_B0817BE1B1C5_.wvu.PrintArea" localSheetId="6" hidden="1">'3Classific. Summary'!$A$1:$J$21</definedName>
    <definedName name="Z_18050E3F_BBF0_4BF6_9B33_B0817BE1B1C5_.wvu.PrintArea" localSheetId="9" hidden="1">'4 Allocation'!$A$1:$I$63</definedName>
    <definedName name="Z_18050E3F_BBF0_4BF6_9B33_B0817BE1B1C5_.wvu.PrintArea" localSheetId="10" hidden="1">'4.1 kW &amp; kWh'!$A$1:$S$115</definedName>
    <definedName name="Z_18050E3F_BBF0_4BF6_9B33_B0817BE1B1C5_.wvu.PrintArea" localSheetId="11" hidden="1">'4.2 Consumer Alloc.'!$A$1:$J$120</definedName>
    <definedName name="Z_18050E3F_BBF0_4BF6_9B33_B0817BE1B1C5_.wvu.PrintArea" localSheetId="0" hidden="1">Cover!$A$1:$H$42</definedName>
    <definedName name="Z_18050E3F_BBF0_4BF6_9B33_B0817BE1B1C5_.wvu.PrintArea" localSheetId="14" hidden="1">'XX-6 Increase'!$A$1:$K$31</definedName>
    <definedName name="Z_18050E3F_BBF0_4BF6_9B33_B0817BE1B1C5_.wvu.PrintTitles" localSheetId="3" hidden="1">'2 Functionalization2'!$1:$4</definedName>
    <definedName name="Z_18050E3F_BBF0_4BF6_9B33_B0817BE1B1C5_.wvu.PrintTitles" localSheetId="4" hidden="1">'2.1 SummaryFunc.'!$A:$B</definedName>
    <definedName name="Z_18050E3F_BBF0_4BF6_9B33_B0817BE1B1C5_.wvu.PrintTitles" localSheetId="9" hidden="1">'4 Allocation'!$A:$B</definedName>
  </definedNames>
  <calcPr calcId="125725"/>
  <customWorkbookViews>
    <customWorkbookView name="Jim Adkins - Personal View" guid="{18050E3F-BBF0-4BF6-9B33-B0817BE1B1C5}" mergeInterval="0" personalView="1" maximized="1" windowWidth="796" windowHeight="397" activeSheetId="14"/>
  </customWorkbookViews>
</workbook>
</file>

<file path=xl/calcChain.xml><?xml version="1.0" encoding="utf-8"?>
<calcChain xmlns="http://schemas.openxmlformats.org/spreadsheetml/2006/main">
  <c r="W45" i="1"/>
  <c r="W44"/>
  <c r="V45"/>
  <c r="V44"/>
  <c r="C171" i="11"/>
  <c r="C170"/>
  <c r="E171"/>
  <c r="E170"/>
  <c r="E5" i="93"/>
  <c r="E28"/>
  <c r="F28"/>
  <c r="J68" i="14" l="1"/>
  <c r="K68"/>
  <c r="L68"/>
  <c r="M68"/>
  <c r="N68"/>
  <c r="I89"/>
  <c r="J89"/>
  <c r="K89"/>
  <c r="L89"/>
  <c r="N89"/>
  <c r="J69"/>
  <c r="K69"/>
  <c r="L69"/>
  <c r="M69"/>
  <c r="N69"/>
  <c r="I90"/>
  <c r="J90"/>
  <c r="K90"/>
  <c r="L90"/>
  <c r="M90"/>
  <c r="N90"/>
  <c r="J70"/>
  <c r="K70"/>
  <c r="L70"/>
  <c r="M70"/>
  <c r="N70"/>
  <c r="I91"/>
  <c r="J91"/>
  <c r="K91"/>
  <c r="L91"/>
  <c r="M91"/>
  <c r="N91"/>
  <c r="I60"/>
  <c r="L60"/>
  <c r="M60"/>
  <c r="S17" l="1"/>
  <c r="T62" l="1"/>
  <c r="T63" s="1"/>
  <c r="E38" s="1"/>
  <c r="R62"/>
  <c r="R63" s="1"/>
  <c r="E39" s="1"/>
  <c r="O8" i="55" l="1"/>
  <c r="N8"/>
  <c r="M8"/>
  <c r="L8"/>
  <c r="J8"/>
  <c r="K8"/>
  <c r="I8"/>
  <c r="H8"/>
  <c r="G8"/>
  <c r="F8"/>
  <c r="O45" l="1"/>
  <c r="O43"/>
  <c r="L47"/>
  <c r="L45"/>
  <c r="K47"/>
  <c r="K45"/>
  <c r="J47"/>
  <c r="J45"/>
  <c r="I45"/>
  <c r="L43"/>
  <c r="N45"/>
  <c r="M45"/>
  <c r="H45" l="1"/>
  <c r="F55" i="12" l="1"/>
  <c r="F49"/>
  <c r="G55" l="1"/>
  <c r="U56"/>
  <c r="U53"/>
  <c r="U51"/>
  <c r="D32" l="1"/>
  <c r="N43" i="55"/>
  <c r="M43"/>
  <c r="K43"/>
  <c r="J43"/>
  <c r="H43"/>
  <c r="F45"/>
  <c r="F43"/>
  <c r="G45"/>
  <c r="F54" i="12"/>
  <c r="E54"/>
  <c r="D54"/>
  <c r="E75"/>
  <c r="D75"/>
  <c r="Q9" i="22"/>
  <c r="R9"/>
  <c r="F25" i="10" l="1"/>
  <c r="D25"/>
  <c r="U10"/>
  <c r="P8" i="55" l="1"/>
  <c r="U35" i="12" l="1"/>
  <c r="F90" l="1"/>
  <c r="F91"/>
  <c r="F92"/>
  <c r="F93"/>
  <c r="F94"/>
  <c r="F95"/>
  <c r="F96"/>
  <c r="F97"/>
  <c r="F98"/>
  <c r="G56"/>
  <c r="G34"/>
  <c r="G12"/>
  <c r="G11"/>
  <c r="G10"/>
  <c r="G9"/>
  <c r="G8"/>
  <c r="G6"/>
  <c r="G4"/>
  <c r="G18" l="1"/>
  <c r="I10" s="1"/>
  <c r="F106" i="58"/>
  <c r="J106" s="1"/>
  <c r="I8" i="12" l="1"/>
  <c r="I12"/>
  <c r="I6"/>
  <c r="I4"/>
  <c r="I14"/>
  <c r="I16"/>
  <c r="I5"/>
  <c r="I15"/>
  <c r="I13"/>
  <c r="I7"/>
  <c r="I11"/>
  <c r="I9"/>
  <c r="M107" i="10"/>
  <c r="M106"/>
  <c r="M105"/>
  <c r="M104"/>
  <c r="M103"/>
  <c r="M102"/>
  <c r="M101"/>
  <c r="M100"/>
  <c r="M99"/>
  <c r="M98"/>
  <c r="M97"/>
  <c r="M96"/>
  <c r="L107"/>
  <c r="L106"/>
  <c r="L105"/>
  <c r="L104"/>
  <c r="L103"/>
  <c r="L102"/>
  <c r="L101"/>
  <c r="L100"/>
  <c r="L99"/>
  <c r="L98"/>
  <c r="L97"/>
  <c r="L96"/>
  <c r="K107"/>
  <c r="K106"/>
  <c r="K105"/>
  <c r="K104"/>
  <c r="K103"/>
  <c r="K102"/>
  <c r="K101"/>
  <c r="K100"/>
  <c r="K99"/>
  <c r="K98"/>
  <c r="K97"/>
  <c r="K96"/>
  <c r="I107"/>
  <c r="I106"/>
  <c r="I105"/>
  <c r="I104"/>
  <c r="I103"/>
  <c r="I102"/>
  <c r="I101"/>
  <c r="I100"/>
  <c r="I99"/>
  <c r="I98"/>
  <c r="I97"/>
  <c r="I96"/>
  <c r="H107"/>
  <c r="H106"/>
  <c r="H105"/>
  <c r="H104"/>
  <c r="H103"/>
  <c r="H102"/>
  <c r="H101"/>
  <c r="H100"/>
  <c r="H99"/>
  <c r="H98"/>
  <c r="H97"/>
  <c r="H96"/>
  <c r="G107"/>
  <c r="G106"/>
  <c r="G105"/>
  <c r="G104"/>
  <c r="G103"/>
  <c r="G102"/>
  <c r="G101"/>
  <c r="G100"/>
  <c r="G99"/>
  <c r="G98"/>
  <c r="G97"/>
  <c r="G96"/>
  <c r="E107"/>
  <c r="E106"/>
  <c r="E105"/>
  <c r="E104"/>
  <c r="E103"/>
  <c r="E102"/>
  <c r="E101"/>
  <c r="E100"/>
  <c r="E99"/>
  <c r="E98"/>
  <c r="E97"/>
  <c r="E96"/>
  <c r="C107"/>
  <c r="C106"/>
  <c r="C105"/>
  <c r="C104"/>
  <c r="C103"/>
  <c r="C102"/>
  <c r="C101"/>
  <c r="C100"/>
  <c r="C99"/>
  <c r="C98"/>
  <c r="C97"/>
  <c r="C96"/>
  <c r="N96" s="1"/>
  <c r="M79"/>
  <c r="M78"/>
  <c r="M77"/>
  <c r="M76"/>
  <c r="M75"/>
  <c r="M74"/>
  <c r="M73"/>
  <c r="M72"/>
  <c r="M71"/>
  <c r="M70"/>
  <c r="M69"/>
  <c r="M68"/>
  <c r="L79"/>
  <c r="L78"/>
  <c r="L77"/>
  <c r="L76"/>
  <c r="L75"/>
  <c r="L74"/>
  <c r="L73"/>
  <c r="L72"/>
  <c r="L71"/>
  <c r="L70"/>
  <c r="L69"/>
  <c r="L68"/>
  <c r="K79"/>
  <c r="K78"/>
  <c r="K77"/>
  <c r="K76"/>
  <c r="K75"/>
  <c r="K74"/>
  <c r="K73"/>
  <c r="K72"/>
  <c r="K71"/>
  <c r="K70"/>
  <c r="K69"/>
  <c r="K68"/>
  <c r="I79"/>
  <c r="I78"/>
  <c r="I77"/>
  <c r="I76"/>
  <c r="I75"/>
  <c r="I74"/>
  <c r="I73"/>
  <c r="I72"/>
  <c r="I71"/>
  <c r="I70"/>
  <c r="I69"/>
  <c r="I68"/>
  <c r="H79"/>
  <c r="H78"/>
  <c r="H77"/>
  <c r="H76"/>
  <c r="H75"/>
  <c r="H74"/>
  <c r="H73"/>
  <c r="H72"/>
  <c r="H71"/>
  <c r="H70"/>
  <c r="H69"/>
  <c r="H68"/>
  <c r="G79"/>
  <c r="G78"/>
  <c r="G77"/>
  <c r="G76"/>
  <c r="G75"/>
  <c r="G74"/>
  <c r="G73"/>
  <c r="G72"/>
  <c r="G71"/>
  <c r="G70"/>
  <c r="G69"/>
  <c r="G68"/>
  <c r="E79"/>
  <c r="E78"/>
  <c r="E77"/>
  <c r="E76"/>
  <c r="E75"/>
  <c r="E74"/>
  <c r="E73"/>
  <c r="E72"/>
  <c r="E71"/>
  <c r="E70"/>
  <c r="E69"/>
  <c r="E68"/>
  <c r="C79"/>
  <c r="C78"/>
  <c r="C77"/>
  <c r="C76"/>
  <c r="C75"/>
  <c r="C74"/>
  <c r="C73"/>
  <c r="C72"/>
  <c r="C71"/>
  <c r="C70"/>
  <c r="C69"/>
  <c r="C68"/>
  <c r="M50"/>
  <c r="M49"/>
  <c r="M48"/>
  <c r="M47"/>
  <c r="M46"/>
  <c r="M45"/>
  <c r="M44"/>
  <c r="M43"/>
  <c r="M41"/>
  <c r="M40"/>
  <c r="M39"/>
  <c r="L50"/>
  <c r="L49"/>
  <c r="L48"/>
  <c r="L47"/>
  <c r="L46"/>
  <c r="L45"/>
  <c r="L44"/>
  <c r="L43"/>
  <c r="L42"/>
  <c r="L41"/>
  <c r="L40"/>
  <c r="L39"/>
  <c r="K50"/>
  <c r="K49"/>
  <c r="K48"/>
  <c r="K47"/>
  <c r="K46"/>
  <c r="K45"/>
  <c r="K44"/>
  <c r="K43"/>
  <c r="K42"/>
  <c r="K41"/>
  <c r="K40"/>
  <c r="K39"/>
  <c r="I50"/>
  <c r="I49"/>
  <c r="I48"/>
  <c r="I47"/>
  <c r="I46"/>
  <c r="I45"/>
  <c r="I44"/>
  <c r="I43"/>
  <c r="I42"/>
  <c r="I41"/>
  <c r="I40"/>
  <c r="I39"/>
  <c r="H50"/>
  <c r="H49"/>
  <c r="H48"/>
  <c r="H47"/>
  <c r="H46"/>
  <c r="H45"/>
  <c r="H44"/>
  <c r="H43"/>
  <c r="H42"/>
  <c r="H41"/>
  <c r="H40"/>
  <c r="H39"/>
  <c r="G50"/>
  <c r="G49"/>
  <c r="G48"/>
  <c r="G47"/>
  <c r="G46"/>
  <c r="G45"/>
  <c r="G44"/>
  <c r="G43"/>
  <c r="G42"/>
  <c r="G41"/>
  <c r="G40"/>
  <c r="G39"/>
  <c r="F50"/>
  <c r="F49"/>
  <c r="F48"/>
  <c r="F47"/>
  <c r="F46"/>
  <c r="F45"/>
  <c r="F44"/>
  <c r="F43"/>
  <c r="F42"/>
  <c r="F41"/>
  <c r="F40"/>
  <c r="F39"/>
  <c r="E50"/>
  <c r="E49"/>
  <c r="E48"/>
  <c r="E47"/>
  <c r="E46"/>
  <c r="E45"/>
  <c r="E44"/>
  <c r="E43"/>
  <c r="E42"/>
  <c r="E41"/>
  <c r="E40"/>
  <c r="E39"/>
  <c r="D50"/>
  <c r="D49"/>
  <c r="D48"/>
  <c r="D47"/>
  <c r="D46"/>
  <c r="D45"/>
  <c r="D44"/>
  <c r="D43"/>
  <c r="D42"/>
  <c r="D41"/>
  <c r="D39"/>
  <c r="D40"/>
  <c r="C50"/>
  <c r="C49"/>
  <c r="C48"/>
  <c r="C47"/>
  <c r="C46"/>
  <c r="C45"/>
  <c r="C44"/>
  <c r="C43"/>
  <c r="C42"/>
  <c r="C41"/>
  <c r="C40"/>
  <c r="C39"/>
  <c r="H108" l="1"/>
  <c r="I108"/>
  <c r="I18" i="12"/>
  <c r="F77"/>
  <c r="F76"/>
  <c r="F75"/>
  <c r="P21" i="21" l="1"/>
  <c r="P14"/>
  <c r="P15"/>
  <c r="S11"/>
  <c r="R31" i="55"/>
  <c r="Q31"/>
  <c r="Q30"/>
  <c r="Q28"/>
  <c r="Q27"/>
  <c r="Q26"/>
  <c r="Q25"/>
  <c r="Q21"/>
  <c r="Q20"/>
  <c r="Q19"/>
  <c r="T15"/>
  <c r="Q11"/>
  <c r="S8"/>
  <c r="Q8"/>
  <c r="E1" i="56"/>
  <c r="F1"/>
  <c r="G1"/>
  <c r="H1"/>
  <c r="I1"/>
  <c r="J1"/>
  <c r="K1"/>
  <c r="L1"/>
  <c r="M1"/>
  <c r="O1"/>
  <c r="P1"/>
  <c r="Q1"/>
  <c r="R1"/>
  <c r="S1"/>
  <c r="T1"/>
  <c r="E2"/>
  <c r="F2"/>
  <c r="G2"/>
  <c r="H2"/>
  <c r="I2"/>
  <c r="J2"/>
  <c r="K2"/>
  <c r="L2"/>
  <c r="M2"/>
  <c r="N2"/>
  <c r="O2"/>
  <c r="P2"/>
  <c r="Q2"/>
  <c r="R2"/>
  <c r="S2"/>
  <c r="T2"/>
  <c r="U5" i="55" s="1"/>
  <c r="E3" i="56"/>
  <c r="F3"/>
  <c r="G3"/>
  <c r="H3"/>
  <c r="I3"/>
  <c r="J3"/>
  <c r="K3"/>
  <c r="L3"/>
  <c r="M3"/>
  <c r="N3"/>
  <c r="O3"/>
  <c r="P3"/>
  <c r="Q3"/>
  <c r="R3"/>
  <c r="S3"/>
  <c r="T6" i="55" s="1"/>
  <c r="S7" i="21" s="1"/>
  <c r="T3" i="56"/>
  <c r="U6" i="55" s="1"/>
  <c r="Q22" l="1"/>
  <c r="Q32"/>
  <c r="Q34" s="1"/>
  <c r="R8"/>
  <c r="S30" i="22"/>
  <c r="S27"/>
  <c r="T26"/>
  <c r="T25"/>
  <c r="T24"/>
  <c r="S26"/>
  <c r="S25"/>
  <c r="S24"/>
  <c r="R26"/>
  <c r="R25"/>
  <c r="R24"/>
  <c r="Q26"/>
  <c r="Q25"/>
  <c r="Q24"/>
  <c r="P26"/>
  <c r="P25"/>
  <c r="P24"/>
  <c r="O26"/>
  <c r="O25"/>
  <c r="O24"/>
  <c r="N26"/>
  <c r="N25"/>
  <c r="M26"/>
  <c r="M25"/>
  <c r="M24"/>
  <c r="L26"/>
  <c r="L25"/>
  <c r="L24"/>
  <c r="K26"/>
  <c r="K25"/>
  <c r="K24"/>
  <c r="J26"/>
  <c r="J25"/>
  <c r="J24"/>
  <c r="I26"/>
  <c r="I25"/>
  <c r="I24"/>
  <c r="H26"/>
  <c r="H25"/>
  <c r="H24"/>
  <c r="G26"/>
  <c r="G25"/>
  <c r="G24"/>
  <c r="F26"/>
  <c r="F25"/>
  <c r="F24"/>
  <c r="D26"/>
  <c r="D25"/>
  <c r="D24"/>
  <c r="E25"/>
  <c r="E26"/>
  <c r="E24"/>
  <c r="R20"/>
  <c r="Q20"/>
  <c r="P20"/>
  <c r="P19"/>
  <c r="P17"/>
  <c r="P16"/>
  <c r="P15"/>
  <c r="P14"/>
  <c r="P13"/>
  <c r="P12"/>
  <c r="P11"/>
  <c r="P10"/>
  <c r="U21" i="10"/>
  <c r="U20"/>
  <c r="U19"/>
  <c r="U18"/>
  <c r="U17"/>
  <c r="U16"/>
  <c r="U15"/>
  <c r="U14"/>
  <c r="U13"/>
  <c r="U12"/>
  <c r="U11"/>
  <c r="Q11"/>
  <c r="Q14"/>
  <c r="Q15"/>
  <c r="Q18"/>
  <c r="Q19"/>
  <c r="Q10"/>
  <c r="T10" s="1"/>
  <c r="P11"/>
  <c r="P14"/>
  <c r="P15"/>
  <c r="P18"/>
  <c r="P19"/>
  <c r="P10"/>
  <c r="J9" i="22"/>
  <c r="K9"/>
  <c r="R8"/>
  <c r="Q8"/>
  <c r="J8" s="1"/>
  <c r="T12" i="55"/>
  <c r="P9" i="22"/>
  <c r="D9" s="1"/>
  <c r="K8"/>
  <c r="S8"/>
  <c r="S21" s="1"/>
  <c r="S10" i="21" s="1"/>
  <c r="G8" i="10"/>
  <c r="F8"/>
  <c r="C7"/>
  <c r="B7"/>
  <c r="G33" i="12"/>
  <c r="B26"/>
  <c r="B27"/>
  <c r="B28"/>
  <c r="B29"/>
  <c r="B30"/>
  <c r="B31"/>
  <c r="B32"/>
  <c r="B33"/>
  <c r="B34"/>
  <c r="G26"/>
  <c r="G28"/>
  <c r="H49"/>
  <c r="G75"/>
  <c r="H75" s="1"/>
  <c r="H53"/>
  <c r="G73"/>
  <c r="H51"/>
  <c r="V11" i="10"/>
  <c r="V12"/>
  <c r="V13"/>
  <c r="V14"/>
  <c r="V15"/>
  <c r="W15" s="1"/>
  <c r="V16"/>
  <c r="V17"/>
  <c r="V18"/>
  <c r="V19"/>
  <c r="W19" s="1"/>
  <c r="V20"/>
  <c r="V21"/>
  <c r="V10"/>
  <c r="W11"/>
  <c r="U23"/>
  <c r="S23"/>
  <c r="T23"/>
  <c r="M22"/>
  <c r="L22"/>
  <c r="K22"/>
  <c r="E22"/>
  <c r="R11"/>
  <c r="R12"/>
  <c r="R13"/>
  <c r="R14"/>
  <c r="R15"/>
  <c r="R16"/>
  <c r="R17"/>
  <c r="R18"/>
  <c r="R19"/>
  <c r="R20"/>
  <c r="R21"/>
  <c r="R10"/>
  <c r="B11"/>
  <c r="B12"/>
  <c r="B13"/>
  <c r="B14"/>
  <c r="B15"/>
  <c r="B16"/>
  <c r="B17"/>
  <c r="B18"/>
  <c r="B19"/>
  <c r="B20"/>
  <c r="B21"/>
  <c r="B10"/>
  <c r="Q12"/>
  <c r="Q13"/>
  <c r="Q16"/>
  <c r="Q17"/>
  <c r="Q20"/>
  <c r="Q21"/>
  <c r="P12"/>
  <c r="T12" s="1"/>
  <c r="P13"/>
  <c r="P16"/>
  <c r="P17"/>
  <c r="P20"/>
  <c r="P21"/>
  <c r="O11"/>
  <c r="O12"/>
  <c r="O13"/>
  <c r="O14"/>
  <c r="O15"/>
  <c r="O16"/>
  <c r="O17"/>
  <c r="O18"/>
  <c r="O19"/>
  <c r="O20"/>
  <c r="O21"/>
  <c r="O10"/>
  <c r="J11"/>
  <c r="J12"/>
  <c r="J13"/>
  <c r="J14"/>
  <c r="J15"/>
  <c r="J16"/>
  <c r="J17"/>
  <c r="J18"/>
  <c r="J19"/>
  <c r="J20"/>
  <c r="J21"/>
  <c r="J10"/>
  <c r="J13" i="58"/>
  <c r="J15"/>
  <c r="J14"/>
  <c r="J12"/>
  <c r="J11"/>
  <c r="N107" i="10"/>
  <c r="N106"/>
  <c r="N105"/>
  <c r="N104"/>
  <c r="N103"/>
  <c r="N102"/>
  <c r="N101"/>
  <c r="N100"/>
  <c r="N99"/>
  <c r="N98"/>
  <c r="N97"/>
  <c r="M108"/>
  <c r="Q107"/>
  <c r="P107"/>
  <c r="O107"/>
  <c r="Q106"/>
  <c r="P106"/>
  <c r="O106"/>
  <c r="Q105"/>
  <c r="P105"/>
  <c r="O105"/>
  <c r="Q104"/>
  <c r="P104"/>
  <c r="O104"/>
  <c r="Q103"/>
  <c r="P103"/>
  <c r="O103"/>
  <c r="Q102"/>
  <c r="P102"/>
  <c r="O102"/>
  <c r="Q101"/>
  <c r="P101"/>
  <c r="O101"/>
  <c r="Q100"/>
  <c r="P100"/>
  <c r="O100"/>
  <c r="Q99"/>
  <c r="P99"/>
  <c r="O99"/>
  <c r="Q98"/>
  <c r="P98"/>
  <c r="O98"/>
  <c r="Q97"/>
  <c r="P97"/>
  <c r="O97"/>
  <c r="Q96"/>
  <c r="P96"/>
  <c r="O96"/>
  <c r="M80"/>
  <c r="L80"/>
  <c r="K80"/>
  <c r="Q71"/>
  <c r="Q72"/>
  <c r="Q73"/>
  <c r="Q74"/>
  <c r="Q75"/>
  <c r="Q76"/>
  <c r="Q77"/>
  <c r="Q78"/>
  <c r="Q79"/>
  <c r="Q70"/>
  <c r="Q69"/>
  <c r="Q68"/>
  <c r="P71"/>
  <c r="P72"/>
  <c r="P73"/>
  <c r="P74"/>
  <c r="P75"/>
  <c r="P76"/>
  <c r="P77"/>
  <c r="P78"/>
  <c r="P79"/>
  <c r="P70"/>
  <c r="P69"/>
  <c r="H80"/>
  <c r="G80"/>
  <c r="F80"/>
  <c r="E80"/>
  <c r="D80"/>
  <c r="N71"/>
  <c r="N72"/>
  <c r="N73"/>
  <c r="N74"/>
  <c r="N75"/>
  <c r="N76"/>
  <c r="N77"/>
  <c r="N78"/>
  <c r="N79"/>
  <c r="N70"/>
  <c r="N69"/>
  <c r="N68"/>
  <c r="O71"/>
  <c r="O72"/>
  <c r="O73"/>
  <c r="O74"/>
  <c r="O75"/>
  <c r="O76"/>
  <c r="O77"/>
  <c r="O78"/>
  <c r="O79"/>
  <c r="O70"/>
  <c r="O69"/>
  <c r="O68"/>
  <c r="O39"/>
  <c r="P50"/>
  <c r="Q50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Q39"/>
  <c r="P39"/>
  <c r="O40"/>
  <c r="O41"/>
  <c r="O42"/>
  <c r="O43"/>
  <c r="O44"/>
  <c r="O45"/>
  <c r="O46"/>
  <c r="O47"/>
  <c r="O48"/>
  <c r="O49"/>
  <c r="O50"/>
  <c r="N40"/>
  <c r="N41"/>
  <c r="N42"/>
  <c r="N43"/>
  <c r="N44"/>
  <c r="N45"/>
  <c r="N46"/>
  <c r="N47"/>
  <c r="N48"/>
  <c r="N49"/>
  <c r="N50"/>
  <c r="N39"/>
  <c r="A40"/>
  <c r="A41"/>
  <c r="A42"/>
  <c r="A43"/>
  <c r="A44"/>
  <c r="A45"/>
  <c r="A46"/>
  <c r="A47"/>
  <c r="A48"/>
  <c r="A49"/>
  <c r="A50"/>
  <c r="A39"/>
  <c r="Q35"/>
  <c r="Q64" s="1"/>
  <c r="Q7"/>
  <c r="Q36" s="1"/>
  <c r="Q65" s="1"/>
  <c r="Q8"/>
  <c r="Q37" s="1"/>
  <c r="Q66" s="1"/>
  <c r="N6"/>
  <c r="O6"/>
  <c r="N7"/>
  <c r="O7"/>
  <c r="P7"/>
  <c r="N8"/>
  <c r="O8"/>
  <c r="P8"/>
  <c r="L6"/>
  <c r="A12" i="12" s="1"/>
  <c r="L7" i="10"/>
  <c r="M7"/>
  <c r="L8"/>
  <c r="M8"/>
  <c r="K8"/>
  <c r="K7"/>
  <c r="K6"/>
  <c r="A11" i="12" s="1"/>
  <c r="C6" i="10"/>
  <c r="A4" i="12" s="1"/>
  <c r="D6" i="10"/>
  <c r="A5" i="12" s="1"/>
  <c r="E6" i="10"/>
  <c r="A6" i="12" s="1"/>
  <c r="F6" i="10"/>
  <c r="A7" i="12" s="1"/>
  <c r="G6" i="10"/>
  <c r="A8" i="12" s="1"/>
  <c r="H6" i="10"/>
  <c r="A9" i="12" s="1"/>
  <c r="I6" i="10"/>
  <c r="A10" i="12" s="1"/>
  <c r="H7" i="10"/>
  <c r="I7"/>
  <c r="H8"/>
  <c r="I8"/>
  <c r="B6"/>
  <c r="N108" l="1"/>
  <c r="W13"/>
  <c r="W17"/>
  <c r="W21"/>
  <c r="S28" i="22"/>
  <c r="W12" i="10"/>
  <c r="W16"/>
  <c r="W20"/>
  <c r="J110"/>
  <c r="O108"/>
  <c r="M110"/>
  <c r="T16"/>
  <c r="B22"/>
  <c r="R22"/>
  <c r="V22"/>
  <c r="T14"/>
  <c r="W10"/>
  <c r="W14"/>
  <c r="W18"/>
  <c r="S107"/>
  <c r="G22"/>
  <c r="D21" i="22"/>
  <c r="D29"/>
  <c r="O80" i="10"/>
  <c r="P108"/>
  <c r="I22"/>
  <c r="Q80"/>
  <c r="T20"/>
  <c r="S29" i="22"/>
  <c r="S31" s="1"/>
  <c r="Q108" i="10"/>
  <c r="O22"/>
  <c r="S97"/>
  <c r="S99"/>
  <c r="S101"/>
  <c r="S103"/>
  <c r="S105"/>
  <c r="S98"/>
  <c r="S100"/>
  <c r="S102"/>
  <c r="S104"/>
  <c r="S106"/>
  <c r="N80"/>
  <c r="S78"/>
  <c r="S74"/>
  <c r="S69"/>
  <c r="S79"/>
  <c r="S77"/>
  <c r="S75"/>
  <c r="S73"/>
  <c r="S71"/>
  <c r="S70"/>
  <c r="S76"/>
  <c r="S72"/>
  <c r="F51"/>
  <c r="P68"/>
  <c r="P80" s="1"/>
  <c r="B80"/>
  <c r="I80"/>
  <c r="N10"/>
  <c r="S10" s="1"/>
  <c r="N12"/>
  <c r="S12" s="1"/>
  <c r="N14"/>
  <c r="S14" s="1"/>
  <c r="N16"/>
  <c r="S16" s="1"/>
  <c r="N18"/>
  <c r="S18" s="1"/>
  <c r="N20"/>
  <c r="S20" s="1"/>
  <c r="G32" i="12"/>
  <c r="G89"/>
  <c r="G97"/>
  <c r="G95"/>
  <c r="G93"/>
  <c r="G91"/>
  <c r="G68"/>
  <c r="G76"/>
  <c r="H76" s="1"/>
  <c r="G74"/>
  <c r="G72"/>
  <c r="G70"/>
  <c r="H47"/>
  <c r="H54"/>
  <c r="H52"/>
  <c r="U8" i="55"/>
  <c r="N11" i="10"/>
  <c r="S11" s="1"/>
  <c r="N13"/>
  <c r="S13" s="1"/>
  <c r="N15"/>
  <c r="S15" s="1"/>
  <c r="N17"/>
  <c r="S17" s="1"/>
  <c r="N19"/>
  <c r="S19" s="1"/>
  <c r="N21"/>
  <c r="S21" s="1"/>
  <c r="G29" i="12"/>
  <c r="G27"/>
  <c r="G96"/>
  <c r="G94"/>
  <c r="H55"/>
  <c r="T18" i="10"/>
  <c r="T21"/>
  <c r="T19"/>
  <c r="T17"/>
  <c r="T15"/>
  <c r="T13"/>
  <c r="T11"/>
  <c r="K35"/>
  <c r="C8"/>
  <c r="E7"/>
  <c r="E8"/>
  <c r="G7"/>
  <c r="B8"/>
  <c r="D7"/>
  <c r="D8"/>
  <c r="F7"/>
  <c r="U22"/>
  <c r="Q22"/>
  <c r="H22"/>
  <c r="P22"/>
  <c r="D22"/>
  <c r="C22"/>
  <c r="S96"/>
  <c r="Q51"/>
  <c r="S49"/>
  <c r="S47"/>
  <c r="S45"/>
  <c r="S43"/>
  <c r="S50"/>
  <c r="S48"/>
  <c r="S46"/>
  <c r="S44"/>
  <c r="S42"/>
  <c r="S41"/>
  <c r="S40"/>
  <c r="S39"/>
  <c r="S108" l="1"/>
  <c r="W22"/>
  <c r="S68"/>
  <c r="L82"/>
  <c r="E82"/>
  <c r="H77" i="12"/>
  <c r="S80" i="10"/>
  <c r="G82"/>
  <c r="M82"/>
  <c r="K82"/>
  <c r="F82"/>
  <c r="D82"/>
  <c r="N22"/>
  <c r="U24" s="1"/>
  <c r="T22"/>
  <c r="T24" s="1"/>
  <c r="F26" l="1"/>
  <c r="C26"/>
  <c r="E26"/>
  <c r="D24"/>
  <c r="L26"/>
  <c r="K26"/>
  <c r="H26"/>
  <c r="B26"/>
  <c r="M26"/>
  <c r="G26"/>
  <c r="D26"/>
  <c r="S22"/>
  <c r="S24" s="1"/>
  <c r="I26"/>
  <c r="M84"/>
  <c r="F84"/>
  <c r="I84"/>
  <c r="K84"/>
  <c r="D84"/>
  <c r="H84"/>
  <c r="L84"/>
  <c r="G84"/>
  <c r="E84"/>
  <c r="M112"/>
  <c r="E24"/>
  <c r="L24"/>
  <c r="M24"/>
  <c r="F24"/>
  <c r="G24"/>
  <c r="K24"/>
  <c r="C24"/>
  <c r="N26" l="1"/>
  <c r="N5" i="22"/>
  <c r="M89" i="14" s="1"/>
  <c r="M6" i="10" l="1"/>
  <c r="A13" i="12" s="1"/>
  <c r="N1" i="56"/>
  <c r="N24" i="22"/>
  <c r="D275" i="11"/>
  <c r="D276"/>
  <c r="E27" i="12" s="1"/>
  <c r="E32" s="1"/>
  <c r="D277" i="11"/>
  <c r="D279"/>
  <c r="F202"/>
  <c r="E250"/>
  <c r="E251" s="1"/>
  <c r="D250"/>
  <c r="F262" s="1"/>
  <c r="F248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30"/>
  <c r="F264"/>
  <c r="D278"/>
  <c r="D272"/>
  <c r="D273"/>
  <c r="D274"/>
  <c r="F229"/>
  <c r="F228"/>
  <c r="F227"/>
  <c r="F226"/>
  <c r="F206"/>
  <c r="F197"/>
  <c r="F207"/>
  <c r="F225"/>
  <c r="F218"/>
  <c r="F217"/>
  <c r="F219"/>
  <c r="F196"/>
  <c r="F193"/>
  <c r="F189"/>
  <c r="F183"/>
  <c r="F213"/>
  <c r="F209"/>
  <c r="E33" i="12" s="1"/>
  <c r="F187" i="11"/>
  <c r="F185"/>
  <c r="F68"/>
  <c r="C259" l="1"/>
  <c r="E26" i="12"/>
  <c r="E28"/>
  <c r="E25"/>
  <c r="F33" s="1"/>
  <c r="C258" i="11"/>
  <c r="E273" s="1"/>
  <c r="F259"/>
  <c r="D159"/>
  <c r="D158"/>
  <c r="D157"/>
  <c r="D154"/>
  <c r="D155"/>
  <c r="D156"/>
  <c r="D153"/>
  <c r="D152"/>
  <c r="B159"/>
  <c r="B158"/>
  <c r="B157"/>
  <c r="B154"/>
  <c r="B155"/>
  <c r="B156"/>
  <c r="B153"/>
  <c r="B152"/>
  <c r="C105"/>
  <c r="D104"/>
  <c r="E97"/>
  <c r="E98"/>
  <c r="E99"/>
  <c r="E100"/>
  <c r="E101"/>
  <c r="E102"/>
  <c r="E103"/>
  <c r="C104"/>
  <c r="E104" s="1"/>
  <c r="D22"/>
  <c r="E21"/>
  <c r="D21"/>
  <c r="F5"/>
  <c r="F6"/>
  <c r="F19"/>
  <c r="F18"/>
  <c r="F17"/>
  <c r="F258" l="1"/>
  <c r="F261" s="1"/>
  <c r="D23"/>
  <c r="B170" s="1"/>
  <c r="E275"/>
  <c r="E276"/>
  <c r="E279"/>
  <c r="E272"/>
  <c r="E277"/>
  <c r="E274"/>
  <c r="E278"/>
  <c r="F34"/>
  <c r="L9" i="20" l="1"/>
  <c r="K9"/>
  <c r="I9"/>
  <c r="H9"/>
  <c r="G9"/>
  <c r="F9"/>
  <c r="E9"/>
  <c r="L8"/>
  <c r="K8"/>
  <c r="I8"/>
  <c r="H8"/>
  <c r="G8"/>
  <c r="F8"/>
  <c r="E8"/>
  <c r="Z66" i="1"/>
  <c r="V67"/>
  <c r="W67"/>
  <c r="X67"/>
  <c r="Y67"/>
  <c r="Z67"/>
  <c r="AA67"/>
  <c r="AB67"/>
  <c r="W68"/>
  <c r="Y68"/>
  <c r="Z68"/>
  <c r="AA68"/>
  <c r="AB68"/>
  <c r="W69"/>
  <c r="Y69"/>
  <c r="Z69"/>
  <c r="AA69"/>
  <c r="AB69"/>
  <c r="V70"/>
  <c r="X70"/>
  <c r="Y70"/>
  <c r="Z70"/>
  <c r="AA70"/>
  <c r="AB70"/>
  <c r="V71"/>
  <c r="W71"/>
  <c r="X71"/>
  <c r="Y71"/>
  <c r="Z71"/>
  <c r="AA71"/>
  <c r="V72"/>
  <c r="W72"/>
  <c r="X72"/>
  <c r="Z72"/>
  <c r="AA72"/>
  <c r="AB72"/>
  <c r="V63"/>
  <c r="W63"/>
  <c r="X63"/>
  <c r="Y63"/>
  <c r="Z63"/>
  <c r="AA63"/>
  <c r="AB63"/>
  <c r="U63"/>
  <c r="Y26"/>
  <c r="Y21"/>
  <c r="Y16"/>
  <c r="AC63" l="1"/>
  <c r="E78" l="1"/>
  <c r="E79" s="1"/>
  <c r="A74"/>
  <c r="A75"/>
  <c r="A73"/>
  <c r="A69"/>
  <c r="A70"/>
  <c r="A68"/>
  <c r="E64"/>
  <c r="E65"/>
  <c r="E63"/>
  <c r="B65"/>
  <c r="A65"/>
  <c r="A64"/>
  <c r="A63"/>
  <c r="E46"/>
  <c r="E47"/>
  <c r="M47" s="1"/>
  <c r="A43"/>
  <c r="S83" s="1"/>
  <c r="A44"/>
  <c r="S84" s="1"/>
  <c r="A45"/>
  <c r="S85" s="1"/>
  <c r="A46"/>
  <c r="S86" s="1"/>
  <c r="A47"/>
  <c r="S87" s="1"/>
  <c r="A42"/>
  <c r="S82" s="1"/>
  <c r="B47"/>
  <c r="T87" s="1"/>
  <c r="B33"/>
  <c r="B24"/>
  <c r="AG54" i="14"/>
  <c r="E40" s="1"/>
  <c r="X54"/>
  <c r="AD54"/>
  <c r="AA54"/>
  <c r="U39"/>
  <c r="AD30"/>
  <c r="AA30"/>
  <c r="E8"/>
  <c r="E21"/>
  <c r="B11" i="1"/>
  <c r="E11"/>
  <c r="G11" s="1"/>
  <c r="P11" s="1"/>
  <c r="X30" i="14"/>
  <c r="P47" i="1" l="1"/>
  <c r="Z87"/>
  <c r="E66"/>
  <c r="E28" i="14"/>
  <c r="N13" i="58" l="1"/>
  <c r="D47"/>
  <c r="E43" i="1" s="1"/>
  <c r="D105" i="58"/>
  <c r="D104"/>
  <c r="J104" s="1"/>
  <c r="E102" i="1" s="1"/>
  <c r="D102" i="58"/>
  <c r="D101"/>
  <c r="J101" s="1"/>
  <c r="D74"/>
  <c r="D70"/>
  <c r="D16"/>
  <c r="D62"/>
  <c r="D59"/>
  <c r="D64"/>
  <c r="D60"/>
  <c r="D58"/>
  <c r="J58" s="1"/>
  <c r="E54" i="1" s="1"/>
  <c r="D56" i="58"/>
  <c r="D55"/>
  <c r="J55" s="1"/>
  <c r="E51" i="1" s="1"/>
  <c r="D54" i="58"/>
  <c r="D49"/>
  <c r="E45" i="1" s="1"/>
  <c r="D48" i="58"/>
  <c r="E44" i="1" s="1"/>
  <c r="D46" i="58"/>
  <c r="D41"/>
  <c r="D40"/>
  <c r="D44" s="1"/>
  <c r="J44" s="1"/>
  <c r="D43"/>
  <c r="D42"/>
  <c r="J42" s="1"/>
  <c r="E38" i="1" s="1"/>
  <c r="D36" i="58"/>
  <c r="D35"/>
  <c r="J35" s="1"/>
  <c r="E31" i="1" s="1"/>
  <c r="D34" i="58"/>
  <c r="D33"/>
  <c r="J33" s="1"/>
  <c r="E29" i="1" s="1"/>
  <c r="D32" i="58"/>
  <c r="D30"/>
  <c r="J30" s="1"/>
  <c r="E26" i="1" s="1"/>
  <c r="D26" i="58"/>
  <c r="D24"/>
  <c r="J24" s="1"/>
  <c r="E20" i="1" s="1"/>
  <c r="D22" i="58"/>
  <c r="D21"/>
  <c r="J21" s="1"/>
  <c r="E17" i="1" s="1"/>
  <c r="D18" i="58"/>
  <c r="J68"/>
  <c r="L70" s="1"/>
  <c r="G25" i="12"/>
  <c r="V84" i="10"/>
  <c r="K27" i="24"/>
  <c r="K28"/>
  <c r="I11" i="21"/>
  <c r="J11"/>
  <c r="M27" i="24"/>
  <c r="M28"/>
  <c r="L27"/>
  <c r="L28"/>
  <c r="J18" i="22"/>
  <c r="A78" i="1"/>
  <c r="H95" i="12"/>
  <c r="F89"/>
  <c r="H89" s="1"/>
  <c r="J30" i="22"/>
  <c r="L30"/>
  <c r="P30"/>
  <c r="Q30"/>
  <c r="R30"/>
  <c r="D9" i="24"/>
  <c r="D27"/>
  <c r="K9"/>
  <c r="L9"/>
  <c r="F182" i="11"/>
  <c r="F184"/>
  <c r="F186"/>
  <c r="F188"/>
  <c r="F190"/>
  <c r="F191"/>
  <c r="F192"/>
  <c r="F194"/>
  <c r="F195"/>
  <c r="F198"/>
  <c r="F199"/>
  <c r="H33" i="12" s="1"/>
  <c r="F200" i="11"/>
  <c r="F201"/>
  <c r="F203"/>
  <c r="F204"/>
  <c r="F205"/>
  <c r="E29" i="12" s="1"/>
  <c r="F208" i="11"/>
  <c r="M25" i="12" s="1"/>
  <c r="O25" s="1"/>
  <c r="F210" i="11"/>
  <c r="M192" s="1"/>
  <c r="F211"/>
  <c r="F212"/>
  <c r="F214"/>
  <c r="F215"/>
  <c r="F216"/>
  <c r="D69"/>
  <c r="S6" s="1"/>
  <c r="X6" s="1"/>
  <c r="D70"/>
  <c r="S7" s="1"/>
  <c r="X7" s="1"/>
  <c r="D71"/>
  <c r="S8" s="1"/>
  <c r="X8" s="1"/>
  <c r="D72"/>
  <c r="S9" s="1"/>
  <c r="X9" s="1"/>
  <c r="D73"/>
  <c r="S10" s="1"/>
  <c r="X10" s="1"/>
  <c r="D74"/>
  <c r="S11" s="1"/>
  <c r="X11" s="1"/>
  <c r="D75"/>
  <c r="S12" s="1"/>
  <c r="X12" s="1"/>
  <c r="D76"/>
  <c r="D77"/>
  <c r="F7"/>
  <c r="E69" s="1"/>
  <c r="F8"/>
  <c r="E70" s="1"/>
  <c r="T7" s="1"/>
  <c r="W7" s="1"/>
  <c r="F9"/>
  <c r="E71" s="1"/>
  <c r="T8" s="1"/>
  <c r="W8" s="1"/>
  <c r="F11"/>
  <c r="E72" s="1"/>
  <c r="T9" s="1"/>
  <c r="W9" s="1"/>
  <c r="F12"/>
  <c r="E73" s="1"/>
  <c r="F13"/>
  <c r="E74" s="1"/>
  <c r="T11" s="1"/>
  <c r="W11" s="1"/>
  <c r="F14"/>
  <c r="E75" s="1"/>
  <c r="T12" s="1"/>
  <c r="W12" s="1"/>
  <c r="F15"/>
  <c r="E76" s="1"/>
  <c r="F16"/>
  <c r="E77" s="1"/>
  <c r="E86"/>
  <c r="C153" s="1"/>
  <c r="E87"/>
  <c r="C156" s="1"/>
  <c r="E88"/>
  <c r="C155" s="1"/>
  <c r="E89"/>
  <c r="C154" s="1"/>
  <c r="E85"/>
  <c r="C152" s="1"/>
  <c r="J24" i="10"/>
  <c r="N24" s="1"/>
  <c r="J8"/>
  <c r="G47" i="12"/>
  <c r="G48"/>
  <c r="I48" s="1"/>
  <c r="G49"/>
  <c r="G50"/>
  <c r="I50" s="1"/>
  <c r="G51"/>
  <c r="I51" s="1"/>
  <c r="I52"/>
  <c r="I53"/>
  <c r="I55"/>
  <c r="I56"/>
  <c r="F68"/>
  <c r="F70"/>
  <c r="H70" s="1"/>
  <c r="F71"/>
  <c r="F74"/>
  <c r="H74" s="1"/>
  <c r="H90"/>
  <c r="H91"/>
  <c r="H92"/>
  <c r="H93"/>
  <c r="H94"/>
  <c r="H96"/>
  <c r="M107" i="58"/>
  <c r="J67"/>
  <c r="F65"/>
  <c r="J33" i="93"/>
  <c r="D80" i="58"/>
  <c r="J31"/>
  <c r="E27" i="1" s="1"/>
  <c r="H88" i="58"/>
  <c r="H89" s="1"/>
  <c r="J27"/>
  <c r="E23" i="1" s="1"/>
  <c r="AD24" s="1"/>
  <c r="J73" i="58"/>
  <c r="E69" i="1" s="1"/>
  <c r="J72" i="58"/>
  <c r="E68" i="1" s="1"/>
  <c r="J79" i="58"/>
  <c r="E75" i="1" s="1"/>
  <c r="D24" i="24"/>
  <c r="I15" i="23"/>
  <c r="D16" i="20"/>
  <c r="P36" i="14"/>
  <c r="E22"/>
  <c r="L18"/>
  <c r="S73" i="1"/>
  <c r="T73"/>
  <c r="AB55"/>
  <c r="AB56"/>
  <c r="AB57"/>
  <c r="AB58"/>
  <c r="AB60"/>
  <c r="AB61"/>
  <c r="D75" i="58"/>
  <c r="U68" i="1"/>
  <c r="U69"/>
  <c r="U70"/>
  <c r="U71"/>
  <c r="U72"/>
  <c r="J59" i="58"/>
  <c r="E55" i="1" s="1"/>
  <c r="J60" i="58"/>
  <c r="E56" i="1" s="1"/>
  <c r="J61" i="58"/>
  <c r="E57" i="1" s="1"/>
  <c r="J63" i="58"/>
  <c r="E59" i="1" s="1"/>
  <c r="J50" i="58"/>
  <c r="M46" i="1"/>
  <c r="Z86" s="1"/>
  <c r="T6" i="21"/>
  <c r="T7"/>
  <c r="R4" i="55"/>
  <c r="Q5" i="21" s="1"/>
  <c r="S4" i="55"/>
  <c r="R5" i="21" s="1"/>
  <c r="R5" i="55"/>
  <c r="Q6" i="21" s="1"/>
  <c r="S5" i="55"/>
  <c r="R6" i="21" s="1"/>
  <c r="R6" i="55"/>
  <c r="Q7" i="21" s="1"/>
  <c r="S6" i="55"/>
  <c r="R7" i="21" s="1"/>
  <c r="J31" i="55"/>
  <c r="N4"/>
  <c r="M5" i="21" s="1"/>
  <c r="P4" i="55"/>
  <c r="O5" i="21" s="1"/>
  <c r="N5" i="55"/>
  <c r="M6" i="21" s="1"/>
  <c r="O5" i="55"/>
  <c r="N6" i="21" s="1"/>
  <c r="P5" i="55"/>
  <c r="O6" i="21" s="1"/>
  <c r="N6" i="55"/>
  <c r="M7" i="21" s="1"/>
  <c r="O6" i="55"/>
  <c r="N7" i="21" s="1"/>
  <c r="P6" i="55"/>
  <c r="O7" i="21" s="1"/>
  <c r="Q6" i="55"/>
  <c r="P7" i="21" s="1"/>
  <c r="M4" i="55"/>
  <c r="L5" i="21" s="1"/>
  <c r="M6" i="55"/>
  <c r="L7" i="21" s="1"/>
  <c r="G34" i="1"/>
  <c r="J74" i="58"/>
  <c r="E70" i="1" s="1"/>
  <c r="U30" i="14"/>
  <c r="H11"/>
  <c r="H7"/>
  <c r="P7" s="1"/>
  <c r="H9"/>
  <c r="P9" s="1"/>
  <c r="H10"/>
  <c r="P10" s="1"/>
  <c r="H12"/>
  <c r="P12" s="1"/>
  <c r="H6"/>
  <c r="P6" s="1"/>
  <c r="I13"/>
  <c r="J14"/>
  <c r="G8"/>
  <c r="P8" s="1"/>
  <c r="M16"/>
  <c r="N17"/>
  <c r="J77" i="58"/>
  <c r="B8" i="1"/>
  <c r="J78" i="58"/>
  <c r="J98"/>
  <c r="J99"/>
  <c r="F108"/>
  <c r="J92"/>
  <c r="J93"/>
  <c r="J94"/>
  <c r="E96" i="1" s="1"/>
  <c r="J95" i="58"/>
  <c r="E97" i="1" s="1"/>
  <c r="J91" i="58"/>
  <c r="J83"/>
  <c r="D85"/>
  <c r="J39"/>
  <c r="J45"/>
  <c r="J53"/>
  <c r="J66"/>
  <c r="E62" i="1" s="1"/>
  <c r="J71" i="58"/>
  <c r="E67" i="1" s="1"/>
  <c r="J76" i="58"/>
  <c r="E72" i="1" s="1"/>
  <c r="J19" i="58"/>
  <c r="E15" i="1" s="1"/>
  <c r="J107" i="58"/>
  <c r="E104" i="1" s="1"/>
  <c r="J105" i="58"/>
  <c r="E103" i="1" s="1"/>
  <c r="J102" i="58"/>
  <c r="J96"/>
  <c r="E87"/>
  <c r="E89" s="1"/>
  <c r="E111" s="1"/>
  <c r="J82"/>
  <c r="L85" s="1"/>
  <c r="J84"/>
  <c r="J86"/>
  <c r="E80" i="1" s="1"/>
  <c r="J20" i="58"/>
  <c r="E16" i="1" s="1"/>
  <c r="Y14" s="1"/>
  <c r="J22" i="58"/>
  <c r="E18" i="1" s="1"/>
  <c r="J23" i="58"/>
  <c r="E19" i="1" s="1"/>
  <c r="F75" i="58"/>
  <c r="F87" s="1"/>
  <c r="F89" s="1"/>
  <c r="C28" i="93"/>
  <c r="D26" s="1"/>
  <c r="H102" i="12"/>
  <c r="G79"/>
  <c r="A37"/>
  <c r="A59" s="1"/>
  <c r="A80" s="1"/>
  <c r="B37"/>
  <c r="B59" s="1"/>
  <c r="B80" s="1"/>
  <c r="A31"/>
  <c r="A53" s="1"/>
  <c r="A74" s="1"/>
  <c r="A32"/>
  <c r="A54" s="1"/>
  <c r="A75" s="1"/>
  <c r="A33"/>
  <c r="A55" s="1"/>
  <c r="A76" s="1"/>
  <c r="A34"/>
  <c r="A56" s="1"/>
  <c r="A77" s="1"/>
  <c r="A35"/>
  <c r="A57" s="1"/>
  <c r="A78" s="1"/>
  <c r="A36"/>
  <c r="A58" s="1"/>
  <c r="A79" s="1"/>
  <c r="B53"/>
  <c r="B74" s="1"/>
  <c r="B54"/>
  <c r="B75" s="1"/>
  <c r="B55"/>
  <c r="B76" s="1"/>
  <c r="B56"/>
  <c r="B77" s="1"/>
  <c r="B35"/>
  <c r="B57" s="1"/>
  <c r="B78" s="1"/>
  <c r="B36"/>
  <c r="B58" s="1"/>
  <c r="B79" s="1"/>
  <c r="A95"/>
  <c r="B95"/>
  <c r="A96"/>
  <c r="B96"/>
  <c r="A97"/>
  <c r="B97"/>
  <c r="A98"/>
  <c r="B98"/>
  <c r="A94"/>
  <c r="B94"/>
  <c r="A93"/>
  <c r="B93"/>
  <c r="A29"/>
  <c r="A51" s="1"/>
  <c r="A72" s="1"/>
  <c r="B51"/>
  <c r="B72" s="1"/>
  <c r="A30"/>
  <c r="B52"/>
  <c r="B73" s="1"/>
  <c r="B35" i="10"/>
  <c r="B36"/>
  <c r="L108"/>
  <c r="L110" s="1"/>
  <c r="O110" s="1"/>
  <c r="K108"/>
  <c r="K110" s="1"/>
  <c r="I112"/>
  <c r="H112"/>
  <c r="C108"/>
  <c r="D108"/>
  <c r="D110" s="1"/>
  <c r="E108"/>
  <c r="E110" s="1"/>
  <c r="F108"/>
  <c r="F110" s="1"/>
  <c r="G108"/>
  <c r="G110" s="1"/>
  <c r="R94"/>
  <c r="S37"/>
  <c r="P35"/>
  <c r="P92" s="1"/>
  <c r="P36"/>
  <c r="Q93" s="1"/>
  <c r="P37"/>
  <c r="P94" s="1"/>
  <c r="O35"/>
  <c r="O36"/>
  <c r="O37"/>
  <c r="N35"/>
  <c r="N36"/>
  <c r="N37"/>
  <c r="M35"/>
  <c r="M36"/>
  <c r="M65" s="1"/>
  <c r="M37"/>
  <c r="M94" s="1"/>
  <c r="L35"/>
  <c r="L36"/>
  <c r="L37"/>
  <c r="L66" s="1"/>
  <c r="K36"/>
  <c r="K37"/>
  <c r="I35"/>
  <c r="I36"/>
  <c r="I93" s="1"/>
  <c r="I37"/>
  <c r="H35"/>
  <c r="H36"/>
  <c r="H93" s="1"/>
  <c r="H37"/>
  <c r="S92"/>
  <c r="S93"/>
  <c r="N51"/>
  <c r="O51"/>
  <c r="P51"/>
  <c r="I51"/>
  <c r="C51"/>
  <c r="J40"/>
  <c r="J42"/>
  <c r="J44"/>
  <c r="J46"/>
  <c r="A76"/>
  <c r="J76" s="1"/>
  <c r="J48"/>
  <c r="D51"/>
  <c r="E51"/>
  <c r="G51"/>
  <c r="H51"/>
  <c r="S184" i="11"/>
  <c r="R184"/>
  <c r="F10"/>
  <c r="C80" i="10"/>
  <c r="K51"/>
  <c r="L51"/>
  <c r="F32" i="11"/>
  <c r="Z61" i="1"/>
  <c r="V55"/>
  <c r="W55"/>
  <c r="X55"/>
  <c r="Y55"/>
  <c r="Z55"/>
  <c r="AA55"/>
  <c r="V56"/>
  <c r="W56"/>
  <c r="X56"/>
  <c r="Y56"/>
  <c r="Z56"/>
  <c r="AA56"/>
  <c r="W57"/>
  <c r="Y57"/>
  <c r="Z57"/>
  <c r="AA57"/>
  <c r="W58"/>
  <c r="Y58"/>
  <c r="Z58"/>
  <c r="AA58"/>
  <c r="V59"/>
  <c r="W59"/>
  <c r="X59"/>
  <c r="Z59"/>
  <c r="AA59"/>
  <c r="V60"/>
  <c r="W60"/>
  <c r="X60"/>
  <c r="Z60"/>
  <c r="AA60"/>
  <c r="V61"/>
  <c r="X61"/>
  <c r="Y61"/>
  <c r="U57"/>
  <c r="U58"/>
  <c r="U59"/>
  <c r="U60"/>
  <c r="U61"/>
  <c r="B15"/>
  <c r="T55" s="1"/>
  <c r="B16"/>
  <c r="T56" s="1"/>
  <c r="B17"/>
  <c r="T57" s="1"/>
  <c r="B18"/>
  <c r="T58" s="1"/>
  <c r="B19"/>
  <c r="T59" s="1"/>
  <c r="B20"/>
  <c r="T60" s="1"/>
  <c r="B21"/>
  <c r="T61" s="1"/>
  <c r="B22"/>
  <c r="T62" s="1"/>
  <c r="B23"/>
  <c r="T63" s="1"/>
  <c r="B14"/>
  <c r="T54" s="1"/>
  <c r="C35" i="10"/>
  <c r="C64" s="1"/>
  <c r="D35"/>
  <c r="D64" s="1"/>
  <c r="E35"/>
  <c r="E92" s="1"/>
  <c r="F35"/>
  <c r="F64" s="1"/>
  <c r="G35"/>
  <c r="K64"/>
  <c r="C36"/>
  <c r="D36"/>
  <c r="E36"/>
  <c r="F36"/>
  <c r="G36"/>
  <c r="C37"/>
  <c r="D37"/>
  <c r="E37"/>
  <c r="F37"/>
  <c r="G37"/>
  <c r="B37"/>
  <c r="B66" s="1"/>
  <c r="A67"/>
  <c r="A69"/>
  <c r="J69" s="1"/>
  <c r="A71"/>
  <c r="J71" s="1"/>
  <c r="A73"/>
  <c r="J73" s="1"/>
  <c r="A75"/>
  <c r="J75" s="1"/>
  <c r="A77"/>
  <c r="J77" s="1"/>
  <c r="A37"/>
  <c r="E15" i="14"/>
  <c r="F4" i="55"/>
  <c r="E5" i="21" s="1"/>
  <c r="G4" i="55"/>
  <c r="F5" i="21" s="1"/>
  <c r="H4" i="55"/>
  <c r="G5" i="21" s="1"/>
  <c r="I4" i="55"/>
  <c r="H5" i="21" s="1"/>
  <c r="J4" i="55"/>
  <c r="I5" i="21" s="1"/>
  <c r="K4" i="55"/>
  <c r="J5" i="21" s="1"/>
  <c r="L4" i="55"/>
  <c r="K5" i="21" s="1"/>
  <c r="F5" i="55"/>
  <c r="E6" i="21" s="1"/>
  <c r="G5" i="55"/>
  <c r="F6" i="21" s="1"/>
  <c r="H5" i="55"/>
  <c r="G6" i="21" s="1"/>
  <c r="I5" i="55"/>
  <c r="H6" i="21" s="1"/>
  <c r="J5" i="55"/>
  <c r="I6" i="21" s="1"/>
  <c r="K5" i="55"/>
  <c r="J6" i="21" s="1"/>
  <c r="L5" i="55"/>
  <c r="K6" i="21" s="1"/>
  <c r="M5" i="55"/>
  <c r="L6" i="21" s="1"/>
  <c r="F6" i="55"/>
  <c r="E7" i="21" s="1"/>
  <c r="G6" i="55"/>
  <c r="F7" i="21" s="1"/>
  <c r="H6" i="55"/>
  <c r="G7" i="21" s="1"/>
  <c r="I6" i="55"/>
  <c r="H7" i="21" s="1"/>
  <c r="J6" i="55"/>
  <c r="I7" i="21" s="1"/>
  <c r="K6" i="55"/>
  <c r="J7" i="21" s="1"/>
  <c r="L6" i="55"/>
  <c r="K7" i="21" s="1"/>
  <c r="D2" i="56"/>
  <c r="E5" i="55" s="1"/>
  <c r="D6" i="21" s="1"/>
  <c r="D3" i="56"/>
  <c r="E6" i="55" s="1"/>
  <c r="D7" i="21" s="1"/>
  <c r="D5"/>
  <c r="D1" i="56"/>
  <c r="F116" i="11"/>
  <c r="D97" i="58"/>
  <c r="J109"/>
  <c r="E106" i="1" s="1"/>
  <c r="J110" i="58"/>
  <c r="E107" i="1" s="1"/>
  <c r="J153" i="58"/>
  <c r="J147"/>
  <c r="J143"/>
  <c r="J138"/>
  <c r="J131"/>
  <c r="J125"/>
  <c r="D144"/>
  <c r="D135"/>
  <c r="D131"/>
  <c r="D125"/>
  <c r="G85"/>
  <c r="H85" s="1"/>
  <c r="E92" i="11"/>
  <c r="C158" s="1"/>
  <c r="E91"/>
  <c r="E90"/>
  <c r="C157" s="1"/>
  <c r="K94" a="1"/>
  <c r="K94" s="1"/>
  <c r="H4" i="12"/>
  <c r="H5"/>
  <c r="H6"/>
  <c r="H7"/>
  <c r="H8"/>
  <c r="M27"/>
  <c r="O27" s="1"/>
  <c r="N28"/>
  <c r="G97" i="58"/>
  <c r="H97"/>
  <c r="D10" i="24"/>
  <c r="D28"/>
  <c r="L10"/>
  <c r="K10"/>
  <c r="B6"/>
  <c r="I6" s="1"/>
  <c r="B7"/>
  <c r="I7" s="1"/>
  <c r="B8"/>
  <c r="I8" s="1"/>
  <c r="B9"/>
  <c r="I9" s="1"/>
  <c r="B10"/>
  <c r="I10" s="1"/>
  <c r="B11"/>
  <c r="I11" s="1"/>
  <c r="B12"/>
  <c r="I12" s="1"/>
  <c r="B13"/>
  <c r="I13" s="1"/>
  <c r="B14"/>
  <c r="I14" s="1"/>
  <c r="B15"/>
  <c r="I15" s="1"/>
  <c r="B16"/>
  <c r="B17"/>
  <c r="I17" s="1"/>
  <c r="B18"/>
  <c r="I18" s="1"/>
  <c r="B5"/>
  <c r="I5" s="1"/>
  <c r="Y44" i="1"/>
  <c r="X46"/>
  <c r="X47" s="1"/>
  <c r="Y46"/>
  <c r="G58" i="22"/>
  <c r="F58"/>
  <c r="E58"/>
  <c r="E38" i="55"/>
  <c r="K10"/>
  <c r="K35"/>
  <c r="K48" i="22"/>
  <c r="L52" i="10"/>
  <c r="G28" i="58"/>
  <c r="G38"/>
  <c r="G44"/>
  <c r="G52"/>
  <c r="G70"/>
  <c r="G75"/>
  <c r="J75" s="1"/>
  <c r="G80"/>
  <c r="G108"/>
  <c r="H108"/>
  <c r="B105" i="1"/>
  <c r="B92" i="12"/>
  <c r="B50"/>
  <c r="B71" s="1"/>
  <c r="B49"/>
  <c r="B70" s="1"/>
  <c r="E93" i="11"/>
  <c r="C159" s="1"/>
  <c r="E94"/>
  <c r="E95"/>
  <c r="E96"/>
  <c r="I30" i="22"/>
  <c r="Z89" i="1"/>
  <c r="P41" i="14"/>
  <c r="S67" i="1"/>
  <c r="B27"/>
  <c r="T67" s="1"/>
  <c r="S68"/>
  <c r="B28"/>
  <c r="T68" s="1"/>
  <c r="S69"/>
  <c r="B29"/>
  <c r="T69" s="1"/>
  <c r="S70"/>
  <c r="B30"/>
  <c r="T70" s="1"/>
  <c r="S71"/>
  <c r="B31"/>
  <c r="T71" s="1"/>
  <c r="S72"/>
  <c r="B32"/>
  <c r="T72" s="1"/>
  <c r="B34"/>
  <c r="T74" s="1"/>
  <c r="B26"/>
  <c r="T66" s="1"/>
  <c r="S66"/>
  <c r="E73"/>
  <c r="E74"/>
  <c r="E77"/>
  <c r="E93"/>
  <c r="E94"/>
  <c r="E99"/>
  <c r="E100"/>
  <c r="E110"/>
  <c r="C6"/>
  <c r="D6"/>
  <c r="B7"/>
  <c r="B9"/>
  <c r="B10"/>
  <c r="B12"/>
  <c r="A16"/>
  <c r="A17"/>
  <c r="A18"/>
  <c r="A19"/>
  <c r="A20"/>
  <c r="A21"/>
  <c r="A22"/>
  <c r="A23"/>
  <c r="A35"/>
  <c r="B36"/>
  <c r="B37"/>
  <c r="B38"/>
  <c r="B39"/>
  <c r="T101" s="1"/>
  <c r="A41"/>
  <c r="B40"/>
  <c r="B42"/>
  <c r="T82" s="1"/>
  <c r="B43"/>
  <c r="T83" s="1"/>
  <c r="B44"/>
  <c r="T84" s="1"/>
  <c r="B45"/>
  <c r="T85" s="1"/>
  <c r="B46"/>
  <c r="B48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B61"/>
  <c r="B62"/>
  <c r="B63"/>
  <c r="B64"/>
  <c r="B66"/>
  <c r="B68"/>
  <c r="B69"/>
  <c r="B70"/>
  <c r="B71"/>
  <c r="B73"/>
  <c r="B74"/>
  <c r="B75"/>
  <c r="B76"/>
  <c r="B78"/>
  <c r="A79"/>
  <c r="B79"/>
  <c r="B80"/>
  <c r="B81"/>
  <c r="B82"/>
  <c r="B83"/>
  <c r="A93"/>
  <c r="A94"/>
  <c r="B93"/>
  <c r="A95"/>
  <c r="B94"/>
  <c r="A96"/>
  <c r="B95"/>
  <c r="A97"/>
  <c r="B96"/>
  <c r="A98"/>
  <c r="B97"/>
  <c r="A99"/>
  <c r="B98"/>
  <c r="A100"/>
  <c r="A101"/>
  <c r="B100"/>
  <c r="A102"/>
  <c r="B101"/>
  <c r="A103"/>
  <c r="B102"/>
  <c r="A104"/>
  <c r="B103"/>
  <c r="A105"/>
  <c r="B104"/>
  <c r="A106"/>
  <c r="A107"/>
  <c r="B106"/>
  <c r="A108"/>
  <c r="B107"/>
  <c r="A109"/>
  <c r="B108"/>
  <c r="A110"/>
  <c r="B6"/>
  <c r="E113"/>
  <c r="B111"/>
  <c r="B112"/>
  <c r="B113"/>
  <c r="B114"/>
  <c r="C94"/>
  <c r="D94"/>
  <c r="A111"/>
  <c r="A112"/>
  <c r="A113"/>
  <c r="A114"/>
  <c r="M89" i="58"/>
  <c r="B91" i="12"/>
  <c r="W26" i="11"/>
  <c r="S17"/>
  <c r="S18"/>
  <c r="S19"/>
  <c r="S23"/>
  <c r="U7"/>
  <c r="Y7" s="1"/>
  <c r="U8"/>
  <c r="Y8" s="1"/>
  <c r="U9"/>
  <c r="Y9" s="1"/>
  <c r="U10"/>
  <c r="Y10" s="1"/>
  <c r="U11"/>
  <c r="Y11" s="1"/>
  <c r="U12"/>
  <c r="Y12" s="1"/>
  <c r="U6"/>
  <c r="Y6" s="1"/>
  <c r="M104" i="58"/>
  <c r="I28"/>
  <c r="I38"/>
  <c r="I44"/>
  <c r="I52"/>
  <c r="L25" i="10"/>
  <c r="D10" i="21"/>
  <c r="B48" i="12"/>
  <c r="B69" s="1"/>
  <c r="D27" i="22"/>
  <c r="D28"/>
  <c r="B90" i="12"/>
  <c r="A90"/>
  <c r="A91"/>
  <c r="A92"/>
  <c r="A26"/>
  <c r="A48" s="1"/>
  <c r="A69" s="1"/>
  <c r="A27"/>
  <c r="A49" s="1"/>
  <c r="A70" s="1"/>
  <c r="A28"/>
  <c r="A50" s="1"/>
  <c r="A71" s="1"/>
  <c r="A52"/>
  <c r="A73" s="1"/>
  <c r="D6" i="24"/>
  <c r="C6" i="14"/>
  <c r="B9"/>
  <c r="B10"/>
  <c r="B13"/>
  <c r="B14"/>
  <c r="B15"/>
  <c r="B16"/>
  <c r="B17"/>
  <c r="B6"/>
  <c r="G61" i="1"/>
  <c r="A31" i="22"/>
  <c r="I66" i="12"/>
  <c r="I67"/>
  <c r="H66"/>
  <c r="H67"/>
  <c r="G66"/>
  <c r="G67"/>
  <c r="G65"/>
  <c r="E66"/>
  <c r="F66"/>
  <c r="F65"/>
  <c r="E65"/>
  <c r="E43"/>
  <c r="E64" s="1"/>
  <c r="F43"/>
  <c r="F64" s="1"/>
  <c r="G43"/>
  <c r="G64" s="1"/>
  <c r="H43"/>
  <c r="H64" s="1"/>
  <c r="I43"/>
  <c r="I64" s="1"/>
  <c r="D44"/>
  <c r="D65" s="1"/>
  <c r="D45"/>
  <c r="D66" s="1"/>
  <c r="D43"/>
  <c r="D64" s="1"/>
  <c r="H44"/>
  <c r="H45"/>
  <c r="I45"/>
  <c r="J45"/>
  <c r="H46"/>
  <c r="I46"/>
  <c r="J46"/>
  <c r="P13" i="1"/>
  <c r="P35"/>
  <c r="P41"/>
  <c r="C17"/>
  <c r="C20"/>
  <c r="C27"/>
  <c r="C57"/>
  <c r="C75"/>
  <c r="C81" s="1"/>
  <c r="D63"/>
  <c r="C69"/>
  <c r="C70" s="1"/>
  <c r="C37"/>
  <c r="C39" s="1"/>
  <c r="L24" i="24"/>
  <c r="B25"/>
  <c r="I25" s="1"/>
  <c r="B27"/>
  <c r="I27" s="1"/>
  <c r="B28"/>
  <c r="I28" s="1"/>
  <c r="B33"/>
  <c r="I33" s="1"/>
  <c r="K6"/>
  <c r="L6"/>
  <c r="M6"/>
  <c r="H23"/>
  <c r="F22"/>
  <c r="G22"/>
  <c r="F23"/>
  <c r="G23"/>
  <c r="G21"/>
  <c r="F21"/>
  <c r="D5"/>
  <c r="B19"/>
  <c r="D9" i="1"/>
  <c r="D14"/>
  <c r="D16"/>
  <c r="D62"/>
  <c r="D103"/>
  <c r="D46"/>
  <c r="D70"/>
  <c r="D81"/>
  <c r="C10"/>
  <c r="C11" s="1"/>
  <c r="C46"/>
  <c r="C64"/>
  <c r="C103"/>
  <c r="C111"/>
  <c r="B94" i="10"/>
  <c r="A95"/>
  <c r="A97"/>
  <c r="A99"/>
  <c r="A101"/>
  <c r="A103"/>
  <c r="A105"/>
  <c r="A107"/>
  <c r="A94"/>
  <c r="G82" i="1"/>
  <c r="P33" i="14"/>
  <c r="T100" i="1"/>
  <c r="D32"/>
  <c r="D29"/>
  <c r="D13"/>
  <c r="D22" s="1"/>
  <c r="D31"/>
  <c r="D25"/>
  <c r="D27"/>
  <c r="D26"/>
  <c r="D17"/>
  <c r="D20"/>
  <c r="D15"/>
  <c r="D19"/>
  <c r="M66" i="10"/>
  <c r="B51"/>
  <c r="J91" i="11" a="1"/>
  <c r="K91" s="1"/>
  <c r="E106"/>
  <c r="E10" i="1"/>
  <c r="G10" s="1"/>
  <c r="P10" s="1"/>
  <c r="D22" i="93"/>
  <c r="D20"/>
  <c r="F20" s="1"/>
  <c r="D14"/>
  <c r="D12"/>
  <c r="F12" s="1"/>
  <c r="J100" i="58"/>
  <c r="E101" i="1" s="1"/>
  <c r="J56" i="58"/>
  <c r="E52" i="1" s="1"/>
  <c r="Q92" i="10"/>
  <c r="P64"/>
  <c r="L75" i="58"/>
  <c r="G80" i="12"/>
  <c r="G78"/>
  <c r="E64" i="10"/>
  <c r="H65"/>
  <c r="M93"/>
  <c r="J80" i="58"/>
  <c r="G88"/>
  <c r="F92" i="10"/>
  <c r="J39"/>
  <c r="A68"/>
  <c r="J68" s="1"/>
  <c r="A96"/>
  <c r="J49"/>
  <c r="A78"/>
  <c r="J78" s="1"/>
  <c r="A106"/>
  <c r="J47"/>
  <c r="A104"/>
  <c r="J45"/>
  <c r="A74"/>
  <c r="J74" s="1"/>
  <c r="A102"/>
  <c r="J43"/>
  <c r="A72"/>
  <c r="J72" s="1"/>
  <c r="A100"/>
  <c r="J41"/>
  <c r="A70"/>
  <c r="J70" s="1"/>
  <c r="A98"/>
  <c r="E95" i="1"/>
  <c r="D17" i="93"/>
  <c r="D13"/>
  <c r="F13" s="1"/>
  <c r="H98" i="12"/>
  <c r="G103"/>
  <c r="K50" i="22"/>
  <c r="K46"/>
  <c r="K47"/>
  <c r="K49"/>
  <c r="K45"/>
  <c r="K38" i="23"/>
  <c r="K43" i="22"/>
  <c r="K41"/>
  <c r="K51"/>
  <c r="AB25" i="24"/>
  <c r="D65" i="58"/>
  <c r="G57" s="1"/>
  <c r="J43"/>
  <c r="E39" i="1" s="1"/>
  <c r="M39" s="1"/>
  <c r="Z79" s="1"/>
  <c r="AC79" s="1"/>
  <c r="D28" i="58"/>
  <c r="J28" s="1"/>
  <c r="J26"/>
  <c r="E22" i="1" s="1"/>
  <c r="J48" i="58"/>
  <c r="B26" i="24"/>
  <c r="I26" s="1"/>
  <c r="J64" i="58"/>
  <c r="E60" i="1" s="1"/>
  <c r="J41" i="58"/>
  <c r="E37" i="1" s="1"/>
  <c r="M37" s="1"/>
  <c r="J37" i="58"/>
  <c r="E33" i="1" s="1"/>
  <c r="F118" i="11"/>
  <c r="C106" s="1"/>
  <c r="B171" s="1"/>
  <c r="B172" s="1"/>
  <c r="I16" i="24"/>
  <c r="B34"/>
  <c r="I34" s="1"/>
  <c r="B108" i="10"/>
  <c r="J32" i="58"/>
  <c r="E28" i="1" s="1"/>
  <c r="J34" i="58"/>
  <c r="E30" i="1" s="1"/>
  <c r="J25" i="58"/>
  <c r="E21" i="1" s="1"/>
  <c r="C60"/>
  <c r="D53" s="1"/>
  <c r="B31" i="24"/>
  <c r="I31" s="1"/>
  <c r="J37" i="10"/>
  <c r="A66"/>
  <c r="J50"/>
  <c r="A79"/>
  <c r="J79" s="1"/>
  <c r="L94"/>
  <c r="S94"/>
  <c r="S66"/>
  <c r="J103" i="58"/>
  <c r="F69" i="12"/>
  <c r="H69" s="1"/>
  <c r="D15" i="93"/>
  <c r="D23"/>
  <c r="H71" i="12"/>
  <c r="D49" i="1"/>
  <c r="J46" i="58"/>
  <c r="L103" i="12"/>
  <c r="J62" i="58"/>
  <c r="E58" i="1" s="1"/>
  <c r="L11" i="21"/>
  <c r="F72" i="12"/>
  <c r="H72" s="1"/>
  <c r="F73"/>
  <c r="H73" s="1"/>
  <c r="J54" i="58"/>
  <c r="E50" i="1" s="1"/>
  <c r="E8"/>
  <c r="G8" s="1"/>
  <c r="J40" i="58"/>
  <c r="E36" i="1" s="1"/>
  <c r="M36" s="1"/>
  <c r="G11" i="21"/>
  <c r="H11"/>
  <c r="F11"/>
  <c r="U84" i="10"/>
  <c r="J18" i="58"/>
  <c r="E14" i="1" s="1"/>
  <c r="Q11" i="21"/>
  <c r="J49" i="58"/>
  <c r="R11" i="21"/>
  <c r="J36" i="58"/>
  <c r="E32" i="1" s="1"/>
  <c r="L32" s="1"/>
  <c r="Y72" s="1"/>
  <c r="P11" i="21"/>
  <c r="P23" s="1"/>
  <c r="E9" i="1"/>
  <c r="P29" i="22"/>
  <c r="G9" i="1"/>
  <c r="P9" s="1"/>
  <c r="L80" i="58"/>
  <c r="D113"/>
  <c r="J88"/>
  <c r="E82" i="1" s="1"/>
  <c r="C53" i="10" l="1"/>
  <c r="T99" i="1"/>
  <c r="D92" i="10"/>
  <c r="B35" i="24"/>
  <c r="I35" s="1"/>
  <c r="B32"/>
  <c r="I32" s="1"/>
  <c r="B24"/>
  <c r="I24" s="1"/>
  <c r="P39" i="1"/>
  <c r="D38" i="58"/>
  <c r="J38" s="1"/>
  <c r="J85"/>
  <c r="L97"/>
  <c r="J47"/>
  <c r="Y47" i="1"/>
  <c r="AA45"/>
  <c r="AA44"/>
  <c r="AC44" s="1"/>
  <c r="M18" i="14"/>
  <c r="P16"/>
  <c r="J18"/>
  <c r="W10" i="1" s="1"/>
  <c r="P14" i="14"/>
  <c r="N18"/>
  <c r="P17"/>
  <c r="I18"/>
  <c r="P13"/>
  <c r="M58" i="10"/>
  <c r="L52" i="58"/>
  <c r="N6" i="24"/>
  <c r="C110" i="10"/>
  <c r="N110" s="1"/>
  <c r="N116"/>
  <c r="B23" i="24"/>
  <c r="I23" s="1"/>
  <c r="B30"/>
  <c r="I30" s="1"/>
  <c r="D21" i="93"/>
  <c r="F21" s="1"/>
  <c r="I65" i="10"/>
  <c r="D8" i="93"/>
  <c r="F8" s="1"/>
  <c r="D16"/>
  <c r="F16" s="1"/>
  <c r="D24"/>
  <c r="F24" s="1"/>
  <c r="I87" i="58"/>
  <c r="I89" s="1"/>
  <c r="F41" i="24"/>
  <c r="F9" i="23" s="1"/>
  <c r="C9" i="22" s="1"/>
  <c r="C92" i="10"/>
  <c r="D9" i="93"/>
  <c r="F9" s="1"/>
  <c r="D25"/>
  <c r="F25" s="1"/>
  <c r="G18" i="14"/>
  <c r="D10" i="93"/>
  <c r="D18"/>
  <c r="F18" s="1"/>
  <c r="B36" i="24"/>
  <c r="I36" s="1"/>
  <c r="B29"/>
  <c r="I29" s="1"/>
  <c r="I47" i="12"/>
  <c r="G54"/>
  <c r="I54" s="1"/>
  <c r="D108" i="58"/>
  <c r="J108" s="1"/>
  <c r="G39" i="12"/>
  <c r="H18"/>
  <c r="F111" i="58"/>
  <c r="P37" i="1"/>
  <c r="Z77"/>
  <c r="AC77" s="1"/>
  <c r="L88" i="58"/>
  <c r="L28"/>
  <c r="F15" i="93"/>
  <c r="L108" i="58"/>
  <c r="F23" i="93"/>
  <c r="T6" i="11"/>
  <c r="W6" s="1"/>
  <c r="F31"/>
  <c r="J70" i="58"/>
  <c r="L38"/>
  <c r="M38" s="1"/>
  <c r="L44"/>
  <c r="D11" i="93"/>
  <c r="D5"/>
  <c r="M26" i="12"/>
  <c r="O26" s="1"/>
  <c r="O28" s="1"/>
  <c r="O29" s="1"/>
  <c r="E30"/>
  <c r="F30" s="1"/>
  <c r="H30" s="1"/>
  <c r="E31"/>
  <c r="F31" s="1"/>
  <c r="H31" s="1"/>
  <c r="Q12" i="55"/>
  <c r="L112" i="10"/>
  <c r="K112"/>
  <c r="G112"/>
  <c r="F112"/>
  <c r="E112"/>
  <c r="D112"/>
  <c r="C112"/>
  <c r="C84"/>
  <c r="C82"/>
  <c r="N82" s="1"/>
  <c r="Q110"/>
  <c r="P110"/>
  <c r="Q82"/>
  <c r="P82"/>
  <c r="D11" i="21"/>
  <c r="D12" s="1"/>
  <c r="P65" i="10"/>
  <c r="P93"/>
  <c r="H97" i="12"/>
  <c r="H103" s="1"/>
  <c r="I92" s="1"/>
  <c r="H68"/>
  <c r="H81" s="1"/>
  <c r="I73" s="1"/>
  <c r="G81"/>
  <c r="Q53" i="10"/>
  <c r="P53"/>
  <c r="L53"/>
  <c r="G53"/>
  <c r="E53"/>
  <c r="K53"/>
  <c r="F53"/>
  <c r="D53"/>
  <c r="S51"/>
  <c r="O55" s="1"/>
  <c r="M52"/>
  <c r="H92"/>
  <c r="H64"/>
  <c r="D65"/>
  <c r="D93"/>
  <c r="C93"/>
  <c r="C65"/>
  <c r="D31" i="22"/>
  <c r="F66" i="10"/>
  <c r="F94"/>
  <c r="N66"/>
  <c r="N94"/>
  <c r="O93"/>
  <c r="O65"/>
  <c r="G66"/>
  <c r="G94"/>
  <c r="N93"/>
  <c r="N65"/>
  <c r="O64"/>
  <c r="O92"/>
  <c r="S25" i="11" a="1"/>
  <c r="T25" s="1"/>
  <c r="W25" s="1"/>
  <c r="W27" s="1"/>
  <c r="Z9"/>
  <c r="F263"/>
  <c r="F265" s="1"/>
  <c r="C112"/>
  <c r="C113"/>
  <c r="F34" i="12"/>
  <c r="H34" s="1"/>
  <c r="C78" i="11"/>
  <c r="B78"/>
  <c r="J91"/>
  <c r="Z12"/>
  <c r="Z11"/>
  <c r="Z7"/>
  <c r="Z8"/>
  <c r="T10"/>
  <c r="W10" s="1"/>
  <c r="T88" i="1"/>
  <c r="D57"/>
  <c r="T102"/>
  <c r="T86"/>
  <c r="H16"/>
  <c r="U56" s="1"/>
  <c r="AC56" s="1"/>
  <c r="M45"/>
  <c r="Z85" s="1"/>
  <c r="AC85" s="1"/>
  <c r="D55"/>
  <c r="V46"/>
  <c r="AB46" s="1"/>
  <c r="AC46" s="1"/>
  <c r="AC35"/>
  <c r="AC32" s="1"/>
  <c r="N33" s="1"/>
  <c r="AA73" s="1"/>
  <c r="AB34"/>
  <c r="AB35"/>
  <c r="P32"/>
  <c r="Y30"/>
  <c r="H27"/>
  <c r="U67" s="1"/>
  <c r="AC67" s="1"/>
  <c r="M43"/>
  <c r="P43" s="1"/>
  <c r="D58"/>
  <c r="D54"/>
  <c r="D51"/>
  <c r="M44"/>
  <c r="Z84" s="1"/>
  <c r="AC84" s="1"/>
  <c r="Z6" i="11"/>
  <c r="Q54" i="12"/>
  <c r="D94" i="10"/>
  <c r="D66"/>
  <c r="Z10" i="11"/>
  <c r="N92" i="10"/>
  <c r="N64"/>
  <c r="J97" i="58"/>
  <c r="AC23" i="1"/>
  <c r="E18" i="14"/>
  <c r="K15"/>
  <c r="P15" s="1"/>
  <c r="F14" i="93"/>
  <c r="D52" i="58"/>
  <c r="J52" s="1"/>
  <c r="E42" i="1"/>
  <c r="H61" i="12"/>
  <c r="O19" i="1"/>
  <c r="AB59" s="1"/>
  <c r="AE30" i="14"/>
  <c r="E29"/>
  <c r="H18"/>
  <c r="W9" i="1" s="1"/>
  <c r="H111" i="58"/>
  <c r="W47" i="1"/>
  <c r="D52"/>
  <c r="D59"/>
  <c r="D56"/>
  <c r="D50"/>
  <c r="E76"/>
  <c r="AB23"/>
  <c r="E24"/>
  <c r="E71"/>
  <c r="D64"/>
  <c r="L20"/>
  <c r="Y18" s="1"/>
  <c r="N21"/>
  <c r="J30"/>
  <c r="M38"/>
  <c r="M40" s="1"/>
  <c r="J8" i="20" s="1"/>
  <c r="M8" s="1"/>
  <c r="E40" i="1"/>
  <c r="O31"/>
  <c r="E34"/>
  <c r="G65" i="58"/>
  <c r="J65" s="1"/>
  <c r="J57"/>
  <c r="H15" i="1"/>
  <c r="D10"/>
  <c r="D11" s="1"/>
  <c r="E7"/>
  <c r="J16" i="58"/>
  <c r="P46" i="1"/>
  <c r="AC87"/>
  <c r="D80"/>
  <c r="D82" s="1"/>
  <c r="D114" s="1"/>
  <c r="C22"/>
  <c r="Y59"/>
  <c r="AC72"/>
  <c r="F17" i="93"/>
  <c r="F26"/>
  <c r="F22"/>
  <c r="F10"/>
  <c r="F11"/>
  <c r="D19"/>
  <c r="D6"/>
  <c r="D7"/>
  <c r="P36" i="1"/>
  <c r="Z76"/>
  <c r="K11" i="21"/>
  <c r="C94" i="10"/>
  <c r="C66"/>
  <c r="G65"/>
  <c r="G93"/>
  <c r="E93"/>
  <c r="E65"/>
  <c r="I94"/>
  <c r="I66"/>
  <c r="K94"/>
  <c r="K66"/>
  <c r="L92"/>
  <c r="L64"/>
  <c r="Q94"/>
  <c r="P66"/>
  <c r="B92"/>
  <c r="B64"/>
  <c r="E94"/>
  <c r="E66"/>
  <c r="F93"/>
  <c r="F65"/>
  <c r="G92"/>
  <c r="G64"/>
  <c r="H66"/>
  <c r="H94"/>
  <c r="I64"/>
  <c r="I92"/>
  <c r="K93"/>
  <c r="K65"/>
  <c r="L65"/>
  <c r="L93"/>
  <c r="M92"/>
  <c r="M64"/>
  <c r="O66"/>
  <c r="O94"/>
  <c r="B93"/>
  <c r="B65"/>
  <c r="J29" i="22"/>
  <c r="K12" i="55"/>
  <c r="P8" i="1"/>
  <c r="C10" i="22"/>
  <c r="L16" i="58"/>
  <c r="R12" i="55" l="1"/>
  <c r="C55" i="10"/>
  <c r="P45" i="1"/>
  <c r="M108" i="58"/>
  <c r="M109" s="1"/>
  <c r="P27" i="1"/>
  <c r="G40" i="14"/>
  <c r="W11" i="1"/>
  <c r="X10" s="1"/>
  <c r="K18" s="1"/>
  <c r="H40" i="14"/>
  <c r="E105" i="1"/>
  <c r="J119" i="58"/>
  <c r="E29" i="11"/>
  <c r="F69"/>
  <c r="F33" i="93"/>
  <c r="D87" i="58"/>
  <c r="D89" s="1"/>
  <c r="D111" s="1"/>
  <c r="E98" i="1"/>
  <c r="T15" i="21"/>
  <c r="U38" i="55" s="1"/>
  <c r="P19" i="1"/>
  <c r="C29" i="22"/>
  <c r="O9"/>
  <c r="T9" s="1"/>
  <c r="N112" i="10"/>
  <c r="S112" s="1"/>
  <c r="H19" i="14"/>
  <c r="H28" s="1"/>
  <c r="P16" i="1"/>
  <c r="D115" i="58"/>
  <c r="D116" s="1"/>
  <c r="E37" i="14" s="1"/>
  <c r="F18" i="23"/>
  <c r="H34" i="14"/>
  <c r="V47" i="1"/>
  <c r="I96" i="12"/>
  <c r="Q13" i="55"/>
  <c r="Q15" s="1"/>
  <c r="D28" i="93"/>
  <c r="D30"/>
  <c r="N84" i="10"/>
  <c r="S84" s="1"/>
  <c r="I89" i="12"/>
  <c r="I97"/>
  <c r="I94"/>
  <c r="I90"/>
  <c r="I95"/>
  <c r="I98"/>
  <c r="I91"/>
  <c r="I93"/>
  <c r="I49"/>
  <c r="I61" s="1"/>
  <c r="J49" s="1"/>
  <c r="Q55" i="10"/>
  <c r="P55"/>
  <c r="N55"/>
  <c r="F32" i="12"/>
  <c r="H32" s="1"/>
  <c r="F27"/>
  <c r="H27" s="1"/>
  <c r="F26"/>
  <c r="H26" s="1"/>
  <c r="F28"/>
  <c r="H28" s="1"/>
  <c r="S25" i="11"/>
  <c r="F29" i="12"/>
  <c r="H29" s="1"/>
  <c r="F25"/>
  <c r="H25" s="1"/>
  <c r="F266" i="11"/>
  <c r="G24" i="24" s="1"/>
  <c r="F27"/>
  <c r="E159" i="11"/>
  <c r="E155"/>
  <c r="E158"/>
  <c r="E154"/>
  <c r="E152"/>
  <c r="E157"/>
  <c r="E153"/>
  <c r="E156"/>
  <c r="F24" i="24"/>
  <c r="F77" i="11"/>
  <c r="F73"/>
  <c r="F74"/>
  <c r="F70"/>
  <c r="F75"/>
  <c r="F71"/>
  <c r="F76"/>
  <c r="F72"/>
  <c r="F115"/>
  <c r="F117" s="1"/>
  <c r="F119" s="1"/>
  <c r="D170" s="1"/>
  <c r="F28" i="24"/>
  <c r="F29" i="11"/>
  <c r="Z83" i="1"/>
  <c r="AC83" s="1"/>
  <c r="P44"/>
  <c r="Y28"/>
  <c r="W70"/>
  <c r="AC70" s="1"/>
  <c r="Y33"/>
  <c r="AB71"/>
  <c r="AC71" s="1"/>
  <c r="AC59"/>
  <c r="Z78"/>
  <c r="AC78" s="1"/>
  <c r="AA61"/>
  <c r="Y20"/>
  <c r="K18" i="14"/>
  <c r="P18" s="1"/>
  <c r="M51" i="10"/>
  <c r="E48" i="1"/>
  <c r="M42"/>
  <c r="M48" s="1"/>
  <c r="J9" i="20" s="1"/>
  <c r="M9" s="1"/>
  <c r="N34" i="14"/>
  <c r="M40"/>
  <c r="M34"/>
  <c r="J40"/>
  <c r="E19"/>
  <c r="L34"/>
  <c r="L19"/>
  <c r="I34"/>
  <c r="N40"/>
  <c r="N19"/>
  <c r="M19"/>
  <c r="J19"/>
  <c r="J34"/>
  <c r="L40"/>
  <c r="E24"/>
  <c r="I19"/>
  <c r="G34"/>
  <c r="I40"/>
  <c r="I77" i="12"/>
  <c r="I79"/>
  <c r="I80"/>
  <c r="I69"/>
  <c r="I71"/>
  <c r="I75"/>
  <c r="I76"/>
  <c r="I78"/>
  <c r="I74"/>
  <c r="I70"/>
  <c r="I68"/>
  <c r="I72"/>
  <c r="G19" i="14"/>
  <c r="D60" i="1"/>
  <c r="G7"/>
  <c r="E12"/>
  <c r="P38"/>
  <c r="E53"/>
  <c r="E61" s="1"/>
  <c r="L65" i="58"/>
  <c r="M65" s="1"/>
  <c r="U55" i="1"/>
  <c r="AC55" s="1"/>
  <c r="P15"/>
  <c r="N65" i="58"/>
  <c r="P31" i="1"/>
  <c r="P30"/>
  <c r="Y60"/>
  <c r="AC60" s="1"/>
  <c r="P20"/>
  <c r="D21"/>
  <c r="C80"/>
  <c r="C82" s="1"/>
  <c r="C114" s="1"/>
  <c r="F5" i="93"/>
  <c r="F6"/>
  <c r="F7"/>
  <c r="F19"/>
  <c r="A25" i="12"/>
  <c r="A47" s="1"/>
  <c r="A68" s="1"/>
  <c r="A89"/>
  <c r="AC76" i="1"/>
  <c r="B25" i="12"/>
  <c r="B47" s="1"/>
  <c r="B68" s="1"/>
  <c r="B89"/>
  <c r="Q29" i="22"/>
  <c r="P40" i="1"/>
  <c r="G16" i="58"/>
  <c r="G87" s="1"/>
  <c r="G89" s="1"/>
  <c r="J87"/>
  <c r="M53" i="10" l="1"/>
  <c r="M54" s="1"/>
  <c r="M55"/>
  <c r="K17" i="1"/>
  <c r="Y17" s="1"/>
  <c r="X9"/>
  <c r="I18" s="1"/>
  <c r="V58" s="1"/>
  <c r="K28"/>
  <c r="K29"/>
  <c r="X69" s="1"/>
  <c r="J28" i="93"/>
  <c r="I28"/>
  <c r="G28"/>
  <c r="H28"/>
  <c r="AA47" i="1"/>
  <c r="AC47"/>
  <c r="AB47"/>
  <c r="L87" i="58"/>
  <c r="L111" s="1"/>
  <c r="Z80" i="1"/>
  <c r="X11"/>
  <c r="I103" i="12"/>
  <c r="I81"/>
  <c r="N10" i="22"/>
  <c r="H39" i="12"/>
  <c r="G27" i="24"/>
  <c r="H27" s="1"/>
  <c r="G28"/>
  <c r="H28" s="1"/>
  <c r="H24"/>
  <c r="F33" i="11"/>
  <c r="F35" s="1"/>
  <c r="F36" s="1"/>
  <c r="F171" s="1"/>
  <c r="F120"/>
  <c r="F170" s="1"/>
  <c r="E81" i="1"/>
  <c r="E83" s="1"/>
  <c r="E108" s="1"/>
  <c r="E116" s="1"/>
  <c r="AC80"/>
  <c r="G28" i="14"/>
  <c r="I28"/>
  <c r="J28"/>
  <c r="N28"/>
  <c r="P42" i="1"/>
  <c r="Z82"/>
  <c r="K40" i="14"/>
  <c r="P40" s="1"/>
  <c r="K19"/>
  <c r="P19" s="1"/>
  <c r="K34"/>
  <c r="P34" s="1"/>
  <c r="E11" i="21"/>
  <c r="E25" i="14"/>
  <c r="E31"/>
  <c r="M28"/>
  <c r="L28"/>
  <c r="J52" i="12"/>
  <c r="J55"/>
  <c r="J47"/>
  <c r="J57"/>
  <c r="J58"/>
  <c r="J59"/>
  <c r="J50"/>
  <c r="J48"/>
  <c r="J51"/>
  <c r="J60"/>
  <c r="J56"/>
  <c r="J54"/>
  <c r="J53"/>
  <c r="K11" i="55"/>
  <c r="L11"/>
  <c r="S11" s="1"/>
  <c r="G12" i="1"/>
  <c r="C8" i="22"/>
  <c r="O8" s="1"/>
  <c r="E8" s="1"/>
  <c r="P7" i="1"/>
  <c r="X58"/>
  <c r="P18"/>
  <c r="F30" i="93"/>
  <c r="M9" i="24"/>
  <c r="N9" s="1"/>
  <c r="M11" i="21"/>
  <c r="G111" i="58"/>
  <c r="J111" s="1"/>
  <c r="J89"/>
  <c r="X68" i="1" l="1"/>
  <c r="Y29"/>
  <c r="I29"/>
  <c r="I17"/>
  <c r="Y15" s="1"/>
  <c r="I28"/>
  <c r="P28" s="1"/>
  <c r="V57"/>
  <c r="M87" i="58"/>
  <c r="N87" s="1"/>
  <c r="L89"/>
  <c r="T8" i="22"/>
  <c r="M8"/>
  <c r="I28" i="12"/>
  <c r="I25"/>
  <c r="I32"/>
  <c r="I27"/>
  <c r="K13" i="55"/>
  <c r="R11"/>
  <c r="Y27" i="1"/>
  <c r="H12" i="93"/>
  <c r="H20"/>
  <c r="H21"/>
  <c r="H25"/>
  <c r="H8"/>
  <c r="H10"/>
  <c r="H16"/>
  <c r="H23"/>
  <c r="H24"/>
  <c r="H33" s="1"/>
  <c r="H18"/>
  <c r="H13"/>
  <c r="H17"/>
  <c r="H14"/>
  <c r="H15"/>
  <c r="H9"/>
  <c r="H22"/>
  <c r="H26"/>
  <c r="H6"/>
  <c r="H5"/>
  <c r="H30" s="1"/>
  <c r="H11"/>
  <c r="H19"/>
  <c r="H7"/>
  <c r="V69" i="1"/>
  <c r="AC69" s="1"/>
  <c r="P29"/>
  <c r="G12" i="93"/>
  <c r="G24"/>
  <c r="G33" s="1"/>
  <c r="G20"/>
  <c r="G8"/>
  <c r="G16"/>
  <c r="G9"/>
  <c r="G15"/>
  <c r="G21"/>
  <c r="G23"/>
  <c r="G13"/>
  <c r="G18"/>
  <c r="G14"/>
  <c r="G22"/>
  <c r="G26"/>
  <c r="G17"/>
  <c r="G25"/>
  <c r="G10"/>
  <c r="G11"/>
  <c r="G5"/>
  <c r="G30" s="1"/>
  <c r="G6"/>
  <c r="G19"/>
  <c r="G7"/>
  <c r="E86" i="1"/>
  <c r="I8" i="93"/>
  <c r="I9"/>
  <c r="I17"/>
  <c r="I20"/>
  <c r="I12"/>
  <c r="I16"/>
  <c r="I23"/>
  <c r="I22"/>
  <c r="I24"/>
  <c r="I25"/>
  <c r="I15"/>
  <c r="I13"/>
  <c r="I14"/>
  <c r="I18"/>
  <c r="I21"/>
  <c r="I10"/>
  <c r="I26"/>
  <c r="I33" s="1"/>
  <c r="I19"/>
  <c r="I7"/>
  <c r="I5"/>
  <c r="I30" s="1"/>
  <c r="I6"/>
  <c r="I11"/>
  <c r="D171" i="11"/>
  <c r="D172" s="1"/>
  <c r="D174" s="1"/>
  <c r="F6" i="24" s="1"/>
  <c r="I29" i="12"/>
  <c r="I30"/>
  <c r="I31"/>
  <c r="I34"/>
  <c r="I33"/>
  <c r="I26"/>
  <c r="F172" i="11"/>
  <c r="F174" s="1"/>
  <c r="G9" i="24" s="1"/>
  <c r="P17" i="1"/>
  <c r="K28" i="14"/>
  <c r="P28" s="1"/>
  <c r="AC82" i="1"/>
  <c r="AC88" s="1"/>
  <c r="Z88"/>
  <c r="J61" i="12"/>
  <c r="F55" i="10"/>
  <c r="H10" i="22" s="1"/>
  <c r="H55" i="10"/>
  <c r="J10" i="22" s="1"/>
  <c r="Q10" s="1"/>
  <c r="L55" i="10"/>
  <c r="M10" i="22" s="1"/>
  <c r="E10"/>
  <c r="G55" i="10"/>
  <c r="I10" i="22" s="1"/>
  <c r="E55" i="10"/>
  <c r="G10" i="22" s="1"/>
  <c r="I55" i="10"/>
  <c r="K10" i="22" s="1"/>
  <c r="R10" s="1"/>
  <c r="K55" i="10"/>
  <c r="L10" i="22" s="1"/>
  <c r="B55" i="10"/>
  <c r="M56" s="1"/>
  <c r="D55"/>
  <c r="F10" i="22" s="1"/>
  <c r="E35" i="14"/>
  <c r="E42" s="1"/>
  <c r="E44" s="1"/>
  <c r="E32"/>
  <c r="K29" i="22"/>
  <c r="L12" i="55"/>
  <c r="P48" i="1"/>
  <c r="G81"/>
  <c r="G83" s="1"/>
  <c r="P12"/>
  <c r="D5" i="20"/>
  <c r="M5" s="1"/>
  <c r="Y23" i="1"/>
  <c r="X57"/>
  <c r="AC58"/>
  <c r="O27" i="21"/>
  <c r="T27" s="1"/>
  <c r="N11"/>
  <c r="U11" s="1"/>
  <c r="E14" s="1"/>
  <c r="E15" s="1"/>
  <c r="O11"/>
  <c r="S12" i="55" l="1"/>
  <c r="I39" i="12"/>
  <c r="V68" i="1"/>
  <c r="AC68" s="1"/>
  <c r="AC57"/>
  <c r="S55" i="10"/>
  <c r="N14" i="21"/>
  <c r="L14"/>
  <c r="H14"/>
  <c r="G14"/>
  <c r="I14"/>
  <c r="F14"/>
  <c r="M14"/>
  <c r="O10" i="22"/>
  <c r="T10" s="1"/>
  <c r="Y34" i="1"/>
  <c r="Z27" s="1"/>
  <c r="F10" i="24"/>
  <c r="F9"/>
  <c r="H9" s="1"/>
  <c r="R13" i="55"/>
  <c r="R15" s="1"/>
  <c r="K15"/>
  <c r="K39" i="12"/>
  <c r="B174" i="11"/>
  <c r="G10" i="24"/>
  <c r="G6"/>
  <c r="H6" s="1"/>
  <c r="Z14" i="1"/>
  <c r="AD14" s="1"/>
  <c r="Z15"/>
  <c r="AD15" s="1"/>
  <c r="Z20"/>
  <c r="AD20" s="1"/>
  <c r="Z21"/>
  <c r="AD21" s="1"/>
  <c r="Z16"/>
  <c r="AD16" s="1"/>
  <c r="Z19"/>
  <c r="AD19" s="1"/>
  <c r="Z17"/>
  <c r="AD17" s="1"/>
  <c r="Z18"/>
  <c r="AD18" s="1"/>
  <c r="R29" i="22"/>
  <c r="AE86" i="1"/>
  <c r="M10" i="24"/>
  <c r="N10" s="1"/>
  <c r="L13" i="55"/>
  <c r="D15" i="20"/>
  <c r="D41" i="24"/>
  <c r="G41" s="1"/>
  <c r="T11" i="21"/>
  <c r="H10" i="24" l="1"/>
  <c r="N15" i="21"/>
  <c r="O38" i="55" s="1"/>
  <c r="S13"/>
  <c r="S15" s="1"/>
  <c r="L15"/>
  <c r="Z29" i="1"/>
  <c r="Z26"/>
  <c r="Z30"/>
  <c r="Z31"/>
  <c r="Z28"/>
  <c r="Z33"/>
  <c r="AC27"/>
  <c r="I33" s="1"/>
  <c r="V73" s="1"/>
  <c r="AB27"/>
  <c r="I26" s="1"/>
  <c r="D17" i="20"/>
  <c r="AC15" i="1"/>
  <c r="I22" s="1"/>
  <c r="AB15"/>
  <c r="I14" s="1"/>
  <c r="AB14"/>
  <c r="H14" s="1"/>
  <c r="Z23"/>
  <c r="AC14"/>
  <c r="H22" s="1"/>
  <c r="E9" i="23"/>
  <c r="I9" s="1"/>
  <c r="H41" i="24"/>
  <c r="H48" s="1"/>
  <c r="AB18" i="1"/>
  <c r="L14" s="1"/>
  <c r="AC18"/>
  <c r="AB19"/>
  <c r="AC19"/>
  <c r="M22" s="1"/>
  <c r="Z62" s="1"/>
  <c r="AC20"/>
  <c r="AB20"/>
  <c r="N14" s="1"/>
  <c r="AB16"/>
  <c r="J14" s="1"/>
  <c r="AC16"/>
  <c r="J22" s="1"/>
  <c r="AC17"/>
  <c r="K22" s="1"/>
  <c r="AB17"/>
  <c r="K14" s="1"/>
  <c r="AC21"/>
  <c r="AB21"/>
  <c r="O14" s="1"/>
  <c r="Q38" i="55"/>
  <c r="G15" i="21"/>
  <c r="H38" i="55" s="1"/>
  <c r="L15" i="21"/>
  <c r="M38" i="55" s="1"/>
  <c r="I15" i="21"/>
  <c r="J38" i="55" s="1"/>
  <c r="H15" i="21"/>
  <c r="I38" i="55" s="1"/>
  <c r="F15" i="21"/>
  <c r="M15"/>
  <c r="N38" i="55" s="1"/>
  <c r="G38" l="1"/>
  <c r="AC33" i="1"/>
  <c r="O33" s="1"/>
  <c r="AB73" s="1"/>
  <c r="AB33"/>
  <c r="O26" s="1"/>
  <c r="AC26"/>
  <c r="Z34"/>
  <c r="AB26"/>
  <c r="H26" s="1"/>
  <c r="AC28"/>
  <c r="J33" s="1"/>
  <c r="W73" s="1"/>
  <c r="AB28"/>
  <c r="J26" s="1"/>
  <c r="AC29"/>
  <c r="K33" s="1"/>
  <c r="X73" s="1"/>
  <c r="AB29"/>
  <c r="K26" s="1"/>
  <c r="V66"/>
  <c r="V74" s="1"/>
  <c r="I34"/>
  <c r="F7" i="20" s="1"/>
  <c r="D8" i="24" s="1"/>
  <c r="AC31" i="1"/>
  <c r="M33" s="1"/>
  <c r="AB31"/>
  <c r="N26" s="1"/>
  <c r="AC30"/>
  <c r="L33" s="1"/>
  <c r="Y73" s="1"/>
  <c r="AB30"/>
  <c r="L26" s="1"/>
  <c r="O15" i="21"/>
  <c r="P38" i="55" s="1"/>
  <c r="O14" i="21"/>
  <c r="J15"/>
  <c r="Q14"/>
  <c r="K15"/>
  <c r="R14"/>
  <c r="O22" i="1"/>
  <c r="AB62" s="1"/>
  <c r="X62"/>
  <c r="N22"/>
  <c r="AA62" s="1"/>
  <c r="V62"/>
  <c r="L22"/>
  <c r="Y62" s="1"/>
  <c r="W54"/>
  <c r="M14"/>
  <c r="AB54"/>
  <c r="O24"/>
  <c r="L6" i="20" s="1"/>
  <c r="M25" i="24" s="1"/>
  <c r="AC24" i="1"/>
  <c r="AB24"/>
  <c r="V54"/>
  <c r="AG19"/>
  <c r="AA54"/>
  <c r="Y54"/>
  <c r="K24"/>
  <c r="H6" i="20" s="1"/>
  <c r="K7" i="24" s="1"/>
  <c r="X54" i="1"/>
  <c r="W62"/>
  <c r="I24"/>
  <c r="F6" i="20" s="1"/>
  <c r="D7" i="24" s="1"/>
  <c r="F38" i="55"/>
  <c r="V15" i="21" l="1"/>
  <c r="T14"/>
  <c r="Y64" i="1"/>
  <c r="N24"/>
  <c r="K6" i="20" s="1"/>
  <c r="L25" i="24" s="1"/>
  <c r="Z73" i="1"/>
  <c r="Z74" s="1"/>
  <c r="M34"/>
  <c r="J7" i="20" s="1"/>
  <c r="M8" i="24" s="1"/>
  <c r="Y66" i="1"/>
  <c r="Y74" s="1"/>
  <c r="L34"/>
  <c r="I7" i="20" s="1"/>
  <c r="L8" i="24" s="1"/>
  <c r="F8"/>
  <c r="G8"/>
  <c r="W66" i="1"/>
  <c r="W74" s="1"/>
  <c r="J34"/>
  <c r="G7" i="20" s="1"/>
  <c r="D26" i="24" s="1"/>
  <c r="H33" i="1"/>
  <c r="H34" s="1"/>
  <c r="E7" i="20" s="1"/>
  <c r="AC34" i="1"/>
  <c r="AB66"/>
  <c r="AB74" s="1"/>
  <c r="O34"/>
  <c r="L7" i="20" s="1"/>
  <c r="M26" i="24" s="1"/>
  <c r="AA66" i="1"/>
  <c r="AA74" s="1"/>
  <c r="N34"/>
  <c r="K7" i="20" s="1"/>
  <c r="L26" i="24" s="1"/>
  <c r="X66" i="1"/>
  <c r="X74" s="1"/>
  <c r="K34"/>
  <c r="H7" i="20" s="1"/>
  <c r="K8" i="24" s="1"/>
  <c r="U66" i="1"/>
  <c r="P26"/>
  <c r="L38" i="55"/>
  <c r="R15" i="21"/>
  <c r="S38" i="55" s="1"/>
  <c r="K38"/>
  <c r="Q15" i="21"/>
  <c r="R38" i="55" s="1"/>
  <c r="L24" i="1"/>
  <c r="I6" i="20" s="1"/>
  <c r="L7" i="24" s="1"/>
  <c r="V64" i="1"/>
  <c r="V90" s="1"/>
  <c r="X64"/>
  <c r="AA64"/>
  <c r="AB64"/>
  <c r="AB90" s="1"/>
  <c r="M24"/>
  <c r="J6" i="20" s="1"/>
  <c r="M7" i="24" s="1"/>
  <c r="Z54" i="1"/>
  <c r="P22"/>
  <c r="U62"/>
  <c r="AC62" s="1"/>
  <c r="F7" i="24"/>
  <c r="G7"/>
  <c r="P23" i="1"/>
  <c r="W61"/>
  <c r="W64" s="1"/>
  <c r="P21"/>
  <c r="H24"/>
  <c r="E6" i="20" s="1"/>
  <c r="U54" i="1"/>
  <c r="P14"/>
  <c r="Y90" l="1"/>
  <c r="X90"/>
  <c r="N8" i="24"/>
  <c r="AA90" i="1"/>
  <c r="H8" i="24"/>
  <c r="M7" i="20"/>
  <c r="K26" i="24"/>
  <c r="F26"/>
  <c r="G26"/>
  <c r="AC66" i="1"/>
  <c r="U73"/>
  <c r="AC73" s="1"/>
  <c r="P33"/>
  <c r="P34" s="1"/>
  <c r="N7" i="24"/>
  <c r="U64" i="1"/>
  <c r="Z64"/>
  <c r="Z90" s="1"/>
  <c r="J24"/>
  <c r="G6" i="20" s="1"/>
  <c r="D25" i="24" s="1"/>
  <c r="G25" s="1"/>
  <c r="K25"/>
  <c r="AC61" i="1"/>
  <c r="W90"/>
  <c r="P24"/>
  <c r="H7" i="24"/>
  <c r="AC54" i="1"/>
  <c r="AC64" s="1"/>
  <c r="U74" l="1"/>
  <c r="AC74" s="1"/>
  <c r="AC90" s="1"/>
  <c r="AA91" s="1"/>
  <c r="H26" i="24"/>
  <c r="M6" i="20"/>
  <c r="F25" i="24"/>
  <c r="H25" s="1"/>
  <c r="U90" i="1" l="1"/>
  <c r="U91" s="1"/>
  <c r="H53" s="1"/>
  <c r="N55"/>
  <c r="N53"/>
  <c r="N59"/>
  <c r="X91"/>
  <c r="K57" s="1"/>
  <c r="Y91"/>
  <c r="Z91"/>
  <c r="W91"/>
  <c r="AB91"/>
  <c r="V91"/>
  <c r="N51"/>
  <c r="N52"/>
  <c r="N56"/>
  <c r="N58"/>
  <c r="N54"/>
  <c r="M21" i="14"/>
  <c r="N57" i="1"/>
  <c r="N50"/>
  <c r="AE88" l="1"/>
  <c r="AE90" s="1"/>
  <c r="O59"/>
  <c r="O55"/>
  <c r="O53"/>
  <c r="M57"/>
  <c r="M59"/>
  <c r="M55"/>
  <c r="M53"/>
  <c r="K51"/>
  <c r="K59"/>
  <c r="K55"/>
  <c r="K53"/>
  <c r="I50"/>
  <c r="I59"/>
  <c r="I55"/>
  <c r="I53"/>
  <c r="J55"/>
  <c r="J53"/>
  <c r="J59"/>
  <c r="L50"/>
  <c r="L55"/>
  <c r="L53"/>
  <c r="L59"/>
  <c r="O50"/>
  <c r="O56"/>
  <c r="M51"/>
  <c r="K56"/>
  <c r="M56"/>
  <c r="M50"/>
  <c r="M54"/>
  <c r="K58"/>
  <c r="K54"/>
  <c r="M52"/>
  <c r="M58"/>
  <c r="L21" i="14"/>
  <c r="L22" s="1"/>
  <c r="K50" i="1"/>
  <c r="K52"/>
  <c r="J21" i="14"/>
  <c r="J22" s="1"/>
  <c r="O52" i="1"/>
  <c r="L54"/>
  <c r="L56"/>
  <c r="I57"/>
  <c r="L52"/>
  <c r="K21" i="14"/>
  <c r="K22" s="1"/>
  <c r="J51" i="1"/>
  <c r="L51"/>
  <c r="L57"/>
  <c r="L58"/>
  <c r="H21" i="14"/>
  <c r="H24" s="1"/>
  <c r="H25" s="1"/>
  <c r="J50" i="1"/>
  <c r="I51"/>
  <c r="I54"/>
  <c r="I58"/>
  <c r="J56"/>
  <c r="I21" i="14"/>
  <c r="I24" s="1"/>
  <c r="I25" s="1"/>
  <c r="I56" i="1"/>
  <c r="I52"/>
  <c r="J58"/>
  <c r="J57"/>
  <c r="J54"/>
  <c r="J52"/>
  <c r="O51"/>
  <c r="O54"/>
  <c r="O57"/>
  <c r="N21" i="14"/>
  <c r="N24" s="1"/>
  <c r="O58" i="1"/>
  <c r="AE89"/>
  <c r="H55"/>
  <c r="H52"/>
  <c r="H56"/>
  <c r="H54"/>
  <c r="H59"/>
  <c r="H57"/>
  <c r="H50"/>
  <c r="H58"/>
  <c r="G21" i="14"/>
  <c r="H51" i="1"/>
  <c r="AC91"/>
  <c r="M24" i="14"/>
  <c r="M25" s="1"/>
  <c r="M22"/>
  <c r="P53" i="1" l="1"/>
  <c r="P56"/>
  <c r="J24" i="14"/>
  <c r="J25" s="1"/>
  <c r="L24"/>
  <c r="L25" s="1"/>
  <c r="K24"/>
  <c r="K25" s="1"/>
  <c r="H22"/>
  <c r="N22"/>
  <c r="P51" i="1"/>
  <c r="P58"/>
  <c r="P57"/>
  <c r="P54"/>
  <c r="P52"/>
  <c r="I22" i="14"/>
  <c r="P50" i="1"/>
  <c r="P59"/>
  <c r="P55"/>
  <c r="K60"/>
  <c r="K61" s="1"/>
  <c r="H10" i="20" s="1"/>
  <c r="K11" i="24" s="1"/>
  <c r="J29" i="14"/>
  <c r="L29"/>
  <c r="M60" i="1"/>
  <c r="M61" s="1"/>
  <c r="J10" i="20" s="1"/>
  <c r="M11" i="24" s="1"/>
  <c r="N29" i="14"/>
  <c r="N31" s="1"/>
  <c r="L60" i="1"/>
  <c r="L61" s="1"/>
  <c r="I10" i="20" s="1"/>
  <c r="L11" i="24" s="1"/>
  <c r="K29" i="14"/>
  <c r="K31" s="1"/>
  <c r="N60" i="1"/>
  <c r="N61" s="1"/>
  <c r="K10" i="20" s="1"/>
  <c r="L29" i="24" s="1"/>
  <c r="M29" i="14"/>
  <c r="M31" s="1"/>
  <c r="N25"/>
  <c r="G22"/>
  <c r="G24"/>
  <c r="P21"/>
  <c r="L31" l="1"/>
  <c r="L32" s="1"/>
  <c r="I29"/>
  <c r="I31" s="1"/>
  <c r="I32" s="1"/>
  <c r="J31"/>
  <c r="J35" s="1"/>
  <c r="I60" i="1"/>
  <c r="I61" s="1"/>
  <c r="F10" i="20" s="1"/>
  <c r="D11" i="24" s="1"/>
  <c r="F11" s="1"/>
  <c r="H29" i="14"/>
  <c r="H31" s="1"/>
  <c r="H35" s="1"/>
  <c r="O60" i="1"/>
  <c r="O61" s="1"/>
  <c r="L10" i="20" s="1"/>
  <c r="M29" i="24" s="1"/>
  <c r="J60" i="1"/>
  <c r="J61" s="1"/>
  <c r="G10" i="20" s="1"/>
  <c r="D29" i="24" s="1"/>
  <c r="G29" s="1"/>
  <c r="P24" i="14"/>
  <c r="G25"/>
  <c r="P25" s="1"/>
  <c r="K32"/>
  <c r="K35"/>
  <c r="N11" i="24"/>
  <c r="G29" i="14"/>
  <c r="H60" i="1"/>
  <c r="P22" i="14"/>
  <c r="N32"/>
  <c r="N35"/>
  <c r="L35"/>
  <c r="M35"/>
  <c r="M32"/>
  <c r="L65" i="1" l="1"/>
  <c r="L63"/>
  <c r="L66" s="1"/>
  <c r="I11" i="20" s="1"/>
  <c r="L12" i="24" s="1"/>
  <c r="L64" i="1"/>
  <c r="N65"/>
  <c r="N63"/>
  <c r="N64"/>
  <c r="O63"/>
  <c r="O64"/>
  <c r="O65"/>
  <c r="M65"/>
  <c r="M63"/>
  <c r="M64"/>
  <c r="J65"/>
  <c r="J63"/>
  <c r="J66" s="1"/>
  <c r="G11" i="20" s="1"/>
  <c r="D30" i="24" s="1"/>
  <c r="G30" s="1"/>
  <c r="J64" i="1"/>
  <c r="H32" i="14"/>
  <c r="J32"/>
  <c r="I35"/>
  <c r="I39" s="1"/>
  <c r="G11" i="24"/>
  <c r="H11" s="1"/>
  <c r="O66" i="1"/>
  <c r="L11" i="20" s="1"/>
  <c r="M30" i="24" s="1"/>
  <c r="F29"/>
  <c r="H29" s="1"/>
  <c r="M38" i="14"/>
  <c r="M37"/>
  <c r="M39"/>
  <c r="L37"/>
  <c r="L39"/>
  <c r="L38"/>
  <c r="P29"/>
  <c r="Q29" s="1"/>
  <c r="R30" s="1"/>
  <c r="G31"/>
  <c r="J37"/>
  <c r="J38"/>
  <c r="J39"/>
  <c r="N39"/>
  <c r="N37"/>
  <c r="N38"/>
  <c r="P60" i="1"/>
  <c r="P61" s="1"/>
  <c r="H61"/>
  <c r="E10" i="20" s="1"/>
  <c r="M10" s="1"/>
  <c r="K39" i="14"/>
  <c r="K38"/>
  <c r="K37"/>
  <c r="H39"/>
  <c r="H37"/>
  <c r="H38"/>
  <c r="K65" i="1" l="1"/>
  <c r="K63"/>
  <c r="K64"/>
  <c r="M66"/>
  <c r="J11" i="20" s="1"/>
  <c r="M12" i="24" s="1"/>
  <c r="N66" i="1"/>
  <c r="K11" i="20" s="1"/>
  <c r="L30" i="24" s="1"/>
  <c r="I65" i="1"/>
  <c r="I64"/>
  <c r="I63"/>
  <c r="I66" s="1"/>
  <c r="F11" i="20" s="1"/>
  <c r="D12" i="24" s="1"/>
  <c r="G12" s="1"/>
  <c r="I37" i="14"/>
  <c r="I38"/>
  <c r="F30" i="24"/>
  <c r="H30" s="1"/>
  <c r="N42" i="14"/>
  <c r="N44" s="1"/>
  <c r="O76" i="1" s="1"/>
  <c r="L13" i="20" s="1"/>
  <c r="M32" i="24" s="1"/>
  <c r="J42" i="14"/>
  <c r="H42"/>
  <c r="K42"/>
  <c r="L42"/>
  <c r="M42"/>
  <c r="K29" i="24"/>
  <c r="P31" i="14"/>
  <c r="G32"/>
  <c r="G35"/>
  <c r="F12" i="24" l="1"/>
  <c r="K66" i="1"/>
  <c r="H11" i="20" s="1"/>
  <c r="K12" i="24" s="1"/>
  <c r="P32" i="14"/>
  <c r="H63" i="1"/>
  <c r="H65"/>
  <c r="P65" s="1"/>
  <c r="H64"/>
  <c r="P64" s="1"/>
  <c r="I42" i="14"/>
  <c r="N12" i="24"/>
  <c r="K44" i="14"/>
  <c r="L76" i="1" s="1"/>
  <c r="I13" i="20" s="1"/>
  <c r="L14" i="24" s="1"/>
  <c r="E57" i="14"/>
  <c r="G57" s="1"/>
  <c r="I44"/>
  <c r="J82" i="1" s="1"/>
  <c r="E55" i="14"/>
  <c r="M44"/>
  <c r="N79" i="1" s="1"/>
  <c r="K14" i="20" s="1"/>
  <c r="L33" i="24" s="1"/>
  <c r="E59" i="14"/>
  <c r="J59" s="1"/>
  <c r="H80" s="1"/>
  <c r="M101" s="1"/>
  <c r="N101" s="1"/>
  <c r="H44"/>
  <c r="I71" i="1" s="1"/>
  <c r="E54" i="14"/>
  <c r="G54" s="1"/>
  <c r="H73" s="1"/>
  <c r="L44"/>
  <c r="M82" i="1" s="1"/>
  <c r="J16" i="20" s="1"/>
  <c r="M17" i="24" s="1"/>
  <c r="E58" i="14"/>
  <c r="G58" s="1"/>
  <c r="J44"/>
  <c r="K71" i="1" s="1"/>
  <c r="H12" i="20" s="1"/>
  <c r="E56" i="14"/>
  <c r="G56" s="1"/>
  <c r="H12" i="24"/>
  <c r="O82" i="1"/>
  <c r="L16" i="20" s="1"/>
  <c r="M35" i="24" s="1"/>
  <c r="O79" i="1"/>
  <c r="L14" i="20" s="1"/>
  <c r="M33" i="24" s="1"/>
  <c r="O71" i="1"/>
  <c r="G38" i="14"/>
  <c r="P38" s="1"/>
  <c r="G39"/>
  <c r="P39" s="1"/>
  <c r="P35"/>
  <c r="G37"/>
  <c r="M76" i="1"/>
  <c r="J13" i="20" s="1"/>
  <c r="M14" i="24" s="1"/>
  <c r="M79" i="1"/>
  <c r="J14" i="20" s="1"/>
  <c r="M15" i="24" s="1"/>
  <c r="M71" i="1"/>
  <c r="N71"/>
  <c r="N76"/>
  <c r="K13" i="20" s="1"/>
  <c r="L32" i="24" s="1"/>
  <c r="N82" i="1"/>
  <c r="K16" i="20" s="1"/>
  <c r="L35" i="24" s="1"/>
  <c r="L79" i="1"/>
  <c r="I14" i="20" s="1"/>
  <c r="L15" i="24" s="1"/>
  <c r="L71" i="1"/>
  <c r="L82"/>
  <c r="I16" i="20" s="1"/>
  <c r="L17" i="24" s="1"/>
  <c r="P63" i="1" l="1"/>
  <c r="P66" s="1"/>
  <c r="H66"/>
  <c r="E11" i="20" s="1"/>
  <c r="K82" i="1"/>
  <c r="H16" i="20" s="1"/>
  <c r="K17" i="24" s="1"/>
  <c r="N17" s="1"/>
  <c r="L73" i="14"/>
  <c r="J94"/>
  <c r="J73"/>
  <c r="L94"/>
  <c r="K73"/>
  <c r="M94"/>
  <c r="M73"/>
  <c r="K94"/>
  <c r="N73"/>
  <c r="I94"/>
  <c r="K58"/>
  <c r="H79"/>
  <c r="K57"/>
  <c r="H78"/>
  <c r="K56"/>
  <c r="H77"/>
  <c r="J76" i="1"/>
  <c r="G13" i="20" s="1"/>
  <c r="D32" i="24" s="1"/>
  <c r="K79" i="1"/>
  <c r="H14" i="20" s="1"/>
  <c r="K15" i="24" s="1"/>
  <c r="J71" i="1"/>
  <c r="I79"/>
  <c r="F14" i="20" s="1"/>
  <c r="D15" i="24" s="1"/>
  <c r="G15" s="1"/>
  <c r="I76" i="1"/>
  <c r="F13" i="20" s="1"/>
  <c r="D14" i="24" s="1"/>
  <c r="F14" s="1"/>
  <c r="H54" i="14"/>
  <c r="I82" i="1"/>
  <c r="F16" i="20" s="1"/>
  <c r="D17" i="24" s="1"/>
  <c r="G17" s="1"/>
  <c r="J79" i="1"/>
  <c r="G14" i="20" s="1"/>
  <c r="D33" i="24" s="1"/>
  <c r="K76" i="1"/>
  <c r="H13" i="20" s="1"/>
  <c r="K14" i="24" s="1"/>
  <c r="N14" s="1"/>
  <c r="J60" i="14"/>
  <c r="K59"/>
  <c r="G55"/>
  <c r="H75" s="1"/>
  <c r="N15" i="24"/>
  <c r="O81" i="1"/>
  <c r="O83" s="1"/>
  <c r="O92" s="1"/>
  <c r="L12" i="20"/>
  <c r="F33" i="24"/>
  <c r="G33"/>
  <c r="F32"/>
  <c r="G32"/>
  <c r="G16" i="20"/>
  <c r="D35" i="24" s="1"/>
  <c r="L81" i="1"/>
  <c r="L83" s="1"/>
  <c r="L92" s="1"/>
  <c r="I12" i="20"/>
  <c r="K12"/>
  <c r="N81" i="1"/>
  <c r="N83" s="1"/>
  <c r="N92" s="1"/>
  <c r="K13" i="24"/>
  <c r="F12" i="20"/>
  <c r="J12"/>
  <c r="M81" i="1"/>
  <c r="M83" s="1"/>
  <c r="M92" s="1"/>
  <c r="P37" i="14"/>
  <c r="G42"/>
  <c r="E53" s="1"/>
  <c r="K30" i="24" l="1"/>
  <c r="M11" i="20"/>
  <c r="J81" i="1"/>
  <c r="J83" s="1"/>
  <c r="J92" s="1"/>
  <c r="G60" i="14"/>
  <c r="H55"/>
  <c r="H76" s="1"/>
  <c r="M97" s="1"/>
  <c r="J99"/>
  <c r="M78"/>
  <c r="M99"/>
  <c r="I99"/>
  <c r="L78"/>
  <c r="L99"/>
  <c r="K78"/>
  <c r="J78"/>
  <c r="K99"/>
  <c r="N78"/>
  <c r="K81" i="1"/>
  <c r="K83" s="1"/>
  <c r="K92" s="1"/>
  <c r="I98" i="14"/>
  <c r="K77"/>
  <c r="L98"/>
  <c r="N77"/>
  <c r="J77"/>
  <c r="K98"/>
  <c r="M77"/>
  <c r="M98"/>
  <c r="J98"/>
  <c r="L77"/>
  <c r="K100"/>
  <c r="N79"/>
  <c r="J79"/>
  <c r="J100"/>
  <c r="M79"/>
  <c r="M100"/>
  <c r="I100"/>
  <c r="L79"/>
  <c r="L100"/>
  <c r="K79"/>
  <c r="N94"/>
  <c r="K96"/>
  <c r="M75"/>
  <c r="M96"/>
  <c r="J96"/>
  <c r="L75"/>
  <c r="I96"/>
  <c r="K75"/>
  <c r="L96"/>
  <c r="N75"/>
  <c r="J75"/>
  <c r="G12" i="20"/>
  <c r="D31" i="24" s="1"/>
  <c r="F17"/>
  <c r="H17" s="1"/>
  <c r="K54" i="14"/>
  <c r="H74"/>
  <c r="F15" i="24"/>
  <c r="H15" s="1"/>
  <c r="I81" i="1"/>
  <c r="I83" s="1"/>
  <c r="I92" s="1"/>
  <c r="G14" i="24"/>
  <c r="H14" s="1"/>
  <c r="H53" i="14"/>
  <c r="H72" s="1"/>
  <c r="E60"/>
  <c r="H15" i="20"/>
  <c r="H17" s="1"/>
  <c r="K18" i="24" s="1"/>
  <c r="D13" i="23" s="1"/>
  <c r="C16" i="22" s="1"/>
  <c r="L15" i="20"/>
  <c r="L17" s="1"/>
  <c r="M31" i="24"/>
  <c r="M34" s="1"/>
  <c r="M36" s="1"/>
  <c r="H17" i="23" s="1"/>
  <c r="H32" i="24"/>
  <c r="H33"/>
  <c r="G35"/>
  <c r="F35"/>
  <c r="J15" i="20"/>
  <c r="M13" i="24"/>
  <c r="D13"/>
  <c r="F15" i="20"/>
  <c r="L31" i="24"/>
  <c r="L34" s="1"/>
  <c r="L36" s="1"/>
  <c r="K15" i="20"/>
  <c r="K17" s="1"/>
  <c r="G44" i="14"/>
  <c r="P42"/>
  <c r="I15" i="20"/>
  <c r="L13" i="24"/>
  <c r="N100" i="14" l="1"/>
  <c r="N99"/>
  <c r="I97"/>
  <c r="K97"/>
  <c r="K76"/>
  <c r="J76"/>
  <c r="K55"/>
  <c r="J97"/>
  <c r="M76"/>
  <c r="L76"/>
  <c r="N76"/>
  <c r="L97"/>
  <c r="N98"/>
  <c r="G15" i="20"/>
  <c r="D34" i="24" s="1"/>
  <c r="K95" i="14"/>
  <c r="I95"/>
  <c r="K74"/>
  <c r="M95"/>
  <c r="N74"/>
  <c r="J74"/>
  <c r="L95"/>
  <c r="M74"/>
  <c r="J95"/>
  <c r="L74"/>
  <c r="N96"/>
  <c r="M72"/>
  <c r="M81" s="1"/>
  <c r="K93"/>
  <c r="R72"/>
  <c r="R81" s="1"/>
  <c r="K72"/>
  <c r="K81" s="1"/>
  <c r="M93"/>
  <c r="M102" s="1"/>
  <c r="J93"/>
  <c r="U72"/>
  <c r="U81" s="1"/>
  <c r="J72"/>
  <c r="N72"/>
  <c r="L93"/>
  <c r="S81"/>
  <c r="H81"/>
  <c r="I93"/>
  <c r="T81"/>
  <c r="L72"/>
  <c r="N13" i="24"/>
  <c r="K16"/>
  <c r="H60" i="14"/>
  <c r="K53"/>
  <c r="I13" i="23"/>
  <c r="H18"/>
  <c r="H35" i="24"/>
  <c r="G31"/>
  <c r="F31"/>
  <c r="G17" i="20"/>
  <c r="F17"/>
  <c r="D16" i="24"/>
  <c r="L16"/>
  <c r="I17" i="20"/>
  <c r="L18" i="24" s="1"/>
  <c r="H82" i="1"/>
  <c r="H79"/>
  <c r="P44" i="14"/>
  <c r="H76" i="1"/>
  <c r="H71"/>
  <c r="H50" i="24"/>
  <c r="G17" i="23"/>
  <c r="F13" i="24"/>
  <c r="G13"/>
  <c r="J17" i="20"/>
  <c r="M18" i="24" s="1"/>
  <c r="D16" i="23" s="1"/>
  <c r="M16" i="24"/>
  <c r="N16" i="22"/>
  <c r="O27" i="55" s="1"/>
  <c r="M16" i="22"/>
  <c r="N27" i="55" s="1"/>
  <c r="H16" i="22"/>
  <c r="I27" i="55" s="1"/>
  <c r="E16" i="22"/>
  <c r="I16"/>
  <c r="J27" i="55" s="1"/>
  <c r="K16" i="22"/>
  <c r="L16"/>
  <c r="M27" i="55" s="1"/>
  <c r="F16" i="22"/>
  <c r="G27" i="55" s="1"/>
  <c r="G16" i="22"/>
  <c r="H27" i="55" s="1"/>
  <c r="J16" i="22"/>
  <c r="L81" i="14" l="1"/>
  <c r="N97"/>
  <c r="J102"/>
  <c r="J104" s="1"/>
  <c r="K102"/>
  <c r="K104" s="1"/>
  <c r="K60"/>
  <c r="M104"/>
  <c r="L83"/>
  <c r="M83"/>
  <c r="K83"/>
  <c r="N95"/>
  <c r="L102"/>
  <c r="L104" s="1"/>
  <c r="I102"/>
  <c r="I104" s="1"/>
  <c r="N93"/>
  <c r="N81"/>
  <c r="J81"/>
  <c r="J83" s="1"/>
  <c r="O16" i="22"/>
  <c r="K27" i="55"/>
  <c r="R27" s="1"/>
  <c r="Q16" i="22"/>
  <c r="L27" i="55"/>
  <c r="S27" s="1"/>
  <c r="R16" i="22"/>
  <c r="K30"/>
  <c r="L31" i="55"/>
  <c r="S31" s="1"/>
  <c r="H13" i="24"/>
  <c r="H31"/>
  <c r="G34"/>
  <c r="G36" s="1"/>
  <c r="E12" i="23" s="1"/>
  <c r="C15" i="22" s="1"/>
  <c r="F34" i="24"/>
  <c r="D36"/>
  <c r="G18" i="23"/>
  <c r="I17"/>
  <c r="C20" i="22" s="1"/>
  <c r="N20" s="1"/>
  <c r="O20" s="1"/>
  <c r="P71" i="1"/>
  <c r="E12" i="20"/>
  <c r="M12" s="1"/>
  <c r="H81" i="1"/>
  <c r="H83" s="1"/>
  <c r="E16" i="20"/>
  <c r="M16" s="1"/>
  <c r="P82" i="1"/>
  <c r="N16" i="24"/>
  <c r="I16" i="23"/>
  <c r="C19" i="22"/>
  <c r="P76" i="1"/>
  <c r="E13" i="20"/>
  <c r="M13" s="1"/>
  <c r="E14"/>
  <c r="M14" s="1"/>
  <c r="P79" i="1"/>
  <c r="D14" i="23"/>
  <c r="N18" i="24"/>
  <c r="H49" s="1"/>
  <c r="G16"/>
  <c r="G18" s="1"/>
  <c r="E11" i="23" s="1"/>
  <c r="C13" i="22" s="1"/>
  <c r="E13" s="1"/>
  <c r="F16" i="24"/>
  <c r="D18"/>
  <c r="F27" i="55"/>
  <c r="P27" s="1"/>
  <c r="K44" i="22" l="1"/>
  <c r="K42"/>
  <c r="N83" i="14"/>
  <c r="V81"/>
  <c r="N102"/>
  <c r="N104" s="1"/>
  <c r="E15" i="22"/>
  <c r="M15"/>
  <c r="N21" i="55" s="1"/>
  <c r="L15" i="22"/>
  <c r="G15"/>
  <c r="H21" i="55" s="1"/>
  <c r="I15" i="22"/>
  <c r="J21" i="55" s="1"/>
  <c r="K15" i="22"/>
  <c r="N15"/>
  <c r="O21" i="55" s="1"/>
  <c r="F15" i="22"/>
  <c r="G21" i="55" s="1"/>
  <c r="H15" i="22"/>
  <c r="I21" i="55" s="1"/>
  <c r="J15" i="22"/>
  <c r="Q15" s="1"/>
  <c r="T16"/>
  <c r="U27" i="55"/>
  <c r="N13" i="22"/>
  <c r="O20" i="55" s="1"/>
  <c r="L13" i="22"/>
  <c r="M20" i="55" s="1"/>
  <c r="J13" i="22"/>
  <c r="Q13" s="1"/>
  <c r="H13"/>
  <c r="I20" i="55" s="1"/>
  <c r="F13" i="22"/>
  <c r="G20" i="55" s="1"/>
  <c r="M13" i="22"/>
  <c r="N20" i="55" s="1"/>
  <c r="K13" i="22"/>
  <c r="R13" s="1"/>
  <c r="I13"/>
  <c r="J20" i="55" s="1"/>
  <c r="G13" i="22"/>
  <c r="H20" i="55" s="1"/>
  <c r="R15" i="22"/>
  <c r="M21" i="55"/>
  <c r="U15" i="22"/>
  <c r="F36" i="24"/>
  <c r="H34"/>
  <c r="H16"/>
  <c r="F18"/>
  <c r="K32"/>
  <c r="G19" i="22"/>
  <c r="H30" i="55" s="1"/>
  <c r="F19" i="22"/>
  <c r="G30" i="55" s="1"/>
  <c r="L19" i="22"/>
  <c r="M30" i="55" s="1"/>
  <c r="N19" i="22"/>
  <c r="O30" i="55" s="1"/>
  <c r="E19" i="22"/>
  <c r="H19"/>
  <c r="I30" i="55" s="1"/>
  <c r="I19" i="22"/>
  <c r="J30" i="55" s="1"/>
  <c r="K19" i="22"/>
  <c r="M19"/>
  <c r="N30" i="55" s="1"/>
  <c r="J19" i="22"/>
  <c r="K35" i="24"/>
  <c r="K31"/>
  <c r="E15" i="20"/>
  <c r="M15" s="1"/>
  <c r="C30" i="22"/>
  <c r="C17"/>
  <c r="I14" i="23"/>
  <c r="K33" i="24"/>
  <c r="P85" i="1"/>
  <c r="H92"/>
  <c r="M30" i="22"/>
  <c r="N31" i="55"/>
  <c r="P81" i="1"/>
  <c r="P83" s="1"/>
  <c r="F84" s="1"/>
  <c r="O15" i="22" l="1"/>
  <c r="T15" s="1"/>
  <c r="K20" i="55"/>
  <c r="R20" s="1"/>
  <c r="L20"/>
  <c r="S20" s="1"/>
  <c r="L21"/>
  <c r="S21" s="1"/>
  <c r="O13" i="22"/>
  <c r="T13" s="1"/>
  <c r="K30" i="55"/>
  <c r="R30" s="1"/>
  <c r="Q19" i="22"/>
  <c r="L30" i="55"/>
  <c r="S30" s="1"/>
  <c r="R19" i="22"/>
  <c r="K21" i="55"/>
  <c r="R21" s="1"/>
  <c r="O19" i="22"/>
  <c r="P92" i="1"/>
  <c r="D12" i="23"/>
  <c r="H36" i="24"/>
  <c r="H47" s="1"/>
  <c r="F21" i="55"/>
  <c r="P21" s="1"/>
  <c r="T20" i="22"/>
  <c r="O30"/>
  <c r="T30" s="1"/>
  <c r="N17"/>
  <c r="O28" i="55" s="1"/>
  <c r="J17" i="22"/>
  <c r="F17"/>
  <c r="G28" i="55" s="1"/>
  <c r="E17" i="22"/>
  <c r="I17"/>
  <c r="J28" i="55" s="1"/>
  <c r="L17" i="22"/>
  <c r="M28" i="55" s="1"/>
  <c r="G17" i="22"/>
  <c r="H28" i="55" s="1"/>
  <c r="H17" i="22"/>
  <c r="I28" i="55" s="1"/>
  <c r="M17" i="22"/>
  <c r="N28" i="55" s="1"/>
  <c r="K17" i="22"/>
  <c r="F20" i="55"/>
  <c r="P20" s="1"/>
  <c r="F30"/>
  <c r="P30" s="1"/>
  <c r="M19" i="20"/>
  <c r="O31" i="55"/>
  <c r="P31" s="1"/>
  <c r="U31" s="1"/>
  <c r="N30" i="22"/>
  <c r="E17" i="20"/>
  <c r="H18" i="24"/>
  <c r="H46" s="1"/>
  <c r="D11" i="23"/>
  <c r="K34" i="24"/>
  <c r="K36" s="1"/>
  <c r="U30" i="55" l="1"/>
  <c r="U21"/>
  <c r="U20"/>
  <c r="T19" i="22"/>
  <c r="L28" i="55"/>
  <c r="S28" s="1"/>
  <c r="R17" i="22"/>
  <c r="K28" i="55"/>
  <c r="R28" s="1"/>
  <c r="Q17" i="22"/>
  <c r="O17"/>
  <c r="C14"/>
  <c r="I12" i="23"/>
  <c r="E10"/>
  <c r="H51" i="24"/>
  <c r="H52" s="1"/>
  <c r="C12" i="22"/>
  <c r="I11" i="23"/>
  <c r="D18"/>
  <c r="M17" i="20"/>
  <c r="E19"/>
  <c r="F28" i="55"/>
  <c r="P28" s="1"/>
  <c r="U28" l="1"/>
  <c r="T17" i="22"/>
  <c r="F14"/>
  <c r="G26" i="55" s="1"/>
  <c r="I14" i="22"/>
  <c r="J26" i="55" s="1"/>
  <c r="L14" i="22"/>
  <c r="M26" i="55" s="1"/>
  <c r="K14" i="22"/>
  <c r="G14"/>
  <c r="H26" i="55" s="1"/>
  <c r="H14" i="22"/>
  <c r="I26" i="55" s="1"/>
  <c r="M14" i="22"/>
  <c r="N26" i="55" s="1"/>
  <c r="E14" i="22"/>
  <c r="J14"/>
  <c r="N14"/>
  <c r="O26" i="55" s="1"/>
  <c r="E18" i="23"/>
  <c r="I18" s="1"/>
  <c r="I10"/>
  <c r="C11" i="22"/>
  <c r="H54" i="24"/>
  <c r="N12" i="22"/>
  <c r="L12"/>
  <c r="G12"/>
  <c r="M12"/>
  <c r="J12"/>
  <c r="Q12" s="1"/>
  <c r="C27"/>
  <c r="I12"/>
  <c r="F12"/>
  <c r="E12"/>
  <c r="H12"/>
  <c r="K12"/>
  <c r="R12" s="1"/>
  <c r="O12" l="1"/>
  <c r="T12" s="1"/>
  <c r="M11"/>
  <c r="K11"/>
  <c r="R11" s="1"/>
  <c r="I11"/>
  <c r="G11"/>
  <c r="E11"/>
  <c r="N11"/>
  <c r="L11"/>
  <c r="J11"/>
  <c r="Q11" s="1"/>
  <c r="H11"/>
  <c r="F11"/>
  <c r="K26" i="55"/>
  <c r="R26" s="1"/>
  <c r="Q14" i="22"/>
  <c r="Q27" s="1"/>
  <c r="L26" i="55"/>
  <c r="S26" s="1"/>
  <c r="R14" i="22"/>
  <c r="R27" s="1"/>
  <c r="O14"/>
  <c r="F26" i="55"/>
  <c r="P26" s="1"/>
  <c r="I25"/>
  <c r="I32" s="1"/>
  <c r="H27" i="22"/>
  <c r="H56" s="1"/>
  <c r="F27"/>
  <c r="F56" s="1"/>
  <c r="F60" s="1"/>
  <c r="G25" i="55"/>
  <c r="G32" s="1"/>
  <c r="H25"/>
  <c r="G27" i="22"/>
  <c r="O25" i="55"/>
  <c r="O32" s="1"/>
  <c r="O51" s="1"/>
  <c r="N27" i="22"/>
  <c r="C21"/>
  <c r="C28"/>
  <c r="C31" s="1"/>
  <c r="K27"/>
  <c r="L25" i="55"/>
  <c r="F25"/>
  <c r="E27" i="22"/>
  <c r="I27"/>
  <c r="J25" i="55"/>
  <c r="J32" s="1"/>
  <c r="J51" s="1"/>
  <c r="K25"/>
  <c r="J27" i="22"/>
  <c r="N25" i="55"/>
  <c r="N32" s="1"/>
  <c r="N51" s="1"/>
  <c r="M27" i="22"/>
  <c r="M25" i="55"/>
  <c r="M32" s="1"/>
  <c r="M51" s="1"/>
  <c r="L27" i="22"/>
  <c r="P27"/>
  <c r="T14" l="1"/>
  <c r="K32" i="55"/>
  <c r="K51" s="1"/>
  <c r="R25"/>
  <c r="R32" s="1"/>
  <c r="F32"/>
  <c r="F51" s="1"/>
  <c r="P25"/>
  <c r="U26"/>
  <c r="O11" i="22"/>
  <c r="S25" i="55"/>
  <c r="S32" s="1"/>
  <c r="L32"/>
  <c r="L51" s="1"/>
  <c r="H32"/>
  <c r="H51" s="1"/>
  <c r="K59" i="22"/>
  <c r="E56"/>
  <c r="E60" s="1"/>
  <c r="O27"/>
  <c r="T27" s="1"/>
  <c r="F19" i="55"/>
  <c r="O19"/>
  <c r="J19"/>
  <c r="K28" i="22"/>
  <c r="K31" s="1"/>
  <c r="L52" i="55" s="1"/>
  <c r="L19"/>
  <c r="K21" i="22"/>
  <c r="K10" i="21" s="1"/>
  <c r="K12" s="1"/>
  <c r="K17" s="1"/>
  <c r="P21" i="22"/>
  <c r="P10" i="21" s="1"/>
  <c r="P12" s="1"/>
  <c r="P17" s="1"/>
  <c r="P19" s="1"/>
  <c r="P28" i="22"/>
  <c r="P31" s="1"/>
  <c r="H19" i="55"/>
  <c r="H22" s="1"/>
  <c r="G19"/>
  <c r="M19"/>
  <c r="K19"/>
  <c r="J21" i="22"/>
  <c r="J10" i="21" s="1"/>
  <c r="J12" s="1"/>
  <c r="J17" s="1"/>
  <c r="J28" i="22"/>
  <c r="J31" s="1"/>
  <c r="K52" i="55" s="1"/>
  <c r="R21" i="22"/>
  <c r="R10" i="21" s="1"/>
  <c r="R12" s="1"/>
  <c r="R17" s="1"/>
  <c r="R28" i="22"/>
  <c r="R31" s="1"/>
  <c r="Q21"/>
  <c r="Q10" i="21" s="1"/>
  <c r="Q12" s="1"/>
  <c r="Q17" s="1"/>
  <c r="Q19" s="1"/>
  <c r="Q28" i="22"/>
  <c r="Q31" s="1"/>
  <c r="N19" i="55"/>
  <c r="I19"/>
  <c r="G56" i="22"/>
  <c r="G60" s="1"/>
  <c r="H34" i="55" l="1"/>
  <c r="N22"/>
  <c r="N34" s="1"/>
  <c r="M22"/>
  <c r="M34" s="1"/>
  <c r="S19"/>
  <c r="S22" s="1"/>
  <c r="S34" s="1"/>
  <c r="S36" s="1"/>
  <c r="S40" s="1"/>
  <c r="L22"/>
  <c r="O22"/>
  <c r="O34" s="1"/>
  <c r="P19"/>
  <c r="I22"/>
  <c r="I34" s="1"/>
  <c r="K22"/>
  <c r="R19"/>
  <c r="R22" s="1"/>
  <c r="R34" s="1"/>
  <c r="R36" s="1"/>
  <c r="R40" s="1"/>
  <c r="G22"/>
  <c r="G34" s="1"/>
  <c r="J22"/>
  <c r="U25"/>
  <c r="U32" s="1"/>
  <c r="P32"/>
  <c r="K19" i="21"/>
  <c r="K21"/>
  <c r="R19"/>
  <c r="T11" i="22"/>
  <c r="T21" s="1"/>
  <c r="J19" i="21"/>
  <c r="J21"/>
  <c r="Q21" s="1"/>
  <c r="Q36" i="55"/>
  <c r="Q40" s="1"/>
  <c r="F22"/>
  <c r="J34" l="1"/>
  <c r="L53"/>
  <c r="L34"/>
  <c r="L36" s="1"/>
  <c r="L40" s="1"/>
  <c r="K53"/>
  <c r="K34"/>
  <c r="K36" s="1"/>
  <c r="K40" s="1"/>
  <c r="U19"/>
  <c r="U22" s="1"/>
  <c r="U34" s="1"/>
  <c r="P22"/>
  <c r="P34" s="1"/>
  <c r="Q23" i="21"/>
  <c r="R21"/>
  <c r="K23"/>
  <c r="F34" i="55"/>
  <c r="J23" i="21"/>
  <c r="R23" l="1"/>
  <c r="I9" i="22" l="1"/>
  <c r="J12" i="55" s="1"/>
  <c r="L9" i="22"/>
  <c r="M12" i="55" s="1"/>
  <c r="H9" i="22"/>
  <c r="H29" s="1"/>
  <c r="G9"/>
  <c r="G29" s="1"/>
  <c r="O29"/>
  <c r="T29" s="1"/>
  <c r="M9"/>
  <c r="F9"/>
  <c r="G12" i="55" s="1"/>
  <c r="N9" i="22"/>
  <c r="E9"/>
  <c r="F12" i="55" s="1"/>
  <c r="L29" i="22" l="1"/>
  <c r="I12" i="55"/>
  <c r="H12"/>
  <c r="I29" i="22"/>
  <c r="F29"/>
  <c r="N29"/>
  <c r="O12" i="55"/>
  <c r="N12"/>
  <c r="M29" i="22"/>
  <c r="U9"/>
  <c r="W9"/>
  <c r="E29"/>
  <c r="P12" i="55" l="1"/>
  <c r="U12" s="1"/>
  <c r="G8" i="22"/>
  <c r="G28" s="1"/>
  <c r="G31" s="1"/>
  <c r="H52" i="55" s="1"/>
  <c r="I8" i="22"/>
  <c r="I28" s="1"/>
  <c r="I31" s="1"/>
  <c r="J52" i="55" s="1"/>
  <c r="O28" i="22"/>
  <c r="O31" s="1"/>
  <c r="O21"/>
  <c r="O10" i="21" s="1"/>
  <c r="O12" s="1"/>
  <c r="O17" s="1"/>
  <c r="O19" s="1"/>
  <c r="M28" i="22"/>
  <c r="M31" s="1"/>
  <c r="N52" i="55" s="1"/>
  <c r="N11"/>
  <c r="N13" s="1"/>
  <c r="N15" s="1"/>
  <c r="N36" s="1"/>
  <c r="N40" s="1"/>
  <c r="N8" i="22"/>
  <c r="F8"/>
  <c r="F28" s="1"/>
  <c r="F31" s="1"/>
  <c r="G52" i="55" s="1"/>
  <c r="L8" i="22"/>
  <c r="H8"/>
  <c r="H28" s="1"/>
  <c r="H31" s="1"/>
  <c r="I52" i="55" s="1"/>
  <c r="T10" i="21"/>
  <c r="T12" s="1"/>
  <c r="T17" s="1"/>
  <c r="F11" i="55"/>
  <c r="E21" i="22" l="1"/>
  <c r="E10" i="21" s="1"/>
  <c r="E12" s="1"/>
  <c r="E17" s="1"/>
  <c r="E19" s="1"/>
  <c r="I11" i="55"/>
  <c r="I13" s="1"/>
  <c r="I15" s="1"/>
  <c r="I36" s="1"/>
  <c r="I40" s="1"/>
  <c r="I21" i="22"/>
  <c r="I10" i="21" s="1"/>
  <c r="I12" s="1"/>
  <c r="I17" s="1"/>
  <c r="I21" s="1"/>
  <c r="I23" s="1"/>
  <c r="H11" i="55"/>
  <c r="H13" s="1"/>
  <c r="H15" s="1"/>
  <c r="H36" s="1"/>
  <c r="H40" s="1"/>
  <c r="G11"/>
  <c r="G13" s="1"/>
  <c r="G15" s="1"/>
  <c r="G36" s="1"/>
  <c r="G40" s="1"/>
  <c r="F21" i="22"/>
  <c r="F10" i="21" s="1"/>
  <c r="F12" s="1"/>
  <c r="F17" s="1"/>
  <c r="F19" s="1"/>
  <c r="H21" i="22"/>
  <c r="H10" i="21" s="1"/>
  <c r="H12" s="1"/>
  <c r="H17" s="1"/>
  <c r="H19" s="1"/>
  <c r="F13" i="55"/>
  <c r="T19" i="21"/>
  <c r="N21" i="22"/>
  <c r="N10" i="21" s="1"/>
  <c r="N12" s="1"/>
  <c r="N17" s="1"/>
  <c r="N28" i="22"/>
  <c r="N31" s="1"/>
  <c r="O52" i="55" s="1"/>
  <c r="T26" i="21"/>
  <c r="M11" i="55"/>
  <c r="M13" s="1"/>
  <c r="M15" s="1"/>
  <c r="M36" s="1"/>
  <c r="M40" s="1"/>
  <c r="L28" i="22"/>
  <c r="L31" s="1"/>
  <c r="M52" i="55" s="1"/>
  <c r="W8" i="22"/>
  <c r="U8"/>
  <c r="E28"/>
  <c r="E31" s="1"/>
  <c r="F52" i="55" s="1"/>
  <c r="O11"/>
  <c r="O13" s="1"/>
  <c r="O15" s="1"/>
  <c r="O36" s="1"/>
  <c r="O40" s="1"/>
  <c r="L21" i="22"/>
  <c r="L10" i="21" s="1"/>
  <c r="L12" s="1"/>
  <c r="L17" s="1"/>
  <c r="T28" i="22"/>
  <c r="T31" s="1"/>
  <c r="R39" s="1"/>
  <c r="M21"/>
  <c r="M10" i="21" s="1"/>
  <c r="M12" s="1"/>
  <c r="M17" s="1"/>
  <c r="J11" i="55"/>
  <c r="G21" i="22"/>
  <c r="G10" i="21" s="1"/>
  <c r="G12" s="1"/>
  <c r="G17" s="1"/>
  <c r="I19" l="1"/>
  <c r="E21"/>
  <c r="E23" s="1"/>
  <c r="V17"/>
  <c r="F21"/>
  <c r="H21"/>
  <c r="H23" s="1"/>
  <c r="M19"/>
  <c r="M21"/>
  <c r="F15" i="55"/>
  <c r="G19" i="21"/>
  <c r="G21"/>
  <c r="L21"/>
  <c r="L19"/>
  <c r="J53" i="55"/>
  <c r="J13"/>
  <c r="J15" s="1"/>
  <c r="J36" s="1"/>
  <c r="J40" s="1"/>
  <c r="N21" i="21"/>
  <c r="N19"/>
  <c r="P11" i="55"/>
  <c r="U11" s="1"/>
  <c r="F36" l="1"/>
  <c r="F40" s="1"/>
  <c r="F23" i="21"/>
  <c r="P13" i="55"/>
  <c r="P15" s="1"/>
  <c r="P36" s="1"/>
  <c r="P40" s="1"/>
  <c r="L23" i="21"/>
  <c r="N23"/>
  <c r="G23"/>
  <c r="O21"/>
  <c r="M23"/>
  <c r="U13" i="55" l="1"/>
  <c r="W34" s="1"/>
  <c r="T21" i="21"/>
  <c r="T23" s="1"/>
  <c r="O23"/>
  <c r="U15" i="55" l="1"/>
  <c r="U36" s="1"/>
  <c r="U40" s="1"/>
  <c r="K28" i="93" l="1"/>
  <c r="E10"/>
  <c r="K10"/>
  <c r="E22"/>
  <c r="K22" s="1"/>
  <c r="E6"/>
  <c r="K6"/>
  <c r="E12"/>
  <c r="K12"/>
  <c r="E11"/>
  <c r="K11"/>
  <c r="E21"/>
  <c r="K21"/>
  <c r="E8"/>
  <c r="K8"/>
  <c r="E25"/>
  <c r="K25"/>
  <c r="E16"/>
  <c r="K16"/>
  <c r="E20"/>
  <c r="K20"/>
  <c r="E9"/>
  <c r="K9"/>
  <c r="E26"/>
  <c r="K26"/>
  <c r="E18"/>
  <c r="K18"/>
  <c r="E15"/>
  <c r="K15"/>
  <c r="E17"/>
  <c r="K17"/>
  <c r="E19"/>
  <c r="K19"/>
  <c r="E7"/>
  <c r="K7"/>
  <c r="E14"/>
  <c r="K14"/>
  <c r="E13"/>
  <c r="K13"/>
  <c r="E23"/>
  <c r="K23"/>
  <c r="E24"/>
  <c r="K24" s="1"/>
  <c r="E33" l="1"/>
  <c r="K33" s="1"/>
  <c r="K5"/>
  <c r="K30" s="1"/>
  <c r="E30"/>
</calcChain>
</file>

<file path=xl/comments1.xml><?xml version="1.0" encoding="utf-8"?>
<comments xmlns="http://schemas.openxmlformats.org/spreadsheetml/2006/main">
  <authors>
    <author>Marybeth Purvis</author>
  </authors>
  <commentList>
    <comment ref="C10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sum of line 22,24,25,26 and 27 on Form 7
</t>
        </r>
      </text>
    </comment>
  </commentList>
</comments>
</file>

<file path=xl/comments2.xml><?xml version="1.0" encoding="utf-8"?>
<comments xmlns="http://schemas.openxmlformats.org/spreadsheetml/2006/main">
  <authors>
    <author>Marybeth Purvis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Form 7 Part E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Form 7 Part E=general + headquarters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Sum matches Form 7 Bal Sheet line 4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Marybeth Purvis:</t>
        </r>
        <r>
          <rPr>
            <sz val="9"/>
            <color indexed="81"/>
            <rFont val="Tahoma"/>
            <family val="2"/>
          </rPr>
          <t xml:space="preserve">
Matches Balance Sheet Form 7 line 2.
</t>
        </r>
      </text>
    </comment>
  </commentList>
</comments>
</file>

<file path=xl/sharedStrings.xml><?xml version="1.0" encoding="utf-8"?>
<sst xmlns="http://schemas.openxmlformats.org/spreadsheetml/2006/main" count="1400" uniqueCount="595">
  <si>
    <t>Test Year</t>
  </si>
  <si>
    <t xml:space="preserve"> </t>
  </si>
  <si>
    <t>Adjusted</t>
  </si>
  <si>
    <t>Puchased</t>
  </si>
  <si>
    <t>Power</t>
  </si>
  <si>
    <t>Lines</t>
  </si>
  <si>
    <t>Trans-</t>
  </si>
  <si>
    <t>formers</t>
  </si>
  <si>
    <t>Services</t>
  </si>
  <si>
    <t>Meters</t>
  </si>
  <si>
    <t>Consumer</t>
  </si>
  <si>
    <t>Services &amp;</t>
  </si>
  <si>
    <t>Accounting</t>
  </si>
  <si>
    <t>Lighting</t>
  </si>
  <si>
    <t>FUNCTIONALIZATION</t>
  </si>
  <si>
    <t>Total</t>
  </si>
  <si>
    <t>Acct</t>
  </si>
  <si>
    <t>Description</t>
  </si>
  <si>
    <t>No.</t>
  </si>
  <si>
    <t>Purchased Power</t>
  </si>
  <si>
    <t xml:space="preserve">Total Purchased Power </t>
  </si>
  <si>
    <t>Operations Supv &amp; Eng</t>
  </si>
  <si>
    <t>Station Expense</t>
  </si>
  <si>
    <t>Overhead Line Exp.</t>
  </si>
  <si>
    <t>Underground Line Exp</t>
  </si>
  <si>
    <t>Meter Expense</t>
  </si>
  <si>
    <t>Consumer Installations</t>
  </si>
  <si>
    <t>Misc. Distribution Exp</t>
  </si>
  <si>
    <t>Rents</t>
  </si>
  <si>
    <t>Maint Supv &amp; Eng</t>
  </si>
  <si>
    <t>Maint of Station Equip</t>
  </si>
  <si>
    <t>Maint. Overhead Lines</t>
  </si>
  <si>
    <t>Maint of Underground Lines</t>
  </si>
  <si>
    <t>Maint Line Transformers</t>
  </si>
  <si>
    <t>Maintenance of Meters</t>
  </si>
  <si>
    <t>Maint Misc Distrib Plant</t>
  </si>
  <si>
    <t>Supervision</t>
  </si>
  <si>
    <t>Meter Reading Expense</t>
  </si>
  <si>
    <t>Cons Recds &amp; Collections</t>
  </si>
  <si>
    <t>Uncollectible Accounts</t>
  </si>
  <si>
    <t>Customer Information</t>
  </si>
  <si>
    <t>Administrative Salaries</t>
  </si>
  <si>
    <t>Office Supplies</t>
  </si>
  <si>
    <t>Outside Services</t>
  </si>
  <si>
    <t>Property Ins</t>
  </si>
  <si>
    <t>Injuries &amp; Damages</t>
  </si>
  <si>
    <t>Employ Pensions &amp; Benef</t>
  </si>
  <si>
    <t>Regulatory Exp</t>
  </si>
  <si>
    <t xml:space="preserve">Duplicate Charges </t>
  </si>
  <si>
    <t>Misc General Exp</t>
  </si>
  <si>
    <t>Total Admin &amp; General</t>
  </si>
  <si>
    <t>Deprec. Distribution Plant</t>
  </si>
  <si>
    <t>Deprec. General Plant</t>
  </si>
  <si>
    <t>Total Depreciation</t>
  </si>
  <si>
    <t>Total Miscellaneous</t>
  </si>
  <si>
    <t>Interest - RUS Constuc</t>
  </si>
  <si>
    <t>Total Interest on LTD</t>
  </si>
  <si>
    <t>Other Interest Expense</t>
  </si>
  <si>
    <t>Total Costs</t>
  </si>
  <si>
    <t>Margin Requirements</t>
  </si>
  <si>
    <t>Less;  Misc Income</t>
  </si>
  <si>
    <t>Forfeited Discounts</t>
  </si>
  <si>
    <t>Misc Service Revenue</t>
  </si>
  <si>
    <t>Rent from Electric Prop.</t>
  </si>
  <si>
    <t>Total Misc Income</t>
  </si>
  <si>
    <t>Less:  Other Income</t>
  </si>
  <si>
    <t>Interest Income</t>
  </si>
  <si>
    <t>Misc. Non-operating Income</t>
  </si>
  <si>
    <t>Other Capital Credits</t>
  </si>
  <si>
    <t>Total Other Income</t>
  </si>
  <si>
    <t xml:space="preserve">Revenue Requirements   </t>
  </si>
  <si>
    <t xml:space="preserve">     from Rates</t>
  </si>
  <si>
    <t>Actual</t>
  </si>
  <si>
    <t>Adjust</t>
  </si>
  <si>
    <t>ments</t>
  </si>
  <si>
    <t>TEST YEAR EXPENSES</t>
  </si>
  <si>
    <t>Total Dist. Operations</t>
  </si>
  <si>
    <t xml:space="preserve"> Total Consum Accts</t>
  </si>
  <si>
    <t>Total Customer Serv.</t>
  </si>
  <si>
    <t>Total Dist. Maint.</t>
  </si>
  <si>
    <t>Total Revenue Require.</t>
  </si>
  <si>
    <t>Total ST Interest</t>
  </si>
  <si>
    <t>Allocation</t>
  </si>
  <si>
    <t>Basis</t>
  </si>
  <si>
    <t>DA</t>
  </si>
  <si>
    <t>Alloc.</t>
  </si>
  <si>
    <t>Allocation of Dist. Oper. Supervision &amp; Miscellaneous Expenses</t>
  </si>
  <si>
    <t>Allocation of Dist. Maint. Supervision &amp; Miscellaneous Expenses</t>
  </si>
  <si>
    <t>Superv</t>
  </si>
  <si>
    <t>Miscell.</t>
  </si>
  <si>
    <t>Exp.</t>
  </si>
  <si>
    <t>%</t>
  </si>
  <si>
    <t>Subtotal</t>
  </si>
  <si>
    <t>Poles</t>
  </si>
  <si>
    <t>Conductor</t>
  </si>
  <si>
    <t>Transformers</t>
  </si>
  <si>
    <t>&amp; Accounting</t>
  </si>
  <si>
    <t>$$$$</t>
  </si>
  <si>
    <t>Poles, Towers and Fixtures</t>
  </si>
  <si>
    <t>Overhead Conductor</t>
  </si>
  <si>
    <t>Total Distribution Plant</t>
  </si>
  <si>
    <t>Total General Plant</t>
  </si>
  <si>
    <t>Total Utility Plant</t>
  </si>
  <si>
    <t>Accum. Depreciation</t>
  </si>
  <si>
    <t>Net Plant</t>
  </si>
  <si>
    <t>CWIP</t>
  </si>
  <si>
    <t>Plus</t>
  </si>
  <si>
    <t>Cash Working Capital</t>
  </si>
  <si>
    <t>Materials &amp; Supplies</t>
  </si>
  <si>
    <t>Prepayments</t>
  </si>
  <si>
    <t xml:space="preserve">Minus:  Consumer Advances </t>
  </si>
  <si>
    <t>Net Investment Rate Base</t>
  </si>
  <si>
    <t>Percentage</t>
  </si>
  <si>
    <t xml:space="preserve"> Transformers</t>
  </si>
  <si>
    <t>Percent</t>
  </si>
  <si>
    <t>Meter</t>
  </si>
  <si>
    <t>Amount</t>
  </si>
  <si>
    <t>Consumer Accounts</t>
  </si>
  <si>
    <t>Distribution Plant</t>
  </si>
  <si>
    <t>General Plant</t>
  </si>
  <si>
    <t>A.  Lines (poles and conduit)</t>
  </si>
  <si>
    <t>Number of</t>
  </si>
  <si>
    <t>B.  Transformers</t>
  </si>
  <si>
    <t>Rate Class</t>
  </si>
  <si>
    <t>Consumers</t>
  </si>
  <si>
    <t>Weight</t>
  </si>
  <si>
    <t>Number</t>
  </si>
  <si>
    <t>Size</t>
  </si>
  <si>
    <t>Service</t>
  </si>
  <si>
    <t>D.  Meters</t>
  </si>
  <si>
    <t>E.  Consumer &amp; Accounting Services</t>
  </si>
  <si>
    <t>Expense</t>
  </si>
  <si>
    <t>Factor</t>
  </si>
  <si>
    <t>Demand</t>
  </si>
  <si>
    <t>Investment</t>
  </si>
  <si>
    <t>Unit Cost</t>
  </si>
  <si>
    <t>of Units</t>
  </si>
  <si>
    <t>Number of poles</t>
  </si>
  <si>
    <t>Consumer Related Investment</t>
  </si>
  <si>
    <t>Percent Customer Related</t>
  </si>
  <si>
    <t>Percent Demand Related</t>
  </si>
  <si>
    <t xml:space="preserve">Consumer </t>
  </si>
  <si>
    <t>Distribution Maintenance</t>
  </si>
  <si>
    <t>Demand Related</t>
  </si>
  <si>
    <t>SUBTOTAL</t>
  </si>
  <si>
    <t>TOTAL</t>
  </si>
  <si>
    <t>Breakdown of Lines into Demand Related and Consumer Related Components</t>
  </si>
  <si>
    <t>All other OH Conductor Invest.</t>
  </si>
  <si>
    <t xml:space="preserve">  </t>
  </si>
  <si>
    <t>10 KVA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</si>
  <si>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</si>
  <si>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</si>
  <si>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</si>
  <si>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</si>
  <si>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</si>
  <si>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</si>
  <si>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</si>
  <si>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</si>
  <si>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</si>
  <si>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</si>
  <si>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</si>
  <si>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</si>
  <si>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</si>
  <si>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        </t>
  </si>
  <si>
    <t>Distibution Operations</t>
  </si>
  <si>
    <t>Customer Service</t>
  </si>
  <si>
    <t>Administative &amp; General</t>
  </si>
  <si>
    <t>Depreciation</t>
  </si>
  <si>
    <t>Miscellaneous</t>
  </si>
  <si>
    <t>Interest on Long Term Debt</t>
  </si>
  <si>
    <t>Revenue Requirements</t>
  </si>
  <si>
    <t>Expenses</t>
  </si>
  <si>
    <t>Short Term Interest</t>
  </si>
  <si>
    <t xml:space="preserve">Purchased </t>
  </si>
  <si>
    <t>Related</t>
  </si>
  <si>
    <t>Costs</t>
  </si>
  <si>
    <t xml:space="preserve">Demand </t>
  </si>
  <si>
    <t>Consumer Related Costs</t>
  </si>
  <si>
    <t>Energy Related</t>
  </si>
  <si>
    <t>Energy</t>
  </si>
  <si>
    <t xml:space="preserve">Consumer Services </t>
  </si>
  <si>
    <t xml:space="preserve">   &amp; Accounting</t>
  </si>
  <si>
    <t xml:space="preserve">Lines </t>
  </si>
  <si>
    <t>Consumer Services</t>
  </si>
  <si>
    <t xml:space="preserve">     &amp; Accounting</t>
  </si>
  <si>
    <t>Consumer Related</t>
  </si>
  <si>
    <t>Total Revenue</t>
  </si>
  <si>
    <t xml:space="preserve">   Requirements</t>
  </si>
  <si>
    <t>Line Expenses are Allocated between Lines and Services Based on Plant Investment.</t>
  </si>
  <si>
    <t>General Plant Percent</t>
  </si>
  <si>
    <t>Distibution Plant Percent</t>
  </si>
  <si>
    <t>Net Plant Percent</t>
  </si>
  <si>
    <t>General Plant Allocation Comes From the Rate Base Schedule Line General Plant Percent</t>
  </si>
  <si>
    <t>Rate Base Allocation Comes from the Rate Base Schedule Line Rate Base Percent.</t>
  </si>
  <si>
    <t>FOOTNOTES</t>
  </si>
  <si>
    <t>Utility Plant Percent</t>
  </si>
  <si>
    <t>Distribution Plant Balances</t>
  </si>
  <si>
    <t xml:space="preserve"> Plant</t>
  </si>
  <si>
    <t>Account</t>
  </si>
  <si>
    <t>Predicted</t>
  </si>
  <si>
    <t>1.  Actual Data</t>
  </si>
  <si>
    <t>2. Demand and Consumer Investment Percents</t>
  </si>
  <si>
    <t>Amount of Conduit</t>
  </si>
  <si>
    <t>Allocation %</t>
  </si>
  <si>
    <t>Classifi-</t>
  </si>
  <si>
    <t>cation</t>
  </si>
  <si>
    <t>Function</t>
  </si>
  <si>
    <t>Street</t>
  </si>
  <si>
    <t>Security</t>
  </si>
  <si>
    <t>Maintenance of Gen. Plant</t>
  </si>
  <si>
    <t>Customer Accounting</t>
  </si>
  <si>
    <t xml:space="preserve">Street </t>
  </si>
  <si>
    <t>Minimum</t>
  </si>
  <si>
    <t>Cost of</t>
  </si>
  <si>
    <t>Transform.</t>
  </si>
  <si>
    <t>Weighted</t>
  </si>
  <si>
    <t>Cost</t>
  </si>
  <si>
    <t>Customers</t>
  </si>
  <si>
    <t>of</t>
  </si>
  <si>
    <t xml:space="preserve">Number </t>
  </si>
  <si>
    <t>Relative</t>
  </si>
  <si>
    <t>C.  Services</t>
  </si>
  <si>
    <t>Min = 1</t>
  </si>
  <si>
    <t xml:space="preserve">Per </t>
  </si>
  <si>
    <t>Unit</t>
  </si>
  <si>
    <t>Average</t>
  </si>
  <si>
    <t>Length of</t>
  </si>
  <si>
    <t>Rate Base Data</t>
  </si>
  <si>
    <t>Outdoor</t>
  </si>
  <si>
    <t>Under (Over)</t>
  </si>
  <si>
    <t>Less Other Revenue</t>
  </si>
  <si>
    <t>SUMMARY</t>
  </si>
  <si>
    <t>COSS Based</t>
  </si>
  <si>
    <t>Mis. Customer Information</t>
  </si>
  <si>
    <t>Consumer Information</t>
  </si>
  <si>
    <t>Street Lights</t>
  </si>
  <si>
    <t>Acct.</t>
  </si>
  <si>
    <t>Adjustment</t>
  </si>
  <si>
    <t>(a)</t>
  </si>
  <si>
    <t>Poles and Conductor</t>
  </si>
  <si>
    <t>$$$</t>
  </si>
  <si>
    <t>Security Lighting</t>
  </si>
  <si>
    <t>Street Lighting</t>
  </si>
  <si>
    <t>Misc. Exp.</t>
  </si>
  <si>
    <t>ENERGY KWH</t>
  </si>
  <si>
    <t>Green</t>
  </si>
  <si>
    <t>Revenue Increase</t>
  </si>
  <si>
    <t>Stations</t>
  </si>
  <si>
    <t>Records</t>
  </si>
  <si>
    <t>COST OF SERVICE STUDY</t>
  </si>
  <si>
    <t>Witness:  Jim Adkins</t>
  </si>
  <si>
    <t>Interest - CFC</t>
  </si>
  <si>
    <t>Contributions</t>
  </si>
  <si>
    <t>Return Check Charge</t>
  </si>
  <si>
    <t>Demand Charges</t>
  </si>
  <si>
    <t>Energy Charges</t>
  </si>
  <si>
    <t>Renewable Resource Energy</t>
  </si>
  <si>
    <t>TIER</t>
  </si>
  <si>
    <t>y=b*m^x</t>
  </si>
  <si>
    <t>Height (x)</t>
  </si>
  <si>
    <t>Avg. Cost (y)</t>
  </si>
  <si>
    <t>Slope</t>
  </si>
  <si>
    <t>Y intercept</t>
  </si>
  <si>
    <t>1/0 ACSR</t>
  </si>
  <si>
    <t xml:space="preserve">2 ACSR                             </t>
  </si>
  <si>
    <t>Use Intercept</t>
  </si>
  <si>
    <t>1.5 KVA</t>
  </si>
  <si>
    <t>50 KVA</t>
  </si>
  <si>
    <t>Security Lights</t>
  </si>
  <si>
    <t>Residential</t>
  </si>
  <si>
    <t>Station Equipment</t>
  </si>
  <si>
    <t>Underground Conductor</t>
  </si>
  <si>
    <t>Land and Land Rights</t>
  </si>
  <si>
    <t>Poles, Towers &amp; Fixtures</t>
  </si>
  <si>
    <t>Overhead Conductor &amp; Devices</t>
  </si>
  <si>
    <t>Line Transformers</t>
  </si>
  <si>
    <t>Total all Expenses</t>
  </si>
  <si>
    <t>Functions as % of Total</t>
  </si>
  <si>
    <t>Admin &amp; General Expense Allocation except General Plant</t>
  </si>
  <si>
    <t>Depreciation Expense Allocation Comes from the Net Plant Percent in Rate Base</t>
  </si>
  <si>
    <t>Use zero intercept</t>
  </si>
  <si>
    <t>Number of Transformers</t>
  </si>
  <si>
    <t>Rate Revenue Percent</t>
  </si>
  <si>
    <t>Transfomers</t>
  </si>
  <si>
    <t>Actual Revenue from Rates</t>
  </si>
  <si>
    <t>Total Investment in Poles</t>
  </si>
  <si>
    <t>All other items</t>
  </si>
  <si>
    <t>Formula</t>
  </si>
  <si>
    <t>Size of Pole</t>
  </si>
  <si>
    <t>Average Cost</t>
  </si>
  <si>
    <t>Per Unit</t>
  </si>
  <si>
    <t>2.  Determination of Demand and Consumer Related Investment</t>
  </si>
  <si>
    <t>ACCOUNT 364 - POLES</t>
  </si>
  <si>
    <t>REGRESSION LINE DATA</t>
  </si>
  <si>
    <t>Relevant Data</t>
  </si>
  <si>
    <t>0</t>
  </si>
  <si>
    <t>ACCOUNT 365 - CONDUCTOR</t>
  </si>
  <si>
    <t>Consumer-Related</t>
  </si>
  <si>
    <t>Demand-Related</t>
  </si>
  <si>
    <t>Conuctor</t>
  </si>
  <si>
    <t>Per Unit Cost</t>
  </si>
  <si>
    <t>Predict Valeu</t>
  </si>
  <si>
    <t>ACCOUNT 368 - TRANSFORMERS</t>
  </si>
  <si>
    <t>Type of Transfomer</t>
  </si>
  <si>
    <t>Size In</t>
  </si>
  <si>
    <t>KVA</t>
  </si>
  <si>
    <t>SUM OF MONTHLY CUSTOMER DEMANDS FOR EACH CLASS - KW</t>
  </si>
  <si>
    <t>Revenue from Rates</t>
  </si>
  <si>
    <t>Less Purchased Power Costs</t>
  </si>
  <si>
    <t xml:space="preserve">   Total  </t>
  </si>
  <si>
    <t>Gross Margin</t>
  </si>
  <si>
    <t>Less Distribution Costs</t>
  </si>
  <si>
    <t>Consumer Svc</t>
  </si>
  <si>
    <t xml:space="preserve">   &amp; Accouting</t>
  </si>
  <si>
    <t>Total Consumer Related</t>
  </si>
  <si>
    <t>Total Distribution Costs</t>
  </si>
  <si>
    <t>Income from Rate Revenue</t>
  </si>
  <si>
    <t>Other Revenue</t>
  </si>
  <si>
    <t>Rate 3 R</t>
  </si>
  <si>
    <t>Type</t>
  </si>
  <si>
    <t>of Cust,</t>
  </si>
  <si>
    <t>112.5 KVA PAD</t>
  </si>
  <si>
    <t>2-500 KVA PAD</t>
  </si>
  <si>
    <t xml:space="preserve">   Percent</t>
  </si>
  <si>
    <t>Total Investment in poles</t>
  </si>
  <si>
    <t>Total Investment in conductor</t>
  </si>
  <si>
    <t>Total Investment in transformers</t>
  </si>
  <si>
    <t>Amps</t>
  </si>
  <si>
    <t>SUMMARY OF CLASSIFICATION OF EXPENSES</t>
  </si>
  <si>
    <t>ALLOCATION OF EXPENSES TO RATE CLASSES</t>
  </si>
  <si>
    <t>Outdoor Lighting</t>
  </si>
  <si>
    <t>Net Margins</t>
  </si>
  <si>
    <t>FUNCTIONALIZATION OF RATE BASE</t>
  </si>
  <si>
    <t>Data for Graph</t>
  </si>
  <si>
    <t>ACCONT 368 - TRANSFORMERS CONTINUED</t>
  </si>
  <si>
    <t>Load Dispatching</t>
  </si>
  <si>
    <t>Key Accounts Expneses</t>
  </si>
  <si>
    <t>Other Electric Revenue</t>
  </si>
  <si>
    <t>Net Revenue from Merchandising</t>
  </si>
  <si>
    <t>Purchased</t>
  </si>
  <si>
    <t>Intercept</t>
  </si>
  <si>
    <t>4/0 ACSR</t>
  </si>
  <si>
    <t>Large Power</t>
  </si>
  <si>
    <t>Multiplier</t>
  </si>
  <si>
    <t>Demand Charge</t>
  </si>
  <si>
    <t>Customer Charge</t>
  </si>
  <si>
    <t>Energy Charge</t>
  </si>
  <si>
    <t>MONTHLY CONTRIBUTIONS TO EKPC COINCIDENT PEAK DEMAND - KW</t>
  </si>
  <si>
    <t>MONTHLY PEAK DEMANDS FOR EACH RATE CLASS</t>
  </si>
  <si>
    <t>25' Pole</t>
  </si>
  <si>
    <t>30' Pole</t>
  </si>
  <si>
    <t>35' Pole</t>
  </si>
  <si>
    <t>40' Pole</t>
  </si>
  <si>
    <t>45' Pole</t>
  </si>
  <si>
    <t>50' Pole</t>
  </si>
  <si>
    <t>55' Pole</t>
  </si>
  <si>
    <t>60' Pole</t>
  </si>
  <si>
    <t>65' Pole</t>
  </si>
  <si>
    <t>70' Pole</t>
  </si>
  <si>
    <t>3 KVA CONV</t>
  </si>
  <si>
    <t>5 KVA CONV</t>
  </si>
  <si>
    <t>10 KVA CSP</t>
  </si>
  <si>
    <t>15 KVA CONV</t>
  </si>
  <si>
    <t>25 KVA PADMOUNT</t>
  </si>
  <si>
    <t>50 KVA PADMOUNT</t>
  </si>
  <si>
    <t>75 KVA PADMOUNT</t>
  </si>
  <si>
    <t>100 KVA PADMOUNT</t>
  </si>
  <si>
    <t>150 KVA PADMOUNT</t>
  </si>
  <si>
    <t>167 KVA PADMOUNT</t>
  </si>
  <si>
    <t>225 KVA 3 PH PM</t>
  </si>
  <si>
    <t>300 KVA PADMOUNT</t>
  </si>
  <si>
    <t>500 KVA PADMOUNT</t>
  </si>
  <si>
    <t>750 KVA 3 PH</t>
  </si>
  <si>
    <t>1000 KVA 3 PH PADMOUNT</t>
  </si>
  <si>
    <t>ETS</t>
  </si>
  <si>
    <t>All Electric</t>
  </si>
  <si>
    <t>Schools</t>
  </si>
  <si>
    <t>Residential ETS</t>
  </si>
  <si>
    <t>Small Commercial ETS</t>
  </si>
  <si>
    <t>All Electric Schools</t>
  </si>
  <si>
    <t>Sched E</t>
  </si>
  <si>
    <t>Demand kW</t>
  </si>
  <si>
    <t>Metering Point &amp; Substations Charges</t>
  </si>
  <si>
    <t>Supervision, operations</t>
  </si>
  <si>
    <t>Overhead line</t>
  </si>
  <si>
    <t>Installations</t>
  </si>
  <si>
    <t>Miscellaneous distribution</t>
  </si>
  <si>
    <t>Supervision, maintenance</t>
  </si>
  <si>
    <t>Maintenance</t>
  </si>
  <si>
    <t>Underground</t>
  </si>
  <si>
    <t>Street lights</t>
  </si>
  <si>
    <t>Miscellaneous maintenance</t>
  </si>
  <si>
    <t>Meter reading</t>
  </si>
  <si>
    <t>Consumer records</t>
  </si>
  <si>
    <t>Supervision, Customer service</t>
  </si>
  <si>
    <t>Consumer accounting</t>
  </si>
  <si>
    <t>Consumer information</t>
  </si>
  <si>
    <t>Misc customer information</t>
  </si>
  <si>
    <t>Administrative</t>
  </si>
  <si>
    <t>Maintenance general plant</t>
  </si>
  <si>
    <t xml:space="preserve">Wages &amp; </t>
  </si>
  <si>
    <t xml:space="preserve">Salaries </t>
  </si>
  <si>
    <t>Payroll</t>
  </si>
  <si>
    <t>Tax</t>
  </si>
  <si>
    <t>Adj.</t>
  </si>
  <si>
    <t>FAS</t>
  </si>
  <si>
    <t>Retirement</t>
  </si>
  <si>
    <t>Health</t>
  </si>
  <si>
    <t>Insurance</t>
  </si>
  <si>
    <t>Cost of Merchandising</t>
  </si>
  <si>
    <t>Revenue fron Non-utility Operations</t>
  </si>
  <si>
    <t>Revenue from Non-operating rentals</t>
  </si>
  <si>
    <t>Underground Conduit</t>
  </si>
  <si>
    <t>Metering &amp; Substation</t>
  </si>
  <si>
    <t>Maint of Street Lights</t>
  </si>
  <si>
    <t>Consumer Charge Units</t>
  </si>
  <si>
    <t>Energy kWh</t>
  </si>
  <si>
    <t>BILLING UNITS</t>
  </si>
  <si>
    <t>Amount of</t>
  </si>
  <si>
    <t>Adjusments</t>
  </si>
  <si>
    <t>Miscellaneous Amortization</t>
  </si>
  <si>
    <t>PSC Assessment &amp; Sales Taxes</t>
  </si>
  <si>
    <t>Envirowatts</t>
  </si>
  <si>
    <t xml:space="preserve"> Total Consumer Accts</t>
  </si>
  <si>
    <t>425-426</t>
  </si>
  <si>
    <t>CONDUCTOR DATA FOR GRAPH PURPOSES</t>
  </si>
  <si>
    <t>Account 364 - Poles</t>
  </si>
  <si>
    <t>Transformer Size</t>
  </si>
  <si>
    <t>Actual Cost Per Unit</t>
  </si>
  <si>
    <t>Predicted Cost</t>
  </si>
  <si>
    <t xml:space="preserve">Data for Graph </t>
  </si>
  <si>
    <t>Regression Equasion</t>
  </si>
  <si>
    <t>COST BASED RATES</t>
  </si>
  <si>
    <t xml:space="preserve">Billing </t>
  </si>
  <si>
    <t>1 x 2</t>
  </si>
  <si>
    <t xml:space="preserve">Number of </t>
  </si>
  <si>
    <t>3 x 4</t>
  </si>
  <si>
    <t xml:space="preserve"> from Billing Analysis</t>
  </si>
  <si>
    <t>Increase Amount</t>
  </si>
  <si>
    <t>Amort of Prop Loasses and Undercovery</t>
  </si>
  <si>
    <t>Interest - FFB</t>
  </si>
  <si>
    <t>Advertising</t>
  </si>
  <si>
    <t>WellHeads</t>
  </si>
  <si>
    <t>Cash Working capital</t>
  </si>
  <si>
    <t>Materials and Supplies</t>
  </si>
  <si>
    <t>Consumer Advances</t>
  </si>
  <si>
    <t>Cunsumer Services &amp; Acct</t>
  </si>
  <si>
    <t>Rate Base Percent</t>
  </si>
  <si>
    <t>JACKSON ENERGY COOPERATIVE</t>
  </si>
  <si>
    <t>Exhibit R</t>
  </si>
  <si>
    <t>y=mx+b</t>
  </si>
  <si>
    <t xml:space="preserve">Used linear </t>
  </si>
  <si>
    <t>SLOPE - m</t>
  </si>
  <si>
    <t>Zero Intercept - b</t>
  </si>
  <si>
    <t>LINEAR CURVE DATA</t>
  </si>
  <si>
    <t>Linear Curve</t>
  </si>
  <si>
    <t>4 ACSR</t>
  </si>
  <si>
    <t>20' AL Pole</t>
  </si>
  <si>
    <t>25' AL Pole</t>
  </si>
  <si>
    <t>75' Pole</t>
  </si>
  <si>
    <t>80' Pole</t>
  </si>
  <si>
    <t>85' Pole</t>
  </si>
  <si>
    <t>SLOPE - b = $26.95</t>
  </si>
  <si>
    <t>ZERO INTERCEPT - Y =-$568.81</t>
  </si>
  <si>
    <t>3/0 ACSR</t>
  </si>
  <si>
    <t>336.4 ACSR</t>
  </si>
  <si>
    <t>477 ACSR</t>
  </si>
  <si>
    <t>6ACWC</t>
  </si>
  <si>
    <t>8 ACWC</t>
  </si>
  <si>
    <t>6 BARE COPPER</t>
  </si>
  <si>
    <t>350 MCM URD PRIMARY</t>
  </si>
  <si>
    <t>500 MCM URD PRIMARY</t>
  </si>
  <si>
    <t>2 AL. CONCENTRIC URD</t>
  </si>
  <si>
    <t>1/0 7 STRAND COPPER</t>
  </si>
  <si>
    <t>1/0 15 KV URD PRIMARY</t>
  </si>
  <si>
    <t>2/0 15KV URD PRIMARY</t>
  </si>
  <si>
    <t>556.5 ACSR</t>
  </si>
  <si>
    <t>397.5 SPACER CABLE</t>
  </si>
  <si>
    <t>750 MCM URD PRIMARY</t>
  </si>
  <si>
    <t>Amp Size</t>
  </si>
  <si>
    <t>10 KVA CONV</t>
  </si>
  <si>
    <t>25 KVA CONV</t>
  </si>
  <si>
    <t>37.5 KVA CONV</t>
  </si>
  <si>
    <t>50 KVA CONV</t>
  </si>
  <si>
    <t>75 KVA CONV</t>
  </si>
  <si>
    <t>100 KVA CONV</t>
  </si>
  <si>
    <t>167 KVA CONV</t>
  </si>
  <si>
    <t>333 KVA CONV</t>
  </si>
  <si>
    <t>1.5 KVA CSP</t>
  </si>
  <si>
    <t>15 KVA CSP</t>
  </si>
  <si>
    <t>25 KVA CSP</t>
  </si>
  <si>
    <t>37.5 KVA CSP</t>
  </si>
  <si>
    <t>50 KVA CSP</t>
  </si>
  <si>
    <t>37.5 KVA PADMOUNT</t>
  </si>
  <si>
    <t>15 KVA PADMOUNT</t>
  </si>
  <si>
    <t>2500 KVA CONV</t>
  </si>
  <si>
    <t>1500 KVA PADMOUNT</t>
  </si>
  <si>
    <t>2000 KVA PADMOUNT</t>
  </si>
  <si>
    <t>2500 KVA PADMOUNT</t>
  </si>
  <si>
    <t>112 KVA PADMOUNT</t>
  </si>
  <si>
    <t>45 KVA PADMOUNT</t>
  </si>
  <si>
    <t>112 KVA CONV</t>
  </si>
  <si>
    <t>15 KVA COV 1B</t>
  </si>
  <si>
    <t>25 KVA COV 1B</t>
  </si>
  <si>
    <t>37.5 KVA COV 1B</t>
  </si>
  <si>
    <t>50 KVA COV 1B</t>
  </si>
  <si>
    <t>SubTotal</t>
  </si>
  <si>
    <t>All Other Transformer Investment</t>
  </si>
  <si>
    <t>y=bm^x</t>
  </si>
  <si>
    <t>m</t>
  </si>
  <si>
    <t>DOE 10 KVA</t>
  </si>
  <si>
    <t>DOE 15 KVA</t>
  </si>
  <si>
    <t>DOE 50 KVA</t>
  </si>
  <si>
    <t>DOE 15 KVA 2B</t>
  </si>
  <si>
    <t>DOE 50 KVA 2B</t>
  </si>
  <si>
    <t>DOE 75 KVA 2B</t>
  </si>
  <si>
    <t>DOE 100 KVA 2B</t>
  </si>
  <si>
    <t>DOE 167 KVA 2B</t>
  </si>
  <si>
    <t>DOE 250 KVA 2B</t>
  </si>
  <si>
    <t>DOE 15 KVA PADMOUNT</t>
  </si>
  <si>
    <t>DOE 50 KVA PADMOUNT</t>
  </si>
  <si>
    <t>DOE 75 KVA PADMOUNT</t>
  </si>
  <si>
    <t>DOE 25 KVA PADMOUNT</t>
  </si>
  <si>
    <t>DOE 25 KVA 2B</t>
  </si>
  <si>
    <t>DOE 100 KVA PADMOUNT</t>
  </si>
  <si>
    <t>DOE 1500 KVA PADMOUNT</t>
  </si>
  <si>
    <t>DOE 300 KVA PADMOUNT</t>
  </si>
  <si>
    <t>DOE 500 KVA PADMOUNT</t>
  </si>
  <si>
    <t>75 KVA CSP</t>
  </si>
  <si>
    <t>Comm. Sml Pow</t>
  </si>
  <si>
    <t>Comm &amp; Sml Pow</t>
  </si>
  <si>
    <t>Schl. Community</t>
  </si>
  <si>
    <t>Energy for</t>
  </si>
  <si>
    <t>500 kW &amp;</t>
  </si>
  <si>
    <t>500-4,999 kW</t>
  </si>
  <si>
    <t>Farm &amp; Non Farm</t>
  </si>
  <si>
    <t>&amp; 3 Phase Farm</t>
  </si>
  <si>
    <t>&lt; Than 50 kW</t>
  </si>
  <si>
    <t>Halls &amp; Parks</t>
  </si>
  <si>
    <t>Lights</t>
  </si>
  <si>
    <t>(B)</t>
  </si>
  <si>
    <t>&gt;500 kW</t>
  </si>
  <si>
    <t>500-4999 KW</t>
  </si>
  <si>
    <t>Over (C)</t>
  </si>
  <si>
    <t>WellHead</t>
  </si>
  <si>
    <t>NOTE:  This sum is not same as sum on power cost SS.  Numbers that were summed on power cost ss differ from billing analysis</t>
  </si>
  <si>
    <t>B and C Sum</t>
  </si>
  <si>
    <t>Rate E</t>
  </si>
  <si>
    <t xml:space="preserve">Residential  </t>
  </si>
  <si>
    <t xml:space="preserve">Small Commercial  </t>
  </si>
  <si>
    <t>Large Power 50-500</t>
  </si>
  <si>
    <t>Large Power 500-4999</t>
  </si>
  <si>
    <t>Large Power &lt;50</t>
  </si>
  <si>
    <t>Schools, Churches</t>
  </si>
  <si>
    <t>Out Door Lighting</t>
  </si>
  <si>
    <t>Wellhead</t>
  </si>
  <si>
    <t>Totals are off and forced</t>
  </si>
  <si>
    <t>Overwrote hard changes to make acutal results</t>
  </si>
  <si>
    <t>G&amp;T Capital Credits</t>
  </si>
  <si>
    <t>Use Actual Value to 25 foot poles</t>
  </si>
  <si>
    <t>Use linest Line</t>
  </si>
  <si>
    <t>Zero out ETS because lines accounted for in residential rate</t>
  </si>
  <si>
    <t>Zero out ETS because lines accounted for in residensmall commercial rate</t>
  </si>
  <si>
    <t>1000 KVA</t>
  </si>
  <si>
    <t>NA</t>
  </si>
  <si>
    <t>1/0 Al</t>
  </si>
  <si>
    <t>4/0 Al</t>
  </si>
  <si>
    <t>got cost from CPR CL200 meters</t>
  </si>
  <si>
    <t>got cost from CPR 4S 3Phase Meters</t>
  </si>
  <si>
    <t>Got cost per unit from CPR</t>
  </si>
  <si>
    <t>3 KVA</t>
  </si>
  <si>
    <t>15 KVA</t>
  </si>
  <si>
    <t>100 KVA</t>
  </si>
  <si>
    <t>300 KVA</t>
  </si>
  <si>
    <t>Took from previous COSS</t>
  </si>
  <si>
    <t>Materials</t>
  </si>
  <si>
    <t>&amp; Supplies</t>
  </si>
  <si>
    <t>December 2012</t>
  </si>
  <si>
    <t>January 2013</t>
  </si>
  <si>
    <t>CLASSIFICATION OF RATE BASE</t>
  </si>
  <si>
    <t xml:space="preserve">Related </t>
  </si>
  <si>
    <t xml:space="preserve">  Related</t>
  </si>
  <si>
    <t>Consumer &amp; Accounting Services</t>
  </si>
  <si>
    <t>ALLOCATION OF RATE BASE TO RATE CLASSES</t>
  </si>
  <si>
    <t>Statopms</t>
  </si>
  <si>
    <t>Consum. &amp; Acct. Serives</t>
  </si>
  <si>
    <t>fication</t>
  </si>
  <si>
    <t>Classi-</t>
  </si>
  <si>
    <t xml:space="preserve"> =sum(</t>
  </si>
  <si>
    <t>Percent of Total</t>
  </si>
  <si>
    <t>June 2013 - Mary Elizabeth Purvis &amp; James Adkins</t>
  </si>
  <si>
    <t>GTCCs</t>
  </si>
  <si>
    <t>CASE NO, 2013-00219</t>
  </si>
  <si>
    <t xml:space="preserve">Page 1 of    </t>
  </si>
  <si>
    <t>REVISED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</si>
</sst>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%"/>
    <numFmt numFmtId="169" formatCode="_(* #,##0.0000_);_(* \(#,##0.0000\);_(* &quot;-&quot;??_);_(@_)"/>
    <numFmt numFmtId="170" formatCode="_(* #,##0.000_);_(* \(#,##0.000\);_(* &quot;-&quot;??_);_(@_)"/>
    <numFmt numFmtId="171" formatCode="0.0000"/>
    <numFmt numFmtId="172" formatCode="_(* #,##0.00000_);_(* \(#,##0.00000\);_(* &quot;-&quot;??_);_(@_)"/>
    <numFmt numFmtId="173" formatCode="0.00000%"/>
    <numFmt numFmtId="174" formatCode="_(* #,##0.000000_);_(* \(#,##0.000000\);_(* &quot;-&quot;??_);_(@_)"/>
    <numFmt numFmtId="175" formatCode="0.000"/>
    <numFmt numFmtId="176" formatCode="_(&quot;$&quot;* #,##0.000_);_(&quot;$&quot;* \(#,##0.000\);_(&quot;$&quot;* &quot;-&quot;??_);_(@_)"/>
    <numFmt numFmtId="177" formatCode="_(&quot;$&quot;* #,##0.0000_);_(&quot;$&quot;* \(#,##0.0000\);_(&quot;$&quot;* &quot;-&quot;??_);_(@_)"/>
    <numFmt numFmtId="178" formatCode="_(&quot;$&quot;* #,##0.00000_);_(&quot;$&quot;* \(#,##0.00000\);_(&quot;$&quot;* &quot;-&quot;??_);_(@_)"/>
    <numFmt numFmtId="179" formatCode="_(&quot;$&quot;* #,##0.000000_);_(&quot;$&quot;* \(#,##0.000000\);_(&quot;$&quot;* &quot;-&quot;??_);_(@_)"/>
    <numFmt numFmtId="180" formatCode="0.0000%"/>
  </numFmts>
  <fonts count="43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P-TIMES"/>
    </font>
    <font>
      <sz val="10"/>
      <name val="Arial"/>
      <family val="2"/>
    </font>
    <font>
      <u val="singleAccounting"/>
      <sz val="10"/>
      <name val="Arial"/>
      <family val="2"/>
    </font>
    <font>
      <b/>
      <sz val="26"/>
      <name val="Arial"/>
      <family val="2"/>
    </font>
    <font>
      <u val="singleAccounting"/>
      <sz val="11"/>
      <name val="Arial"/>
      <family val="2"/>
    </font>
    <font>
      <sz val="11"/>
      <name val="P-TIMES"/>
    </font>
    <font>
      <sz val="11"/>
      <name val="Arial"/>
      <family val="2"/>
    </font>
    <font>
      <u val="singleAccounting"/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 val="singleAccounting"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b/>
      <u val="singleAccounting"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/>
    <xf numFmtId="165" fontId="4" fillId="0" borderId="0" xfId="1" applyNumberFormat="1" applyFont="1" applyFill="1" applyBorder="1"/>
    <xf numFmtId="165" fontId="5" fillId="0" borderId="2" xfId="1" applyNumberFormat="1" applyFont="1" applyFill="1" applyBorder="1"/>
    <xf numFmtId="165" fontId="5" fillId="0" borderId="0" xfId="1" applyNumberFormat="1" applyFont="1" applyFill="1"/>
    <xf numFmtId="165" fontId="5" fillId="0" borderId="0" xfId="0" applyNumberFormat="1" applyFont="1"/>
    <xf numFmtId="10" fontId="5" fillId="0" borderId="0" xfId="3" applyNumberFormat="1" applyFont="1"/>
    <xf numFmtId="165" fontId="5" fillId="0" borderId="0" xfId="1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0" xfId="0" applyBorder="1"/>
    <xf numFmtId="0" fontId="0" fillId="0" borderId="2" xfId="0" applyBorder="1"/>
    <xf numFmtId="0" fontId="5" fillId="0" borderId="0" xfId="0" applyFont="1" applyBorder="1"/>
    <xf numFmtId="165" fontId="11" fillId="0" borderId="0" xfId="1" applyNumberFormat="1" applyFont="1" applyBorder="1"/>
    <xf numFmtId="165" fontId="11" fillId="0" borderId="0" xfId="1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165" fontId="11" fillId="0" borderId="3" xfId="1" applyNumberFormat="1" applyFont="1" applyBorder="1"/>
    <xf numFmtId="165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1" fillId="0" borderId="2" xfId="1" applyNumberFormat="1" applyFont="1" applyBorder="1"/>
    <xf numFmtId="0" fontId="13" fillId="0" borderId="0" xfId="0" applyFont="1"/>
    <xf numFmtId="165" fontId="13" fillId="0" borderId="0" xfId="1" applyNumberFormat="1" applyFont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3" fillId="0" borderId="5" xfId="1" applyNumberFormat="1" applyFont="1" applyBorder="1"/>
    <xf numFmtId="165" fontId="13" fillId="0" borderId="7" xfId="1" applyNumberFormat="1" applyFont="1" applyBorder="1"/>
    <xf numFmtId="0" fontId="13" fillId="0" borderId="4" xfId="0" applyFont="1" applyBorder="1" applyAlignment="1">
      <alignment horizontal="center"/>
    </xf>
    <xf numFmtId="165" fontId="11" fillId="0" borderId="0" xfId="1" applyNumberFormat="1" applyFont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5" fontId="11" fillId="0" borderId="3" xfId="1" applyNumberFormat="1" applyFont="1" applyBorder="1" applyAlignment="1">
      <alignment horizontal="center"/>
    </xf>
    <xf numFmtId="165" fontId="11" fillId="0" borderId="2" xfId="0" applyNumberFormat="1" applyFont="1" applyBorder="1"/>
    <xf numFmtId="38" fontId="11" fillId="0" borderId="8" xfId="0" applyNumberFormat="1" applyFont="1" applyBorder="1"/>
    <xf numFmtId="165" fontId="11" fillId="0" borderId="8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Fill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1" fillId="0" borderId="5" xfId="1" applyNumberFormat="1" applyFont="1" applyBorder="1"/>
    <xf numFmtId="165" fontId="11" fillId="0" borderId="7" xfId="0" applyNumberFormat="1" applyFont="1" applyBorder="1"/>
    <xf numFmtId="165" fontId="5" fillId="0" borderId="4" xfId="1" applyNumberFormat="1" applyFont="1" applyBorder="1" applyAlignment="1">
      <alignment horizontal="center"/>
    </xf>
    <xf numFmtId="165" fontId="5" fillId="0" borderId="5" xfId="1" applyNumberFormat="1" applyFont="1" applyBorder="1"/>
    <xf numFmtId="165" fontId="5" fillId="0" borderId="6" xfId="1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5" fontId="13" fillId="0" borderId="6" xfId="0" applyNumberFormat="1" applyFont="1" applyBorder="1"/>
    <xf numFmtId="0" fontId="0" fillId="0" borderId="5" xfId="0" applyBorder="1"/>
    <xf numFmtId="165" fontId="5" fillId="0" borderId="0" xfId="0" applyNumberFormat="1" applyFont="1" applyFill="1"/>
    <xf numFmtId="0" fontId="0" fillId="0" borderId="0" xfId="0" applyAlignment="1">
      <alignment horizontal="right"/>
    </xf>
    <xf numFmtId="0" fontId="0" fillId="0" borderId="6" xfId="0" applyBorder="1"/>
    <xf numFmtId="0" fontId="5" fillId="0" borderId="4" xfId="0" applyFont="1" applyBorder="1" applyAlignment="1">
      <alignment horizontal="center"/>
    </xf>
    <xf numFmtId="10" fontId="5" fillId="0" borderId="0" xfId="3" applyNumberFormat="1" applyFont="1" applyBorder="1"/>
    <xf numFmtId="0" fontId="12" fillId="0" borderId="6" xfId="0" applyFont="1" applyBorder="1" applyAlignment="1">
      <alignment horizontal="center"/>
    </xf>
    <xf numFmtId="0" fontId="0" fillId="0" borderId="4" xfId="0" applyBorder="1"/>
    <xf numFmtId="0" fontId="19" fillId="0" borderId="0" xfId="0" applyFont="1"/>
    <xf numFmtId="37" fontId="18" fillId="0" borderId="16" xfId="0" applyNumberFormat="1" applyFont="1" applyBorder="1" applyProtection="1"/>
    <xf numFmtId="165" fontId="5" fillId="0" borderId="10" xfId="1" applyNumberFormat="1" applyFont="1" applyBorder="1"/>
    <xf numFmtId="10" fontId="5" fillId="0" borderId="6" xfId="3" applyNumberFormat="1" applyFont="1" applyBorder="1"/>
    <xf numFmtId="43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5" fillId="0" borderId="5" xfId="1" applyFont="1" applyBorder="1"/>
    <xf numFmtId="0" fontId="19" fillId="0" borderId="0" xfId="0" applyFont="1" applyBorder="1"/>
    <xf numFmtId="10" fontId="5" fillId="0" borderId="5" xfId="3" applyNumberFormat="1" applyFont="1" applyBorder="1"/>
    <xf numFmtId="165" fontId="5" fillId="0" borderId="5" xfId="0" applyNumberFormat="1" applyFont="1" applyBorder="1"/>
    <xf numFmtId="9" fontId="5" fillId="0" borderId="5" xfId="3" applyFont="1" applyBorder="1"/>
    <xf numFmtId="165" fontId="5" fillId="0" borderId="6" xfId="0" applyNumberFormat="1" applyFont="1" applyBorder="1"/>
    <xf numFmtId="0" fontId="5" fillId="0" borderId="1" xfId="0" applyFont="1" applyBorder="1"/>
    <xf numFmtId="0" fontId="5" fillId="0" borderId="17" xfId="0" applyFont="1" applyBorder="1"/>
    <xf numFmtId="165" fontId="5" fillId="0" borderId="17" xfId="1" applyNumberFormat="1" applyFont="1" applyBorder="1"/>
    <xf numFmtId="10" fontId="5" fillId="0" borderId="18" xfId="3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Fill="1" applyBorder="1"/>
    <xf numFmtId="3" fontId="19" fillId="0" borderId="5" xfId="0" applyNumberFormat="1" applyFont="1" applyBorder="1"/>
    <xf numFmtId="37" fontId="5" fillId="0" borderId="5" xfId="0" applyNumberFormat="1" applyFont="1" applyBorder="1"/>
    <xf numFmtId="0" fontId="19" fillId="0" borderId="5" xfId="0" applyFont="1" applyBorder="1"/>
    <xf numFmtId="43" fontId="5" fillId="0" borderId="5" xfId="0" applyNumberFormat="1" applyFont="1" applyBorder="1" applyAlignment="1">
      <alignment horizontal="center"/>
    </xf>
    <xf numFmtId="0" fontId="0" fillId="0" borderId="0" xfId="0" applyFill="1" applyBorder="1" applyAlignment="1"/>
    <xf numFmtId="0" fontId="5" fillId="0" borderId="13" xfId="0" applyFont="1" applyBorder="1"/>
    <xf numFmtId="0" fontId="5" fillId="0" borderId="0" xfId="0" applyFont="1" applyFill="1" applyBorder="1" applyAlignment="1"/>
    <xf numFmtId="165" fontId="11" fillId="0" borderId="0" xfId="0" applyNumberFormat="1" applyFont="1" applyBorder="1"/>
    <xf numFmtId="166" fontId="5" fillId="0" borderId="5" xfId="3" applyNumberFormat="1" applyFont="1" applyBorder="1"/>
    <xf numFmtId="3" fontId="5" fillId="0" borderId="0" xfId="0" applyNumberFormat="1" applyFont="1"/>
    <xf numFmtId="0" fontId="24" fillId="0" borderId="0" xfId="0" applyFont="1"/>
    <xf numFmtId="165" fontId="13" fillId="0" borderId="7" xfId="0" applyNumberFormat="1" applyFont="1" applyBorder="1"/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10" fontId="4" fillId="0" borderId="0" xfId="3" applyNumberFormat="1" applyFont="1" applyFill="1" applyBorder="1"/>
    <xf numFmtId="43" fontId="5" fillId="0" borderId="0" xfId="1" applyFont="1" applyFill="1"/>
    <xf numFmtId="43" fontId="5" fillId="0" borderId="0" xfId="1" applyFont="1" applyFill="1" applyBorder="1"/>
    <xf numFmtId="43" fontId="9" fillId="0" borderId="0" xfId="1" applyFont="1" applyFill="1" applyBorder="1"/>
    <xf numFmtId="43" fontId="20" fillId="0" borderId="19" xfId="1" applyFont="1" applyFill="1" applyBorder="1" applyAlignment="1">
      <alignment horizontal="center"/>
    </xf>
    <xf numFmtId="43" fontId="20" fillId="0" borderId="27" xfId="1" applyFont="1" applyFill="1" applyBorder="1" applyAlignment="1">
      <alignment horizontal="center"/>
    </xf>
    <xf numFmtId="165" fontId="20" fillId="0" borderId="27" xfId="1" applyNumberFormat="1" applyFont="1" applyFill="1" applyBorder="1" applyAlignment="1">
      <alignment horizontal="center"/>
    </xf>
    <xf numFmtId="43" fontId="20" fillId="0" borderId="28" xfId="1" applyFont="1" applyFill="1" applyBorder="1" applyAlignment="1">
      <alignment horizontal="center"/>
    </xf>
    <xf numFmtId="43" fontId="5" fillId="0" borderId="22" xfId="1" applyFont="1" applyFill="1" applyBorder="1" applyAlignment="1">
      <alignment horizontal="center"/>
    </xf>
    <xf numFmtId="43" fontId="5" fillId="0" borderId="1" xfId="1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17" xfId="1" applyFont="1" applyFill="1" applyBorder="1"/>
    <xf numFmtId="44" fontId="5" fillId="0" borderId="17" xfId="2" applyFont="1" applyFill="1" applyBorder="1"/>
    <xf numFmtId="165" fontId="5" fillId="0" borderId="10" xfId="1" applyNumberFormat="1" applyFont="1" applyFill="1" applyBorder="1"/>
    <xf numFmtId="44" fontId="5" fillId="0" borderId="10" xfId="2" applyNumberFormat="1" applyFont="1" applyFill="1" applyBorder="1"/>
    <xf numFmtId="44" fontId="5" fillId="0" borderId="0" xfId="0" applyNumberFormat="1" applyFont="1" applyFill="1"/>
    <xf numFmtId="165" fontId="5" fillId="0" borderId="1" xfId="1" applyNumberFormat="1" applyFont="1" applyFill="1" applyBorder="1"/>
    <xf numFmtId="43" fontId="9" fillId="0" borderId="1" xfId="1" applyFont="1" applyFill="1" applyBorder="1"/>
    <xf numFmtId="3" fontId="5" fillId="0" borderId="0" xfId="0" applyNumberFormat="1" applyFont="1" applyFill="1" applyBorder="1"/>
    <xf numFmtId="0" fontId="5" fillId="0" borderId="26" xfId="0" applyFont="1" applyFill="1" applyBorder="1"/>
    <xf numFmtId="43" fontId="5" fillId="0" borderId="18" xfId="1" applyFont="1" applyFill="1" applyBorder="1"/>
    <xf numFmtId="0" fontId="9" fillId="0" borderId="0" xfId="0" applyFont="1" applyFill="1" applyBorder="1"/>
    <xf numFmtId="43" fontId="5" fillId="0" borderId="4" xfId="1" applyFont="1" applyFill="1" applyBorder="1"/>
    <xf numFmtId="0" fontId="5" fillId="0" borderId="4" xfId="0" applyFont="1" applyFill="1" applyBorder="1"/>
    <xf numFmtId="0" fontId="26" fillId="0" borderId="4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43" fontId="5" fillId="0" borderId="2" xfId="1" applyFont="1" applyFill="1" applyBorder="1"/>
    <xf numFmtId="43" fontId="9" fillId="0" borderId="0" xfId="1" applyFont="1" applyFill="1"/>
    <xf numFmtId="43" fontId="5" fillId="0" borderId="19" xfId="1" applyFont="1" applyFill="1" applyBorder="1"/>
    <xf numFmtId="43" fontId="5" fillId="0" borderId="27" xfId="1" applyFont="1" applyFill="1" applyBorder="1"/>
    <xf numFmtId="165" fontId="5" fillId="0" borderId="29" xfId="1" applyNumberFormat="1" applyFont="1" applyFill="1" applyBorder="1" applyAlignment="1">
      <alignment horizontal="center"/>
    </xf>
    <xf numFmtId="170" fontId="5" fillId="0" borderId="29" xfId="1" applyNumberFormat="1" applyFont="1" applyFill="1" applyBorder="1" applyAlignment="1">
      <alignment horizontal="center"/>
    </xf>
    <xf numFmtId="43" fontId="5" fillId="0" borderId="30" xfId="1" applyFont="1" applyFill="1" applyBorder="1" applyAlignment="1">
      <alignment horizontal="center"/>
    </xf>
    <xf numFmtId="170" fontId="5" fillId="0" borderId="0" xfId="1" applyNumberFormat="1" applyFont="1" applyFill="1" applyBorder="1" applyAlignment="1"/>
    <xf numFmtId="170" fontId="5" fillId="0" borderId="17" xfId="1" applyNumberFormat="1" applyFont="1" applyFill="1" applyBorder="1" applyAlignment="1"/>
    <xf numFmtId="165" fontId="5" fillId="0" borderId="17" xfId="1" applyNumberFormat="1" applyFont="1" applyFill="1" applyBorder="1"/>
    <xf numFmtId="3" fontId="5" fillId="0" borderId="17" xfId="0" applyNumberFormat="1" applyFont="1" applyBorder="1"/>
    <xf numFmtId="165" fontId="9" fillId="0" borderId="0" xfId="1" applyNumberFormat="1" applyFont="1" applyFill="1" applyBorder="1"/>
    <xf numFmtId="10" fontId="9" fillId="0" borderId="17" xfId="3" applyNumberFormat="1" applyFont="1" applyFill="1" applyBorder="1"/>
    <xf numFmtId="43" fontId="9" fillId="0" borderId="21" xfId="1" applyFont="1" applyFill="1" applyBorder="1"/>
    <xf numFmtId="43" fontId="9" fillId="0" borderId="26" xfId="1" applyFont="1" applyFill="1" applyBorder="1"/>
    <xf numFmtId="165" fontId="9" fillId="0" borderId="26" xfId="1" applyNumberFormat="1" applyFont="1" applyFill="1" applyBorder="1"/>
    <xf numFmtId="10" fontId="9" fillId="0" borderId="18" xfId="3" applyNumberFormat="1" applyFont="1" applyFill="1" applyBorder="1"/>
    <xf numFmtId="10" fontId="9" fillId="0" borderId="0" xfId="3" applyNumberFormat="1" applyFont="1" applyFill="1" applyBorder="1"/>
    <xf numFmtId="43" fontId="5" fillId="0" borderId="27" xfId="1" applyFont="1" applyFill="1" applyBorder="1" applyAlignment="1">
      <alignment horizontal="center"/>
    </xf>
    <xf numFmtId="43" fontId="5" fillId="0" borderId="28" xfId="1" applyFont="1" applyFill="1" applyBorder="1"/>
    <xf numFmtId="0" fontId="28" fillId="0" borderId="0" xfId="0" applyFont="1" applyFill="1"/>
    <xf numFmtId="177" fontId="5" fillId="0" borderId="0" xfId="1" applyNumberFormat="1" applyFont="1" applyFill="1" applyBorder="1"/>
    <xf numFmtId="43" fontId="5" fillId="0" borderId="21" xfId="1" applyFont="1" applyFill="1" applyBorder="1"/>
    <xf numFmtId="43" fontId="5" fillId="0" borderId="26" xfId="1" applyFont="1" applyFill="1" applyBorder="1"/>
    <xf numFmtId="165" fontId="5" fillId="0" borderId="26" xfId="0" applyNumberFormat="1" applyFont="1" applyFill="1" applyBorder="1"/>
    <xf numFmtId="165" fontId="5" fillId="0" borderId="27" xfId="1" applyNumberFormat="1" applyFont="1" applyFill="1" applyBorder="1"/>
    <xf numFmtId="172" fontId="5" fillId="0" borderId="17" xfId="1" applyNumberFormat="1" applyFont="1" applyFill="1" applyBorder="1"/>
    <xf numFmtId="165" fontId="5" fillId="0" borderId="31" xfId="1" applyNumberFormat="1" applyFont="1" applyFill="1" applyBorder="1" applyAlignment="1">
      <alignment horizontal="center"/>
    </xf>
    <xf numFmtId="165" fontId="5" fillId="0" borderId="32" xfId="1" applyNumberFormat="1" applyFont="1" applyFill="1" applyBorder="1"/>
    <xf numFmtId="10" fontId="5" fillId="0" borderId="1" xfId="1" applyNumberFormat="1" applyFont="1" applyFill="1" applyBorder="1"/>
    <xf numFmtId="10" fontId="5" fillId="0" borderId="1" xfId="3" applyNumberFormat="1" applyFont="1" applyFill="1" applyBorder="1"/>
    <xf numFmtId="43" fontId="9" fillId="0" borderId="0" xfId="1" applyFont="1" applyFill="1" applyBorder="1" applyAlignment="1"/>
    <xf numFmtId="10" fontId="5" fillId="0" borderId="0" xfId="3" applyNumberFormat="1" applyFont="1" applyFill="1" applyBorder="1"/>
    <xf numFmtId="10" fontId="5" fillId="0" borderId="0" xfId="1" applyNumberFormat="1" applyFont="1" applyFill="1" applyBorder="1"/>
    <xf numFmtId="10" fontId="9" fillId="0" borderId="26" xfId="3" applyNumberFormat="1" applyFont="1" applyFill="1" applyBorder="1"/>
    <xf numFmtId="10" fontId="9" fillId="0" borderId="33" xfId="3" applyNumberFormat="1" applyFont="1" applyFill="1" applyBorder="1" applyAlignment="1">
      <alignment horizontal="center"/>
    </xf>
    <xf numFmtId="43" fontId="5" fillId="0" borderId="34" xfId="1" applyFont="1" applyFill="1" applyBorder="1" applyAlignment="1">
      <alignment horizontal="center"/>
    </xf>
    <xf numFmtId="165" fontId="5" fillId="0" borderId="35" xfId="1" applyNumberFormat="1" applyFont="1" applyFill="1" applyBorder="1"/>
    <xf numFmtId="43" fontId="5" fillId="0" borderId="35" xfId="1" applyFont="1" applyFill="1" applyBorder="1"/>
    <xf numFmtId="10" fontId="9" fillId="0" borderId="36" xfId="3" applyNumberFormat="1" applyFont="1" applyFill="1" applyBorder="1"/>
    <xf numFmtId="10" fontId="9" fillId="0" borderId="36" xfId="3" applyNumberFormat="1" applyFont="1" applyFill="1" applyBorder="1" applyAlignment="1">
      <alignment horizontal="center"/>
    </xf>
    <xf numFmtId="165" fontId="5" fillId="0" borderId="33" xfId="1" applyNumberFormat="1" applyFont="1" applyFill="1" applyBorder="1" applyAlignment="1">
      <alignment horizontal="center"/>
    </xf>
    <xf numFmtId="43" fontId="5" fillId="0" borderId="37" xfId="1" applyFont="1" applyFill="1" applyBorder="1" applyAlignment="1">
      <alignment horizontal="center"/>
    </xf>
    <xf numFmtId="43" fontId="5" fillId="0" borderId="38" xfId="1" applyFont="1" applyFill="1" applyBorder="1" applyAlignment="1">
      <alignment horizontal="center"/>
    </xf>
    <xf numFmtId="164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43" fontId="4" fillId="0" borderId="31" xfId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165" fontId="4" fillId="0" borderId="21" xfId="1" applyNumberFormat="1" applyFont="1" applyFill="1" applyBorder="1" applyAlignment="1">
      <alignment horizontal="center"/>
    </xf>
    <xf numFmtId="43" fontId="5" fillId="0" borderId="39" xfId="1" applyFont="1" applyFill="1" applyBorder="1"/>
    <xf numFmtId="43" fontId="5" fillId="0" borderId="40" xfId="1" applyFont="1" applyFill="1" applyBorder="1"/>
    <xf numFmtId="0" fontId="26" fillId="0" borderId="41" xfId="0" applyFont="1" applyFill="1" applyBorder="1" applyAlignment="1">
      <alignment horizontal="center"/>
    </xf>
    <xf numFmtId="43" fontId="26" fillId="0" borderId="42" xfId="1" applyFont="1" applyFill="1" applyBorder="1" applyAlignment="1">
      <alignment horizontal="center"/>
    </xf>
    <xf numFmtId="44" fontId="5" fillId="0" borderId="17" xfId="2" applyFont="1" applyFill="1" applyBorder="1" applyAlignment="1">
      <alignment horizontal="center"/>
    </xf>
    <xf numFmtId="43" fontId="5" fillId="0" borderId="40" xfId="1" applyFont="1" applyFill="1" applyBorder="1" applyAlignment="1">
      <alignment horizontal="center"/>
    </xf>
    <xf numFmtId="43" fontId="5" fillId="0" borderId="43" xfId="1" applyFont="1" applyFill="1" applyBorder="1" applyAlignment="1">
      <alignment horizontal="center"/>
    </xf>
    <xf numFmtId="43" fontId="5" fillId="0" borderId="44" xfId="1" applyFont="1" applyFill="1" applyBorder="1"/>
    <xf numFmtId="43" fontId="5" fillId="0" borderId="45" xfId="1" applyFont="1" applyFill="1" applyBorder="1"/>
    <xf numFmtId="165" fontId="13" fillId="0" borderId="0" xfId="0" applyNumberFormat="1" applyFont="1"/>
    <xf numFmtId="10" fontId="0" fillId="0" borderId="6" xfId="3" applyNumberFormat="1" applyFont="1" applyBorder="1"/>
    <xf numFmtId="10" fontId="13" fillId="0" borderId="0" xfId="3" applyNumberFormat="1" applyFont="1"/>
    <xf numFmtId="0" fontId="24" fillId="0" borderId="0" xfId="0" applyFont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169" fontId="0" fillId="0" borderId="0" xfId="1" applyNumberFormat="1" applyFont="1" applyBorder="1"/>
    <xf numFmtId="0" fontId="5" fillId="0" borderId="19" xfId="0" applyFont="1" applyFill="1" applyBorder="1"/>
    <xf numFmtId="44" fontId="5" fillId="0" borderId="0" xfId="0" applyNumberFormat="1" applyFont="1" applyFill="1" applyBorder="1"/>
    <xf numFmtId="164" fontId="5" fillId="0" borderId="0" xfId="1" applyNumberFormat="1" applyFont="1" applyFill="1" applyBorder="1"/>
    <xf numFmtId="44" fontId="5" fillId="0" borderId="0" xfId="2" applyFont="1" applyFill="1" applyBorder="1"/>
    <xf numFmtId="177" fontId="5" fillId="0" borderId="17" xfId="2" applyNumberFormat="1" applyFont="1" applyFill="1" applyBorder="1"/>
    <xf numFmtId="44" fontId="5" fillId="0" borderId="26" xfId="2" applyFont="1" applyFill="1" applyBorder="1"/>
    <xf numFmtId="43" fontId="4" fillId="0" borderId="59" xfId="1" applyFont="1" applyFill="1" applyBorder="1"/>
    <xf numFmtId="0" fontId="5" fillId="0" borderId="28" xfId="0" applyFont="1" applyFill="1" applyBorder="1"/>
    <xf numFmtId="43" fontId="4" fillId="0" borderId="34" xfId="1" applyFont="1" applyFill="1" applyBorder="1"/>
    <xf numFmtId="0" fontId="5" fillId="0" borderId="38" xfId="0" applyFont="1" applyFill="1" applyBorder="1"/>
    <xf numFmtId="0" fontId="5" fillId="0" borderId="60" xfId="0" applyFont="1" applyFill="1" applyBorder="1"/>
    <xf numFmtId="165" fontId="5" fillId="0" borderId="31" xfId="1" applyNumberFormat="1" applyFont="1" applyFill="1" applyBorder="1"/>
    <xf numFmtId="43" fontId="5" fillId="0" borderId="31" xfId="1" applyFont="1" applyFill="1" applyBorder="1"/>
    <xf numFmtId="43" fontId="5" fillId="0" borderId="32" xfId="1" applyFont="1" applyFill="1" applyBorder="1"/>
    <xf numFmtId="43" fontId="5" fillId="0" borderId="33" xfId="1" applyFont="1" applyFill="1" applyBorder="1"/>
    <xf numFmtId="165" fontId="5" fillId="0" borderId="61" xfId="1" applyNumberFormat="1" applyFont="1" applyFill="1" applyBorder="1"/>
    <xf numFmtId="43" fontId="5" fillId="0" borderId="62" xfId="1" applyFont="1" applyFill="1" applyBorder="1"/>
    <xf numFmtId="165" fontId="5" fillId="0" borderId="62" xfId="1" applyNumberFormat="1" applyFont="1" applyFill="1" applyBorder="1"/>
    <xf numFmtId="165" fontId="5" fillId="0" borderId="0" xfId="0" applyNumberFormat="1" applyFont="1" applyFill="1" applyBorder="1"/>
    <xf numFmtId="43" fontId="5" fillId="0" borderId="63" xfId="1" applyFont="1" applyFill="1" applyBorder="1"/>
    <xf numFmtId="165" fontId="5" fillId="0" borderId="27" xfId="0" applyNumberFormat="1" applyFont="1" applyFill="1" applyBorder="1"/>
    <xf numFmtId="43" fontId="5" fillId="0" borderId="17" xfId="1" applyFont="1" applyFill="1" applyBorder="1" applyAlignment="1"/>
    <xf numFmtId="4" fontId="0" fillId="0" borderId="17" xfId="0" applyNumberFormat="1" applyBorder="1"/>
    <xf numFmtId="43" fontId="5" fillId="0" borderId="4" xfId="1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43" fontId="5" fillId="0" borderId="6" xfId="1" applyFont="1" applyFill="1" applyBorder="1" applyAlignment="1">
      <alignment horizontal="left"/>
    </xf>
    <xf numFmtId="43" fontId="4" fillId="0" borderId="32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0" fillId="0" borderId="26" xfId="0" applyFill="1" applyBorder="1" applyAlignment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0" fillId="0" borderId="0" xfId="0" applyNumberFormat="1"/>
    <xf numFmtId="37" fontId="5" fillId="0" borderId="0" xfId="0" applyNumberFormat="1" applyFont="1"/>
    <xf numFmtId="9" fontId="5" fillId="0" borderId="0" xfId="3" applyFont="1"/>
    <xf numFmtId="9" fontId="19" fillId="0" borderId="9" xfId="3" applyFont="1" applyBorder="1"/>
    <xf numFmtId="0" fontId="5" fillId="0" borderId="17" xfId="0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/>
    <xf numFmtId="165" fontId="5" fillId="0" borderId="24" xfId="1" applyNumberFormat="1" applyFont="1" applyFill="1" applyBorder="1" applyAlignment="1">
      <alignment horizontal="center"/>
    </xf>
    <xf numFmtId="165" fontId="27" fillId="0" borderId="0" xfId="1" applyNumberFormat="1" applyFont="1" applyFill="1" applyBorder="1"/>
    <xf numFmtId="165" fontId="5" fillId="0" borderId="2" xfId="1" applyNumberFormat="1" applyFont="1" applyBorder="1" applyAlignment="1">
      <alignment horizontal="center"/>
    </xf>
    <xf numFmtId="165" fontId="19" fillId="0" borderId="0" xfId="1" applyNumberFormat="1" applyFont="1" applyFill="1" applyBorder="1"/>
    <xf numFmtId="43" fontId="0" fillId="0" borderId="0" xfId="1" applyFont="1" applyBorder="1"/>
    <xf numFmtId="0" fontId="31" fillId="0" borderId="0" xfId="0" applyFont="1" applyAlignment="1">
      <alignment horizontal="center"/>
    </xf>
    <xf numFmtId="0" fontId="0" fillId="0" borderId="0" xfId="0" applyFill="1"/>
    <xf numFmtId="174" fontId="24" fillId="0" borderId="0" xfId="1" applyNumberFormat="1" applyFont="1"/>
    <xf numFmtId="2" fontId="33" fillId="0" borderId="0" xfId="0" applyNumberFormat="1" applyFont="1"/>
    <xf numFmtId="0" fontId="34" fillId="0" borderId="0" xfId="0" applyFont="1" applyProtection="1"/>
    <xf numFmtId="41" fontId="34" fillId="0" borderId="0" xfId="0" applyNumberFormat="1" applyFont="1"/>
    <xf numFmtId="37" fontId="0" fillId="0" borderId="0" xfId="0" applyNumberFormat="1" applyProtection="1"/>
    <xf numFmtId="0" fontId="0" fillId="0" borderId="0" xfId="0" applyProtection="1"/>
    <xf numFmtId="10" fontId="0" fillId="0" borderId="0" xfId="0" applyNumberFormat="1" applyProtection="1"/>
    <xf numFmtId="37" fontId="0" fillId="0" borderId="0" xfId="0" applyNumberFormat="1"/>
    <xf numFmtId="10" fontId="0" fillId="0" borderId="2" xfId="0" applyNumberFormat="1" applyBorder="1" applyProtection="1"/>
    <xf numFmtId="37" fontId="0" fillId="0" borderId="2" xfId="0" applyNumberFormat="1" applyBorder="1" applyProtection="1"/>
    <xf numFmtId="37" fontId="0" fillId="0" borderId="2" xfId="0" applyNumberFormat="1" applyBorder="1"/>
    <xf numFmtId="41" fontId="35" fillId="0" borderId="2" xfId="0" applyNumberFormat="1" applyFont="1" applyBorder="1"/>
    <xf numFmtId="10" fontId="0" fillId="0" borderId="0" xfId="0" applyNumberFormat="1"/>
    <xf numFmtId="10" fontId="5" fillId="0" borderId="0" xfId="0" applyNumberFormat="1" applyFont="1"/>
    <xf numFmtId="165" fontId="5" fillId="0" borderId="13" xfId="1" applyNumberFormat="1" applyFont="1" applyBorder="1"/>
    <xf numFmtId="166" fontId="5" fillId="0" borderId="0" xfId="3" applyNumberFormat="1" applyFont="1" applyBorder="1"/>
    <xf numFmtId="0" fontId="0" fillId="0" borderId="13" xfId="0" applyBorder="1"/>
    <xf numFmtId="0" fontId="14" fillId="0" borderId="5" xfId="0" applyFont="1" applyBorder="1" applyAlignment="1">
      <alignment horizontal="center"/>
    </xf>
    <xf numFmtId="165" fontId="11" fillId="0" borderId="7" xfId="1" applyNumberFormat="1" applyFont="1" applyBorder="1"/>
    <xf numFmtId="10" fontId="0" fillId="0" borderId="5" xfId="3" applyNumberFormat="1" applyFont="1" applyBorder="1"/>
    <xf numFmtId="165" fontId="5" fillId="0" borderId="4" xfId="1" applyNumberFormat="1" applyFont="1" applyBorder="1"/>
    <xf numFmtId="9" fontId="0" fillId="0" borderId="5" xfId="3" applyFont="1" applyBorder="1"/>
    <xf numFmtId="0" fontId="0" fillId="0" borderId="0" xfId="0" applyFill="1" applyProtection="1"/>
    <xf numFmtId="37" fontId="0" fillId="0" borderId="8" xfId="0" applyNumberFormat="1" applyFill="1" applyBorder="1"/>
    <xf numFmtId="37" fontId="36" fillId="0" borderId="8" xfId="0" applyNumberFormat="1" applyFont="1" applyFill="1" applyBorder="1" applyProtection="1"/>
    <xf numFmtId="9" fontId="36" fillId="0" borderId="8" xfId="3" applyFont="1" applyFill="1" applyBorder="1" applyProtection="1"/>
    <xf numFmtId="37" fontId="5" fillId="0" borderId="68" xfId="0" applyNumberFormat="1" applyFont="1" applyBorder="1"/>
    <xf numFmtId="165" fontId="0" fillId="0" borderId="8" xfId="0" applyNumberFormat="1" applyBorder="1"/>
    <xf numFmtId="165" fontId="5" fillId="0" borderId="11" xfId="1" applyNumberFormat="1" applyFont="1" applyBorder="1"/>
    <xf numFmtId="37" fontId="5" fillId="0" borderId="0" xfId="0" applyNumberFormat="1" applyFont="1" applyBorder="1"/>
    <xf numFmtId="165" fontId="5" fillId="0" borderId="16" xfId="1" applyNumberFormat="1" applyFont="1" applyBorder="1"/>
    <xf numFmtId="165" fontId="0" fillId="0" borderId="3" xfId="0" applyNumberFormat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0" fontId="0" fillId="0" borderId="3" xfId="0" applyBorder="1"/>
    <xf numFmtId="165" fontId="5" fillId="0" borderId="5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3" fontId="5" fillId="0" borderId="14" xfId="1" applyFont="1" applyFill="1" applyBorder="1"/>
    <xf numFmtId="165" fontId="5" fillId="0" borderId="14" xfId="1" applyNumberFormat="1" applyFont="1" applyFill="1" applyBorder="1"/>
    <xf numFmtId="0" fontId="0" fillId="0" borderId="1" xfId="0" applyFill="1" applyBorder="1" applyAlignment="1"/>
    <xf numFmtId="43" fontId="5" fillId="0" borderId="69" xfId="1" applyFont="1" applyFill="1" applyBorder="1"/>
    <xf numFmtId="43" fontId="5" fillId="0" borderId="70" xfId="1" applyFont="1" applyFill="1" applyBorder="1"/>
    <xf numFmtId="44" fontId="5" fillId="0" borderId="22" xfId="0" applyNumberFormat="1" applyFont="1" applyFill="1" applyBorder="1" applyAlignment="1">
      <alignment horizontal="center"/>
    </xf>
    <xf numFmtId="44" fontId="5" fillId="0" borderId="13" xfId="0" applyNumberFormat="1" applyFont="1" applyFill="1" applyBorder="1"/>
    <xf numFmtId="44" fontId="5" fillId="0" borderId="25" xfId="0" applyNumberFormat="1" applyFont="1" applyFill="1" applyBorder="1"/>
    <xf numFmtId="43" fontId="5" fillId="0" borderId="4" xfId="1" quotePrefix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center"/>
    </xf>
    <xf numFmtId="43" fontId="5" fillId="0" borderId="13" xfId="1" applyFont="1" applyFill="1" applyBorder="1"/>
    <xf numFmtId="175" fontId="5" fillId="0" borderId="13" xfId="0" applyNumberFormat="1" applyFont="1" applyFill="1" applyBorder="1"/>
    <xf numFmtId="0" fontId="28" fillId="0" borderId="10" xfId="0" applyFont="1" applyFill="1" applyBorder="1"/>
    <xf numFmtId="43" fontId="9" fillId="0" borderId="10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25" xfId="1" applyFont="1" applyFill="1" applyBorder="1"/>
    <xf numFmtId="177" fontId="5" fillId="0" borderId="18" xfId="2" applyNumberFormat="1" applyFont="1" applyFill="1" applyBorder="1"/>
    <xf numFmtId="0" fontId="0" fillId="0" borderId="17" xfId="0" applyFill="1" applyBorder="1" applyAlignment="1"/>
    <xf numFmtId="0" fontId="0" fillId="0" borderId="18" xfId="0" applyFill="1" applyBorder="1" applyAlignment="1"/>
    <xf numFmtId="43" fontId="0" fillId="0" borderId="0" xfId="0" applyNumberFormat="1" applyBorder="1"/>
    <xf numFmtId="43" fontId="0" fillId="0" borderId="26" xfId="0" applyNumberFormat="1" applyBorder="1"/>
    <xf numFmtId="165" fontId="5" fillId="0" borderId="3" xfId="1" applyNumberFormat="1" applyFont="1" applyFill="1" applyBorder="1"/>
    <xf numFmtId="3" fontId="5" fillId="0" borderId="8" xfId="0" applyNumberFormat="1" applyFont="1" applyFill="1" applyBorder="1"/>
    <xf numFmtId="165" fontId="5" fillId="0" borderId="8" xfId="0" applyNumberFormat="1" applyFont="1" applyFill="1" applyBorder="1"/>
    <xf numFmtId="165" fontId="5" fillId="0" borderId="8" xfId="1" applyNumberFormat="1" applyFont="1" applyFill="1" applyBorder="1"/>
    <xf numFmtId="43" fontId="0" fillId="0" borderId="26" xfId="1" applyFont="1" applyBorder="1"/>
    <xf numFmtId="0" fontId="19" fillId="0" borderId="11" xfId="0" applyFont="1" applyBorder="1"/>
    <xf numFmtId="0" fontId="5" fillId="0" borderId="2" xfId="0" applyFont="1" applyBorder="1"/>
    <xf numFmtId="0" fontId="5" fillId="0" borderId="25" xfId="0" applyFont="1" applyBorder="1"/>
    <xf numFmtId="43" fontId="4" fillId="0" borderId="0" xfId="1" applyFont="1" applyFill="1" applyAlignment="1">
      <alignment horizontal="center"/>
    </xf>
    <xf numFmtId="43" fontId="5" fillId="0" borderId="34" xfId="1" applyFont="1" applyFill="1" applyBorder="1" applyAlignment="1">
      <alignment horizontal="center"/>
    </xf>
    <xf numFmtId="43" fontId="5" fillId="0" borderId="60" xfId="1" applyFont="1" applyFill="1" applyBorder="1" applyAlignment="1">
      <alignment horizontal="center"/>
    </xf>
    <xf numFmtId="3" fontId="40" fillId="0" borderId="0" xfId="0" applyNumberFormat="1" applyFont="1"/>
    <xf numFmtId="165" fontId="13" fillId="0" borderId="5" xfId="0" applyNumberFormat="1" applyFont="1" applyBorder="1"/>
    <xf numFmtId="0" fontId="5" fillId="0" borderId="0" xfId="0" applyFont="1" applyAlignment="1">
      <alignment horizontal="right"/>
    </xf>
    <xf numFmtId="171" fontId="5" fillId="0" borderId="0" xfId="0" applyNumberFormat="1" applyFont="1"/>
    <xf numFmtId="1" fontId="5" fillId="0" borderId="13" xfId="0" applyNumberFormat="1" applyFont="1" applyFill="1" applyBorder="1"/>
    <xf numFmtId="1" fontId="5" fillId="0" borderId="13" xfId="1" applyNumberFormat="1" applyFont="1" applyFill="1" applyBorder="1"/>
    <xf numFmtId="177" fontId="0" fillId="0" borderId="0" xfId="0" applyNumberFormat="1" applyBorder="1"/>
    <xf numFmtId="1" fontId="0" fillId="0" borderId="0" xfId="0" applyNumberFormat="1" applyBorder="1"/>
    <xf numFmtId="177" fontId="5" fillId="0" borderId="0" xfId="2" applyNumberFormat="1" applyFont="1" applyFill="1" applyBorder="1"/>
    <xf numFmtId="0" fontId="5" fillId="0" borderId="1" xfId="0" applyFont="1" applyFill="1" applyBorder="1" applyAlignment="1"/>
    <xf numFmtId="43" fontId="0" fillId="0" borderId="17" xfId="0" applyNumberFormat="1" applyBorder="1"/>
    <xf numFmtId="165" fontId="5" fillId="0" borderId="2" xfId="0" applyNumberFormat="1" applyFont="1" applyFill="1" applyBorder="1"/>
    <xf numFmtId="0" fontId="5" fillId="0" borderId="21" xfId="0" applyFont="1" applyFill="1" applyBorder="1" applyAlignment="1"/>
    <xf numFmtId="10" fontId="5" fillId="0" borderId="0" xfId="0" applyNumberFormat="1" applyFont="1" applyBorder="1"/>
    <xf numFmtId="0" fontId="5" fillId="0" borderId="4" xfId="0" applyFont="1" applyFill="1" applyBorder="1" applyAlignment="1">
      <alignment horizontal="center"/>
    </xf>
    <xf numFmtId="38" fontId="0" fillId="0" borderId="0" xfId="0" applyNumberFormat="1"/>
    <xf numFmtId="38" fontId="0" fillId="0" borderId="3" xfId="0" applyNumberFormat="1" applyBorder="1"/>
    <xf numFmtId="10" fontId="19" fillId="0" borderId="0" xfId="0" applyNumberFormat="1" applyFont="1"/>
    <xf numFmtId="165" fontId="5" fillId="3" borderId="0" xfId="1" applyNumberFormat="1" applyFont="1" applyFill="1" applyBorder="1"/>
    <xf numFmtId="165" fontId="5" fillId="2" borderId="0" xfId="1" applyNumberFormat="1" applyFont="1" applyFill="1" applyBorder="1"/>
    <xf numFmtId="0" fontId="0" fillId="3" borderId="0" xfId="0" applyFill="1"/>
    <xf numFmtId="165" fontId="0" fillId="3" borderId="0" xfId="1" applyNumberFormat="1" applyFont="1" applyFill="1"/>
    <xf numFmtId="166" fontId="5" fillId="0" borderId="13" xfId="3" applyNumberFormat="1" applyFont="1" applyBorder="1"/>
    <xf numFmtId="166" fontId="5" fillId="0" borderId="10" xfId="3" applyNumberFormat="1" applyFont="1" applyBorder="1"/>
    <xf numFmtId="165" fontId="5" fillId="3" borderId="5" xfId="1" applyNumberFormat="1" applyFont="1" applyFill="1" applyBorder="1"/>
    <xf numFmtId="165" fontId="5" fillId="3" borderId="5" xfId="0" applyNumberFormat="1" applyFont="1" applyFill="1" applyBorder="1"/>
    <xf numFmtId="165" fontId="0" fillId="3" borderId="5" xfId="0" applyNumberFormat="1" applyFill="1" applyBorder="1"/>
    <xf numFmtId="165" fontId="5" fillId="3" borderId="13" xfId="1" applyNumberFormat="1" applyFont="1" applyFill="1" applyBorder="1"/>
    <xf numFmtId="165" fontId="5" fillId="3" borderId="10" xfId="1" applyNumberFormat="1" applyFont="1" applyFill="1" applyBorder="1"/>
    <xf numFmtId="10" fontId="5" fillId="0" borderId="0" xfId="0" applyNumberFormat="1" applyFont="1" applyFill="1"/>
    <xf numFmtId="0" fontId="4" fillId="0" borderId="23" xfId="0" applyFont="1" applyFill="1" applyBorder="1" applyAlignment="1">
      <alignment horizontal="center"/>
    </xf>
    <xf numFmtId="37" fontId="19" fillId="0" borderId="0" xfId="0" applyNumberFormat="1" applyFont="1" applyBorder="1"/>
    <xf numFmtId="0" fontId="4" fillId="0" borderId="0" xfId="0" applyFont="1" applyFill="1" applyAlignment="1">
      <alignment horizontal="center"/>
    </xf>
    <xf numFmtId="3" fontId="1" fillId="0" borderId="5" xfId="0" applyNumberFormat="1" applyFont="1" applyFill="1" applyBorder="1"/>
    <xf numFmtId="164" fontId="5" fillId="0" borderId="6" xfId="1" applyNumberFormat="1" applyFont="1" applyBorder="1"/>
    <xf numFmtId="9" fontId="1" fillId="0" borderId="0" xfId="3" applyFont="1"/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13" fillId="4" borderId="0" xfId="0" applyFont="1" applyFill="1"/>
    <xf numFmtId="0" fontId="13" fillId="4" borderId="12" xfId="0" applyFont="1" applyFill="1" applyBorder="1" applyAlignment="1">
      <alignment horizontal="center"/>
    </xf>
    <xf numFmtId="0" fontId="13" fillId="4" borderId="14" xfId="0" applyFont="1" applyFill="1" applyBorder="1"/>
    <xf numFmtId="0" fontId="13" fillId="4" borderId="13" xfId="0" applyFont="1" applyFill="1" applyBorder="1"/>
    <xf numFmtId="0" fontId="13" fillId="4" borderId="10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13" xfId="0" applyFont="1" applyFill="1" applyBorder="1" applyAlignment="1">
      <alignment horizontal="center"/>
    </xf>
    <xf numFmtId="165" fontId="13" fillId="4" borderId="0" xfId="1" applyNumberFormat="1" applyFont="1" applyFill="1" applyBorder="1" applyAlignment="1">
      <alignment horizontal="center"/>
    </xf>
    <xf numFmtId="165" fontId="13" fillId="4" borderId="0" xfId="1" applyNumberFormat="1" applyFont="1" applyFill="1" applyBorder="1"/>
    <xf numFmtId="165" fontId="13" fillId="4" borderId="13" xfId="1" applyNumberFormat="1" applyFont="1" applyFill="1" applyBorder="1"/>
    <xf numFmtId="165" fontId="13" fillId="4" borderId="0" xfId="1" applyNumberFormat="1" applyFont="1" applyFill="1"/>
    <xf numFmtId="165" fontId="13" fillId="4" borderId="0" xfId="0" applyNumberFormat="1" applyFont="1" applyFill="1"/>
    <xf numFmtId="165" fontId="13" fillId="4" borderId="2" xfId="1" applyNumberFormat="1" applyFont="1" applyFill="1" applyBorder="1"/>
    <xf numFmtId="0" fontId="15" fillId="4" borderId="0" xfId="0" applyFont="1" applyFill="1" applyBorder="1"/>
    <xf numFmtId="165" fontId="13" fillId="4" borderId="23" xfId="1" applyNumberFormat="1" applyFont="1" applyFill="1" applyBorder="1"/>
    <xf numFmtId="165" fontId="13" fillId="4" borderId="24" xfId="1" applyNumberFormat="1" applyFont="1" applyFill="1" applyBorder="1"/>
    <xf numFmtId="165" fontId="13" fillId="4" borderId="25" xfId="1" applyNumberFormat="1" applyFont="1" applyFill="1" applyBorder="1"/>
    <xf numFmtId="0" fontId="13" fillId="4" borderId="10" xfId="0" applyFont="1" applyFill="1" applyBorder="1"/>
    <xf numFmtId="165" fontId="15" fillId="4" borderId="0" xfId="1" applyNumberFormat="1" applyFont="1" applyFill="1" applyBorder="1"/>
    <xf numFmtId="0" fontId="13" fillId="4" borderId="11" xfId="0" applyFont="1" applyFill="1" applyBorder="1" applyAlignment="1">
      <alignment horizontal="center"/>
    </xf>
    <xf numFmtId="0" fontId="15" fillId="4" borderId="2" xfId="0" applyFont="1" applyFill="1" applyBorder="1"/>
    <xf numFmtId="165" fontId="13" fillId="4" borderId="14" xfId="1" applyNumberFormat="1" applyFont="1" applyFill="1" applyBorder="1"/>
    <xf numFmtId="0" fontId="0" fillId="4" borderId="0" xfId="0" applyFill="1"/>
    <xf numFmtId="165" fontId="13" fillId="4" borderId="0" xfId="0" applyNumberFormat="1" applyFont="1" applyFill="1" applyBorder="1"/>
    <xf numFmtId="167" fontId="13" fillId="4" borderId="10" xfId="0" applyNumberFormat="1" applyFont="1" applyFill="1" applyBorder="1" applyAlignment="1">
      <alignment horizontal="center"/>
    </xf>
    <xf numFmtId="3" fontId="13" fillId="4" borderId="0" xfId="0" applyNumberFormat="1" applyFont="1" applyFill="1"/>
    <xf numFmtId="0" fontId="13" fillId="4" borderId="2" xfId="0" applyFont="1" applyFill="1" applyBorder="1"/>
    <xf numFmtId="165" fontId="15" fillId="4" borderId="0" xfId="0" applyNumberFormat="1" applyFont="1" applyFill="1" applyBorder="1"/>
    <xf numFmtId="41" fontId="13" fillId="4" borderId="0" xfId="0" applyNumberFormat="1" applyFont="1" applyFill="1"/>
    <xf numFmtId="165" fontId="13" fillId="4" borderId="8" xfId="1" applyNumberFormat="1" applyFont="1" applyFill="1" applyBorder="1"/>
    <xf numFmtId="165" fontId="13" fillId="4" borderId="67" xfId="1" applyNumberFormat="1" applyFont="1" applyFill="1" applyBorder="1"/>
    <xf numFmtId="0" fontId="13" fillId="4" borderId="11" xfId="0" applyFont="1" applyFill="1" applyBorder="1"/>
    <xf numFmtId="43" fontId="13" fillId="4" borderId="2" xfId="1" applyFont="1" applyFill="1" applyBorder="1"/>
    <xf numFmtId="0" fontId="13" fillId="4" borderId="25" xfId="0" applyFont="1" applyFill="1" applyBorder="1"/>
    <xf numFmtId="165" fontId="13" fillId="4" borderId="3" xfId="1" applyNumberFormat="1" applyFont="1" applyFill="1" applyBorder="1"/>
    <xf numFmtId="4" fontId="13" fillId="4" borderId="0" xfId="0" applyNumberFormat="1" applyFont="1" applyFill="1"/>
    <xf numFmtId="165" fontId="13" fillId="4" borderId="3" xfId="0" applyNumberFormat="1" applyFont="1" applyFill="1" applyBorder="1"/>
    <xf numFmtId="4" fontId="13" fillId="4" borderId="3" xfId="0" applyNumberFormat="1" applyFont="1" applyFill="1" applyBorder="1"/>
    <xf numFmtId="3" fontId="13" fillId="4" borderId="3" xfId="0" applyNumberFormat="1" applyFont="1" applyFill="1" applyBorder="1"/>
    <xf numFmtId="0" fontId="13" fillId="4" borderId="3" xfId="0" applyFont="1" applyFill="1" applyBorder="1"/>
    <xf numFmtId="0" fontId="15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0" xfId="0" applyFont="1" applyFill="1" applyBorder="1"/>
    <xf numFmtId="0" fontId="1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/>
    <xf numFmtId="0" fontId="5" fillId="4" borderId="0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4" xfId="0" applyFont="1" applyFill="1" applyBorder="1" applyAlignment="1"/>
    <xf numFmtId="0" fontId="5" fillId="4" borderId="4" xfId="0" applyFont="1" applyFill="1" applyBorder="1"/>
    <xf numFmtId="0" fontId="5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6" xfId="0" applyFont="1" applyFill="1" applyBorder="1" applyAlignment="1"/>
    <xf numFmtId="0" fontId="5" fillId="4" borderId="6" xfId="0" applyFont="1" applyFill="1" applyBorder="1"/>
    <xf numFmtId="0" fontId="2" fillId="4" borderId="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0" fontId="9" fillId="4" borderId="0" xfId="0" applyFont="1" applyFill="1"/>
    <xf numFmtId="165" fontId="5" fillId="4" borderId="0" xfId="1" applyNumberFormat="1" applyFont="1" applyFill="1" applyBorder="1"/>
    <xf numFmtId="165" fontId="5" fillId="4" borderId="0" xfId="1" applyNumberFormat="1" applyFont="1" applyFill="1"/>
    <xf numFmtId="165" fontId="5" fillId="4" borderId="0" xfId="0" applyNumberFormat="1" applyFont="1" applyFill="1"/>
    <xf numFmtId="0" fontId="9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5" fontId="5" fillId="4" borderId="2" xfId="1" applyNumberFormat="1" applyFont="1" applyFill="1" applyBorder="1"/>
    <xf numFmtId="10" fontId="5" fillId="4" borderId="0" xfId="3" applyNumberFormat="1" applyFont="1" applyFill="1" applyBorder="1" applyAlignment="1">
      <alignment horizontal="center"/>
    </xf>
    <xf numFmtId="165" fontId="8" fillId="4" borderId="23" xfId="1" applyNumberFormat="1" applyFont="1" applyFill="1" applyBorder="1"/>
    <xf numFmtId="0" fontId="5" fillId="4" borderId="2" xfId="0" applyFont="1" applyFill="1" applyBorder="1"/>
    <xf numFmtId="0" fontId="5" fillId="4" borderId="0" xfId="0" applyFont="1" applyFill="1" applyAlignment="1">
      <alignment horizontal="left"/>
    </xf>
    <xf numFmtId="165" fontId="5" fillId="4" borderId="3" xfId="0" applyNumberFormat="1" applyFont="1" applyFill="1" applyBorder="1"/>
    <xf numFmtId="10" fontId="5" fillId="4" borderId="3" xfId="3" applyNumberFormat="1" applyFont="1" applyFill="1" applyBorder="1"/>
    <xf numFmtId="165" fontId="5" fillId="4" borderId="23" xfId="1" applyNumberFormat="1" applyFont="1" applyFill="1" applyBorder="1"/>
    <xf numFmtId="0" fontId="5" fillId="4" borderId="23" xfId="0" applyFont="1" applyFill="1" applyBorder="1"/>
    <xf numFmtId="165" fontId="5" fillId="4" borderId="23" xfId="0" applyNumberFormat="1" applyFont="1" applyFill="1" applyBorder="1"/>
    <xf numFmtId="165" fontId="5" fillId="4" borderId="14" xfId="0" applyNumberFormat="1" applyFont="1" applyFill="1" applyBorder="1"/>
    <xf numFmtId="0" fontId="9" fillId="4" borderId="0" xfId="0" applyFont="1" applyFill="1" applyAlignment="1">
      <alignment horizontal="center"/>
    </xf>
    <xf numFmtId="0" fontId="2" fillId="4" borderId="0" xfId="0" applyFont="1" applyFill="1"/>
    <xf numFmtId="165" fontId="5" fillId="4" borderId="0" xfId="0" applyNumberFormat="1" applyFont="1" applyFill="1" applyBorder="1" applyAlignment="1">
      <alignment horizontal="center"/>
    </xf>
    <xf numFmtId="10" fontId="5" fillId="4" borderId="0" xfId="3" applyNumberFormat="1" applyFont="1" applyFill="1" applyAlignment="1">
      <alignment horizontal="center"/>
    </xf>
    <xf numFmtId="165" fontId="5" fillId="4" borderId="0" xfId="0" applyNumberFormat="1" applyFont="1" applyFill="1" applyBorder="1"/>
    <xf numFmtId="165" fontId="8" fillId="4" borderId="0" xfId="1" applyNumberFormat="1" applyFont="1" applyFill="1" applyBorder="1"/>
    <xf numFmtId="165" fontId="8" fillId="4" borderId="2" xfId="1" applyNumberFormat="1" applyFont="1" applyFill="1" applyBorder="1"/>
    <xf numFmtId="165" fontId="5" fillId="4" borderId="3" xfId="1" applyNumberFormat="1" applyFont="1" applyFill="1" applyBorder="1"/>
    <xf numFmtId="9" fontId="5" fillId="4" borderId="3" xfId="3" applyFont="1" applyFill="1" applyBorder="1"/>
    <xf numFmtId="10" fontId="5" fillId="4" borderId="0" xfId="3" applyNumberFormat="1" applyFont="1" applyFill="1"/>
    <xf numFmtId="43" fontId="5" fillId="4" borderId="0" xfId="0" applyNumberFormat="1" applyFont="1" applyFill="1"/>
    <xf numFmtId="9" fontId="5" fillId="4" borderId="0" xfId="3" applyFont="1" applyFill="1" applyBorder="1"/>
    <xf numFmtId="165" fontId="5" fillId="4" borderId="2" xfId="0" applyNumberFormat="1" applyFont="1" applyFill="1" applyBorder="1"/>
    <xf numFmtId="165" fontId="4" fillId="4" borderId="0" xfId="1" applyNumberFormat="1" applyFont="1" applyFill="1" applyBorder="1"/>
    <xf numFmtId="0" fontId="0" fillId="4" borderId="0" xfId="0" applyFill="1" applyBorder="1"/>
    <xf numFmtId="166" fontId="5" fillId="4" borderId="0" xfId="3" applyNumberFormat="1" applyFont="1" applyFill="1"/>
    <xf numFmtId="166" fontId="5" fillId="4" borderId="0" xfId="0" applyNumberFormat="1" applyFont="1" applyFill="1"/>
    <xf numFmtId="166" fontId="5" fillId="4" borderId="3" xfId="3" applyNumberFormat="1" applyFont="1" applyFill="1" applyBorder="1"/>
    <xf numFmtId="0" fontId="10" fillId="4" borderId="0" xfId="0" applyFont="1" applyFill="1" applyAlignment="1">
      <alignment horizontal="center"/>
    </xf>
    <xf numFmtId="165" fontId="10" fillId="4" borderId="0" xfId="1" applyNumberFormat="1" applyFont="1" applyFill="1" applyAlignment="1">
      <alignment horizontal="center"/>
    </xf>
    <xf numFmtId="165" fontId="19" fillId="4" borderId="0" xfId="1" applyNumberFormat="1" applyFont="1" applyFill="1"/>
    <xf numFmtId="165" fontId="19" fillId="4" borderId="3" xfId="1" applyNumberFormat="1" applyFont="1" applyFill="1" applyBorder="1"/>
    <xf numFmtId="165" fontId="19" fillId="4" borderId="0" xfId="1" applyNumberFormat="1" applyFont="1" applyFill="1" applyBorder="1"/>
    <xf numFmtId="0" fontId="5" fillId="4" borderId="3" xfId="0" applyFont="1" applyFill="1" applyBorder="1"/>
    <xf numFmtId="165" fontId="8" fillId="4" borderId="3" xfId="1" applyNumberFormat="1" applyFont="1" applyFill="1" applyBorder="1"/>
    <xf numFmtId="10" fontId="19" fillId="4" borderId="0" xfId="3" applyNumberFormat="1" applyFont="1" applyFill="1"/>
    <xf numFmtId="165" fontId="5" fillId="4" borderId="0" xfId="1" applyNumberFormat="1" applyFont="1" applyFill="1" applyAlignment="1"/>
    <xf numFmtId="0" fontId="0" fillId="4" borderId="0" xfId="0" applyFill="1" applyBorder="1" applyAlignment="1">
      <alignment horizontal="center"/>
    </xf>
    <xf numFmtId="165" fontId="0" fillId="4" borderId="0" xfId="1" applyNumberFormat="1" applyFont="1" applyFill="1" applyBorder="1"/>
    <xf numFmtId="0" fontId="0" fillId="4" borderId="4" xfId="0" applyFill="1" applyBorder="1"/>
    <xf numFmtId="0" fontId="0" fillId="4" borderId="14" xfId="0" applyFill="1" applyBorder="1" applyAlignment="1">
      <alignment horizontal="center"/>
    </xf>
    <xf numFmtId="0" fontId="0" fillId="4" borderId="9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5" fontId="0" fillId="4" borderId="2" xfId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 applyAlignment="1">
      <alignment horizontal="left"/>
    </xf>
    <xf numFmtId="165" fontId="0" fillId="4" borderId="0" xfId="0" applyNumberFormat="1" applyFill="1"/>
    <xf numFmtId="165" fontId="0" fillId="4" borderId="0" xfId="0" applyNumberFormat="1" applyFill="1" applyBorder="1"/>
    <xf numFmtId="165" fontId="0" fillId="4" borderId="0" xfId="1" applyNumberFormat="1" applyFont="1" applyFill="1" applyBorder="1" applyAlignment="1">
      <alignment horizontal="left"/>
    </xf>
    <xf numFmtId="3" fontId="5" fillId="4" borderId="0" xfId="0" applyNumberFormat="1" applyFont="1" applyFill="1"/>
    <xf numFmtId="3" fontId="0" fillId="4" borderId="0" xfId="0" applyNumberFormat="1" applyFill="1"/>
    <xf numFmtId="3" fontId="40" fillId="4" borderId="0" xfId="0" applyNumberFormat="1" applyFont="1" applyFill="1"/>
    <xf numFmtId="165" fontId="0" fillId="4" borderId="2" xfId="1" applyNumberFormat="1" applyFont="1" applyFill="1" applyBorder="1"/>
    <xf numFmtId="0" fontId="0" fillId="4" borderId="2" xfId="0" applyFill="1" applyBorder="1"/>
    <xf numFmtId="165" fontId="0" fillId="4" borderId="2" xfId="0" applyNumberFormat="1" applyFill="1" applyBorder="1"/>
    <xf numFmtId="10" fontId="0" fillId="4" borderId="0" xfId="3" applyNumberFormat="1" applyFont="1" applyFill="1" applyBorder="1"/>
    <xf numFmtId="166" fontId="0" fillId="4" borderId="0" xfId="3" applyNumberFormat="1" applyFont="1" applyFill="1" applyBorder="1"/>
    <xf numFmtId="166" fontId="0" fillId="4" borderId="0" xfId="3" applyNumberFormat="1" applyFont="1" applyFill="1"/>
    <xf numFmtId="10" fontId="0" fillId="4" borderId="0" xfId="3" applyNumberFormat="1" applyFont="1" applyFill="1"/>
    <xf numFmtId="165" fontId="0" fillId="4" borderId="0" xfId="1" applyNumberFormat="1" applyFont="1" applyFill="1"/>
    <xf numFmtId="9" fontId="0" fillId="4" borderId="0" xfId="3" applyFont="1" applyFill="1"/>
    <xf numFmtId="37" fontId="0" fillId="4" borderId="15" xfId="0" applyNumberFormat="1" applyFill="1" applyBorder="1" applyProtection="1"/>
    <xf numFmtId="37" fontId="17" fillId="4" borderId="0" xfId="0" applyNumberFormat="1" applyFont="1" applyFill="1" applyBorder="1" applyProtection="1">
      <protection locked="0"/>
    </xf>
    <xf numFmtId="165" fontId="0" fillId="4" borderId="8" xfId="1" applyNumberFormat="1" applyFont="1" applyFill="1" applyBorder="1"/>
    <xf numFmtId="10" fontId="0" fillId="4" borderId="8" xfId="3" applyNumberFormat="1" applyFont="1" applyFill="1" applyBorder="1"/>
    <xf numFmtId="0" fontId="0" fillId="4" borderId="8" xfId="0" applyFill="1" applyBorder="1"/>
    <xf numFmtId="173" fontId="0" fillId="4" borderId="0" xfId="3" applyNumberFormat="1" applyFont="1" applyFill="1"/>
    <xf numFmtId="0" fontId="0" fillId="4" borderId="31" xfId="0" applyFill="1" applyBorder="1"/>
    <xf numFmtId="0" fontId="4" fillId="4" borderId="0" xfId="0" applyFont="1" applyFill="1"/>
    <xf numFmtId="0" fontId="0" fillId="4" borderId="33" xfId="0" applyFill="1" applyBorder="1"/>
    <xf numFmtId="16" fontId="0" fillId="4" borderId="0" xfId="0" quotePrefix="1" applyNumberFormat="1" applyFill="1" applyAlignment="1">
      <alignment horizontal="center"/>
    </xf>
    <xf numFmtId="165" fontId="1" fillId="4" borderId="0" xfId="1" applyNumberFormat="1" applyFont="1" applyFill="1"/>
    <xf numFmtId="165" fontId="1" fillId="4" borderId="0" xfId="0" applyNumberFormat="1" applyFont="1" applyFill="1"/>
    <xf numFmtId="165" fontId="0" fillId="4" borderId="73" xfId="1" applyNumberFormat="1" applyFont="1" applyFill="1" applyBorder="1"/>
    <xf numFmtId="165" fontId="1" fillId="4" borderId="73" xfId="1" applyNumberFormat="1" applyFont="1" applyFill="1" applyBorder="1"/>
    <xf numFmtId="165" fontId="0" fillId="4" borderId="73" xfId="0" applyNumberFormat="1" applyFill="1" applyBorder="1"/>
    <xf numFmtId="165" fontId="0" fillId="4" borderId="3" xfId="0" applyNumberFormat="1" applyFill="1" applyBorder="1"/>
    <xf numFmtId="0" fontId="0" fillId="4" borderId="0" xfId="0" applyFill="1" applyAlignment="1">
      <alignment horizontal="center"/>
    </xf>
    <xf numFmtId="0" fontId="24" fillId="4" borderId="0" xfId="0" applyFont="1" applyFill="1"/>
    <xf numFmtId="0" fontId="24" fillId="4" borderId="12" xfId="0" applyFont="1" applyFill="1" applyBorder="1"/>
    <xf numFmtId="0" fontId="24" fillId="4" borderId="14" xfId="0" applyFont="1" applyFill="1" applyBorder="1"/>
    <xf numFmtId="0" fontId="24" fillId="4" borderId="9" xfId="0" applyFont="1" applyFill="1" applyBorder="1"/>
    <xf numFmtId="0" fontId="24" fillId="4" borderId="10" xfId="0" applyFont="1" applyFill="1" applyBorder="1"/>
    <xf numFmtId="0" fontId="24" fillId="4" borderId="0" xfId="0" applyFont="1" applyFill="1" applyBorder="1"/>
    <xf numFmtId="0" fontId="5" fillId="4" borderId="4" xfId="0" applyFont="1" applyFill="1" applyBorder="1" applyAlignment="1">
      <alignment horizontal="center"/>
    </xf>
    <xf numFmtId="0" fontId="24" fillId="4" borderId="13" xfId="0" applyFont="1" applyFill="1" applyBorder="1"/>
    <xf numFmtId="165" fontId="24" fillId="4" borderId="0" xfId="1" applyNumberFormat="1" applyFont="1" applyFill="1" applyBorder="1"/>
    <xf numFmtId="165" fontId="24" fillId="4" borderId="13" xfId="1" applyNumberFormat="1" applyFont="1" applyFill="1" applyBorder="1"/>
    <xf numFmtId="165" fontId="24" fillId="4" borderId="0" xfId="0" applyNumberFormat="1" applyFont="1" applyFill="1" applyBorder="1"/>
    <xf numFmtId="43" fontId="24" fillId="4" borderId="23" xfId="1" applyFont="1" applyFill="1" applyBorder="1"/>
    <xf numFmtId="165" fontId="24" fillId="4" borderId="23" xfId="0" applyNumberFormat="1" applyFont="1" applyFill="1" applyBorder="1"/>
    <xf numFmtId="165" fontId="24" fillId="4" borderId="0" xfId="0" applyNumberFormat="1" applyFont="1" applyFill="1"/>
    <xf numFmtId="165" fontId="24" fillId="4" borderId="13" xfId="0" applyNumberFormat="1" applyFont="1" applyFill="1" applyBorder="1"/>
    <xf numFmtId="165" fontId="24" fillId="4" borderId="2" xfId="1" applyNumberFormat="1" applyFont="1" applyFill="1" applyBorder="1"/>
    <xf numFmtId="165" fontId="24" fillId="4" borderId="25" xfId="1" applyNumberFormat="1" applyFont="1" applyFill="1" applyBorder="1"/>
    <xf numFmtId="0" fontId="0" fillId="4" borderId="10" xfId="0" applyFill="1" applyBorder="1"/>
    <xf numFmtId="0" fontId="0" fillId="4" borderId="13" xfId="0" applyFill="1" applyBorder="1"/>
    <xf numFmtId="0" fontId="24" fillId="4" borderId="11" xfId="0" applyFont="1" applyFill="1" applyBorder="1"/>
    <xf numFmtId="0" fontId="24" fillId="4" borderId="2" xfId="0" applyFont="1" applyFill="1" applyBorder="1"/>
    <xf numFmtId="165" fontId="13" fillId="4" borderId="8" xfId="0" applyNumberFormat="1" applyFont="1" applyFill="1" applyBorder="1"/>
    <xf numFmtId="165" fontId="24" fillId="4" borderId="8" xfId="0" applyNumberFormat="1" applyFont="1" applyFill="1" applyBorder="1"/>
    <xf numFmtId="165" fontId="24" fillId="4" borderId="67" xfId="0" applyNumberFormat="1" applyFont="1" applyFill="1" applyBorder="1"/>
    <xf numFmtId="165" fontId="24" fillId="4" borderId="0" xfId="1" applyNumberFormat="1" applyFont="1" applyFill="1"/>
    <xf numFmtId="0" fontId="15" fillId="4" borderId="0" xfId="0" applyFont="1" applyFill="1"/>
    <xf numFmtId="165" fontId="24" fillId="4" borderId="14" xfId="1" applyNumberFormat="1" applyFont="1" applyFill="1" applyBorder="1"/>
    <xf numFmtId="38" fontId="24" fillId="4" borderId="14" xfId="0" applyNumberFormat="1" applyFont="1" applyFill="1" applyBorder="1"/>
    <xf numFmtId="0" fontId="24" fillId="4" borderId="14" xfId="2" applyNumberFormat="1" applyFont="1" applyFill="1" applyBorder="1"/>
    <xf numFmtId="0" fontId="24" fillId="4" borderId="25" xfId="0" applyFont="1" applyFill="1" applyBorder="1"/>
    <xf numFmtId="44" fontId="24" fillId="4" borderId="14" xfId="2" applyFont="1" applyFill="1" applyBorder="1"/>
    <xf numFmtId="44" fontId="24" fillId="4" borderId="9" xfId="2" applyFont="1" applyFill="1" applyBorder="1"/>
    <xf numFmtId="44" fontId="24" fillId="4" borderId="0" xfId="2" applyFont="1" applyFill="1" applyBorder="1"/>
    <xf numFmtId="178" fontId="24" fillId="4" borderId="0" xfId="2" applyNumberFormat="1" applyFont="1" applyFill="1" applyBorder="1"/>
    <xf numFmtId="178" fontId="24" fillId="4" borderId="0" xfId="0" applyNumberFormat="1" applyFont="1" applyFill="1" applyBorder="1"/>
    <xf numFmtId="179" fontId="24" fillId="4" borderId="0" xfId="0" applyNumberFormat="1" applyFont="1" applyFill="1" applyBorder="1"/>
    <xf numFmtId="174" fontId="24" fillId="4" borderId="0" xfId="1" applyNumberFormat="1" applyFont="1" applyFill="1" applyBorder="1"/>
    <xf numFmtId="174" fontId="24" fillId="4" borderId="13" xfId="1" applyNumberFormat="1" applyFont="1" applyFill="1" applyBorder="1"/>
    <xf numFmtId="178" fontId="24" fillId="4" borderId="0" xfId="0" applyNumberFormat="1" applyFont="1" applyFill="1"/>
    <xf numFmtId="44" fontId="24" fillId="4" borderId="13" xfId="2" applyFont="1" applyFill="1" applyBorder="1"/>
    <xf numFmtId="165" fontId="24" fillId="4" borderId="4" xfId="1" applyNumberFormat="1" applyFont="1" applyFill="1" applyBorder="1"/>
    <xf numFmtId="165" fontId="24" fillId="4" borderId="12" xfId="1" applyNumberFormat="1" applyFont="1" applyFill="1" applyBorder="1" applyAlignment="1">
      <alignment horizontal="center"/>
    </xf>
    <xf numFmtId="165" fontId="0" fillId="4" borderId="0" xfId="1" applyNumberFormat="1" applyFont="1" applyFill="1" applyBorder="1" applyAlignment="1"/>
    <xf numFmtId="165" fontId="0" fillId="4" borderId="0" xfId="1" applyNumberFormat="1" applyFont="1" applyFill="1" applyBorder="1" applyAlignment="1">
      <alignment horizontal="center"/>
    </xf>
    <xf numFmtId="165" fontId="0" fillId="4" borderId="0" xfId="1" applyNumberFormat="1" applyFont="1" applyFill="1" applyAlignment="1">
      <alignment horizontal="center"/>
    </xf>
    <xf numFmtId="165" fontId="24" fillId="4" borderId="5" xfId="1" applyNumberFormat="1" applyFont="1" applyFill="1" applyBorder="1"/>
    <xf numFmtId="165" fontId="24" fillId="4" borderId="5" xfId="1" applyNumberFormat="1" applyFont="1" applyFill="1" applyBorder="1" applyAlignment="1">
      <alignment horizontal="center"/>
    </xf>
    <xf numFmtId="165" fontId="24" fillId="4" borderId="10" xfId="1" applyNumberFormat="1" applyFont="1" applyFill="1" applyBorder="1" applyAlignment="1">
      <alignment horizontal="center"/>
    </xf>
    <xf numFmtId="165" fontId="24" fillId="4" borderId="0" xfId="1" applyNumberFormat="1" applyFont="1" applyFill="1" applyBorder="1" applyAlignment="1">
      <alignment horizontal="center"/>
    </xf>
    <xf numFmtId="165" fontId="24" fillId="4" borderId="6" xfId="1" applyNumberFormat="1" applyFont="1" applyFill="1" applyBorder="1"/>
    <xf numFmtId="165" fontId="25" fillId="4" borderId="6" xfId="1" applyNumberFormat="1" applyFont="1" applyFill="1" applyBorder="1" applyAlignment="1">
      <alignment horizontal="center"/>
    </xf>
    <xf numFmtId="165" fontId="25" fillId="4" borderId="11" xfId="1" applyNumberFormat="1" applyFont="1" applyFill="1" applyBorder="1" applyAlignment="1">
      <alignment horizontal="center"/>
    </xf>
    <xf numFmtId="165" fontId="25" fillId="4" borderId="10" xfId="1" applyNumberFormat="1" applyFont="1" applyFill="1" applyBorder="1" applyAlignment="1">
      <alignment horizontal="center"/>
    </xf>
    <xf numFmtId="165" fontId="20" fillId="4" borderId="0" xfId="1" applyNumberFormat="1" applyFont="1" applyFill="1" applyBorder="1" applyAlignment="1">
      <alignment horizontal="center"/>
    </xf>
    <xf numFmtId="165" fontId="20" fillId="4" borderId="0" xfId="1" applyNumberFormat="1" applyFont="1" applyFill="1" applyAlignment="1">
      <alignment horizontal="center"/>
    </xf>
    <xf numFmtId="165" fontId="20" fillId="4" borderId="0" xfId="1" applyNumberFormat="1" applyFont="1" applyFill="1"/>
    <xf numFmtId="165" fontId="24" fillId="4" borderId="10" xfId="1" applyNumberFormat="1" applyFont="1" applyFill="1" applyBorder="1"/>
    <xf numFmtId="165" fontId="24" fillId="4" borderId="22" xfId="1" applyNumberFormat="1" applyFont="1" applyFill="1" applyBorder="1"/>
    <xf numFmtId="165" fontId="24" fillId="4" borderId="7" xfId="1" applyNumberFormat="1" applyFont="1" applyFill="1" applyBorder="1"/>
    <xf numFmtId="165" fontId="24" fillId="4" borderId="12" xfId="1" applyNumberFormat="1" applyFont="1" applyFill="1" applyBorder="1"/>
    <xf numFmtId="165" fontId="24" fillId="4" borderId="9" xfId="1" applyNumberFormat="1" applyFont="1" applyFill="1" applyBorder="1"/>
    <xf numFmtId="165" fontId="24" fillId="4" borderId="4" xfId="1" applyNumberFormat="1" applyFont="1" applyFill="1" applyBorder="1" applyAlignment="1">
      <alignment horizontal="center"/>
    </xf>
    <xf numFmtId="165" fontId="24" fillId="4" borderId="11" xfId="1" applyNumberFormat="1" applyFont="1" applyFill="1" applyBorder="1"/>
    <xf numFmtId="37" fontId="24" fillId="4" borderId="0" xfId="0" applyNumberFormat="1" applyFont="1" applyFill="1"/>
    <xf numFmtId="44" fontId="24" fillId="4" borderId="0" xfId="2" applyFont="1" applyFill="1"/>
    <xf numFmtId="165" fontId="15" fillId="4" borderId="0" xfId="1" applyNumberFormat="1" applyFont="1" applyFill="1" applyBorder="1" applyAlignment="1"/>
    <xf numFmtId="43" fontId="15" fillId="4" borderId="0" xfId="1" applyFont="1" applyFill="1" applyBorder="1"/>
    <xf numFmtId="43" fontId="13" fillId="4" borderId="0" xfId="1" applyFont="1" applyFill="1" applyBorder="1"/>
    <xf numFmtId="43" fontId="13" fillId="4" borderId="26" xfId="1" applyFont="1" applyFill="1" applyBorder="1"/>
    <xf numFmtId="43" fontId="13" fillId="4" borderId="0" xfId="1" applyFont="1" applyFill="1"/>
    <xf numFmtId="165" fontId="13" fillId="4" borderId="63" xfId="1" applyNumberFormat="1" applyFont="1" applyFill="1" applyBorder="1" applyAlignment="1"/>
    <xf numFmtId="43" fontId="13" fillId="4" borderId="46" xfId="1" applyFont="1" applyFill="1" applyBorder="1"/>
    <xf numFmtId="43" fontId="13" fillId="4" borderId="27" xfId="1" applyFont="1" applyFill="1" applyBorder="1"/>
    <xf numFmtId="43" fontId="13" fillId="4" borderId="47" xfId="1" applyFont="1" applyFill="1" applyBorder="1" applyAlignment="1">
      <alignment horizontal="center"/>
    </xf>
    <xf numFmtId="43" fontId="13" fillId="4" borderId="48" xfId="1" applyFont="1" applyFill="1" applyBorder="1" applyAlignment="1">
      <alignment horizontal="center"/>
    </xf>
    <xf numFmtId="43" fontId="13" fillId="4" borderId="6" xfId="1" applyFont="1" applyFill="1" applyBorder="1" applyAlignment="1">
      <alignment horizontal="center"/>
    </xf>
    <xf numFmtId="43" fontId="13" fillId="4" borderId="49" xfId="1" applyFont="1" applyFill="1" applyBorder="1" applyAlignment="1">
      <alignment horizontal="center"/>
    </xf>
    <xf numFmtId="43" fontId="13" fillId="4" borderId="0" xfId="1" applyFont="1" applyFill="1" applyBorder="1" applyAlignment="1">
      <alignment horizontal="center"/>
    </xf>
    <xf numFmtId="165" fontId="13" fillId="4" borderId="64" xfId="1" applyNumberFormat="1" applyFont="1" applyFill="1" applyBorder="1" applyAlignment="1"/>
    <xf numFmtId="43" fontId="13" fillId="4" borderId="10" xfId="1" applyFont="1" applyFill="1" applyBorder="1"/>
    <xf numFmtId="43" fontId="22" fillId="4" borderId="13" xfId="1" applyFont="1" applyFill="1" applyBorder="1" applyAlignment="1">
      <alignment horizontal="center"/>
    </xf>
    <xf numFmtId="43" fontId="22" fillId="4" borderId="0" xfId="1" applyFont="1" applyFill="1" applyAlignment="1">
      <alignment horizontal="center"/>
    </xf>
    <xf numFmtId="43" fontId="22" fillId="4" borderId="35" xfId="1" applyFont="1" applyFill="1" applyBorder="1" applyAlignment="1">
      <alignment horizontal="center"/>
    </xf>
    <xf numFmtId="43" fontId="22" fillId="4" borderId="0" xfId="1" applyFont="1" applyFill="1" applyBorder="1" applyAlignment="1">
      <alignment horizontal="center"/>
    </xf>
    <xf numFmtId="165" fontId="13" fillId="4" borderId="10" xfId="1" applyNumberFormat="1" applyFont="1" applyFill="1" applyBorder="1"/>
    <xf numFmtId="10" fontId="13" fillId="4" borderId="35" xfId="3" applyNumberFormat="1" applyFont="1" applyFill="1" applyBorder="1"/>
    <xf numFmtId="10" fontId="41" fillId="4" borderId="0" xfId="3" applyNumberFormat="1" applyFont="1" applyFill="1" applyBorder="1"/>
    <xf numFmtId="10" fontId="13" fillId="4" borderId="0" xfId="3" applyNumberFormat="1" applyFont="1" applyFill="1" applyBorder="1"/>
    <xf numFmtId="0" fontId="23" fillId="4" borderId="0" xfId="0" applyFont="1" applyFill="1"/>
    <xf numFmtId="43" fontId="13" fillId="4" borderId="10" xfId="1" applyFont="1" applyFill="1" applyBorder="1" applyAlignment="1">
      <alignment horizontal="left"/>
    </xf>
    <xf numFmtId="43" fontId="13" fillId="4" borderId="5" xfId="1" applyFont="1" applyFill="1" applyBorder="1"/>
    <xf numFmtId="43" fontId="13" fillId="4" borderId="13" xfId="1" applyFont="1" applyFill="1" applyBorder="1"/>
    <xf numFmtId="165" fontId="13" fillId="4" borderId="5" xfId="1" applyNumberFormat="1" applyFont="1" applyFill="1" applyBorder="1"/>
    <xf numFmtId="3" fontId="13" fillId="4" borderId="0" xfId="0" applyNumberFormat="1" applyFont="1" applyFill="1" applyBorder="1"/>
    <xf numFmtId="165" fontId="13" fillId="4" borderId="65" xfId="1" applyNumberFormat="1" applyFont="1" applyFill="1" applyBorder="1" applyAlignment="1"/>
    <xf numFmtId="43" fontId="13" fillId="4" borderId="50" xfId="1" applyFont="1" applyFill="1" applyBorder="1"/>
    <xf numFmtId="43" fontId="13" fillId="4" borderId="51" xfId="1" applyFont="1" applyFill="1" applyBorder="1"/>
    <xf numFmtId="165" fontId="13" fillId="4" borderId="45" xfId="1" applyNumberFormat="1" applyFont="1" applyFill="1" applyBorder="1"/>
    <xf numFmtId="180" fontId="13" fillId="4" borderId="53" xfId="3" applyNumberFormat="1" applyFont="1" applyFill="1" applyBorder="1"/>
    <xf numFmtId="166" fontId="13" fillId="4" borderId="0" xfId="3" applyNumberFormat="1" applyFont="1" applyFill="1" applyBorder="1"/>
    <xf numFmtId="165" fontId="13" fillId="4" borderId="0" xfId="1" applyNumberFormat="1" applyFont="1" applyFill="1" applyBorder="1" applyAlignment="1"/>
    <xf numFmtId="165" fontId="15" fillId="4" borderId="0" xfId="1" applyNumberFormat="1" applyFont="1" applyFill="1" applyAlignment="1"/>
    <xf numFmtId="43" fontId="13" fillId="4" borderId="63" xfId="1" applyFont="1" applyFill="1" applyBorder="1" applyAlignment="1"/>
    <xf numFmtId="43" fontId="13" fillId="4" borderId="48" xfId="1" applyFont="1" applyFill="1" applyBorder="1"/>
    <xf numFmtId="0" fontId="13" fillId="4" borderId="54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165" fontId="13" fillId="4" borderId="5" xfId="1" applyNumberFormat="1" applyFont="1" applyFill="1" applyBorder="1" applyAlignment="1">
      <alignment horizontal="center"/>
    </xf>
    <xf numFmtId="43" fontId="13" fillId="4" borderId="5" xfId="1" applyFont="1" applyFill="1" applyBorder="1" applyAlignment="1">
      <alignment horizontal="center"/>
    </xf>
    <xf numFmtId="166" fontId="13" fillId="4" borderId="35" xfId="3" applyNumberFormat="1" applyFont="1" applyFill="1" applyBorder="1" applyAlignment="1">
      <alignment horizontal="center"/>
    </xf>
    <xf numFmtId="0" fontId="24" fillId="4" borderId="19" xfId="0" applyFont="1" applyFill="1" applyBorder="1"/>
    <xf numFmtId="43" fontId="13" fillId="4" borderId="28" xfId="1" applyFont="1" applyFill="1" applyBorder="1"/>
    <xf numFmtId="165" fontId="22" fillId="4" borderId="5" xfId="1" applyNumberFormat="1" applyFont="1" applyFill="1" applyBorder="1" applyAlignment="1">
      <alignment horizontal="center"/>
    </xf>
    <xf numFmtId="43" fontId="22" fillId="4" borderId="5" xfId="1" applyFont="1" applyFill="1" applyBorder="1" applyAlignment="1">
      <alignment horizontal="center"/>
    </xf>
    <xf numFmtId="166" fontId="22" fillId="4" borderId="35" xfId="3" applyNumberFormat="1" applyFont="1" applyFill="1" applyBorder="1" applyAlignment="1">
      <alignment horizontal="center"/>
    </xf>
    <xf numFmtId="0" fontId="24" fillId="4" borderId="1" xfId="0" applyFont="1" applyFill="1" applyBorder="1"/>
    <xf numFmtId="43" fontId="13" fillId="4" borderId="17" xfId="1" applyFont="1" applyFill="1" applyBorder="1"/>
    <xf numFmtId="44" fontId="13" fillId="4" borderId="5" xfId="2" applyFont="1" applyFill="1" applyBorder="1"/>
    <xf numFmtId="165" fontId="13" fillId="4" borderId="17" xfId="1" applyNumberFormat="1" applyFont="1" applyFill="1" applyBorder="1"/>
    <xf numFmtId="165" fontId="13" fillId="4" borderId="17" xfId="0" applyNumberFormat="1" applyFont="1" applyFill="1" applyBorder="1"/>
    <xf numFmtId="0" fontId="24" fillId="4" borderId="21" xfId="0" applyFont="1" applyFill="1" applyBorder="1"/>
    <xf numFmtId="0" fontId="13" fillId="4" borderId="26" xfId="0" applyFont="1" applyFill="1" applyBorder="1"/>
    <xf numFmtId="165" fontId="13" fillId="4" borderId="18" xfId="1" applyNumberFormat="1" applyFont="1" applyFill="1" applyBorder="1"/>
    <xf numFmtId="166" fontId="13" fillId="4" borderId="35" xfId="3" applyNumberFormat="1" applyFont="1" applyFill="1" applyBorder="1"/>
    <xf numFmtId="43" fontId="13" fillId="4" borderId="52" xfId="1" applyFont="1" applyFill="1" applyBorder="1"/>
    <xf numFmtId="43" fontId="13" fillId="4" borderId="43" xfId="1" applyFont="1" applyFill="1" applyBorder="1"/>
    <xf numFmtId="10" fontId="13" fillId="4" borderId="53" xfId="3" applyNumberFormat="1" applyFont="1" applyFill="1" applyBorder="1"/>
    <xf numFmtId="10" fontId="13" fillId="4" borderId="0" xfId="1" applyNumberFormat="1" applyFont="1" applyFill="1"/>
    <xf numFmtId="43" fontId="13" fillId="4" borderId="0" xfId="1" applyFont="1" applyFill="1" applyAlignment="1"/>
    <xf numFmtId="43" fontId="15" fillId="4" borderId="0" xfId="1" applyFont="1" applyFill="1" applyBorder="1" applyAlignment="1"/>
    <xf numFmtId="43" fontId="13" fillId="4" borderId="66" xfId="1" applyFont="1" applyFill="1" applyBorder="1" applyAlignment="1"/>
    <xf numFmtId="43" fontId="13" fillId="4" borderId="57" xfId="1" applyFont="1" applyFill="1" applyBorder="1"/>
    <xf numFmtId="43" fontId="13" fillId="4" borderId="58" xfId="1" applyFont="1" applyFill="1" applyBorder="1"/>
    <xf numFmtId="0" fontId="13" fillId="4" borderId="38" xfId="0" applyFont="1" applyFill="1" applyBorder="1" applyAlignment="1">
      <alignment horizontal="center"/>
    </xf>
    <xf numFmtId="0" fontId="13" fillId="4" borderId="58" xfId="0" applyFont="1" applyFill="1" applyBorder="1" applyAlignment="1">
      <alignment horizontal="center"/>
    </xf>
    <xf numFmtId="43" fontId="13" fillId="4" borderId="37" xfId="1" applyFont="1" applyFill="1" applyBorder="1"/>
    <xf numFmtId="43" fontId="13" fillId="4" borderId="5" xfId="1" applyFont="1" applyFill="1" applyBorder="1" applyAlignment="1"/>
    <xf numFmtId="0" fontId="13" fillId="4" borderId="5" xfId="0" applyFont="1" applyFill="1" applyBorder="1" applyAlignment="1">
      <alignment horizontal="center"/>
    </xf>
    <xf numFmtId="43" fontId="13" fillId="4" borderId="0" xfId="1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43" fontId="13" fillId="4" borderId="2" xfId="1" applyFont="1" applyFill="1" applyBorder="1" applyAlignment="1">
      <alignment horizontal="center"/>
    </xf>
    <xf numFmtId="165" fontId="13" fillId="4" borderId="5" xfId="1" applyNumberFormat="1" applyFont="1" applyFill="1" applyBorder="1" applyAlignment="1"/>
    <xf numFmtId="10" fontId="13" fillId="4" borderId="5" xfId="3" applyNumberFormat="1" applyFont="1" applyFill="1" applyBorder="1" applyAlignment="1">
      <alignment horizontal="center"/>
    </xf>
    <xf numFmtId="0" fontId="13" fillId="4" borderId="1" xfId="0" applyFont="1" applyFill="1" applyBorder="1"/>
    <xf numFmtId="0" fontId="4" fillId="4" borderId="5" xfId="0" applyFont="1" applyFill="1" applyBorder="1"/>
    <xf numFmtId="44" fontId="13" fillId="4" borderId="5" xfId="2" applyFont="1" applyFill="1" applyBorder="1" applyAlignment="1">
      <alignment horizontal="center"/>
    </xf>
    <xf numFmtId="12" fontId="13" fillId="4" borderId="5" xfId="1" applyNumberFormat="1" applyFont="1" applyFill="1" applyBorder="1"/>
    <xf numFmtId="43" fontId="0" fillId="4" borderId="0" xfId="0" applyNumberFormat="1" applyFill="1"/>
    <xf numFmtId="176" fontId="13" fillId="4" borderId="5" xfId="2" applyNumberFormat="1" applyFont="1" applyFill="1" applyBorder="1"/>
    <xf numFmtId="165" fontId="13" fillId="4" borderId="6" xfId="1" applyNumberFormat="1" applyFont="1" applyFill="1" applyBorder="1" applyAlignment="1"/>
    <xf numFmtId="43" fontId="13" fillId="4" borderId="11" xfId="1" applyFont="1" applyFill="1" applyBorder="1"/>
    <xf numFmtId="43" fontId="13" fillId="4" borderId="25" xfId="1" applyFont="1" applyFill="1" applyBorder="1"/>
    <xf numFmtId="43" fontId="13" fillId="4" borderId="6" xfId="1" applyFont="1" applyFill="1" applyBorder="1"/>
    <xf numFmtId="43" fontId="13" fillId="4" borderId="7" xfId="1" applyFont="1" applyFill="1" applyBorder="1"/>
    <xf numFmtId="165" fontId="13" fillId="4" borderId="7" xfId="1" applyNumberFormat="1" applyFont="1" applyFill="1" applyBorder="1" applyAlignment="1">
      <alignment horizontal="center"/>
    </xf>
    <xf numFmtId="10" fontId="13" fillId="4" borderId="7" xfId="3" applyNumberFormat="1" applyFont="1" applyFill="1" applyBorder="1" applyAlignment="1">
      <alignment horizontal="center"/>
    </xf>
    <xf numFmtId="9" fontId="13" fillId="4" borderId="0" xfId="3" applyFont="1" applyFill="1" applyBorder="1" applyAlignment="1">
      <alignment horizontal="center"/>
    </xf>
    <xf numFmtId="0" fontId="13" fillId="4" borderId="4" xfId="0" applyFont="1" applyFill="1" applyBorder="1" applyAlignment="1"/>
    <xf numFmtId="0" fontId="13" fillId="4" borderId="12" xfId="0" applyFont="1" applyFill="1" applyBorder="1"/>
    <xf numFmtId="0" fontId="13" fillId="4" borderId="9" xfId="0" applyFont="1" applyFill="1" applyBorder="1"/>
    <xf numFmtId="0" fontId="13" fillId="4" borderId="7" xfId="0" applyFont="1" applyFill="1" applyBorder="1" applyAlignment="1">
      <alignment horizontal="center"/>
    </xf>
    <xf numFmtId="0" fontId="13" fillId="4" borderId="5" xfId="0" applyFont="1" applyFill="1" applyBorder="1" applyAlignment="1"/>
    <xf numFmtId="165" fontId="13" fillId="4" borderId="5" xfId="0" applyNumberFormat="1" applyFont="1" applyFill="1" applyBorder="1" applyAlignment="1">
      <alignment horizontal="center"/>
    </xf>
    <xf numFmtId="165" fontId="13" fillId="4" borderId="5" xfId="0" applyNumberFormat="1" applyFont="1" applyFill="1" applyBorder="1" applyAlignment="1"/>
    <xf numFmtId="43" fontId="13" fillId="4" borderId="10" xfId="0" applyNumberFormat="1" applyFont="1" applyFill="1" applyBorder="1"/>
    <xf numFmtId="43" fontId="13" fillId="4" borderId="5" xfId="0" applyNumberFormat="1" applyFont="1" applyFill="1" applyBorder="1"/>
    <xf numFmtId="168" fontId="13" fillId="4" borderId="5" xfId="3" applyNumberFormat="1" applyFont="1" applyFill="1" applyBorder="1"/>
    <xf numFmtId="43" fontId="13" fillId="4" borderId="5" xfId="0" applyNumberFormat="1" applyFont="1" applyFill="1" applyBorder="1" applyAlignment="1"/>
    <xf numFmtId="0" fontId="13" fillId="4" borderId="5" xfId="0" applyFont="1" applyFill="1" applyBorder="1"/>
    <xf numFmtId="0" fontId="13" fillId="4" borderId="6" xfId="0" applyFont="1" applyFill="1" applyBorder="1" applyAlignment="1"/>
    <xf numFmtId="0" fontId="13" fillId="4" borderId="6" xfId="0" applyFont="1" applyFill="1" applyBorder="1"/>
    <xf numFmtId="166" fontId="13" fillId="4" borderId="6" xfId="3" applyNumberFormat="1" applyFont="1" applyFill="1" applyBorder="1"/>
    <xf numFmtId="0" fontId="13" fillId="4" borderId="0" xfId="0" applyFont="1" applyFill="1" applyBorder="1" applyAlignment="1"/>
    <xf numFmtId="0" fontId="24" fillId="4" borderId="0" xfId="0" applyFont="1" applyFill="1" applyAlignment="1">
      <alignment horizontal="center"/>
    </xf>
    <xf numFmtId="165" fontId="13" fillId="4" borderId="4" xfId="1" applyNumberFormat="1" applyFont="1" applyFill="1" applyBorder="1" applyAlignment="1"/>
    <xf numFmtId="43" fontId="13" fillId="4" borderId="12" xfId="1" applyFont="1" applyFill="1" applyBorder="1"/>
    <xf numFmtId="43" fontId="13" fillId="4" borderId="9" xfId="1" applyFont="1" applyFill="1" applyBorder="1"/>
    <xf numFmtId="0" fontId="13" fillId="4" borderId="4" xfId="0" applyFont="1" applyFill="1" applyBorder="1" applyAlignment="1">
      <alignment horizontal="center"/>
    </xf>
    <xf numFmtId="43" fontId="13" fillId="4" borderId="4" xfId="1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165" fontId="13" fillId="4" borderId="12" xfId="1" applyNumberFormat="1" applyFont="1" applyFill="1" applyBorder="1" applyAlignment="1">
      <alignment horizontal="left"/>
    </xf>
    <xf numFmtId="43" fontId="13" fillId="4" borderId="4" xfId="1" applyNumberFormat="1" applyFont="1" applyFill="1" applyBorder="1"/>
    <xf numFmtId="165" fontId="13" fillId="4" borderId="4" xfId="1" applyNumberFormat="1" applyFont="1" applyFill="1" applyBorder="1"/>
    <xf numFmtId="165" fontId="13" fillId="4" borderId="10" xfId="1" applyNumberFormat="1" applyFont="1" applyFill="1" applyBorder="1" applyAlignment="1">
      <alignment horizontal="left"/>
    </xf>
    <xf numFmtId="43" fontId="13" fillId="4" borderId="5" xfId="1" applyNumberFormat="1" applyFont="1" applyFill="1" applyBorder="1"/>
    <xf numFmtId="10" fontId="13" fillId="4" borderId="13" xfId="3" applyNumberFormat="1" applyFont="1" applyFill="1" applyBorder="1"/>
    <xf numFmtId="165" fontId="13" fillId="4" borderId="71" xfId="1" applyNumberFormat="1" applyFont="1" applyFill="1" applyBorder="1" applyAlignment="1"/>
    <xf numFmtId="165" fontId="13" fillId="4" borderId="72" xfId="1" applyNumberFormat="1" applyFont="1" applyFill="1" applyBorder="1" applyAlignment="1">
      <alignment horizontal="left"/>
    </xf>
    <xf numFmtId="43" fontId="13" fillId="4" borderId="0" xfId="1" applyNumberFormat="1" applyFont="1" applyFill="1" applyBorder="1"/>
    <xf numFmtId="0" fontId="0" fillId="4" borderId="11" xfId="0" applyFill="1" applyBorder="1"/>
    <xf numFmtId="165" fontId="0" fillId="4" borderId="23" xfId="0" applyNumberFormat="1" applyFill="1" applyBorder="1"/>
    <xf numFmtId="9" fontId="0" fillId="4" borderId="24" xfId="3" applyFont="1" applyFill="1" applyBorder="1"/>
    <xf numFmtId="43" fontId="0" fillId="4" borderId="0" xfId="1" applyFont="1" applyFill="1"/>
    <xf numFmtId="165" fontId="13" fillId="4" borderId="0" xfId="1" applyNumberFormat="1" applyFont="1" applyFill="1" applyAlignment="1"/>
    <xf numFmtId="165" fontId="13" fillId="4" borderId="4" xfId="1" applyNumberFormat="1" applyFont="1" applyFill="1" applyBorder="1" applyAlignment="1">
      <alignment horizontal="center"/>
    </xf>
    <xf numFmtId="165" fontId="22" fillId="4" borderId="0" xfId="1" applyNumberFormat="1" applyFont="1" applyFill="1" applyBorder="1" applyAlignment="1">
      <alignment horizontal="center"/>
    </xf>
    <xf numFmtId="44" fontId="13" fillId="4" borderId="13" xfId="2" applyFont="1" applyFill="1" applyBorder="1"/>
    <xf numFmtId="43" fontId="13" fillId="4" borderId="13" xfId="1" applyFont="1" applyFill="1" applyBorder="1" applyAlignment="1">
      <alignment horizontal="center"/>
    </xf>
    <xf numFmtId="43" fontId="14" fillId="4" borderId="5" xfId="1" applyFont="1" applyFill="1" applyBorder="1" applyAlignment="1">
      <alignment horizontal="center"/>
    </xf>
    <xf numFmtId="43" fontId="14" fillId="4" borderId="5" xfId="1" applyFont="1" applyFill="1" applyBorder="1"/>
    <xf numFmtId="0" fontId="13" fillId="4" borderId="27" xfId="0" applyFont="1" applyFill="1" applyBorder="1" applyAlignment="1">
      <alignment horizontal="center"/>
    </xf>
    <xf numFmtId="44" fontId="4" fillId="4" borderId="5" xfId="2" applyFont="1" applyFill="1" applyBorder="1"/>
    <xf numFmtId="0" fontId="13" fillId="4" borderId="46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10" xfId="0" applyFont="1" applyFill="1" applyBorder="1"/>
    <xf numFmtId="43" fontId="1" fillId="4" borderId="0" xfId="1" applyFont="1" applyFill="1" applyBorder="1"/>
    <xf numFmtId="0" fontId="1" fillId="4" borderId="5" xfId="0" applyFont="1" applyFill="1" applyBorder="1"/>
    <xf numFmtId="165" fontId="13" fillId="4" borderId="13" xfId="0" applyNumberFormat="1" applyFont="1" applyFill="1" applyBorder="1" applyAlignment="1">
      <alignment horizontal="center"/>
    </xf>
    <xf numFmtId="165" fontId="13" fillId="4" borderId="4" xfId="0" applyNumberFormat="1" applyFont="1" applyFill="1" applyBorder="1" applyAlignment="1">
      <alignment horizontal="center"/>
    </xf>
    <xf numFmtId="0" fontId="1" fillId="4" borderId="10" xfId="0" applyFont="1" applyFill="1" applyBorder="1"/>
    <xf numFmtId="165" fontId="13" fillId="4" borderId="9" xfId="0" applyNumberFormat="1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43" fontId="13" fillId="4" borderId="14" xfId="1" applyFont="1" applyFill="1" applyBorder="1"/>
    <xf numFmtId="0" fontId="32" fillId="4" borderId="0" xfId="0" applyFont="1" applyFill="1" applyBorder="1" applyAlignment="1">
      <alignment horizontal="center"/>
    </xf>
    <xf numFmtId="0" fontId="24" fillId="4" borderId="4" xfId="0" applyFont="1" applyFill="1" applyBorder="1"/>
    <xf numFmtId="0" fontId="24" fillId="4" borderId="5" xfId="0" applyFont="1" applyFill="1" applyBorder="1"/>
    <xf numFmtId="165" fontId="13" fillId="4" borderId="5" xfId="0" applyNumberFormat="1" applyFont="1" applyFill="1" applyBorder="1"/>
    <xf numFmtId="43" fontId="13" fillId="4" borderId="6" xfId="1" applyNumberFormat="1" applyFont="1" applyFill="1" applyBorder="1"/>
    <xf numFmtId="165" fontId="13" fillId="4" borderId="6" xfId="1" applyNumberFormat="1" applyFont="1" applyFill="1" applyBorder="1"/>
    <xf numFmtId="10" fontId="13" fillId="4" borderId="4" xfId="3" applyNumberFormat="1" applyFont="1" applyFill="1" applyBorder="1"/>
    <xf numFmtId="10" fontId="13" fillId="4" borderId="5" xfId="3" applyNumberFormat="1" applyFont="1" applyFill="1" applyBorder="1"/>
    <xf numFmtId="10" fontId="13" fillId="4" borderId="6" xfId="3" applyNumberFormat="1" applyFont="1" applyFill="1" applyBorder="1"/>
    <xf numFmtId="43" fontId="13" fillId="4" borderId="10" xfId="1" applyNumberFormat="1" applyFont="1" applyFill="1" applyBorder="1"/>
    <xf numFmtId="165" fontId="0" fillId="4" borderId="7" xfId="0" applyNumberFormat="1" applyFill="1" applyBorder="1"/>
    <xf numFmtId="0" fontId="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43" fontId="29" fillId="0" borderId="0" xfId="1" applyFont="1" applyFill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9" fillId="0" borderId="54" xfId="1" applyFont="1" applyFill="1" applyBorder="1" applyAlignment="1">
      <alignment horizontal="center"/>
    </xf>
    <xf numFmtId="43" fontId="9" fillId="0" borderId="55" xfId="1" applyFont="1" applyFill="1" applyBorder="1" applyAlignment="1">
      <alignment horizontal="center"/>
    </xf>
    <xf numFmtId="43" fontId="9" fillId="0" borderId="56" xfId="1" applyFont="1" applyFill="1" applyBorder="1" applyAlignment="1">
      <alignment horizontal="center"/>
    </xf>
    <xf numFmtId="165" fontId="5" fillId="0" borderId="34" xfId="1" applyNumberFormat="1" applyFont="1" applyFill="1" applyBorder="1" applyAlignment="1">
      <alignment horizontal="center"/>
    </xf>
    <xf numFmtId="165" fontId="5" fillId="0" borderId="60" xfId="1" applyNumberFormat="1" applyFont="1" applyFill="1" applyBorder="1" applyAlignment="1">
      <alignment horizontal="center"/>
    </xf>
    <xf numFmtId="165" fontId="37" fillId="4" borderId="0" xfId="1" applyNumberFormat="1" applyFont="1" applyFill="1" applyAlignment="1">
      <alignment horizontal="center"/>
    </xf>
    <xf numFmtId="165" fontId="15" fillId="4" borderId="2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'[4]9-Classification'!$B$9:$B$15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cat>
          <c:val>
            <c:numRef>
              <c:f>'[4]9-Classification'!$F$9:$F$19</c:f>
              <c:numCache>
                <c:formatCode>General</c:formatCode>
                <c:ptCount val="11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  <c:pt idx="3">
                  <c:v>460.45841944719456</c:v>
                </c:pt>
                <c:pt idx="4">
                  <c:v>618.28365280128264</c:v>
                </c:pt>
                <c:pt idx="5">
                  <c:v>766.46395427603727</c:v>
                </c:pt>
                <c:pt idx="6">
                  <c:v>952.5730248091603</c:v>
                </c:pt>
                <c:pt idx="7">
                  <c:v>1018.2885798816567</c:v>
                </c:pt>
                <c:pt idx="8">
                  <c:v>1279.2170000000001</c:v>
                </c:pt>
                <c:pt idx="9">
                  <c:v>1054.7931249999999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'[4]9-Classification'!$B$9:$B$15</c:f>
              <c:numCache>
                <c:formatCode>General</c:formatCode>
                <c:ptCount val="7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</c:numCache>
            </c:numRef>
          </c:cat>
          <c:val>
            <c:numRef>
              <c:f>'[4]9-Classification'!$G$9:$G$19</c:f>
              <c:numCache>
                <c:formatCode>General</c:formatCode>
                <c:ptCount val="11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  <c:pt idx="3">
                  <c:v>473.5336373806814</c:v>
                </c:pt>
                <c:pt idx="4">
                  <c:v>603.68840699845975</c:v>
                </c:pt>
                <c:pt idx="5">
                  <c:v>733.84317661623788</c:v>
                </c:pt>
                <c:pt idx="6">
                  <c:v>863.99794623401624</c:v>
                </c:pt>
                <c:pt idx="7">
                  <c:v>994.15271585179437</c:v>
                </c:pt>
                <c:pt idx="8">
                  <c:v>1124.3074854695728</c:v>
                </c:pt>
                <c:pt idx="9">
                  <c:v>1254.462255087351</c:v>
                </c:pt>
                <c:pt idx="10">
                  <c:v>0</c:v>
                </c:pt>
              </c:numCache>
            </c:numRef>
          </c:val>
        </c:ser>
        <c:marker val="1"/>
        <c:axId val="74644864"/>
        <c:axId val="75127040"/>
      </c:lineChart>
      <c:catAx>
        <c:axId val="74644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Pole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27040"/>
        <c:crosses val="autoZero"/>
        <c:auto val="1"/>
        <c:lblAlgn val="ctr"/>
        <c:lblOffset val="100"/>
        <c:tickLblSkip val="4"/>
        <c:tickMarkSkip val="1"/>
      </c:catAx>
      <c:valAx>
        <c:axId val="75127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Size of Pole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4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Cost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'[4]9-Classification'!$I$136:$I$148</c:f>
              <c:numCache>
                <c:formatCode>General</c:formatCode>
                <c:ptCount val="13"/>
              </c:numCache>
            </c:numRef>
          </c:xVal>
          <c:yVal>
            <c:numRef>
              <c:f>'[4]9-Classification'!$J$136:$J$146</c:f>
              <c:numCache>
                <c:formatCode>General</c:formatCode>
                <c:ptCount val="11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1"/>
          <c:order val="1"/>
          <c:tx>
            <c:v>Regression Data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'[4]9-Classification'!$I$136:$I$148</c:f>
              <c:numCache>
                <c:formatCode>General</c:formatCode>
                <c:ptCount val="13"/>
              </c:numCache>
            </c:numRef>
          </c:xVal>
          <c:yVal>
            <c:numRef>
              <c:f>'[4]9-Classification'!$K$136:$K$146</c:f>
              <c:numCache>
                <c:formatCode>General</c:formatCode>
                <c:ptCount val="11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75147904"/>
        <c:axId val="75166848"/>
      </c:scatterChart>
      <c:valAx>
        <c:axId val="7514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in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6848"/>
        <c:crosses val="autoZero"/>
        <c:crossBetween val="midCat"/>
      </c:valAx>
      <c:valAx>
        <c:axId val="7516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per Transformer 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47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4482758691"/>
          <c:y val="0"/>
          <c:w val="0.44827586206896552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'[4]9-Classification'!$J$136:$J$146</c:f>
              <c:strCache>
                <c:ptCount val="11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</c:strCache>
            </c:strRef>
          </c:xVal>
          <c:yVal>
            <c:numRef>
              <c:f>'[4]9-Classification'!$K$136:$K$146</c:f>
              <c:numCache>
                <c:formatCode>General</c:formatCode>
                <c:ptCount val="11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ser>
          <c:idx val="1"/>
          <c:order val="1"/>
          <c:tx>
            <c:v>Regression Points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'[4]9-Classification'!$J$136:$J$146</c:f>
              <c:strCache>
                <c:ptCount val="11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</c:strCache>
            </c:strRef>
          </c:xVal>
          <c:yVal>
            <c:numRef>
              <c:f>'[4]9-Classification'!$L$136:$L$147</c:f>
              <c:numCache>
                <c:formatCode>General</c:formatCode>
                <c:ptCount val="12"/>
                <c:pt idx="0">
                  <c:v>0</c:v>
                </c:pt>
                <c:pt idx="1">
                  <c:v>148.16857049495854</c:v>
                </c:pt>
                <c:pt idx="2">
                  <c:v>172.52823969377962</c:v>
                </c:pt>
                <c:pt idx="3">
                  <c:v>205.00779862554106</c:v>
                </c:pt>
                <c:pt idx="4">
                  <c:v>286.20669595494462</c:v>
                </c:pt>
                <c:pt idx="5">
                  <c:v>367.40559328434819</c:v>
                </c:pt>
                <c:pt idx="6">
                  <c:v>529.80338794315526</c:v>
                </c:pt>
                <c:pt idx="7">
                  <c:v>732.80063126666425</c:v>
                </c:pt>
                <c:pt idx="8">
                  <c:v>935.79787459017314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75474432"/>
        <c:axId val="75493376"/>
      </c:scatterChart>
      <c:valAx>
        <c:axId val="7547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Transformer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93376"/>
        <c:crosses val="autoZero"/>
        <c:crossBetween val="midCat"/>
      </c:valAx>
      <c:valAx>
        <c:axId val="75493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7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Transformer - Account 368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 Cost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'[4]9-Classification'!$J$136:$J$147</c:f>
              <c:strCache>
                <c:ptCount val="12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xVal>
          <c:yVal>
            <c:numRef>
              <c:f>'[4]9-Classification'!$K$136:$K$147</c:f>
              <c:numCache>
                <c:formatCode>General</c:formatCode>
                <c:ptCount val="12"/>
                <c:pt idx="0">
                  <c:v>0</c:v>
                </c:pt>
                <c:pt idx="1">
                  <c:v>115.4061111111111</c:v>
                </c:pt>
                <c:pt idx="2">
                  <c:v>112.81611111111111</c:v>
                </c:pt>
                <c:pt idx="3">
                  <c:v>116.82505813953489</c:v>
                </c:pt>
                <c:pt idx="4">
                  <c:v>367.46222914233812</c:v>
                </c:pt>
                <c:pt idx="5">
                  <c:v>477.50004926108369</c:v>
                </c:pt>
                <c:pt idx="6">
                  <c:v>566.56215305925491</c:v>
                </c:pt>
                <c:pt idx="7">
                  <c:v>760.09472972972969</c:v>
                </c:pt>
                <c:pt idx="8">
                  <c:v>861.05235029940116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ser>
          <c:idx val="1"/>
          <c:order val="1"/>
          <c:tx>
            <c:v>Predicted Cost - Regression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'[4]9-Classification'!$J$136:$J$147</c:f>
              <c:strCache>
                <c:ptCount val="12"/>
                <c:pt idx="0">
                  <c:v> </c:v>
                </c:pt>
                <c:pt idx="1">
                  <c:v>1.5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37.5</c:v>
                </c:pt>
                <c:pt idx="8">
                  <c:v>50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</c:strCache>
            </c:strRef>
          </c:xVal>
          <c:yVal>
            <c:numRef>
              <c:f>'[4]9-Classification'!$L$136:$L$147</c:f>
              <c:numCache>
                <c:formatCode>General</c:formatCode>
                <c:ptCount val="12"/>
                <c:pt idx="0">
                  <c:v>0</c:v>
                </c:pt>
                <c:pt idx="1">
                  <c:v>148.16857049495854</c:v>
                </c:pt>
                <c:pt idx="2">
                  <c:v>172.52823969377962</c:v>
                </c:pt>
                <c:pt idx="3">
                  <c:v>205.00779862554106</c:v>
                </c:pt>
                <c:pt idx="4">
                  <c:v>286.20669595494462</c:v>
                </c:pt>
                <c:pt idx="5">
                  <c:v>367.40559328434819</c:v>
                </c:pt>
                <c:pt idx="6">
                  <c:v>529.80338794315526</c:v>
                </c:pt>
                <c:pt idx="7">
                  <c:v>732.80063126666425</c:v>
                </c:pt>
                <c:pt idx="8">
                  <c:v>935.79787459017314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</c:ser>
        <c:axId val="75538816"/>
        <c:axId val="75541120"/>
      </c:scatterChart>
      <c:valAx>
        <c:axId val="7553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Transformer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41120"/>
        <c:crosses val="autoZero"/>
        <c:crossBetween val="midCat"/>
      </c:valAx>
      <c:valAx>
        <c:axId val="7554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Trasformer Cost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38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= Poles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'[4]9-Classification'!$F$9:$F$11</c:f>
              <c:numCache>
                <c:formatCode>General</c:formatCode>
                <c:ptCount val="3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</c:numCache>
            </c:numRef>
          </c:val>
        </c:ser>
        <c:ser>
          <c:idx val="1"/>
          <c:order val="1"/>
          <c:tx>
            <c:v>Predicted Cost+Classification!$H$27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'[4]9-Classification'!$G$9:$G$11</c:f>
              <c:numCache>
                <c:formatCode>General</c:formatCode>
                <c:ptCount val="3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</c:numCache>
            </c:numRef>
          </c:val>
        </c:ser>
        <c:marker val="1"/>
        <c:axId val="75553792"/>
        <c:axId val="75585024"/>
      </c:lineChart>
      <c:catAx>
        <c:axId val="7555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of Pole in 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85024"/>
        <c:crosses val="autoZero"/>
        <c:auto val="1"/>
        <c:lblAlgn val="ctr"/>
        <c:lblOffset val="100"/>
        <c:tickLblSkip val="1"/>
        <c:tickMarkSkip val="1"/>
      </c:catAx>
      <c:valAx>
        <c:axId val="75585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Cost - &amp;&amp;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53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Conductor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'[4]9-Classification'!$J$68:$J$76</c:f>
              <c:strCache>
                <c:ptCount val="9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  <c:pt idx="8">
                  <c:v> </c:v>
                </c:pt>
              </c:strCache>
            </c:strRef>
          </c:cat>
          <c:val>
            <c:numRef>
              <c:f>'[4]9-Classification'!$K$68:$K$76</c:f>
              <c:numCache>
                <c:formatCode>General</c:formatCode>
                <c:ptCount val="9"/>
                <c:pt idx="0">
                  <c:v>0.14927063934077764</c:v>
                </c:pt>
                <c:pt idx="1">
                  <c:v>0.18595963649488034</c:v>
                </c:pt>
                <c:pt idx="2">
                  <c:v>0.15033612410853092</c:v>
                </c:pt>
                <c:pt idx="3">
                  <c:v>0.56803282836576219</c:v>
                </c:pt>
                <c:pt idx="4">
                  <c:v>0.71271079291215167</c:v>
                </c:pt>
                <c:pt idx="5">
                  <c:v>0.76394251175227312</c:v>
                </c:pt>
                <c:pt idx="6">
                  <c:v>0.39032025478833987</c:v>
                </c:pt>
                <c:pt idx="7">
                  <c:v>1.392684490470828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Predicted Costs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'[4]9-Classification'!$J$68:$J$76</c:f>
              <c:strCache>
                <c:ptCount val="9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  <c:pt idx="8">
                  <c:v> </c:v>
                </c:pt>
              </c:strCache>
            </c:strRef>
          </c:cat>
          <c:val>
            <c:numRef>
              <c:f>'[4]9-Classification'!$L$68:$L$76</c:f>
              <c:numCache>
                <c:formatCode>General</c:formatCode>
                <c:ptCount val="9"/>
                <c:pt idx="0">
                  <c:v>0.17261958515356751</c:v>
                </c:pt>
                <c:pt idx="1">
                  <c:v>0.26270586592912831</c:v>
                </c:pt>
                <c:pt idx="2">
                  <c:v>0.29273462618764856</c:v>
                </c:pt>
                <c:pt idx="3">
                  <c:v>0.3978352870924694</c:v>
                </c:pt>
                <c:pt idx="4">
                  <c:v>0.56299346851433085</c:v>
                </c:pt>
                <c:pt idx="5">
                  <c:v>0.80322355058249295</c:v>
                </c:pt>
                <c:pt idx="6">
                  <c:v>0.92333859161657383</c:v>
                </c:pt>
                <c:pt idx="7">
                  <c:v>1.4308246399855662</c:v>
                </c:pt>
                <c:pt idx="8">
                  <c:v>0</c:v>
                </c:pt>
              </c:numCache>
            </c:numRef>
          </c:val>
        </c:ser>
        <c:marker val="1"/>
        <c:axId val="75605888"/>
        <c:axId val="75637120"/>
      </c:lineChart>
      <c:catAx>
        <c:axId val="75605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 Rating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37120"/>
        <c:crosses val="autoZero"/>
        <c:auto val="1"/>
        <c:lblAlgn val="ctr"/>
        <c:lblOffset val="100"/>
        <c:tickLblSkip val="4"/>
        <c:tickMarkSkip val="1"/>
      </c:catAx>
      <c:valAx>
        <c:axId val="75637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0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00000000000056"/>
          <c:y val="0"/>
          <c:w val="0.5625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 Cost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'[4]9-Classification'!$J$147:$J$153</c:f>
              <c:strCache>
                <c:ptCount val="7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'[4]9-Classification'!$K$147:$K$153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Predicted Cost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'[4]9-Classification'!$J$147:$J$153</c:f>
              <c:strCache>
                <c:ptCount val="7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'[4]9-Classification'!$L$147:$L$153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marker val="1"/>
        <c:axId val="75649792"/>
        <c:axId val="75652096"/>
      </c:lineChart>
      <c:catAx>
        <c:axId val="75649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2096"/>
        <c:crosses val="autoZero"/>
        <c:auto val="1"/>
        <c:lblAlgn val="ctr"/>
        <c:lblOffset val="100"/>
        <c:tickLblSkip val="1"/>
        <c:tickMarkSkip val="1"/>
      </c:catAx>
      <c:valAx>
        <c:axId val="75652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9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'[4]9-Classification'!$F$9:$F$18</c:f>
              <c:numCache>
                <c:formatCode>General</c:formatCode>
                <c:ptCount val="10"/>
                <c:pt idx="0">
                  <c:v>122.95830500183442</c:v>
                </c:pt>
                <c:pt idx="1">
                  <c:v>254.1765628687005</c:v>
                </c:pt>
                <c:pt idx="2">
                  <c:v>160.44529398762157</c:v>
                </c:pt>
                <c:pt idx="3">
                  <c:v>460.45841944719456</c:v>
                </c:pt>
                <c:pt idx="4">
                  <c:v>618.28365280128264</c:v>
                </c:pt>
                <c:pt idx="5">
                  <c:v>766.46395427603727</c:v>
                </c:pt>
                <c:pt idx="6">
                  <c:v>952.5730248091603</c:v>
                </c:pt>
                <c:pt idx="7">
                  <c:v>1018.2885798816567</c:v>
                </c:pt>
                <c:pt idx="8">
                  <c:v>1279.2170000000001</c:v>
                </c:pt>
                <c:pt idx="9">
                  <c:v>1054.7931249999999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'[4]9-Classification'!$B$9:$B$11</c:f>
              <c:numCache>
                <c:formatCode>General</c:formatCode>
                <c:ptCount val="3"/>
                <c:pt idx="0">
                  <c:v>25</c:v>
                </c:pt>
                <c:pt idx="1">
                  <c:v>30</c:v>
                </c:pt>
                <c:pt idx="2">
                  <c:v>35</c:v>
                </c:pt>
              </c:numCache>
            </c:numRef>
          </c:cat>
          <c:val>
            <c:numRef>
              <c:f>'[4]9-Classification'!$G$9:$G$18</c:f>
              <c:numCache>
                <c:formatCode>General</c:formatCode>
                <c:ptCount val="10"/>
                <c:pt idx="0">
                  <c:v>83.06932852734667</c:v>
                </c:pt>
                <c:pt idx="1">
                  <c:v>213.22409814512491</c:v>
                </c:pt>
                <c:pt idx="2">
                  <c:v>343.37886776290316</c:v>
                </c:pt>
                <c:pt idx="3">
                  <c:v>473.5336373806814</c:v>
                </c:pt>
                <c:pt idx="4">
                  <c:v>603.68840699845975</c:v>
                </c:pt>
                <c:pt idx="5">
                  <c:v>733.84317661623788</c:v>
                </c:pt>
                <c:pt idx="6">
                  <c:v>863.99794623401624</c:v>
                </c:pt>
                <c:pt idx="7">
                  <c:v>994.15271585179437</c:v>
                </c:pt>
                <c:pt idx="8">
                  <c:v>1124.3074854695728</c:v>
                </c:pt>
                <c:pt idx="9">
                  <c:v>1254.462255087351</c:v>
                </c:pt>
              </c:numCache>
            </c:numRef>
          </c:val>
        </c:ser>
        <c:marker val="1"/>
        <c:axId val="75681152"/>
        <c:axId val="75716480"/>
      </c:lineChart>
      <c:catAx>
        <c:axId val="7568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Size - 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16480"/>
        <c:crosses val="autoZero"/>
        <c:auto val="1"/>
        <c:lblAlgn val="ctr"/>
        <c:lblOffset val="100"/>
        <c:tickLblSkip val="3"/>
        <c:tickMarkSkip val="1"/>
      </c:catAx>
      <c:valAx>
        <c:axId val="7571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'[4]9-Classification'!$J$137:$J$144</c:f>
              <c:numCache>
                <c:formatCode>General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'[4]9-Classification'!$K$137:$K$144</c:f>
              <c:numCache>
                <c:formatCode>General</c:formatCode>
                <c:ptCount val="8"/>
                <c:pt idx="0">
                  <c:v>115.4061111111111</c:v>
                </c:pt>
                <c:pt idx="1">
                  <c:v>112.81611111111111</c:v>
                </c:pt>
                <c:pt idx="2">
                  <c:v>116.82505813953489</c:v>
                </c:pt>
                <c:pt idx="3">
                  <c:v>367.46222914233812</c:v>
                </c:pt>
                <c:pt idx="4">
                  <c:v>477.50004926108369</c:v>
                </c:pt>
                <c:pt idx="5">
                  <c:v>566.56215305925491</c:v>
                </c:pt>
                <c:pt idx="6">
                  <c:v>760.09472972972969</c:v>
                </c:pt>
                <c:pt idx="7">
                  <c:v>861.05235029940116</c:v>
                </c:pt>
              </c:numCache>
            </c:numRef>
          </c:val>
        </c:ser>
        <c:ser>
          <c:idx val="1"/>
          <c:order val="1"/>
          <c:tx>
            <c:v>Regression Line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'[4]9-Classification'!$J$137:$J$144</c:f>
              <c:numCache>
                <c:formatCode>General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'[4]9-Classification'!$L$137:$L$144</c:f>
              <c:numCache>
                <c:formatCode>General</c:formatCode>
                <c:ptCount val="8"/>
                <c:pt idx="0">
                  <c:v>148.16857049495854</c:v>
                </c:pt>
                <c:pt idx="1">
                  <c:v>172.52823969377962</c:v>
                </c:pt>
                <c:pt idx="2">
                  <c:v>205.00779862554106</c:v>
                </c:pt>
                <c:pt idx="3">
                  <c:v>286.20669595494462</c:v>
                </c:pt>
                <c:pt idx="4">
                  <c:v>367.40559328434819</c:v>
                </c:pt>
                <c:pt idx="5">
                  <c:v>529.80338794315526</c:v>
                </c:pt>
                <c:pt idx="6">
                  <c:v>732.80063126666425</c:v>
                </c:pt>
                <c:pt idx="7">
                  <c:v>935.79787459017314</c:v>
                </c:pt>
              </c:numCache>
            </c:numRef>
          </c:val>
        </c:ser>
        <c:marker val="1"/>
        <c:axId val="75741056"/>
        <c:axId val="75755904"/>
      </c:lineChart>
      <c:catAx>
        <c:axId val="7574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-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55904"/>
        <c:crosses val="autoZero"/>
        <c:auto val="1"/>
        <c:lblAlgn val="ctr"/>
        <c:lblOffset val="100"/>
        <c:tickLblSkip val="4"/>
        <c:tickMarkSkip val="1"/>
      </c:catAx>
      <c:valAx>
        <c:axId val="75755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'[4]9-Classification'!$J$68:$J$75</c:f>
              <c:numCache>
                <c:formatCode>General</c:formatCode>
                <c:ptCount val="8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</c:numCache>
            </c:numRef>
          </c:cat>
          <c:val>
            <c:numRef>
              <c:f>'[4]9-Classification'!$K$68:$K$75</c:f>
              <c:numCache>
                <c:formatCode>General</c:formatCode>
                <c:ptCount val="8"/>
                <c:pt idx="0">
                  <c:v>0.14927063934077764</c:v>
                </c:pt>
                <c:pt idx="1">
                  <c:v>0.18595963649488034</c:v>
                </c:pt>
                <c:pt idx="2">
                  <c:v>0.15033612410853092</c:v>
                </c:pt>
                <c:pt idx="3">
                  <c:v>0.56803282836576219</c:v>
                </c:pt>
                <c:pt idx="4">
                  <c:v>0.71271079291215167</c:v>
                </c:pt>
                <c:pt idx="5">
                  <c:v>0.76394251175227312</c:v>
                </c:pt>
                <c:pt idx="6">
                  <c:v>0.39032025478833987</c:v>
                </c:pt>
                <c:pt idx="7">
                  <c:v>1.392684490470828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'[4]9-Classification'!$J$68:$J$75</c:f>
              <c:numCache>
                <c:formatCode>General</c:formatCode>
                <c:ptCount val="8"/>
                <c:pt idx="0">
                  <c:v>100</c:v>
                </c:pt>
                <c:pt idx="1">
                  <c:v>130</c:v>
                </c:pt>
                <c:pt idx="2">
                  <c:v>140</c:v>
                </c:pt>
                <c:pt idx="3">
                  <c:v>175</c:v>
                </c:pt>
                <c:pt idx="4">
                  <c:v>230</c:v>
                </c:pt>
                <c:pt idx="5">
                  <c:v>310</c:v>
                </c:pt>
                <c:pt idx="6">
                  <c:v>350</c:v>
                </c:pt>
                <c:pt idx="7">
                  <c:v>519</c:v>
                </c:pt>
              </c:numCache>
            </c:numRef>
          </c:cat>
          <c:val>
            <c:numRef>
              <c:f>'[4]9-Classification'!$L$68:$L$75</c:f>
              <c:numCache>
                <c:formatCode>General</c:formatCode>
                <c:ptCount val="8"/>
                <c:pt idx="0">
                  <c:v>0.17261958515356751</c:v>
                </c:pt>
                <c:pt idx="1">
                  <c:v>0.26270586592912831</c:v>
                </c:pt>
                <c:pt idx="2">
                  <c:v>0.29273462618764856</c:v>
                </c:pt>
                <c:pt idx="3">
                  <c:v>0.3978352870924694</c:v>
                </c:pt>
                <c:pt idx="4">
                  <c:v>0.56299346851433085</c:v>
                </c:pt>
                <c:pt idx="5">
                  <c:v>0.80322355058249295</c:v>
                </c:pt>
                <c:pt idx="6">
                  <c:v>0.92333859161657383</c:v>
                </c:pt>
                <c:pt idx="7">
                  <c:v>1.4308246399855662</c:v>
                </c:pt>
              </c:numCache>
            </c:numRef>
          </c:val>
        </c:ser>
        <c:marker val="1"/>
        <c:axId val="75862784"/>
        <c:axId val="75865088"/>
      </c:lineChart>
      <c:catAx>
        <c:axId val="7586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 Rating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5088"/>
        <c:crosses val="autoZero"/>
        <c:auto val="1"/>
        <c:lblAlgn val="ctr"/>
        <c:lblOffset val="100"/>
        <c:tickLblSkip val="3"/>
        <c:tickMarkSkip val="1"/>
      </c:catAx>
      <c:valAx>
        <c:axId val="7586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$$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60000000000000064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layout>
        <c:manualLayout>
          <c:xMode val="edge"/>
          <c:yMode val="edge"/>
          <c:x val="0.28503937007874031"/>
          <c:y val="2.680969226672761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 PlantClass.'!#REF!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 PlantClass.'!#REF!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27929728"/>
        <c:axId val="127969152"/>
      </c:lineChart>
      <c:catAx>
        <c:axId val="12792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Feet</a:t>
                </a:r>
              </a:p>
            </c:rich>
          </c:tx>
          <c:layout>
            <c:manualLayout>
              <c:xMode val="edge"/>
              <c:yMode val="edge"/>
              <c:x val="0.50393700787401552"/>
              <c:y val="0.797587076977696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69152"/>
        <c:crosses val="autoZero"/>
        <c:auto val="1"/>
        <c:lblAlgn val="ctr"/>
        <c:lblOffset val="100"/>
        <c:tickLblSkip val="1"/>
        <c:tickMarkSkip val="1"/>
      </c:catAx>
      <c:valAx>
        <c:axId val="127969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</a:t>
                </a:r>
              </a:p>
            </c:rich>
          </c:tx>
          <c:layout>
            <c:manualLayout>
              <c:xMode val="edge"/>
              <c:yMode val="edge"/>
              <c:x val="2.2047244094488192E-2"/>
              <c:y val="0.435656865355599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2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3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layout>
        <c:manualLayout>
          <c:xMode val="edge"/>
          <c:yMode val="edge"/>
          <c:x val="0.33070866141732347"/>
          <c:y val="2.777780609139068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PlantClass.'!$B$287:$B$320</c:f>
              <c:numCache>
                <c:formatCode>General</c:formatCode>
                <c:ptCount val="34"/>
              </c:numCache>
            </c:numRef>
          </c:cat>
          <c:val>
            <c:numRef>
              <c:f>'3.1 PlantClass.'!#REF!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PlantClass.'!$B$287:$B$320</c:f>
              <c:numCache>
                <c:formatCode>General</c:formatCode>
                <c:ptCount val="34"/>
              </c:numCache>
            </c:numRef>
          </c:cat>
          <c:val>
            <c:numRef>
              <c:f>'3.1 PlantClass.'!$J$250:$J$282</c:f>
              <c:numCache>
                <c:formatCode>General</c:formatCode>
                <c:ptCount val="33"/>
              </c:numCache>
            </c:numRef>
          </c:val>
        </c:ser>
        <c:marker val="1"/>
        <c:axId val="128190720"/>
        <c:axId val="128217856"/>
      </c:lineChart>
      <c:catAx>
        <c:axId val="12819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KVA</a:t>
                </a:r>
              </a:p>
            </c:rich>
          </c:tx>
          <c:layout>
            <c:manualLayout>
              <c:xMode val="edge"/>
              <c:yMode val="edge"/>
              <c:x val="0.55118110236220452"/>
              <c:y val="0.90351003859145429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17856"/>
        <c:crosses val="autoZero"/>
        <c:auto val="1"/>
        <c:lblAlgn val="ctr"/>
        <c:lblOffset val="100"/>
        <c:tickLblSkip val="1"/>
        <c:tickMarkSkip val="1"/>
      </c:catAx>
      <c:valAx>
        <c:axId val="128217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47222281680809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2727272727272729"/>
          <c:w val="0"/>
          <c:h val="0.363636363636363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3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PlantClass.'!$B$286:$B$320</c:f>
              <c:numCache>
                <c:formatCode>_(* #,##0.00_);_(* \(#,##0.00\);_(* "-"??_);_(@_)</c:formatCode>
                <c:ptCount val="35"/>
              </c:numCache>
            </c:numRef>
          </c:cat>
          <c:val>
            <c:numRef>
              <c:f>'3.1 PlantClass.'!$I$249:$I$282</c:f>
              <c:numCache>
                <c:formatCode>General</c:formatCode>
                <c:ptCount val="34"/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PlantClass.'!$B$286:$B$320</c:f>
              <c:numCache>
                <c:formatCode>_(* #,##0.00_);_(* \(#,##0.00\);_(* "-"??_);_(@_)</c:formatCode>
                <c:ptCount val="35"/>
              </c:numCache>
            </c:numRef>
          </c:cat>
          <c:val>
            <c:numRef>
              <c:f>'3.1 PlantClass.'!$J$249:$J$282</c:f>
              <c:numCache>
                <c:formatCode>General</c:formatCode>
                <c:ptCount val="34"/>
              </c:numCache>
            </c:numRef>
          </c:val>
        </c:ser>
        <c:marker val="1"/>
        <c:axId val="128246912"/>
        <c:axId val="128249216"/>
      </c:lineChart>
      <c:catAx>
        <c:axId val="12824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Size KVA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49216"/>
        <c:crosses val="autoZero"/>
        <c:auto val="1"/>
        <c:lblAlgn val="ctr"/>
        <c:lblOffset val="100"/>
        <c:tickLblSkip val="3"/>
        <c:tickMarkSkip val="1"/>
      </c:catAx>
      <c:valAx>
        <c:axId val="12824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SS per Transformer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"/>
          <c:y val="0.96290801186943664"/>
          <c:w val="0.87500000000000111"/>
          <c:h val="2.37388724035608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'3.1 PlantClass.'!$D$68:$D$75</c:f>
              <c:numCache>
                <c:formatCode>_(* #,##0_);_(* \(#,##0\);_(* "-"??_);_(@_)</c:formatCode>
                <c:ptCount val="8"/>
                <c:pt idx="0" formatCode="_(* #,##0.00_);_(* \(#,##0.00\);_(* &quot;-&quot;??_);_(@_)">
                  <c:v>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'3.1 PlantClass.'!$E$68:$E$75</c:f>
              <c:numCache>
                <c:formatCode>_("$"* #,##0.00_);_("$"* \(#,##0.00\);_("$"* "-"??_);_(@_)</c:formatCode>
                <c:ptCount val="8"/>
                <c:pt idx="0" formatCode="_(* #,##0.00_);_(* \(#,##0.00\);_(* &quot;-&quot;??_);_(@_)">
                  <c:v>0</c:v>
                </c:pt>
                <c:pt idx="1">
                  <c:v>123.05043704156481</c:v>
                </c:pt>
                <c:pt idx="2">
                  <c:v>291.82047551643296</c:v>
                </c:pt>
                <c:pt idx="3">
                  <c:v>175.28057858100775</c:v>
                </c:pt>
                <c:pt idx="4">
                  <c:v>684.45983962264154</c:v>
                </c:pt>
                <c:pt idx="5">
                  <c:v>830.57590468909279</c:v>
                </c:pt>
                <c:pt idx="6">
                  <c:v>996.30353174603169</c:v>
                </c:pt>
                <c:pt idx="7">
                  <c:v>1061.7873195876289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'3.1 PlantClass.'!$F$68:$F$75</c:f>
              <c:numCache>
                <c:formatCode>_(* #,##0.00_);_(* \(#,##0.00\);_(* "-"??_);_(@_)</c:formatCode>
                <c:ptCount val="8"/>
                <c:pt idx="0" formatCode="_(&quot;$&quot;* #,##0.00_);_(&quot;$&quot;* \(#,##0.00\);_(&quot;$&quot;* &quot;-&quot;??_);_(@_)">
                  <c:v>-561.32000000000005</c:v>
                </c:pt>
                <c:pt idx="1">
                  <c:v>105.03905142372889</c:v>
                </c:pt>
                <c:pt idx="2">
                  <c:v>239.8091215797167</c:v>
                </c:pt>
                <c:pt idx="3">
                  <c:v>374.5791917357044</c:v>
                </c:pt>
                <c:pt idx="4">
                  <c:v>644.11933204767979</c:v>
                </c:pt>
                <c:pt idx="5">
                  <c:v>778.88940220366749</c:v>
                </c:pt>
                <c:pt idx="6">
                  <c:v>913.65947235965518</c:v>
                </c:pt>
                <c:pt idx="7">
                  <c:v>1048.4295425156431</c:v>
                </c:pt>
              </c:numCache>
            </c:numRef>
          </c:yVal>
        </c:ser>
        <c:axId val="128967424"/>
        <c:axId val="128969728"/>
      </c:scatterChart>
      <c:valAx>
        <c:axId val="12896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Feet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69728"/>
        <c:crosses val="autoZero"/>
        <c:crossBetween val="midCat"/>
      </c:valAx>
      <c:valAx>
        <c:axId val="128969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67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CONDUCTOR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v>Actual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'3.1 PlantClass.'!$D$151:$D$152</c:f>
              <c:strCache>
                <c:ptCount val="2"/>
                <c:pt idx="0">
                  <c:v> </c:v>
                </c:pt>
                <c:pt idx="1">
                  <c:v>175</c:v>
                </c:pt>
              </c:strCache>
            </c:strRef>
          </c:xVal>
          <c:yVal>
            <c:numRef>
              <c:f>'3.1 PlantClass.'!$C$151:$C$152</c:f>
              <c:numCache>
                <c:formatCode>_("$"* #,##0.0000_);_("$"* \(#,##0.0000\);_("$"* "-"??_);_(@_)</c:formatCode>
                <c:ptCount val="2"/>
                <c:pt idx="0" formatCode="_(&quot;$&quot;* #,##0.00_);_(&quot;$&quot;* \(#,##0.00\);_(&quot;$&quot;* &quot;-&quot;??_);_(@_)">
                  <c:v>0</c:v>
                </c:pt>
                <c:pt idx="1">
                  <c:v>0.57458001912271028</c:v>
                </c:pt>
              </c:numCache>
            </c:numRef>
          </c:yVal>
        </c:ser>
        <c:ser>
          <c:idx val="1"/>
          <c:order val="1"/>
          <c:tx>
            <c:v>Predicted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'3.1 PlantClass.'!$D$151:$D$152</c:f>
              <c:strCache>
                <c:ptCount val="2"/>
                <c:pt idx="0">
                  <c:v> </c:v>
                </c:pt>
                <c:pt idx="1">
                  <c:v>175</c:v>
                </c:pt>
              </c:strCache>
            </c:strRef>
          </c:xVal>
          <c:yVal>
            <c:numRef>
              <c:f>'3.1 PlantClass.'!$E$151:$E$161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0.5192530020198951</c:v>
                </c:pt>
                <c:pt idx="2">
                  <c:v>0.41801140611597576</c:v>
                </c:pt>
                <c:pt idx="3">
                  <c:v>0.67686367443012663</c:v>
                </c:pt>
                <c:pt idx="4">
                  <c:v>0.99529464429269021</c:v>
                </c:pt>
                <c:pt idx="5">
                  <c:v>1.2069155896276844</c:v>
                </c:pt>
                <c:pt idx="6">
                  <c:v>2.7253105259886388</c:v>
                </c:pt>
                <c:pt idx="7">
                  <c:v>0.43865131925628154</c:v>
                </c:pt>
                <c:pt idx="8">
                  <c:v>0.36173806397047265</c:v>
                </c:pt>
                <c:pt idx="9" formatCode="_(&quot;$&quot;* #,##0.0000_);_(&quot;$&quot;* \(#,##0.0000\);_(&quot;$&quot;* &quot;-&quot;??_);_(@_)">
                  <c:v>0</c:v>
                </c:pt>
                <c:pt idx="10" formatCode="_(&quot;$&quot;* #,##0.0000_);_(&quot;$&quot;* \(#,##0.0000\);_(&quot;$&quot;* &quot;-&quot;??_);_(@_)">
                  <c:v>0</c:v>
                </c:pt>
              </c:numCache>
            </c:numRef>
          </c:yVal>
        </c:ser>
        <c:axId val="128998784"/>
        <c:axId val="129017728"/>
      </c:scatterChart>
      <c:valAx>
        <c:axId val="12899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17728"/>
        <c:crosses val="autoZero"/>
        <c:crossBetween val="midCat"/>
      </c:valAx>
      <c:valAx>
        <c:axId val="129017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98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cat>
          <c:val>
            <c:numRef>
              <c:f>'3.1 PlantClass.'!$F$272:$F$289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cat>
          <c:val>
            <c:numRef>
              <c:f>'3.1 PlantClass.'!$E$274:$E$289</c:f>
              <c:numCache>
                <c:formatCode>_(* #,##0.00_);_(* \(#,##0.00\);_(* "-"??_);_(@_)</c:formatCode>
                <c:ptCount val="16"/>
                <c:pt idx="0">
                  <c:v>176.73119033115296</c:v>
                </c:pt>
                <c:pt idx="1">
                  <c:v>218.76108054495688</c:v>
                </c:pt>
                <c:pt idx="2">
                  <c:v>270.78644279781838</c:v>
                </c:pt>
                <c:pt idx="3">
                  <c:v>414.89732211785429</c:v>
                </c:pt>
                <c:pt idx="4">
                  <c:v>707.26599026848737</c:v>
                </c:pt>
                <c:pt idx="5">
                  <c:v>1205.6601822278578</c:v>
                </c:pt>
              </c:numCache>
            </c:numRef>
          </c:val>
        </c:ser>
        <c:marker val="1"/>
        <c:axId val="129120512"/>
        <c:axId val="129126784"/>
      </c:lineChart>
      <c:catAx>
        <c:axId val="129120512"/>
        <c:scaling>
          <c:orientation val="minMax"/>
        </c:scaling>
        <c:axPos val="b"/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26784"/>
        <c:crosses val="autoZero"/>
        <c:auto val="1"/>
        <c:lblAlgn val="ctr"/>
        <c:lblOffset val="100"/>
        <c:tickLblSkip val="14"/>
        <c:tickMarkSkip val="1"/>
      </c:catAx>
      <c:valAx>
        <c:axId val="129126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2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00000000000032"/>
          <c:y val="0"/>
          <c:w val="0.48000000000000032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TRANSFOMERS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xVal>
          <c:yVal>
            <c:numRef>
              <c:f>'3.1 PlantClass.'!$E$272:$E$289</c:f>
              <c:numCache>
                <c:formatCode>_(* #,##0.00_);_(* \(#,##0.00\);_(* "-"??_);_(@_)</c:formatCode>
                <c:ptCount val="18"/>
                <c:pt idx="0">
                  <c:v>152.21358067973711</c:v>
                </c:pt>
                <c:pt idx="1">
                  <c:v>162.27456724784389</c:v>
                </c:pt>
                <c:pt idx="2">
                  <c:v>176.73119033115296</c:v>
                </c:pt>
                <c:pt idx="3">
                  <c:v>218.76108054495688</c:v>
                </c:pt>
                <c:pt idx="4">
                  <c:v>270.78644279781838</c:v>
                </c:pt>
                <c:pt idx="5">
                  <c:v>414.89732211785429</c:v>
                </c:pt>
                <c:pt idx="6">
                  <c:v>707.26599026848737</c:v>
                </c:pt>
                <c:pt idx="7">
                  <c:v>1205.6601822278578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'3.1 PlantClass.'!$D$272:$D$289</c:f>
              <c:numCache>
                <c:formatCode>_(* #,##0.00_);_(* \(#,##0.00\);_(* "-"??_);_(@_)</c:formatCode>
                <c:ptCount val="1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xVal>
          <c:yVal>
            <c:numRef>
              <c:f>'3.1 PlantClass.'!$F$272:$F$289</c:f>
              <c:numCache>
                <c:formatCode>General</c:formatCode>
                <c:ptCount val="18"/>
              </c:numCache>
            </c:numRef>
          </c:yVal>
        </c:ser>
        <c:axId val="135536640"/>
        <c:axId val="135538944"/>
      </c:scatterChart>
      <c:valAx>
        <c:axId val="13553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38944"/>
        <c:crosses val="autoZero"/>
        <c:crossBetween val="midCat"/>
      </c:valAx>
      <c:valAx>
        <c:axId val="135538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36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14285714285815"/>
          <c:y val="0.33322834645669291"/>
          <c:w val="0.57142857142857284"/>
          <c:h val="0.666771653543310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364 - POLES</a:t>
            </a:r>
          </a:p>
        </c:rich>
      </c:tx>
      <c:layout>
        <c:manualLayout>
          <c:xMode val="edge"/>
          <c:yMode val="edge"/>
          <c:x val="0.40598350419872731"/>
          <c:y val="3.22580645161291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90332017800741"/>
          <c:y val="0.16666710419581704"/>
          <c:w val="0.84615502325251535"/>
          <c:h val="0.59408758108508841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PlantClass.'!$D$69:$D$77</c:f>
              <c:numCache>
                <c:formatCode>_(* #,##0_);_(* \(#,##0\);_(* "-"??_);_(@_)</c:formatCode>
                <c:ptCount val="9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</c:numCache>
            </c:numRef>
          </c:cat>
          <c:val>
            <c:numRef>
              <c:f>'3.1 PlantClass.'!$E$69:$E$77</c:f>
              <c:numCache>
                <c:formatCode>_("$"* #,##0.00_);_("$"* \(#,##0.00\);_("$"* "-"??_);_(@_)</c:formatCode>
                <c:ptCount val="9"/>
                <c:pt idx="0">
                  <c:v>123.05043704156481</c:v>
                </c:pt>
                <c:pt idx="1">
                  <c:v>291.82047551643296</c:v>
                </c:pt>
                <c:pt idx="2">
                  <c:v>175.28057858100775</c:v>
                </c:pt>
                <c:pt idx="3">
                  <c:v>684.45983962264154</c:v>
                </c:pt>
                <c:pt idx="4">
                  <c:v>830.57590468909279</c:v>
                </c:pt>
                <c:pt idx="5">
                  <c:v>996.30353174603169</c:v>
                </c:pt>
                <c:pt idx="6">
                  <c:v>1061.7873195876289</c:v>
                </c:pt>
                <c:pt idx="7">
                  <c:v>1317.0003225806452</c:v>
                </c:pt>
                <c:pt idx="8">
                  <c:v>1125.4160000000002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PlantClass.'!$D$69:$D$77</c:f>
              <c:numCache>
                <c:formatCode>_(* #,##0_);_(* \(#,##0\);_(* "-"??_);_(@_)</c:formatCode>
                <c:ptCount val="9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</c:numCache>
            </c:numRef>
          </c:cat>
          <c:val>
            <c:numRef>
              <c:f>'3.1 PlantClass.'!$F$69:$F$77</c:f>
              <c:numCache>
                <c:formatCode>_(* #,##0.00_);_(* \(#,##0.00\);_(* "-"??_);_(@_)</c:formatCode>
                <c:ptCount val="9"/>
                <c:pt idx="0">
                  <c:v>105.03905142372889</c:v>
                </c:pt>
                <c:pt idx="1">
                  <c:v>239.8091215797167</c:v>
                </c:pt>
                <c:pt idx="2">
                  <c:v>374.5791917357044</c:v>
                </c:pt>
                <c:pt idx="3">
                  <c:v>644.11933204767979</c:v>
                </c:pt>
                <c:pt idx="4">
                  <c:v>778.88940220366749</c:v>
                </c:pt>
                <c:pt idx="5">
                  <c:v>913.65947235965518</c:v>
                </c:pt>
                <c:pt idx="6">
                  <c:v>1048.4295425156431</c:v>
                </c:pt>
                <c:pt idx="7">
                  <c:v>1183.1996126716308</c:v>
                </c:pt>
                <c:pt idx="8">
                  <c:v>1317.9696828276185</c:v>
                </c:pt>
              </c:numCache>
            </c:numRef>
          </c:val>
        </c:ser>
        <c:marker val="1"/>
        <c:axId val="135563904"/>
        <c:axId val="135582848"/>
      </c:lineChart>
      <c:catAx>
        <c:axId val="13556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Pole Size - Feet</a:t>
                </a:r>
              </a:p>
            </c:rich>
          </c:tx>
          <c:layout>
            <c:manualLayout>
              <c:xMode val="edge"/>
              <c:yMode val="edge"/>
              <c:x val="0.49430274207177138"/>
              <c:y val="0.8333355911156265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82848"/>
        <c:crosses val="autoZero"/>
        <c:auto val="1"/>
        <c:lblAlgn val="ctr"/>
        <c:lblOffset val="100"/>
        <c:tickLblSkip val="1"/>
        <c:tickMarkSkip val="1"/>
      </c:catAx>
      <c:valAx>
        <c:axId val="13558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27920227920228E-2"/>
              <c:y val="0.44892586007394314"/>
            </c:manualLayout>
          </c:layout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6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71854693377"/>
          <c:y val="0.92204555075776817"/>
          <c:w val="0.2151000142076257"/>
          <c:h val="5.91400671690233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368 - TRANSFORMERS</a:t>
            </a:r>
          </a:p>
        </c:rich>
      </c:tx>
      <c:layout>
        <c:manualLayout>
          <c:xMode val="edge"/>
          <c:yMode val="edge"/>
          <c:x val="0.31842861105776576"/>
          <c:y val="2.81689788776402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76645039835049"/>
          <c:y val="0.16017849282007141"/>
          <c:w val="0.82929524681955691"/>
          <c:h val="0.62556195168919904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PlantClass.'!$C$272:$C$279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'3.1 PlantClass.'!$D$272:$D$279</c:f>
              <c:numCache>
                <c:formatCode>_(* #,##0.00_);_(* \(#,##0.00\);_(* "-"??_);_(@_)</c:formatCode>
                <c:ptCount val="8"/>
                <c:pt idx="0">
                  <c:v>115.22562499999999</c:v>
                </c:pt>
                <c:pt idx="1">
                  <c:v>112.81611111111111</c:v>
                </c:pt>
                <c:pt idx="2">
                  <c:v>116.82496969696969</c:v>
                </c:pt>
                <c:pt idx="3">
                  <c:v>367.85383004369447</c:v>
                </c:pt>
                <c:pt idx="4">
                  <c:v>499.8514233576642</c:v>
                </c:pt>
                <c:pt idx="5">
                  <c:v>637.94360383944161</c:v>
                </c:pt>
                <c:pt idx="6">
                  <c:v>522.60997813866334</c:v>
                </c:pt>
                <c:pt idx="7">
                  <c:v>982.72112488083894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PlantClass.'!$C$272:$C$279</c:f>
              <c:numCache>
                <c:formatCode>_(* #,##0.00_);_(* \(#,##0.00\);_(* "-"??_);_(@_)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25</c:v>
                </c:pt>
                <c:pt idx="6">
                  <c:v>37.5</c:v>
                </c:pt>
                <c:pt idx="7">
                  <c:v>50</c:v>
                </c:pt>
              </c:numCache>
            </c:numRef>
          </c:cat>
          <c:val>
            <c:numRef>
              <c:f>'3.1 PlantClass.'!$E$272:$E$279</c:f>
              <c:numCache>
                <c:formatCode>_(* #,##0.00_);_(* \(#,##0.00\);_(* "-"??_);_(@_)</c:formatCode>
                <c:ptCount val="8"/>
                <c:pt idx="0">
                  <c:v>152.21358067973711</c:v>
                </c:pt>
                <c:pt idx="1">
                  <c:v>162.27456724784389</c:v>
                </c:pt>
                <c:pt idx="2">
                  <c:v>176.73119033115296</c:v>
                </c:pt>
                <c:pt idx="3">
                  <c:v>218.76108054495688</c:v>
                </c:pt>
                <c:pt idx="4">
                  <c:v>270.78644279781838</c:v>
                </c:pt>
                <c:pt idx="5">
                  <c:v>414.89732211785429</c:v>
                </c:pt>
                <c:pt idx="6">
                  <c:v>707.26599026848737</c:v>
                </c:pt>
                <c:pt idx="7">
                  <c:v>1205.6601822278578</c:v>
                </c:pt>
              </c:numCache>
            </c:numRef>
          </c:val>
        </c:ser>
        <c:marker val="1"/>
        <c:axId val="135718400"/>
        <c:axId val="135720960"/>
      </c:lineChart>
      <c:catAx>
        <c:axId val="1357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Transformer Capacity - KVA</a:t>
                </a:r>
              </a:p>
            </c:rich>
          </c:tx>
          <c:layout>
            <c:manualLayout>
              <c:xMode val="edge"/>
              <c:yMode val="edge"/>
              <c:x val="0.43224989152778681"/>
              <c:y val="0.88576041631159896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20960"/>
        <c:crosses val="autoZero"/>
        <c:auto val="1"/>
        <c:lblAlgn val="ctr"/>
        <c:lblOffset val="100"/>
        <c:tickLblSkip val="1"/>
        <c:tickMarkSkip val="1"/>
      </c:catAx>
      <c:valAx>
        <c:axId val="135720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1680216802168056E-2"/>
              <c:y val="0.46948426901182905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1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08999992887166"/>
          <c:y val="0.93073797593482632"/>
          <c:w val="0.24525773709180698"/>
          <c:h val="5.62772835213780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365 - Overhead Conductor</a:t>
            </a:r>
          </a:p>
        </c:rich>
      </c:tx>
      <c:layout>
        <c:manualLayout>
          <c:xMode val="edge"/>
          <c:yMode val="edge"/>
          <c:x val="0.2399522389798365"/>
          <c:y val="1.5345805559471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34758708654261"/>
          <c:y val="0.19182190534975155"/>
          <c:w val="0.86826653723673686"/>
          <c:h val="0.52175558255132504"/>
        </c:manualLayout>
      </c:layout>
      <c:lineChart>
        <c:grouping val="standard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'3.1 PlantClass.'!$D$152:$D$157</c:f>
              <c:numCache>
                <c:formatCode>0</c:formatCode>
                <c:ptCount val="6"/>
                <c:pt idx="0">
                  <c:v>175</c:v>
                </c:pt>
                <c:pt idx="1">
                  <c:v>130</c:v>
                </c:pt>
                <c:pt idx="2">
                  <c:v>230</c:v>
                </c:pt>
                <c:pt idx="3">
                  <c:v>310</c:v>
                </c:pt>
                <c:pt idx="4">
                  <c:v>350</c:v>
                </c:pt>
                <c:pt idx="5">
                  <c:v>519</c:v>
                </c:pt>
              </c:numCache>
            </c:numRef>
          </c:cat>
          <c:val>
            <c:numRef>
              <c:f>'3.1 PlantClass.'!$C$152:$C$157</c:f>
              <c:numCache>
                <c:formatCode>_("$"* #,##0.0000_);_("$"* \(#,##0.0000\);_("$"* "-"??_);_(@_)</c:formatCode>
                <c:ptCount val="6"/>
                <c:pt idx="0">
                  <c:v>0.57458001912271028</c:v>
                </c:pt>
                <c:pt idx="1">
                  <c:v>0.22205026149424831</c:v>
                </c:pt>
                <c:pt idx="2">
                  <c:v>0.78420343317217212</c:v>
                </c:pt>
                <c:pt idx="3">
                  <c:v>0.76391844572787715</c:v>
                </c:pt>
                <c:pt idx="4">
                  <c:v>0.39032025478833987</c:v>
                </c:pt>
                <c:pt idx="5">
                  <c:v>1.5214179187607331</c:v>
                </c:pt>
              </c:numCache>
            </c:numRef>
          </c:val>
        </c:ser>
        <c:ser>
          <c:idx val="1"/>
          <c:order val="1"/>
          <c:tx>
            <c:v>Predicted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'3.1 PlantClass.'!$D$152:$D$157</c:f>
              <c:numCache>
                <c:formatCode>0</c:formatCode>
                <c:ptCount val="6"/>
                <c:pt idx="0">
                  <c:v>175</c:v>
                </c:pt>
                <c:pt idx="1">
                  <c:v>130</c:v>
                </c:pt>
                <c:pt idx="2">
                  <c:v>230</c:v>
                </c:pt>
                <c:pt idx="3">
                  <c:v>310</c:v>
                </c:pt>
                <c:pt idx="4">
                  <c:v>350</c:v>
                </c:pt>
                <c:pt idx="5">
                  <c:v>519</c:v>
                </c:pt>
              </c:numCache>
            </c:numRef>
          </c:cat>
          <c:val>
            <c:numRef>
              <c:f>'3.1 PlantClass.'!$E$152:$E$157</c:f>
              <c:numCache>
                <c:formatCode>_(* #,##0.00_);_(* \(#,##0.00\);_(* "-"??_);_(@_)</c:formatCode>
                <c:ptCount val="6"/>
                <c:pt idx="0">
                  <c:v>0.5192530020198951</c:v>
                </c:pt>
                <c:pt idx="1">
                  <c:v>0.41801140611597576</c:v>
                </c:pt>
                <c:pt idx="2">
                  <c:v>0.67686367443012663</c:v>
                </c:pt>
                <c:pt idx="3">
                  <c:v>0.99529464429269021</c:v>
                </c:pt>
                <c:pt idx="4">
                  <c:v>1.2069155896276844</c:v>
                </c:pt>
                <c:pt idx="5">
                  <c:v>2.7253105259886388</c:v>
                </c:pt>
              </c:numCache>
            </c:numRef>
          </c:val>
        </c:ser>
        <c:marker val="1"/>
        <c:axId val="135733632"/>
        <c:axId val="135735936"/>
      </c:lineChart>
      <c:catAx>
        <c:axId val="13573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Amps</a:t>
                </a:r>
              </a:p>
            </c:rich>
          </c:tx>
          <c:layout>
            <c:manualLayout>
              <c:xMode val="edge"/>
              <c:yMode val="edge"/>
              <c:x val="0.51180563594599215"/>
              <c:y val="0.805652106785884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35936"/>
        <c:crosses val="autoZero"/>
        <c:auto val="1"/>
        <c:lblAlgn val="ctr"/>
        <c:lblOffset val="100"/>
        <c:tickLblSkip val="1"/>
        <c:tickMarkSkip val="1"/>
      </c:catAx>
      <c:valAx>
        <c:axId val="13573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&quot;$&quot;* #,##0.0000_);_(&quot;$&quot;* \(#,##0.0000\);_(&quot;$&quot;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73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08905682906194"/>
          <c:y val="0.9130445522954147"/>
          <c:w val="0.2718448058070424"/>
          <c:h val="7.1611253196930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264</xdr:row>
      <xdr:rowOff>0</xdr:rowOff>
    </xdr:from>
    <xdr:to>
      <xdr:col>1</xdr:col>
      <xdr:colOff>495300</xdr:colOff>
      <xdr:row>264</xdr:row>
      <xdr:rowOff>0</xdr:rowOff>
    </xdr:to>
    <xdr:graphicFrame macro="">
      <xdr:nvGraphicFramePr>
        <xdr:cNvPr id="24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294</xdr:row>
      <xdr:rowOff>38100</xdr:rowOff>
    </xdr:from>
    <xdr:to>
      <xdr:col>25</xdr:col>
      <xdr:colOff>142875</xdr:colOff>
      <xdr:row>294</xdr:row>
      <xdr:rowOff>95250</xdr:rowOff>
    </xdr:to>
    <xdr:graphicFrame macro="">
      <xdr:nvGraphicFramePr>
        <xdr:cNvPr id="24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733425</xdr:colOff>
      <xdr:row>300</xdr:row>
      <xdr:rowOff>0</xdr:rowOff>
    </xdr:from>
    <xdr:to>
      <xdr:col>11</xdr:col>
      <xdr:colOff>323850</xdr:colOff>
      <xdr:row>300</xdr:row>
      <xdr:rowOff>0</xdr:rowOff>
    </xdr:to>
    <xdr:graphicFrame macro="">
      <xdr:nvGraphicFramePr>
        <xdr:cNvPr id="24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638175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457200</xdr:colOff>
      <xdr:row>167</xdr:row>
      <xdr:rowOff>0</xdr:rowOff>
    </xdr:from>
    <xdr:to>
      <xdr:col>29</xdr:col>
      <xdr:colOff>609600</xdr:colOff>
      <xdr:row>167</xdr:row>
      <xdr:rowOff>0</xdr:rowOff>
    </xdr:to>
    <xdr:graphicFrame macro="">
      <xdr:nvGraphicFramePr>
        <xdr:cNvPr id="24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333375</xdr:colOff>
      <xdr:row>300</xdr:row>
      <xdr:rowOff>0</xdr:rowOff>
    </xdr:from>
    <xdr:to>
      <xdr:col>25</xdr:col>
      <xdr:colOff>390525</xdr:colOff>
      <xdr:row>300</xdr:row>
      <xdr:rowOff>0</xdr:rowOff>
    </xdr:to>
    <xdr:graphicFrame macro="">
      <xdr:nvGraphicFramePr>
        <xdr:cNvPr id="24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781050</xdr:colOff>
      <xdr:row>32</xdr:row>
      <xdr:rowOff>0</xdr:rowOff>
    </xdr:from>
    <xdr:to>
      <xdr:col>16</xdr:col>
      <xdr:colOff>180975</xdr:colOff>
      <xdr:row>32</xdr:row>
      <xdr:rowOff>0</xdr:rowOff>
    </xdr:to>
    <xdr:graphicFrame macro="">
      <xdr:nvGraphicFramePr>
        <xdr:cNvPr id="24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876300</xdr:colOff>
      <xdr:row>298</xdr:row>
      <xdr:rowOff>0</xdr:rowOff>
    </xdr:from>
    <xdr:to>
      <xdr:col>22</xdr:col>
      <xdr:colOff>904875</xdr:colOff>
      <xdr:row>299</xdr:row>
      <xdr:rowOff>0</xdr:rowOff>
    </xdr:to>
    <xdr:graphicFrame macro="">
      <xdr:nvGraphicFramePr>
        <xdr:cNvPr id="246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714375</xdr:colOff>
      <xdr:row>167</xdr:row>
      <xdr:rowOff>0</xdr:rowOff>
    </xdr:from>
    <xdr:to>
      <xdr:col>23</xdr:col>
      <xdr:colOff>857250</xdr:colOff>
      <xdr:row>167</xdr:row>
      <xdr:rowOff>0</xdr:rowOff>
    </xdr:to>
    <xdr:graphicFrame macro="">
      <xdr:nvGraphicFramePr>
        <xdr:cNvPr id="24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781050</xdr:colOff>
      <xdr:row>167</xdr:row>
      <xdr:rowOff>0</xdr:rowOff>
    </xdr:from>
    <xdr:to>
      <xdr:col>25</xdr:col>
      <xdr:colOff>857250</xdr:colOff>
      <xdr:row>167</xdr:row>
      <xdr:rowOff>0</xdr:rowOff>
    </xdr:to>
    <xdr:graphicFrame macro="">
      <xdr:nvGraphicFramePr>
        <xdr:cNvPr id="246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31</xdr:col>
      <xdr:colOff>0</xdr:colOff>
      <xdr:row>217</xdr:row>
      <xdr:rowOff>123825</xdr:rowOff>
    </xdr:from>
    <xdr:to>
      <xdr:col>31</xdr:col>
      <xdr:colOff>0</xdr:colOff>
      <xdr:row>218</xdr:row>
      <xdr:rowOff>66675</xdr:rowOff>
    </xdr:to>
    <xdr:graphicFrame macro="">
      <xdr:nvGraphicFramePr>
        <xdr:cNvPr id="246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114300</xdr:colOff>
      <xdr:row>248</xdr:row>
      <xdr:rowOff>38100</xdr:rowOff>
    </xdr:from>
    <xdr:to>
      <xdr:col>21</xdr:col>
      <xdr:colOff>190500</xdr:colOff>
      <xdr:row>287</xdr:row>
      <xdr:rowOff>142875</xdr:rowOff>
    </xdr:to>
    <xdr:graphicFrame macro="">
      <xdr:nvGraphicFramePr>
        <xdr:cNvPr id="2466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142875</xdr:colOff>
      <xdr:row>54</xdr:row>
      <xdr:rowOff>95250</xdr:rowOff>
    </xdr:from>
    <xdr:to>
      <xdr:col>29</xdr:col>
      <xdr:colOff>304800</xdr:colOff>
      <xdr:row>54</xdr:row>
      <xdr:rowOff>123825</xdr:rowOff>
    </xdr:to>
    <xdr:graphicFrame macro="">
      <xdr:nvGraphicFramePr>
        <xdr:cNvPr id="246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895350</xdr:colOff>
      <xdr:row>143</xdr:row>
      <xdr:rowOff>57150</xdr:rowOff>
    </xdr:from>
    <xdr:to>
      <xdr:col>27</xdr:col>
      <xdr:colOff>923925</xdr:colOff>
      <xdr:row>143</xdr:row>
      <xdr:rowOff>142875</xdr:rowOff>
    </xdr:to>
    <xdr:graphicFrame macro="">
      <xdr:nvGraphicFramePr>
        <xdr:cNvPr id="246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447675</xdr:colOff>
      <xdr:row>290</xdr:row>
      <xdr:rowOff>0</xdr:rowOff>
    </xdr:from>
    <xdr:to>
      <xdr:col>7</xdr:col>
      <xdr:colOff>685800</xdr:colOff>
      <xdr:row>290</xdr:row>
      <xdr:rowOff>0</xdr:rowOff>
    </xdr:to>
    <xdr:graphicFrame macro="">
      <xdr:nvGraphicFramePr>
        <xdr:cNvPr id="246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209550</xdr:colOff>
      <xdr:row>279</xdr:row>
      <xdr:rowOff>123825</xdr:rowOff>
    </xdr:from>
    <xdr:to>
      <xdr:col>15</xdr:col>
      <xdr:colOff>342900</xdr:colOff>
      <xdr:row>280</xdr:row>
      <xdr:rowOff>19050</xdr:rowOff>
    </xdr:to>
    <xdr:graphicFrame macro="">
      <xdr:nvGraphicFramePr>
        <xdr:cNvPr id="247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504825</xdr:colOff>
      <xdr:row>41</xdr:row>
      <xdr:rowOff>114300</xdr:rowOff>
    </xdr:from>
    <xdr:to>
      <xdr:col>5</xdr:col>
      <xdr:colOff>590550</xdr:colOff>
      <xdr:row>63</xdr:row>
      <xdr:rowOff>95250</xdr:rowOff>
    </xdr:to>
    <xdr:graphicFrame macro="">
      <xdr:nvGraphicFramePr>
        <xdr:cNvPr id="2471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266700</xdr:colOff>
      <xdr:row>282</xdr:row>
      <xdr:rowOff>19050</xdr:rowOff>
    </xdr:from>
    <xdr:to>
      <xdr:col>5</xdr:col>
      <xdr:colOff>695325</xdr:colOff>
      <xdr:row>309</xdr:row>
      <xdr:rowOff>47625</xdr:rowOff>
    </xdr:to>
    <xdr:graphicFrame macro="">
      <xdr:nvGraphicFramePr>
        <xdr:cNvPr id="247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498809</xdr:colOff>
      <xdr:row>122</xdr:row>
      <xdr:rowOff>107783</xdr:rowOff>
    </xdr:from>
    <xdr:to>
      <xdr:col>5</xdr:col>
      <xdr:colOff>765509</xdr:colOff>
      <xdr:row>145</xdr:row>
      <xdr:rowOff>107783</xdr:rowOff>
    </xdr:to>
    <xdr:graphicFrame macro="">
      <xdr:nvGraphicFramePr>
        <xdr:cNvPr id="247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3XD1L2H9\Book2_Cost%20of%20Pow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RECC%202010%20Rate%20Cases-A-05-11\1-adjusted%20state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RECC%20RATE%20CASE%202011\depreciation_adjustment-0923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P_Administrator\My%20Documents\Jackson%20Energy%2010112007\Filing\Jackson%20Energy%20COSA-10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3XD1L2H9\Copy%20of%20Jackson%20Energy%20COSA-10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3XD1L2H9\Book2_Cost_of_Pow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ade%20Co%20Rate%20Case%202010\AZ%20Data\billing_analysis_3-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W0OI7NPP\COST03%20for%20Marybeth%20Purvi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3XD1L2H9\Billing_Analysis_-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ocuments\JEC%202013\Final%20Documents\Tariffs_Current__Proposed_Revised_July_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beth%20Purvis\AppData\Local\Microsoft\Windows\Temporary%20Internet%20Files\Content.IE5\G3IMNGM2\Billing_Analysis_-_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7">
          <cell r="N7">
            <v>16000</v>
          </cell>
          <cell r="Q7">
            <v>221120</v>
          </cell>
        </row>
        <row r="8">
          <cell r="N8">
            <v>16000</v>
          </cell>
          <cell r="Q8">
            <v>244320</v>
          </cell>
        </row>
        <row r="9">
          <cell r="N9">
            <v>16000</v>
          </cell>
          <cell r="Q9">
            <v>237760</v>
          </cell>
        </row>
        <row r="10">
          <cell r="N10">
            <v>16000</v>
          </cell>
          <cell r="Q10">
            <v>211840</v>
          </cell>
        </row>
        <row r="11">
          <cell r="N11">
            <v>16000</v>
          </cell>
          <cell r="Q11">
            <v>130240</v>
          </cell>
        </row>
        <row r="12">
          <cell r="N12">
            <v>16000</v>
          </cell>
          <cell r="Q12">
            <v>32640</v>
          </cell>
        </row>
        <row r="13">
          <cell r="N13">
            <v>16000</v>
          </cell>
          <cell r="Q13">
            <v>0</v>
          </cell>
        </row>
        <row r="14">
          <cell r="N14">
            <v>16000</v>
          </cell>
          <cell r="Q14">
            <v>140480</v>
          </cell>
        </row>
        <row r="15">
          <cell r="N15">
            <v>14700</v>
          </cell>
          <cell r="Q15">
            <v>256320</v>
          </cell>
        </row>
        <row r="16">
          <cell r="N16">
            <v>14600</v>
          </cell>
          <cell r="Q16">
            <v>271040</v>
          </cell>
        </row>
        <row r="17">
          <cell r="N17">
            <v>14600</v>
          </cell>
          <cell r="Q17">
            <v>263680</v>
          </cell>
        </row>
        <row r="18">
          <cell r="N18">
            <v>14600</v>
          </cell>
          <cell r="Q18">
            <v>288320</v>
          </cell>
        </row>
        <row r="20">
          <cell r="E20">
            <v>13020019</v>
          </cell>
          <cell r="F20">
            <v>44410807.200000003</v>
          </cell>
          <cell r="G20">
            <v>50112</v>
          </cell>
          <cell r="H20">
            <v>1270932</v>
          </cell>
          <cell r="O20">
            <v>4430</v>
          </cell>
          <cell r="R20">
            <v>146741.20000000001</v>
          </cell>
        </row>
        <row r="66">
          <cell r="N66">
            <v>94514868</v>
          </cell>
        </row>
        <row r="67">
          <cell r="N67">
            <v>81779427</v>
          </cell>
        </row>
        <row r="68">
          <cell r="N68">
            <v>60520347</v>
          </cell>
        </row>
        <row r="69">
          <cell r="N69">
            <v>55638962</v>
          </cell>
        </row>
        <row r="70">
          <cell r="N70">
            <v>60705707</v>
          </cell>
        </row>
        <row r="71">
          <cell r="N71">
            <v>65833074</v>
          </cell>
        </row>
        <row r="72">
          <cell r="N72">
            <v>79500125</v>
          </cell>
        </row>
        <row r="73">
          <cell r="N73">
            <v>69748600</v>
          </cell>
        </row>
        <row r="74">
          <cell r="N74">
            <v>56525122</v>
          </cell>
        </row>
        <row r="75">
          <cell r="N75">
            <v>60523791</v>
          </cell>
        </row>
        <row r="76">
          <cell r="N76">
            <v>78306950</v>
          </cell>
        </row>
        <row r="77">
          <cell r="N77">
            <v>85942099</v>
          </cell>
        </row>
        <row r="79">
          <cell r="I79">
            <v>60807768</v>
          </cell>
          <cell r="M79">
            <v>912831100</v>
          </cell>
          <cell r="N79">
            <v>849539072</v>
          </cell>
        </row>
        <row r="99">
          <cell r="C99">
            <v>438804</v>
          </cell>
          <cell r="D99">
            <v>48753</v>
          </cell>
          <cell r="E99">
            <v>276998</v>
          </cell>
          <cell r="G99">
            <v>0</v>
          </cell>
          <cell r="R99">
            <v>4430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adjusments"/>
      <sheetName val="proposed rev"/>
    </sheetNames>
    <sheetDataSet>
      <sheetData sheetId="0"/>
      <sheetData sheetId="1">
        <row r="27">
          <cell r="O27">
            <v>3729639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"/>
      <sheetName val="changes"/>
      <sheetName val="guideline curve"/>
    </sheetNames>
    <sheetDataSet>
      <sheetData sheetId="0" refreshError="1">
        <row r="36">
          <cell r="B36">
            <v>301</v>
          </cell>
          <cell r="C36" t="str">
            <v xml:space="preserve">  Organization</v>
          </cell>
        </row>
        <row r="38">
          <cell r="B38">
            <v>364</v>
          </cell>
        </row>
        <row r="39">
          <cell r="B39">
            <v>365</v>
          </cell>
        </row>
        <row r="42">
          <cell r="B42">
            <v>368</v>
          </cell>
        </row>
        <row r="43">
          <cell r="B43">
            <v>369</v>
          </cell>
        </row>
        <row r="44">
          <cell r="B44">
            <v>370</v>
          </cell>
        </row>
        <row r="46">
          <cell r="B46">
            <v>371</v>
          </cell>
        </row>
        <row r="47">
          <cell r="B47">
            <v>373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rrative"/>
      <sheetName val="1-Rate Design"/>
      <sheetName val="2-Increase"/>
      <sheetName val="Sheet1"/>
      <sheetName val="3-StmtOper-O"/>
      <sheetName val="Cover"/>
      <sheetName val="4-StmtOper-Unbund"/>
      <sheetName val="5-RevReq-Rate Class"/>
      <sheetName val="7-RateBase-Rate Class"/>
      <sheetName val="8-Rate Base"/>
      <sheetName val="6-Costs&amp;Margins"/>
      <sheetName val="Poles"/>
      <sheetName val="Conductor"/>
      <sheetName val="Transformers"/>
      <sheetName val="Conductor 2"/>
      <sheetName val="9-Classification"/>
      <sheetName val=" 10-Energy &amp; Demand Allocations"/>
      <sheetName val="11-Consumer Allocations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>
            <v>25</v>
          </cell>
          <cell r="F9">
            <v>122.95830500183442</v>
          </cell>
          <cell r="G9">
            <v>83.06932852734667</v>
          </cell>
        </row>
        <row r="10">
          <cell r="B10">
            <v>30</v>
          </cell>
          <cell r="F10">
            <v>254.1765628687005</v>
          </cell>
          <cell r="G10">
            <v>213.22409814512491</v>
          </cell>
        </row>
        <row r="11">
          <cell r="B11">
            <v>35</v>
          </cell>
          <cell r="F11">
            <v>160.44529398762157</v>
          </cell>
          <cell r="G11">
            <v>343.37886776290316</v>
          </cell>
        </row>
        <row r="12">
          <cell r="B12">
            <v>40</v>
          </cell>
          <cell r="F12">
            <v>460.45841944719456</v>
          </cell>
          <cell r="G12">
            <v>473.5336373806814</v>
          </cell>
        </row>
        <row r="13">
          <cell r="B13">
            <v>45</v>
          </cell>
          <cell r="F13">
            <v>618.28365280128264</v>
          </cell>
          <cell r="G13">
            <v>603.68840699845975</v>
          </cell>
        </row>
        <row r="14">
          <cell r="B14">
            <v>50</v>
          </cell>
          <cell r="F14">
            <v>766.46395427603727</v>
          </cell>
          <cell r="G14">
            <v>733.84317661623788</v>
          </cell>
        </row>
        <row r="15">
          <cell r="B15">
            <v>55</v>
          </cell>
          <cell r="F15">
            <v>952.5730248091603</v>
          </cell>
          <cell r="G15">
            <v>863.99794623401624</v>
          </cell>
        </row>
        <row r="16">
          <cell r="F16">
            <v>1018.2885798816567</v>
          </cell>
          <cell r="G16">
            <v>994.15271585179437</v>
          </cell>
        </row>
        <row r="17">
          <cell r="F17">
            <v>1279.2170000000001</v>
          </cell>
          <cell r="G17">
            <v>1124.3074854695728</v>
          </cell>
        </row>
        <row r="18">
          <cell r="F18">
            <v>1054.7931249999999</v>
          </cell>
          <cell r="G18">
            <v>1254.462255087351</v>
          </cell>
        </row>
        <row r="19">
          <cell r="F19" t="str">
            <v xml:space="preserve"> </v>
          </cell>
          <cell r="G19" t="str">
            <v xml:space="preserve"> </v>
          </cell>
        </row>
        <row r="68">
          <cell r="J68">
            <v>100</v>
          </cell>
          <cell r="K68">
            <v>0.14927063934077764</v>
          </cell>
          <cell r="L68">
            <v>0.17261958515356751</v>
          </cell>
        </row>
        <row r="69">
          <cell r="J69">
            <v>130</v>
          </cell>
          <cell r="K69">
            <v>0.18595963649488034</v>
          </cell>
          <cell r="L69">
            <v>0.26270586592912831</v>
          </cell>
        </row>
        <row r="70">
          <cell r="J70">
            <v>140</v>
          </cell>
          <cell r="K70">
            <v>0.15033612410853092</v>
          </cell>
          <cell r="L70">
            <v>0.29273462618764856</v>
          </cell>
        </row>
        <row r="71">
          <cell r="J71">
            <v>175</v>
          </cell>
          <cell r="K71">
            <v>0.56803282836576219</v>
          </cell>
          <cell r="L71">
            <v>0.3978352870924694</v>
          </cell>
        </row>
        <row r="72">
          <cell r="J72">
            <v>230</v>
          </cell>
          <cell r="K72">
            <v>0.71271079291215167</v>
          </cell>
          <cell r="L72">
            <v>0.56299346851433085</v>
          </cell>
        </row>
        <row r="73">
          <cell r="J73">
            <v>310</v>
          </cell>
          <cell r="K73">
            <v>0.76394251175227312</v>
          </cell>
          <cell r="L73">
            <v>0.80322355058249295</v>
          </cell>
        </row>
        <row r="74">
          <cell r="J74">
            <v>350</v>
          </cell>
          <cell r="K74">
            <v>0.39032025478833987</v>
          </cell>
          <cell r="L74">
            <v>0.92333859161657383</v>
          </cell>
        </row>
        <row r="75">
          <cell r="J75">
            <v>519</v>
          </cell>
          <cell r="K75">
            <v>1.392684490470828</v>
          </cell>
          <cell r="L75">
            <v>1.4308246399855662</v>
          </cell>
        </row>
        <row r="76"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</row>
        <row r="136"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</row>
        <row r="137">
          <cell r="J137">
            <v>1.5</v>
          </cell>
          <cell r="K137">
            <v>115.4061111111111</v>
          </cell>
          <cell r="L137">
            <v>148.16857049495854</v>
          </cell>
        </row>
        <row r="138">
          <cell r="J138">
            <v>3</v>
          </cell>
          <cell r="K138">
            <v>112.81611111111111</v>
          </cell>
          <cell r="L138">
            <v>172.52823969377962</v>
          </cell>
        </row>
        <row r="139">
          <cell r="J139">
            <v>5</v>
          </cell>
          <cell r="K139">
            <v>116.82505813953489</v>
          </cell>
          <cell r="L139">
            <v>205.00779862554106</v>
          </cell>
        </row>
        <row r="140">
          <cell r="J140">
            <v>10</v>
          </cell>
          <cell r="K140">
            <v>367.46222914233812</v>
          </cell>
          <cell r="L140">
            <v>286.20669595494462</v>
          </cell>
        </row>
        <row r="141">
          <cell r="J141">
            <v>15</v>
          </cell>
          <cell r="K141">
            <v>477.50004926108369</v>
          </cell>
          <cell r="L141">
            <v>367.40559328434819</v>
          </cell>
        </row>
        <row r="142">
          <cell r="J142">
            <v>25</v>
          </cell>
          <cell r="K142">
            <v>566.56215305925491</v>
          </cell>
          <cell r="L142">
            <v>529.80338794315526</v>
          </cell>
        </row>
        <row r="143">
          <cell r="J143">
            <v>37.5</v>
          </cell>
          <cell r="K143">
            <v>760.09472972972969</v>
          </cell>
          <cell r="L143">
            <v>732.80063126666425</v>
          </cell>
        </row>
        <row r="144">
          <cell r="J144">
            <v>50</v>
          </cell>
          <cell r="K144">
            <v>861.05235029940116</v>
          </cell>
          <cell r="L144">
            <v>935.79787459017314</v>
          </cell>
        </row>
        <row r="145"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</row>
        <row r="146"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</row>
        <row r="147"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</row>
        <row r="148"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</row>
        <row r="149"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</row>
        <row r="150"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</row>
        <row r="151"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</row>
        <row r="152"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</row>
        <row r="153"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-Rate Design (2)"/>
      <sheetName val="Narrative"/>
      <sheetName val="1-Rate Design"/>
      <sheetName val="2-Increase"/>
      <sheetName val="Sheet1"/>
      <sheetName val="3-StmtOper-O"/>
      <sheetName val="Cover"/>
      <sheetName val="4-StmtOper-Unbund"/>
      <sheetName val="5-RevReq-Rate Class"/>
      <sheetName val="7-RateBase-Rate Class"/>
      <sheetName val="8-Rate Base"/>
      <sheetName val="6-Costs&amp;Margins"/>
      <sheetName val="Poles"/>
      <sheetName val="Conductor"/>
      <sheetName val="Transformers"/>
      <sheetName val="Conductor 2"/>
      <sheetName val="9-Classification"/>
      <sheetName val=" 10-Energy &amp; Demand Allocations"/>
      <sheetName val="11-Consumer Allocations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2">
          <cell r="C42">
            <v>110</v>
          </cell>
        </row>
      </sheetData>
      <sheetData sheetId="18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1">
          <cell r="I101">
            <v>1705424.6593444408</v>
          </cell>
        </row>
        <row r="102">
          <cell r="I102">
            <v>902134.34065555921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ght detail"/>
      <sheetName val="monthly"/>
      <sheetName val="summary"/>
      <sheetName val="ave use"/>
      <sheetName val="additional"/>
      <sheetName val="power"/>
    </sheetNames>
    <sheetDataSet>
      <sheetData sheetId="0" refreshError="1"/>
      <sheetData sheetId="1">
        <row r="14">
          <cell r="AL14">
            <v>311873</v>
          </cell>
        </row>
        <row r="44">
          <cell r="AL44">
            <v>20425</v>
          </cell>
        </row>
        <row r="75">
          <cell r="AL75">
            <v>4153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P"/>
      <sheetName val="Class Peak"/>
      <sheetName val="NCP"/>
      <sheetName val="TOU"/>
    </sheetNames>
    <sheetDataSet>
      <sheetData sheetId="0"/>
      <sheetData sheetId="1">
        <row r="11">
          <cell r="B11">
            <v>131330.32072030951</v>
          </cell>
          <cell r="C11">
            <v>164949.62800791999</v>
          </cell>
          <cell r="D11">
            <v>132308.25279378245</v>
          </cell>
          <cell r="E11">
            <v>104789.50642181507</v>
          </cell>
          <cell r="F11">
            <v>124897.02158804837</v>
          </cell>
          <cell r="G11">
            <v>145912.4290315425</v>
          </cell>
          <cell r="H11">
            <v>145612.91362824891</v>
          </cell>
          <cell r="I11">
            <v>128570.19746162699</v>
          </cell>
          <cell r="J11">
            <v>119872.99737298704</v>
          </cell>
          <cell r="K11">
            <v>112271.61141454581</v>
          </cell>
          <cell r="L11">
            <v>143012.38915127996</v>
          </cell>
          <cell r="M11">
            <v>126303.75423034668</v>
          </cell>
        </row>
        <row r="12">
          <cell r="B12">
            <v>10128.979036405397</v>
          </cell>
          <cell r="C12">
            <v>13551.03057977386</v>
          </cell>
          <cell r="D12">
            <v>10995.412838790271</v>
          </cell>
          <cell r="E12">
            <v>11111.889766182947</v>
          </cell>
          <cell r="F12">
            <v>8855.7838276634884</v>
          </cell>
          <cell r="G12">
            <v>11739.564624223372</v>
          </cell>
          <cell r="H12">
            <v>12006.685393403541</v>
          </cell>
          <cell r="I12">
            <v>8206.8983162039713</v>
          </cell>
          <cell r="J12">
            <v>9598.8782145525729</v>
          </cell>
          <cell r="K12">
            <v>7216.8817156828209</v>
          </cell>
          <cell r="L12">
            <v>7946.5516129164916</v>
          </cell>
          <cell r="M12">
            <v>8680.8281135051893</v>
          </cell>
        </row>
        <row r="13">
          <cell r="B13">
            <v>14307.588321563095</v>
          </cell>
          <cell r="C13">
            <v>15813.351161677683</v>
          </cell>
          <cell r="D13">
            <v>13511.369701423686</v>
          </cell>
          <cell r="E13">
            <v>16589.685314214516</v>
          </cell>
          <cell r="F13">
            <v>11056.069108548354</v>
          </cell>
          <cell r="G13">
            <v>11073.202865327898</v>
          </cell>
          <cell r="H13">
            <v>10479.391980328121</v>
          </cell>
          <cell r="I13">
            <v>10639.290184656928</v>
          </cell>
          <cell r="J13">
            <v>11355.949669134989</v>
          </cell>
          <cell r="K13">
            <v>11111.585421100499</v>
          </cell>
          <cell r="L13">
            <v>17516.191987221348</v>
          </cell>
          <cell r="M13">
            <v>15152.607482727959</v>
          </cell>
        </row>
        <row r="14">
          <cell r="B14">
            <v>2374.27</v>
          </cell>
          <cell r="C14">
            <v>2402.14</v>
          </cell>
          <cell r="D14">
            <v>2328.38</v>
          </cell>
          <cell r="E14">
            <v>1930.56</v>
          </cell>
          <cell r="F14">
            <v>2875.0699999999997</v>
          </cell>
          <cell r="G14">
            <v>2789.2799999999997</v>
          </cell>
          <cell r="H14">
            <v>2661.79</v>
          </cell>
          <cell r="I14">
            <v>3092.61</v>
          </cell>
          <cell r="J14">
            <v>2562.59</v>
          </cell>
          <cell r="K14">
            <v>2481.6</v>
          </cell>
          <cell r="L14">
            <v>2309.8900000000003</v>
          </cell>
          <cell r="M14">
            <v>2224.67</v>
          </cell>
        </row>
        <row r="15">
          <cell r="B15">
            <v>5189.8099999999995</v>
          </cell>
          <cell r="C15">
            <v>4699.3600000000006</v>
          </cell>
          <cell r="D15">
            <v>4627.84</v>
          </cell>
          <cell r="E15">
            <v>4954.22</v>
          </cell>
          <cell r="F15">
            <v>3801.54</v>
          </cell>
          <cell r="G15">
            <v>5306.8</v>
          </cell>
          <cell r="H15">
            <v>4013.1800000000003</v>
          </cell>
          <cell r="I15">
            <v>5854.94</v>
          </cell>
          <cell r="J15">
            <v>5790.14</v>
          </cell>
          <cell r="K15">
            <v>4870.51</v>
          </cell>
          <cell r="L15">
            <v>5028.05</v>
          </cell>
          <cell r="M15">
            <v>4913.7299999999996</v>
          </cell>
        </row>
        <row r="16">
          <cell r="B16">
            <v>3464.2042691142728</v>
          </cell>
          <cell r="C16">
            <v>4122.0199999999995</v>
          </cell>
          <cell r="D16">
            <v>3755.88</v>
          </cell>
          <cell r="E16">
            <v>2847.62</v>
          </cell>
          <cell r="F16">
            <v>3060.54</v>
          </cell>
          <cell r="G16">
            <v>4160.0599999999995</v>
          </cell>
          <cell r="H16">
            <v>4233.0599999999995</v>
          </cell>
          <cell r="I16">
            <v>3211.22</v>
          </cell>
          <cell r="J16">
            <v>3765.08</v>
          </cell>
          <cell r="K16">
            <v>2254.92</v>
          </cell>
          <cell r="L16">
            <v>2383.7200000000003</v>
          </cell>
          <cell r="M16">
            <v>2924.24</v>
          </cell>
        </row>
        <row r="17">
          <cell r="B17">
            <v>2130.9849526077364</v>
          </cell>
          <cell r="C17">
            <v>2088.576</v>
          </cell>
          <cell r="D17">
            <v>2052.424</v>
          </cell>
          <cell r="E17">
            <v>1644.7919999999999</v>
          </cell>
          <cell r="F17">
            <v>1164.056</v>
          </cell>
          <cell r="G17">
            <v>1417.5039999999999</v>
          </cell>
          <cell r="H17">
            <v>1310.8240000000001</v>
          </cell>
          <cell r="I17">
            <v>1568.7359999999999</v>
          </cell>
          <cell r="J17">
            <v>1645.7760000000001</v>
          </cell>
          <cell r="K17">
            <v>1310.096</v>
          </cell>
          <cell r="L17">
            <v>1797.1759999999999</v>
          </cell>
          <cell r="M17">
            <v>1919.152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3578.2</v>
          </cell>
          <cell r="C20">
            <v>3577.0249999999996</v>
          </cell>
          <cell r="D20">
            <v>3575.7249999999999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3551.2750000000001</v>
          </cell>
          <cell r="L20">
            <v>3546.125</v>
          </cell>
          <cell r="M20">
            <v>3542.9749999999995</v>
          </cell>
        </row>
      </sheetData>
      <sheetData sheetId="2">
        <row r="9">
          <cell r="B9">
            <v>169053</v>
          </cell>
          <cell r="C9">
            <v>196462</v>
          </cell>
          <cell r="D9">
            <v>146642</v>
          </cell>
          <cell r="E9">
            <v>109911</v>
          </cell>
          <cell r="F9">
            <v>141868</v>
          </cell>
          <cell r="G9">
            <v>180812</v>
          </cell>
          <cell r="H9">
            <v>180870</v>
          </cell>
          <cell r="I9">
            <v>156480</v>
          </cell>
          <cell r="J9">
            <v>134748</v>
          </cell>
          <cell r="K9">
            <v>112271.61141454581</v>
          </cell>
          <cell r="L9">
            <v>143012.38915127996</v>
          </cell>
          <cell r="M9">
            <v>171866</v>
          </cell>
        </row>
        <row r="10">
          <cell r="B10">
            <v>16862</v>
          </cell>
          <cell r="C10">
            <v>16742</v>
          </cell>
          <cell r="D10">
            <v>13936</v>
          </cell>
          <cell r="E10">
            <v>13019</v>
          </cell>
          <cell r="F10">
            <v>13601</v>
          </cell>
          <cell r="G10">
            <v>16717</v>
          </cell>
          <cell r="H10">
            <v>18579</v>
          </cell>
          <cell r="I10">
            <v>17111</v>
          </cell>
          <cell r="J10">
            <v>14384</v>
          </cell>
          <cell r="K10">
            <v>12914</v>
          </cell>
          <cell r="L10">
            <v>11720</v>
          </cell>
          <cell r="M10">
            <v>15298</v>
          </cell>
        </row>
        <row r="11">
          <cell r="B11">
            <v>15926.3</v>
          </cell>
          <cell r="C11">
            <v>16465.939999999999</v>
          </cell>
          <cell r="D11">
            <v>16446.98</v>
          </cell>
          <cell r="E11">
            <v>16589.685314214516</v>
          </cell>
          <cell r="F11">
            <v>17732.2</v>
          </cell>
          <cell r="G11">
            <v>16337.220000000001</v>
          </cell>
          <cell r="H11">
            <v>17912.2</v>
          </cell>
          <cell r="I11">
            <v>20084.66</v>
          </cell>
          <cell r="J11">
            <v>18840.34</v>
          </cell>
          <cell r="K11">
            <v>17398.52</v>
          </cell>
          <cell r="L11">
            <v>17744.02</v>
          </cell>
          <cell r="M11">
            <v>17955.879999999997</v>
          </cell>
        </row>
        <row r="12">
          <cell r="B12">
            <v>2897.95</v>
          </cell>
          <cell r="C12">
            <v>2930.98</v>
          </cell>
          <cell r="D12">
            <v>2929.6600000000003</v>
          </cell>
          <cell r="E12">
            <v>3138.69</v>
          </cell>
          <cell r="F12">
            <v>3268.1600000000003</v>
          </cell>
          <cell r="G12">
            <v>3312.1</v>
          </cell>
          <cell r="H12">
            <v>3544.2200000000003</v>
          </cell>
          <cell r="I12">
            <v>3546.43</v>
          </cell>
          <cell r="J12">
            <v>3344.93</v>
          </cell>
          <cell r="K12">
            <v>2920.74</v>
          </cell>
          <cell r="L12">
            <v>2804.16</v>
          </cell>
          <cell r="M12">
            <v>2763.36</v>
          </cell>
        </row>
        <row r="13">
          <cell r="B13">
            <v>6092.93</v>
          </cell>
          <cell r="C13">
            <v>5979.2199999999993</v>
          </cell>
          <cell r="D13">
            <v>6437.8899999999994</v>
          </cell>
          <cell r="E13">
            <v>6268.0599999999995</v>
          </cell>
          <cell r="F13">
            <v>6351.5700000000006</v>
          </cell>
          <cell r="G13">
            <v>6588.66</v>
          </cell>
          <cell r="H13">
            <v>6825.2800000000007</v>
          </cell>
          <cell r="I13">
            <v>6816.2899999999991</v>
          </cell>
          <cell r="J13">
            <v>6778.619999999999</v>
          </cell>
          <cell r="K13">
            <v>6279.62</v>
          </cell>
          <cell r="L13">
            <v>6166.72</v>
          </cell>
          <cell r="M13">
            <v>5805.22</v>
          </cell>
        </row>
        <row r="14">
          <cell r="B14">
            <v>7325.7</v>
          </cell>
          <cell r="C14">
            <v>7334.24</v>
          </cell>
          <cell r="D14">
            <v>6554.4</v>
          </cell>
          <cell r="E14">
            <v>4806.2</v>
          </cell>
          <cell r="F14">
            <v>4608.74</v>
          </cell>
          <cell r="G14">
            <v>4845.22</v>
          </cell>
          <cell r="H14">
            <v>5292.06</v>
          </cell>
          <cell r="I14">
            <v>5737.18</v>
          </cell>
          <cell r="J14">
            <v>5305.4400000000005</v>
          </cell>
          <cell r="K14">
            <v>5278.8600000000006</v>
          </cell>
          <cell r="L14">
            <v>5319.46</v>
          </cell>
          <cell r="M14">
            <v>6379.6</v>
          </cell>
        </row>
        <row r="15">
          <cell r="B15">
            <v>6124.48</v>
          </cell>
          <cell r="C15">
            <v>6090.12</v>
          </cell>
          <cell r="D15">
            <v>5106.4799999999996</v>
          </cell>
          <cell r="E15">
            <v>4421.6000000000004</v>
          </cell>
          <cell r="F15">
            <v>4233.12</v>
          </cell>
          <cell r="G15">
            <v>3462.76</v>
          </cell>
          <cell r="H15">
            <v>3691.92</v>
          </cell>
          <cell r="I15">
            <v>4012.6800000000003</v>
          </cell>
          <cell r="J15">
            <v>4008.32</v>
          </cell>
          <cell r="K15">
            <v>4497.16</v>
          </cell>
          <cell r="L15">
            <v>4751.76</v>
          </cell>
          <cell r="M15">
            <v>5685.52</v>
          </cell>
        </row>
        <row r="18">
          <cell r="B18">
            <v>3578.2</v>
          </cell>
          <cell r="C18">
            <v>3577.0249999999996</v>
          </cell>
          <cell r="D18">
            <v>3575.7249999999999</v>
          </cell>
          <cell r="E18">
            <v>3569.3999999999996</v>
          </cell>
          <cell r="F18">
            <v>3569.7750000000001</v>
          </cell>
          <cell r="G18">
            <v>3567.15</v>
          </cell>
          <cell r="H18">
            <v>3565.0499999999997</v>
          </cell>
          <cell r="I18">
            <v>3557.9749999999999</v>
          </cell>
          <cell r="J18">
            <v>3555.1249999999995</v>
          </cell>
          <cell r="K18">
            <v>3551.2750000000001</v>
          </cell>
          <cell r="L18">
            <v>3546.125</v>
          </cell>
          <cell r="M18">
            <v>3542.9749999999995</v>
          </cell>
        </row>
      </sheetData>
      <sheetData sheetId="3">
        <row r="9">
          <cell r="B9">
            <v>492787</v>
          </cell>
          <cell r="C9">
            <v>481912</v>
          </cell>
          <cell r="D9">
            <v>477587</v>
          </cell>
          <cell r="E9">
            <v>469103</v>
          </cell>
          <cell r="F9">
            <v>410240</v>
          </cell>
          <cell r="G9">
            <v>438110</v>
          </cell>
          <cell r="H9">
            <v>437568</v>
          </cell>
          <cell r="I9">
            <v>422679</v>
          </cell>
          <cell r="J9">
            <v>431167</v>
          </cell>
          <cell r="K9">
            <v>476729</v>
          </cell>
          <cell r="L9">
            <v>425042</v>
          </cell>
          <cell r="M9">
            <v>496373</v>
          </cell>
        </row>
        <row r="10">
          <cell r="B10">
            <v>26054</v>
          </cell>
          <cell r="C10">
            <v>28958</v>
          </cell>
          <cell r="D10">
            <v>29424</v>
          </cell>
          <cell r="E10">
            <v>25483</v>
          </cell>
          <cell r="F10">
            <v>29098</v>
          </cell>
          <cell r="G10">
            <v>29883</v>
          </cell>
          <cell r="H10">
            <v>29341</v>
          </cell>
          <cell r="I10">
            <v>29264</v>
          </cell>
          <cell r="J10">
            <v>29408</v>
          </cell>
          <cell r="K10">
            <v>32041</v>
          </cell>
          <cell r="L10">
            <v>26556</v>
          </cell>
          <cell r="M10">
            <v>28403</v>
          </cell>
        </row>
        <row r="11">
          <cell r="B11">
            <v>20895.349999999999</v>
          </cell>
          <cell r="C11">
            <v>21303.66</v>
          </cell>
          <cell r="D11">
            <v>21138.17</v>
          </cell>
          <cell r="E11">
            <v>20242.800000000003</v>
          </cell>
          <cell r="F11">
            <v>21600.190000000002</v>
          </cell>
          <cell r="G11">
            <v>20064.77</v>
          </cell>
          <cell r="H11">
            <v>21592.29</v>
          </cell>
          <cell r="I11">
            <v>23378.17</v>
          </cell>
          <cell r="J11">
            <v>22738.31</v>
          </cell>
          <cell r="K11">
            <v>22125.43</v>
          </cell>
          <cell r="L11">
            <v>24999.41</v>
          </cell>
          <cell r="M11">
            <v>22681.899999999998</v>
          </cell>
        </row>
        <row r="12">
          <cell r="B12">
            <v>2897.95</v>
          </cell>
          <cell r="C12">
            <v>2930.98</v>
          </cell>
          <cell r="D12">
            <v>2929.6600000000003</v>
          </cell>
          <cell r="E12">
            <v>3138.69</v>
          </cell>
          <cell r="F12">
            <v>3268.1600000000003</v>
          </cell>
          <cell r="G12">
            <v>3312.1</v>
          </cell>
          <cell r="H12">
            <v>3544.2200000000003</v>
          </cell>
          <cell r="I12">
            <v>3546.43</v>
          </cell>
          <cell r="J12">
            <v>3344.93</v>
          </cell>
          <cell r="K12">
            <v>2920.74</v>
          </cell>
          <cell r="L12">
            <v>2804.16</v>
          </cell>
          <cell r="M12">
            <v>2763.36</v>
          </cell>
        </row>
        <row r="13">
          <cell r="B13">
            <v>6092.93</v>
          </cell>
          <cell r="C13">
            <v>5979.2199999999993</v>
          </cell>
          <cell r="D13">
            <v>6437.8899999999994</v>
          </cell>
          <cell r="E13">
            <v>6268.0599999999995</v>
          </cell>
          <cell r="F13">
            <v>6351.5700000000006</v>
          </cell>
          <cell r="G13">
            <v>6588.66</v>
          </cell>
          <cell r="H13">
            <v>6825.2800000000007</v>
          </cell>
          <cell r="I13">
            <v>6816.2899999999991</v>
          </cell>
          <cell r="J13">
            <v>6778.619999999999</v>
          </cell>
          <cell r="K13">
            <v>6279.62</v>
          </cell>
          <cell r="L13">
            <v>6166.72</v>
          </cell>
          <cell r="M13">
            <v>5805.22</v>
          </cell>
        </row>
        <row r="14">
          <cell r="B14">
            <v>12878.78</v>
          </cell>
          <cell r="C14">
            <v>13897.431999999999</v>
          </cell>
          <cell r="D14">
            <v>14130.984</v>
          </cell>
          <cell r="E14">
            <v>12414.063999999998</v>
          </cell>
          <cell r="F14">
            <v>13868.603999999999</v>
          </cell>
          <cell r="G14">
            <v>13347.699999999999</v>
          </cell>
          <cell r="H14">
            <v>13463.483999999999</v>
          </cell>
          <cell r="I14">
            <v>14165.516</v>
          </cell>
          <cell r="J14">
            <v>14154.432000000001</v>
          </cell>
          <cell r="K14">
            <v>14754.236000000001</v>
          </cell>
          <cell r="L14">
            <v>13415.364000000001</v>
          </cell>
          <cell r="M14">
            <v>13711.472</v>
          </cell>
        </row>
        <row r="15">
          <cell r="B15">
            <v>8698.1949999999997</v>
          </cell>
          <cell r="C15">
            <v>9350.3360000000011</v>
          </cell>
          <cell r="D15">
            <v>9131.6369999999988</v>
          </cell>
          <cell r="E15">
            <v>7289.8220000000001</v>
          </cell>
          <cell r="F15">
            <v>7255.2169999999996</v>
          </cell>
          <cell r="G15">
            <v>5434.9250000000002</v>
          </cell>
          <cell r="H15">
            <v>5192.6469999999999</v>
          </cell>
          <cell r="I15">
            <v>5572.9330000000009</v>
          </cell>
          <cell r="J15">
            <v>6282.3109999999997</v>
          </cell>
          <cell r="K15">
            <v>8862.8330000000005</v>
          </cell>
          <cell r="L15">
            <v>8986.277</v>
          </cell>
          <cell r="M15">
            <v>9284.6260000000002</v>
          </cell>
        </row>
        <row r="18">
          <cell r="B18">
            <v>3578.2</v>
          </cell>
          <cell r="C18">
            <v>3577.0249999999996</v>
          </cell>
          <cell r="D18">
            <v>3575.7249999999999</v>
          </cell>
          <cell r="E18">
            <v>3569.3999999999996</v>
          </cell>
          <cell r="F18">
            <v>3569.7750000000001</v>
          </cell>
          <cell r="G18">
            <v>3567.15</v>
          </cell>
          <cell r="H18">
            <v>3565.0499999999997</v>
          </cell>
          <cell r="I18">
            <v>3557.9749999999999</v>
          </cell>
          <cell r="J18">
            <v>3555.1249999999995</v>
          </cell>
          <cell r="K18">
            <v>3551.2750000000001</v>
          </cell>
          <cell r="L18">
            <v>3546.125</v>
          </cell>
          <cell r="M18">
            <v>3542.9749999999995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illing Analysis"/>
      <sheetName val="Load Research Data"/>
      <sheetName val="rev adj"/>
      <sheetName val="Sheet2"/>
    </sheetNames>
    <sheetDataSet>
      <sheetData sheetId="0">
        <row r="11">
          <cell r="AV11">
            <v>46551</v>
          </cell>
        </row>
        <row r="74">
          <cell r="AV74">
            <v>3484</v>
          </cell>
        </row>
        <row r="136">
          <cell r="AV136">
            <v>160</v>
          </cell>
        </row>
        <row r="173">
          <cell r="AV173">
            <v>2</v>
          </cell>
        </row>
        <row r="211">
          <cell r="AV211">
            <v>3</v>
          </cell>
        </row>
        <row r="254">
          <cell r="AV254">
            <v>1016</v>
          </cell>
        </row>
        <row r="287">
          <cell r="AV287">
            <v>24</v>
          </cell>
        </row>
      </sheetData>
      <sheetData sheetId="1" refreshError="1"/>
      <sheetData sheetId="2">
        <row r="11">
          <cell r="D11">
            <v>559075</v>
          </cell>
        </row>
        <row r="15">
          <cell r="D15">
            <v>604001121</v>
          </cell>
        </row>
        <row r="50">
          <cell r="D50">
            <v>5869464</v>
          </cell>
        </row>
        <row r="79">
          <cell r="D79">
            <v>41296</v>
          </cell>
        </row>
        <row r="148">
          <cell r="D148">
            <v>1884</v>
          </cell>
        </row>
        <row r="191">
          <cell r="D191">
            <v>24</v>
          </cell>
        </row>
        <row r="284">
          <cell r="D284">
            <v>12376</v>
          </cell>
        </row>
        <row r="323">
          <cell r="D323">
            <v>299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Revenue"/>
      <sheetName val="Sheet3"/>
    </sheetNames>
    <sheetDataSet>
      <sheetData sheetId="0"/>
      <sheetData sheetId="1">
        <row r="12">
          <cell r="F12">
            <v>65324813.407289997</v>
          </cell>
        </row>
        <row r="27">
          <cell r="F27">
            <v>346826.62776</v>
          </cell>
        </row>
        <row r="41">
          <cell r="F41">
            <v>6400934.1799800005</v>
          </cell>
        </row>
        <row r="58">
          <cell r="F58">
            <v>4445.8477000000003</v>
          </cell>
        </row>
        <row r="69">
          <cell r="F69">
            <v>6762713.7722100001</v>
          </cell>
        </row>
        <row r="87">
          <cell r="F87">
            <v>1403807.3601200001</v>
          </cell>
        </row>
        <row r="107">
          <cell r="F107">
            <v>2662906.4912999999</v>
          </cell>
        </row>
        <row r="125">
          <cell r="F125">
            <v>2693975.3158099996</v>
          </cell>
        </row>
        <row r="143">
          <cell r="F143">
            <v>881975.6912</v>
          </cell>
        </row>
        <row r="198">
          <cell r="F198">
            <v>2544293.7199999997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illing Analysis"/>
      <sheetName val="Load Research Data"/>
      <sheetName val="rev adj"/>
      <sheetName val="Sheet2"/>
    </sheetNames>
    <sheetDataSet>
      <sheetData sheetId="0"/>
      <sheetData sheetId="1">
        <row r="159">
          <cell r="AA159">
            <v>19750121</v>
          </cell>
        </row>
      </sheetData>
      <sheetData sheetId="2">
        <row r="83">
          <cell r="D83">
            <v>59785822</v>
          </cell>
        </row>
        <row r="119">
          <cell r="D119">
            <v>84122</v>
          </cell>
        </row>
        <row r="151">
          <cell r="D151">
            <v>241169.79300000003</v>
          </cell>
        </row>
        <row r="155">
          <cell r="D155">
            <v>77219046</v>
          </cell>
        </row>
        <row r="194">
          <cell r="D194">
            <v>44861.753000000012</v>
          </cell>
        </row>
        <row r="198">
          <cell r="D198">
            <v>20992480</v>
          </cell>
        </row>
        <row r="235">
          <cell r="D235">
            <v>36</v>
          </cell>
        </row>
        <row r="238">
          <cell r="D238">
            <v>61200</v>
          </cell>
        </row>
        <row r="240">
          <cell r="D240">
            <v>14676.703</v>
          </cell>
        </row>
        <row r="246">
          <cell r="D246">
            <v>39684880</v>
          </cell>
        </row>
        <row r="288">
          <cell r="D288">
            <v>26256407</v>
          </cell>
        </row>
        <row r="327">
          <cell r="D327">
            <v>11011808</v>
          </cell>
        </row>
        <row r="435">
          <cell r="D435">
            <v>258117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BreakPreview" zoomScale="60" zoomScaleNormal="100" workbookViewId="0">
      <selection activeCell="C15" sqref="C15"/>
    </sheetView>
  </sheetViews>
  <sheetFormatPr defaultColWidth="11" defaultRowHeight="12.75"/>
  <cols>
    <col min="1" max="1" width="5.28515625" customWidth="1"/>
    <col min="4" max="4" width="11.28515625" bestFit="1" customWidth="1"/>
  </cols>
  <sheetData>
    <row r="1" spans="1:8">
      <c r="H1" s="324" t="s">
        <v>449</v>
      </c>
    </row>
    <row r="2" spans="1:8">
      <c r="H2" s="750" t="s">
        <v>593</v>
      </c>
    </row>
    <row r="3" spans="1:8">
      <c r="H3" s="69" t="s">
        <v>250</v>
      </c>
    </row>
    <row r="8" spans="1:8" ht="27" customHeight="1">
      <c r="A8" s="751"/>
      <c r="B8" s="751"/>
      <c r="C8" s="751"/>
      <c r="D8" s="751"/>
      <c r="E8" s="751"/>
      <c r="F8" s="751"/>
      <c r="G8" s="751"/>
      <c r="H8" s="751"/>
    </row>
    <row r="9" spans="1:8" ht="32.25" customHeight="1">
      <c r="A9" s="751" t="s">
        <v>448</v>
      </c>
      <c r="B9" s="751"/>
      <c r="C9" s="751"/>
      <c r="D9" s="751"/>
      <c r="E9" s="751"/>
      <c r="F9" s="751"/>
      <c r="G9" s="751"/>
      <c r="H9" s="751"/>
    </row>
    <row r="10" spans="1:8" ht="15.95" customHeight="1"/>
    <row r="11" spans="1:8" ht="23.25" customHeight="1">
      <c r="A11" s="753" t="s">
        <v>592</v>
      </c>
      <c r="B11" s="753"/>
      <c r="C11" s="753"/>
      <c r="D11" s="753"/>
      <c r="E11" s="753"/>
      <c r="F11" s="753"/>
      <c r="G11" s="753"/>
      <c r="H11" s="753"/>
    </row>
    <row r="12" spans="1:8" ht="15.95" customHeight="1"/>
    <row r="13" spans="1:8" ht="43.5" customHeight="1">
      <c r="A13" s="751" t="s">
        <v>249</v>
      </c>
      <c r="B13" s="751"/>
      <c r="C13" s="751"/>
      <c r="D13" s="751"/>
      <c r="E13" s="751"/>
      <c r="F13" s="751"/>
      <c r="G13" s="751"/>
      <c r="H13" s="751"/>
    </row>
    <row r="14" spans="1:8" ht="33.75">
      <c r="A14" s="751" t="s">
        <v>594</v>
      </c>
      <c r="B14" s="751"/>
      <c r="C14" s="751"/>
      <c r="D14" s="751"/>
      <c r="E14" s="751"/>
      <c r="F14" s="751"/>
      <c r="G14" s="751"/>
      <c r="H14" s="751"/>
    </row>
    <row r="15" spans="1:8" ht="15.95" customHeight="1"/>
    <row r="16" spans="1:8" ht="15.95" customHeight="1"/>
    <row r="17" spans="1:8" ht="15.95" customHeight="1"/>
    <row r="18" spans="1:8" ht="15.95" customHeight="1"/>
    <row r="19" spans="1:8" ht="15.95" customHeight="1"/>
    <row r="20" spans="1:8" ht="15.95" customHeight="1"/>
    <row r="21" spans="1:8" ht="15.95" customHeight="1"/>
    <row r="22" spans="1:8" ht="15.95" customHeight="1"/>
    <row r="23" spans="1:8" ht="15.95" customHeight="1"/>
    <row r="24" spans="1:8" ht="15.95" customHeight="1"/>
    <row r="25" spans="1:8" ht="15.95" customHeight="1"/>
    <row r="26" spans="1:8" ht="15.95" customHeight="1"/>
    <row r="27" spans="1:8" ht="15.95" customHeight="1"/>
    <row r="28" spans="1:8" ht="15.95" customHeight="1"/>
    <row r="29" spans="1:8" ht="15.95" customHeight="1"/>
    <row r="30" spans="1:8" ht="15.95" customHeight="1">
      <c r="A30" s="752" t="s">
        <v>590</v>
      </c>
      <c r="B30" s="752"/>
      <c r="C30" s="752"/>
      <c r="D30" s="752"/>
      <c r="E30" s="752"/>
      <c r="F30" s="752"/>
      <c r="G30" s="752"/>
      <c r="H30" s="752"/>
    </row>
    <row r="31" spans="1:8" ht="15.95" customHeight="1"/>
    <row r="32" spans="1:8" ht="15.95" customHeight="1"/>
    <row r="33" ht="15.95" customHeight="1"/>
  </sheetData>
  <customSheetViews>
    <customSheetView guid="{18050E3F-BBF0-4BF6-9B33-B0817BE1B1C5}" scale="60" showPageBreaks="1" printArea="1" view="pageBreakPreview" showRuler="0" topLeftCell="A9">
      <selection activeCell="L14" sqref="L14"/>
      <rowBreaks count="1" manualBreakCount="1">
        <brk id="42" max="7" man="1"/>
      </rowBreaks>
      <pageMargins left="0.75" right="0.75" top="1" bottom="1" header="0.5" footer="0.5"/>
      <printOptions horizontalCentered="1"/>
      <pageSetup scale="99" orientation="portrait" horizontalDpi="4294967293" r:id="rId1"/>
      <headerFooter alignWithMargins="0">
        <oddHeader xml:space="preserve">&amp;C&amp;"Arial,Bold"&amp;12 </oddHeader>
      </headerFooter>
    </customSheetView>
  </customSheetViews>
  <mergeCells count="6">
    <mergeCell ref="A8:H8"/>
    <mergeCell ref="A9:H9"/>
    <mergeCell ref="A13:H13"/>
    <mergeCell ref="A30:H30"/>
    <mergeCell ref="A11:H11"/>
    <mergeCell ref="A14:H14"/>
  </mergeCells>
  <phoneticPr fontId="3" type="noConversion"/>
  <printOptions horizontalCentered="1"/>
  <pageMargins left="0.75" right="0.75" top="1" bottom="1" header="0.5" footer="0.5"/>
  <pageSetup scale="99" orientation="portrait" horizontalDpi="4294967293" r:id="rId2"/>
  <headerFooter alignWithMargins="0">
    <oddHeader xml:space="preserve">&amp;C&amp;"Arial,Bold"&amp;12 </oddHeader>
  </headerFooter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154"/>
  <sheetViews>
    <sheetView view="pageBreakPreview" zoomScale="60" zoomScaleNormal="85" workbookViewId="0">
      <pane ySplit="8" topLeftCell="A81" activePane="bottomLeft" state="frozen"/>
      <selection pane="bottomLeft" activeCell="R90" sqref="R90"/>
    </sheetView>
  </sheetViews>
  <sheetFormatPr defaultRowHeight="14.25"/>
  <cols>
    <col min="1" max="1" width="4" style="361" customWidth="1"/>
    <col min="2" max="2" width="9" style="361" customWidth="1"/>
    <col min="3" max="3" width="40.7109375" style="361" customWidth="1"/>
    <col min="4" max="4" width="15.140625" style="361" customWidth="1"/>
    <col min="5" max="5" width="1.5703125" style="361" customWidth="1"/>
    <col min="6" max="6" width="16.28515625" style="361" customWidth="1"/>
    <col min="7" max="7" width="14" style="361" customWidth="1"/>
    <col min="8" max="8" width="15.140625" style="361" hidden="1" customWidth="1"/>
    <col min="9" max="9" width="2.85546875" style="361" customWidth="1"/>
    <col min="10" max="10" width="14.28515625" style="361" customWidth="1"/>
    <col min="11" max="11" width="9.140625" style="361"/>
    <col min="12" max="12" width="14.28515625" style="361" bestFit="1" customWidth="1"/>
    <col min="13" max="13" width="16.5703125" style="361" bestFit="1" customWidth="1"/>
    <col min="14" max="14" width="12.7109375" style="361" bestFit="1" customWidth="1"/>
    <col min="15" max="15" width="9.7109375" style="361" bestFit="1" customWidth="1"/>
    <col min="16" max="16384" width="9.140625" style="361"/>
  </cols>
  <sheetData>
    <row r="2" spans="1:14" ht="15">
      <c r="A2" s="358"/>
      <c r="B2" s="358"/>
      <c r="C2" s="359"/>
      <c r="D2" s="360"/>
      <c r="E2" s="360"/>
      <c r="F2" s="360"/>
      <c r="G2" s="360" t="s">
        <v>1</v>
      </c>
      <c r="H2" s="360" t="s">
        <v>1</v>
      </c>
      <c r="I2" s="360"/>
      <c r="J2" s="360"/>
    </row>
    <row r="3" spans="1:14" ht="15">
      <c r="A3" s="358"/>
      <c r="B3" s="358"/>
      <c r="C3" s="359"/>
      <c r="D3" s="360"/>
      <c r="E3" s="360"/>
      <c r="F3" s="360"/>
      <c r="G3" s="360"/>
      <c r="H3" s="360"/>
      <c r="I3" s="360"/>
      <c r="J3" s="360"/>
    </row>
    <row r="4" spans="1:14" ht="15">
      <c r="A4" s="358"/>
      <c r="B4" s="358"/>
      <c r="C4" s="359"/>
      <c r="D4" s="404" t="s">
        <v>75</v>
      </c>
      <c r="E4" s="404"/>
      <c r="F4" s="404"/>
      <c r="G4" s="404"/>
      <c r="H4" s="404"/>
      <c r="I4" s="404"/>
      <c r="J4" s="404"/>
    </row>
    <row r="5" spans="1:14">
      <c r="A5" s="358">
        <v>1</v>
      </c>
      <c r="B5" s="362"/>
      <c r="C5" s="363"/>
      <c r="D5" s="359"/>
      <c r="E5" s="359"/>
      <c r="G5" s="359"/>
      <c r="H5" s="359"/>
      <c r="I5" s="359"/>
      <c r="J5" s="364"/>
    </row>
    <row r="6" spans="1:14">
      <c r="A6" s="358">
        <v>2</v>
      </c>
      <c r="B6" s="365"/>
      <c r="C6" s="358"/>
      <c r="D6" s="359"/>
      <c r="E6" s="358" t="s">
        <v>1</v>
      </c>
      <c r="F6" s="358"/>
      <c r="G6" s="358" t="s">
        <v>339</v>
      </c>
      <c r="H6" s="358" t="s">
        <v>15</v>
      </c>
      <c r="I6" s="358"/>
      <c r="J6" s="366"/>
    </row>
    <row r="7" spans="1:14">
      <c r="A7" s="358">
        <v>3</v>
      </c>
      <c r="B7" s="365" t="s">
        <v>16</v>
      </c>
      <c r="C7" s="359" t="s">
        <v>17</v>
      </c>
      <c r="D7" s="358" t="s">
        <v>72</v>
      </c>
      <c r="E7" s="358" t="s">
        <v>1</v>
      </c>
      <c r="F7" s="367" t="s">
        <v>591</v>
      </c>
      <c r="G7" s="368" t="s">
        <v>4</v>
      </c>
      <c r="H7" s="358" t="s">
        <v>418</v>
      </c>
      <c r="I7" s="358"/>
      <c r="J7" s="366" t="s">
        <v>2</v>
      </c>
    </row>
    <row r="8" spans="1:14">
      <c r="A8" s="358">
        <v>4</v>
      </c>
      <c r="B8" s="365" t="s">
        <v>18</v>
      </c>
      <c r="C8" s="359"/>
      <c r="D8" s="368" t="s">
        <v>0</v>
      </c>
      <c r="E8" s="358" t="s">
        <v>1</v>
      </c>
      <c r="F8" s="369" t="s">
        <v>237</v>
      </c>
      <c r="G8" s="369" t="s">
        <v>237</v>
      </c>
      <c r="H8" s="368" t="s">
        <v>419</v>
      </c>
      <c r="I8" s="368"/>
      <c r="J8" s="370" t="s">
        <v>0</v>
      </c>
    </row>
    <row r="9" spans="1:14">
      <c r="A9" s="358">
        <v>5</v>
      </c>
      <c r="B9" s="365"/>
      <c r="C9" s="359"/>
      <c r="D9" s="359"/>
      <c r="E9" s="359"/>
      <c r="F9" s="359"/>
      <c r="G9" s="371" t="s">
        <v>238</v>
      </c>
      <c r="H9" s="359"/>
      <c r="I9" s="359"/>
      <c r="J9" s="364"/>
    </row>
    <row r="10" spans="1:14">
      <c r="A10" s="358">
        <v>6</v>
      </c>
      <c r="B10" s="365">
        <v>555</v>
      </c>
      <c r="C10" s="359" t="s">
        <v>19</v>
      </c>
      <c r="D10" s="372"/>
      <c r="E10" s="372"/>
      <c r="F10" s="372"/>
      <c r="G10" s="372"/>
      <c r="H10" s="372"/>
      <c r="I10" s="372"/>
      <c r="J10" s="373"/>
    </row>
    <row r="11" spans="1:14">
      <c r="A11" s="358">
        <v>7</v>
      </c>
      <c r="B11" s="365"/>
      <c r="C11" s="359" t="s">
        <v>254</v>
      </c>
      <c r="D11" s="372" t="s">
        <v>1</v>
      </c>
      <c r="E11" s="372"/>
      <c r="F11" s="372"/>
      <c r="G11" s="372"/>
      <c r="H11" s="372"/>
      <c r="I11" s="372"/>
      <c r="J11" s="373">
        <f>[1]Sheet1!$E$20</f>
        <v>13020019</v>
      </c>
    </row>
    <row r="12" spans="1:14">
      <c r="A12" s="358"/>
      <c r="B12" s="365"/>
      <c r="C12" s="359" t="s">
        <v>382</v>
      </c>
      <c r="D12" s="372" t="s">
        <v>1</v>
      </c>
      <c r="E12" s="372"/>
      <c r="F12" s="372"/>
      <c r="G12" s="372"/>
      <c r="H12" s="372"/>
      <c r="I12" s="372"/>
      <c r="J12" s="373">
        <f>[1]Sheet1!$G$20+[1]Sheet1!$H$20</f>
        <v>1321044</v>
      </c>
    </row>
    <row r="13" spans="1:14">
      <c r="A13" s="358">
        <v>8</v>
      </c>
      <c r="B13" s="365"/>
      <c r="C13" s="359" t="s">
        <v>255</v>
      </c>
      <c r="D13" s="372" t="s">
        <v>1</v>
      </c>
      <c r="E13" s="372"/>
      <c r="F13" s="372"/>
      <c r="G13" s="372" t="s">
        <v>1</v>
      </c>
      <c r="H13" s="372">
        <v>0</v>
      </c>
      <c r="I13" s="372"/>
      <c r="J13" s="373">
        <f>[1]Sheet1!$F$20-[1]Sheet1!$O$20-[1]Sheet1!$R$20</f>
        <v>44259636</v>
      </c>
      <c r="M13" s="374">
        <v>75910446</v>
      </c>
      <c r="N13" s="375">
        <f>(M13-J13)</f>
        <v>31650810</v>
      </c>
    </row>
    <row r="14" spans="1:14">
      <c r="A14" s="358">
        <v>9</v>
      </c>
      <c r="B14" s="365"/>
      <c r="C14" s="359" t="s">
        <v>256</v>
      </c>
      <c r="D14" s="372"/>
      <c r="E14" s="372"/>
      <c r="F14" s="372"/>
      <c r="G14" s="372" t="s">
        <v>1</v>
      </c>
      <c r="H14" s="372">
        <v>0</v>
      </c>
      <c r="I14" s="372"/>
      <c r="J14" s="373">
        <f>[1]Sheet1!$O$20</f>
        <v>4430</v>
      </c>
    </row>
    <row r="15" spans="1:14">
      <c r="A15" s="358"/>
      <c r="B15" s="365"/>
      <c r="C15" s="359" t="s">
        <v>442</v>
      </c>
      <c r="D15" s="376"/>
      <c r="E15" s="376"/>
      <c r="F15" s="376"/>
      <c r="G15" s="376"/>
      <c r="H15" s="376"/>
      <c r="I15" s="372"/>
      <c r="J15" s="373">
        <f>[1]Sheet1!$R$20</f>
        <v>146741.20000000001</v>
      </c>
    </row>
    <row r="16" spans="1:14" ht="15">
      <c r="A16" s="358">
        <v>10</v>
      </c>
      <c r="B16" s="365"/>
      <c r="C16" s="377" t="s">
        <v>20</v>
      </c>
      <c r="D16" s="378">
        <f>57651734+8614470+146741.2</f>
        <v>66412945.200000003</v>
      </c>
      <c r="E16" s="378"/>
      <c r="F16" s="378"/>
      <c r="G16" s="378">
        <f>(J16-D16)</f>
        <v>-7661075</v>
      </c>
      <c r="H16" s="378">
        <v>0</v>
      </c>
      <c r="I16" s="378"/>
      <c r="J16" s="379">
        <f>SUM(J11:J15)</f>
        <v>58751870.200000003</v>
      </c>
      <c r="L16" s="375">
        <f>SUM(J11:J14)</f>
        <v>58605129</v>
      </c>
    </row>
    <row r="17" spans="1:12">
      <c r="A17" s="358">
        <v>11</v>
      </c>
      <c r="B17" s="365"/>
      <c r="C17" s="359"/>
      <c r="D17" s="372"/>
      <c r="E17" s="372"/>
      <c r="F17" s="372"/>
      <c r="G17" s="372"/>
      <c r="H17" s="372"/>
      <c r="I17" s="372"/>
      <c r="J17" s="373"/>
    </row>
    <row r="18" spans="1:12">
      <c r="A18" s="358">
        <v>12</v>
      </c>
      <c r="B18" s="365">
        <v>580</v>
      </c>
      <c r="C18" s="359" t="s">
        <v>21</v>
      </c>
      <c r="D18" s="372">
        <f>87147.95</f>
        <v>87147.95</v>
      </c>
      <c r="E18" s="372"/>
      <c r="F18" s="372"/>
      <c r="G18" s="372" t="s">
        <v>1</v>
      </c>
      <c r="H18" s="372"/>
      <c r="I18" s="372"/>
      <c r="J18" s="373">
        <f t="shared" ref="J18:J28" si="0">SUM(D18,F18:H18)</f>
        <v>87147.95</v>
      </c>
    </row>
    <row r="19" spans="1:12">
      <c r="A19" s="358"/>
      <c r="B19" s="365">
        <v>581</v>
      </c>
      <c r="C19" s="359" t="s">
        <v>335</v>
      </c>
      <c r="D19" s="372">
        <v>0</v>
      </c>
      <c r="E19" s="372"/>
      <c r="F19" s="372"/>
      <c r="G19" s="372"/>
      <c r="H19" s="372"/>
      <c r="I19" s="372"/>
      <c r="J19" s="373">
        <f t="shared" si="0"/>
        <v>0</v>
      </c>
    </row>
    <row r="20" spans="1:12">
      <c r="A20" s="358">
        <v>13</v>
      </c>
      <c r="B20" s="365">
        <v>582</v>
      </c>
      <c r="C20" s="359" t="s">
        <v>22</v>
      </c>
      <c r="D20" s="372">
        <v>24929.3</v>
      </c>
      <c r="E20" s="372"/>
      <c r="F20" s="372"/>
      <c r="G20" s="372" t="s">
        <v>1</v>
      </c>
      <c r="H20" s="372"/>
      <c r="I20" s="372"/>
      <c r="J20" s="373">
        <f t="shared" si="0"/>
        <v>24929.3</v>
      </c>
    </row>
    <row r="21" spans="1:12">
      <c r="A21" s="358">
        <v>14</v>
      </c>
      <c r="B21" s="365">
        <v>583</v>
      </c>
      <c r="C21" s="359" t="s">
        <v>23</v>
      </c>
      <c r="D21" s="374">
        <f>1615846.25+171637.1+97902.87+0+0</f>
        <v>1885386.2200000002</v>
      </c>
      <c r="E21" s="372"/>
      <c r="F21" s="372"/>
      <c r="G21" s="372" t="s">
        <v>1</v>
      </c>
      <c r="H21" s="359"/>
      <c r="I21" s="372"/>
      <c r="J21" s="373">
        <f t="shared" si="0"/>
        <v>1885386.2200000002</v>
      </c>
    </row>
    <row r="22" spans="1:12">
      <c r="A22" s="358">
        <v>15</v>
      </c>
      <c r="B22" s="365">
        <v>584</v>
      </c>
      <c r="C22" s="359" t="s">
        <v>24</v>
      </c>
      <c r="D22" s="372">
        <f>24039.57+32871.13</f>
        <v>56910.7</v>
      </c>
      <c r="E22" s="372"/>
      <c r="F22" s="372"/>
      <c r="G22" s="372" t="s">
        <v>1</v>
      </c>
      <c r="H22" s="372"/>
      <c r="I22" s="372"/>
      <c r="J22" s="373">
        <f t="shared" si="0"/>
        <v>56910.7</v>
      </c>
    </row>
    <row r="23" spans="1:12">
      <c r="A23" s="358">
        <v>16</v>
      </c>
      <c r="B23" s="365">
        <v>585</v>
      </c>
      <c r="C23" s="359" t="s">
        <v>235</v>
      </c>
      <c r="D23" s="372">
        <v>0</v>
      </c>
      <c r="E23" s="372"/>
      <c r="F23" s="372"/>
      <c r="G23" s="359"/>
      <c r="H23" s="372"/>
      <c r="I23" s="372"/>
      <c r="J23" s="373">
        <f t="shared" si="0"/>
        <v>0</v>
      </c>
    </row>
    <row r="24" spans="1:12">
      <c r="A24" s="358">
        <v>17</v>
      </c>
      <c r="B24" s="365">
        <v>586</v>
      </c>
      <c r="C24" s="359" t="s">
        <v>25</v>
      </c>
      <c r="D24" s="372">
        <f>832056.07+711787.3+62955.17+0</f>
        <v>1606798.54</v>
      </c>
      <c r="E24" s="372"/>
      <c r="F24" s="372"/>
      <c r="G24" s="372" t="s">
        <v>1</v>
      </c>
      <c r="H24" s="372"/>
      <c r="I24" s="372"/>
      <c r="J24" s="373">
        <f t="shared" si="0"/>
        <v>1606798.54</v>
      </c>
    </row>
    <row r="25" spans="1:12">
      <c r="A25" s="358">
        <v>18</v>
      </c>
      <c r="B25" s="365">
        <v>587</v>
      </c>
      <c r="C25" s="359" t="s">
        <v>26</v>
      </c>
      <c r="D25" s="372">
        <v>181345.26</v>
      </c>
      <c r="E25" s="372"/>
      <c r="F25" s="372"/>
      <c r="G25" s="372" t="s">
        <v>1</v>
      </c>
      <c r="H25" s="372"/>
      <c r="I25" s="372"/>
      <c r="J25" s="373">
        <f t="shared" si="0"/>
        <v>181345.26</v>
      </c>
    </row>
    <row r="26" spans="1:12">
      <c r="A26" s="358">
        <v>19</v>
      </c>
      <c r="B26" s="365">
        <v>588</v>
      </c>
      <c r="C26" s="359" t="s">
        <v>27</v>
      </c>
      <c r="D26" s="372">
        <f>508362.91+0+283764.37+14620.11+0+0+218806.08+0</f>
        <v>1025553.47</v>
      </c>
      <c r="E26" s="372"/>
      <c r="F26" s="372"/>
      <c r="G26" s="372" t="s">
        <v>1</v>
      </c>
      <c r="H26" s="372"/>
      <c r="I26" s="372"/>
      <c r="J26" s="373">
        <f t="shared" si="0"/>
        <v>1025553.47</v>
      </c>
    </row>
    <row r="27" spans="1:12">
      <c r="A27" s="358">
        <v>20</v>
      </c>
      <c r="B27" s="365">
        <v>589</v>
      </c>
      <c r="C27" s="359" t="s">
        <v>28</v>
      </c>
      <c r="D27" s="376">
        <v>0</v>
      </c>
      <c r="E27" s="376"/>
      <c r="F27" s="376"/>
      <c r="G27" s="376">
        <v>0</v>
      </c>
      <c r="H27" s="376"/>
      <c r="I27" s="376"/>
      <c r="J27" s="380">
        <f t="shared" si="0"/>
        <v>0</v>
      </c>
    </row>
    <row r="28" spans="1:12" ht="15">
      <c r="A28" s="358">
        <v>21</v>
      </c>
      <c r="B28" s="365"/>
      <c r="C28" s="377" t="s">
        <v>76</v>
      </c>
      <c r="D28" s="372">
        <f>SUM(D18:D27)</f>
        <v>4868071.4399999995</v>
      </c>
      <c r="E28" s="372"/>
      <c r="F28" s="372"/>
      <c r="G28" s="372">
        <f t="shared" ref="G28:I28" si="1">SUM(G18:G27)</f>
        <v>0</v>
      </c>
      <c r="H28" s="372">
        <v>0</v>
      </c>
      <c r="I28" s="372">
        <f t="shared" si="1"/>
        <v>0</v>
      </c>
      <c r="J28" s="373">
        <f t="shared" si="0"/>
        <v>4868071.4399999995</v>
      </c>
      <c r="L28" s="375">
        <f>SUM(J18:J27)</f>
        <v>4868071.4399999995</v>
      </c>
    </row>
    <row r="29" spans="1:12">
      <c r="A29" s="358">
        <v>22</v>
      </c>
      <c r="B29" s="381"/>
      <c r="C29" s="359"/>
      <c r="D29" s="372"/>
      <c r="E29" s="372"/>
      <c r="F29" s="372"/>
      <c r="G29" s="372"/>
      <c r="H29" s="372"/>
      <c r="I29" s="372"/>
      <c r="J29" s="373" t="s">
        <v>1</v>
      </c>
    </row>
    <row r="30" spans="1:12">
      <c r="A30" s="358">
        <v>23</v>
      </c>
      <c r="B30" s="365">
        <v>590</v>
      </c>
      <c r="C30" s="359" t="s">
        <v>29</v>
      </c>
      <c r="D30" s="372">
        <f>0</f>
        <v>0</v>
      </c>
      <c r="E30" s="372"/>
      <c r="F30" s="372"/>
      <c r="G30" s="372" t="s">
        <v>1</v>
      </c>
      <c r="H30" s="372"/>
      <c r="I30" s="372"/>
      <c r="J30" s="373">
        <f t="shared" ref="J30:J50" si="2">SUM(D30,F30:H30)</f>
        <v>0</v>
      </c>
    </row>
    <row r="31" spans="1:12">
      <c r="A31" s="358">
        <v>24</v>
      </c>
      <c r="B31" s="365">
        <v>592</v>
      </c>
      <c r="C31" s="359" t="s">
        <v>30</v>
      </c>
      <c r="D31" s="372">
        <v>0</v>
      </c>
      <c r="E31" s="359"/>
      <c r="F31" s="359"/>
      <c r="G31" s="359"/>
      <c r="H31" s="372"/>
      <c r="I31" s="372"/>
      <c r="J31" s="373">
        <f t="shared" si="2"/>
        <v>0</v>
      </c>
    </row>
    <row r="32" spans="1:12">
      <c r="A32" s="358">
        <v>25</v>
      </c>
      <c r="B32" s="365">
        <v>593</v>
      </c>
      <c r="C32" s="359" t="s">
        <v>31</v>
      </c>
      <c r="D32" s="372">
        <f>906159.18+1396601.11+6045.96+0+110453.58+0+0+0+200+351683.32+0+122971.15+416120.71+600+0+2340384.82+0+0+9440+0</f>
        <v>5660659.8300000001</v>
      </c>
      <c r="E32" s="372"/>
      <c r="F32" s="372"/>
      <c r="G32" s="372" t="s">
        <v>1</v>
      </c>
      <c r="H32" s="372">
        <v>0</v>
      </c>
      <c r="I32" s="372"/>
      <c r="J32" s="373">
        <f t="shared" si="2"/>
        <v>5660659.8300000001</v>
      </c>
    </row>
    <row r="33" spans="1:14">
      <c r="A33" s="358">
        <v>26</v>
      </c>
      <c r="B33" s="365">
        <v>594</v>
      </c>
      <c r="C33" s="359" t="s">
        <v>32</v>
      </c>
      <c r="D33" s="372">
        <f>5730.59+0</f>
        <v>5730.59</v>
      </c>
      <c r="E33" s="372"/>
      <c r="F33" s="372"/>
      <c r="G33" s="372" t="s">
        <v>1</v>
      </c>
      <c r="H33" s="372"/>
      <c r="I33" s="372"/>
      <c r="J33" s="373">
        <f t="shared" si="2"/>
        <v>5730.59</v>
      </c>
    </row>
    <row r="34" spans="1:14">
      <c r="A34" s="358">
        <v>27</v>
      </c>
      <c r="B34" s="365">
        <v>595</v>
      </c>
      <c r="C34" s="359" t="s">
        <v>33</v>
      </c>
      <c r="D34" s="372">
        <f>16590.86</f>
        <v>16590.86</v>
      </c>
      <c r="E34" s="372"/>
      <c r="F34" s="372"/>
      <c r="G34" s="372" t="s">
        <v>1</v>
      </c>
      <c r="H34" s="372"/>
      <c r="I34" s="372"/>
      <c r="J34" s="373">
        <f t="shared" si="2"/>
        <v>16590.86</v>
      </c>
    </row>
    <row r="35" spans="1:14">
      <c r="A35" s="358">
        <v>28</v>
      </c>
      <c r="B35" s="365">
        <v>596</v>
      </c>
      <c r="C35" s="359" t="s">
        <v>414</v>
      </c>
      <c r="D35" s="372">
        <f>23457.92</f>
        <v>23457.919999999998</v>
      </c>
      <c r="E35" s="372"/>
      <c r="F35" s="372"/>
      <c r="G35" s="359" t="s">
        <v>1</v>
      </c>
      <c r="H35" s="372"/>
      <c r="I35" s="372"/>
      <c r="J35" s="373">
        <f t="shared" si="2"/>
        <v>23457.919999999998</v>
      </c>
    </row>
    <row r="36" spans="1:14">
      <c r="A36" s="358">
        <v>29</v>
      </c>
      <c r="B36" s="365">
        <v>597</v>
      </c>
      <c r="C36" s="359" t="s">
        <v>34</v>
      </c>
      <c r="D36" s="372">
        <f>0</f>
        <v>0</v>
      </c>
      <c r="E36" s="372"/>
      <c r="F36" s="372"/>
      <c r="G36" s="372" t="s">
        <v>1</v>
      </c>
      <c r="H36" s="372"/>
      <c r="I36" s="372"/>
      <c r="J36" s="373">
        <f t="shared" si="2"/>
        <v>0</v>
      </c>
    </row>
    <row r="37" spans="1:14">
      <c r="A37" s="358">
        <v>30</v>
      </c>
      <c r="B37" s="365">
        <v>598</v>
      </c>
      <c r="C37" s="359" t="s">
        <v>35</v>
      </c>
      <c r="D37" s="376">
        <v>245520.58</v>
      </c>
      <c r="E37" s="376"/>
      <c r="F37" s="376"/>
      <c r="G37" s="376" t="s">
        <v>1</v>
      </c>
      <c r="H37" s="372"/>
      <c r="I37" s="376"/>
      <c r="J37" s="380">
        <f t="shared" si="2"/>
        <v>245520.58</v>
      </c>
    </row>
    <row r="38" spans="1:14" ht="15">
      <c r="A38" s="358">
        <v>31</v>
      </c>
      <c r="B38" s="365" t="s">
        <v>1</v>
      </c>
      <c r="C38" s="377" t="s">
        <v>79</v>
      </c>
      <c r="D38" s="378">
        <f>SUM(D30:D37)</f>
        <v>5951959.7800000003</v>
      </c>
      <c r="E38" s="378"/>
      <c r="F38" s="378"/>
      <c r="G38" s="378">
        <f>SUM(G30:G37)</f>
        <v>0</v>
      </c>
      <c r="H38" s="376">
        <v>0</v>
      </c>
      <c r="I38" s="378">
        <f>SUM(I30:I37)</f>
        <v>0</v>
      </c>
      <c r="J38" s="379">
        <f t="shared" si="2"/>
        <v>5951959.7800000003</v>
      </c>
      <c r="L38" s="375">
        <f>SUM(J30:J37)</f>
        <v>5951959.7800000003</v>
      </c>
      <c r="M38" s="374">
        <f>(J38-L38)</f>
        <v>0</v>
      </c>
      <c r="N38" s="375" t="s">
        <v>1</v>
      </c>
    </row>
    <row r="39" spans="1:14">
      <c r="A39" s="358">
        <v>32</v>
      </c>
      <c r="B39" s="365" t="s">
        <v>1</v>
      </c>
      <c r="C39" s="359" t="s">
        <v>1</v>
      </c>
      <c r="D39" s="372"/>
      <c r="E39" s="372"/>
      <c r="F39" s="372"/>
      <c r="G39" s="372"/>
      <c r="H39" s="372"/>
      <c r="I39" s="372"/>
      <c r="J39" s="373">
        <f t="shared" si="2"/>
        <v>0</v>
      </c>
    </row>
    <row r="40" spans="1:14">
      <c r="A40" s="358">
        <v>33</v>
      </c>
      <c r="B40" s="365">
        <v>901</v>
      </c>
      <c r="C40" s="359" t="s">
        <v>36</v>
      </c>
      <c r="D40" s="372">
        <f>75527.05</f>
        <v>75527.05</v>
      </c>
      <c r="E40" s="372"/>
      <c r="F40" s="372"/>
      <c r="G40" s="372" t="s">
        <v>1</v>
      </c>
      <c r="H40" s="372"/>
      <c r="I40" s="372"/>
      <c r="J40" s="373">
        <f t="shared" si="2"/>
        <v>75527.05</v>
      </c>
    </row>
    <row r="41" spans="1:14">
      <c r="A41" s="358">
        <v>34</v>
      </c>
      <c r="B41" s="365">
        <v>902</v>
      </c>
      <c r="C41" s="359" t="s">
        <v>37</v>
      </c>
      <c r="D41" s="372">
        <f>37553.07</f>
        <v>37553.07</v>
      </c>
      <c r="E41" s="372"/>
      <c r="F41" s="372"/>
      <c r="G41" s="372" t="s">
        <v>1</v>
      </c>
      <c r="H41" s="372"/>
      <c r="I41" s="372"/>
      <c r="J41" s="373">
        <f t="shared" si="2"/>
        <v>37553.07</v>
      </c>
    </row>
    <row r="42" spans="1:14">
      <c r="A42" s="358">
        <v>35</v>
      </c>
      <c r="B42" s="365">
        <v>903</v>
      </c>
      <c r="C42" s="359" t="s">
        <v>38</v>
      </c>
      <c r="D42" s="372">
        <f>165933.06+11393.05+407214.84+602586.78+533854.83+5922.44+563.84+54629.61+15795.41+2620.79+8827.92+0+25204.52+330487.73+215950.72+30815.92+699376.25</f>
        <v>3111177.7100000004</v>
      </c>
      <c r="E42" s="372"/>
      <c r="F42" s="372"/>
      <c r="G42" s="372" t="s">
        <v>1</v>
      </c>
      <c r="H42" s="372"/>
      <c r="I42" s="372"/>
      <c r="J42" s="373">
        <f t="shared" si="2"/>
        <v>3111177.7100000004</v>
      </c>
    </row>
    <row r="43" spans="1:14">
      <c r="A43" s="358">
        <v>36</v>
      </c>
      <c r="B43" s="365">
        <v>904</v>
      </c>
      <c r="C43" s="359" t="s">
        <v>39</v>
      </c>
      <c r="D43" s="376">
        <f>-104074.25</f>
        <v>-104074.25</v>
      </c>
      <c r="E43" s="376"/>
      <c r="F43" s="372"/>
      <c r="G43" s="372">
        <v>0</v>
      </c>
      <c r="H43" s="376"/>
      <c r="I43" s="376"/>
      <c r="J43" s="380">
        <f t="shared" si="2"/>
        <v>-104074.25</v>
      </c>
    </row>
    <row r="44" spans="1:14" ht="15">
      <c r="A44" s="358">
        <v>37</v>
      </c>
      <c r="B44" s="365" t="s">
        <v>1</v>
      </c>
      <c r="C44" s="377" t="s">
        <v>423</v>
      </c>
      <c r="D44" s="378">
        <f>SUM(D40:D43)</f>
        <v>3120183.5800000005</v>
      </c>
      <c r="E44" s="378"/>
      <c r="F44" s="378"/>
      <c r="G44" s="378">
        <f>SUM(G40:G43)</f>
        <v>0</v>
      </c>
      <c r="H44" s="378">
        <v>0</v>
      </c>
      <c r="I44" s="378">
        <f>SUM(I40:I43)</f>
        <v>0</v>
      </c>
      <c r="J44" s="379">
        <f t="shared" si="2"/>
        <v>3120183.5800000005</v>
      </c>
      <c r="L44" s="375">
        <f>SUM(J40:J43)</f>
        <v>3120183.5800000005</v>
      </c>
    </row>
    <row r="45" spans="1:14" ht="15">
      <c r="A45" s="358">
        <v>38</v>
      </c>
      <c r="B45" s="365"/>
      <c r="C45" s="377"/>
      <c r="D45" s="382"/>
      <c r="E45" s="382"/>
      <c r="F45" s="382"/>
      <c r="G45" s="372"/>
      <c r="H45" s="372"/>
      <c r="I45" s="372"/>
      <c r="J45" s="373">
        <f t="shared" si="2"/>
        <v>0</v>
      </c>
    </row>
    <row r="46" spans="1:14">
      <c r="A46" s="358">
        <v>39</v>
      </c>
      <c r="B46" s="365">
        <v>907</v>
      </c>
      <c r="C46" s="359" t="s">
        <v>40</v>
      </c>
      <c r="D46" s="372">
        <f>3544.27+0</f>
        <v>3544.27</v>
      </c>
      <c r="E46" s="372"/>
      <c r="F46" s="372"/>
      <c r="G46" s="372" t="s">
        <v>1</v>
      </c>
      <c r="H46" s="372"/>
      <c r="I46" s="372"/>
      <c r="J46" s="373">
        <f t="shared" si="2"/>
        <v>3544.27</v>
      </c>
    </row>
    <row r="47" spans="1:14">
      <c r="A47" s="358">
        <v>40</v>
      </c>
      <c r="B47" s="365">
        <v>908</v>
      </c>
      <c r="C47" s="359" t="s">
        <v>210</v>
      </c>
      <c r="D47" s="372">
        <f>0+104.09+(-21181.76)+6528.37+0+0+126.25+0+(-5510.04)+(-1077.13)+67009.73+40108.55+16532.53+0+7194.31+10088.8+82915.94+49860.1+30+0+0+0+0</f>
        <v>252729.74000000002</v>
      </c>
      <c r="E47" s="372"/>
      <c r="F47" s="372"/>
      <c r="G47" s="372" t="s">
        <v>1</v>
      </c>
      <c r="H47" s="372"/>
      <c r="I47" s="372"/>
      <c r="J47" s="373">
        <f t="shared" si="2"/>
        <v>252729.74000000002</v>
      </c>
    </row>
    <row r="48" spans="1:14">
      <c r="A48" s="358">
        <v>41</v>
      </c>
      <c r="B48" s="365">
        <v>909</v>
      </c>
      <c r="C48" s="359" t="s">
        <v>234</v>
      </c>
      <c r="D48" s="372">
        <f>21655.34+2288.98+12806.56</f>
        <v>36750.879999999997</v>
      </c>
      <c r="E48" s="372"/>
      <c r="F48" s="372"/>
      <c r="G48" s="372" t="s">
        <v>1</v>
      </c>
      <c r="H48" s="372"/>
      <c r="I48" s="372"/>
      <c r="J48" s="373">
        <f t="shared" si="2"/>
        <v>36750.879999999997</v>
      </c>
    </row>
    <row r="49" spans="1:17">
      <c r="A49" s="358">
        <v>42</v>
      </c>
      <c r="B49" s="365">
        <v>910</v>
      </c>
      <c r="C49" s="359" t="s">
        <v>233</v>
      </c>
      <c r="D49" s="372">
        <f>31839.84+5441.62+37551.37+124708.59+0+1907.02+44443.43+24234.44+0+99916.01</f>
        <v>370042.31999999995</v>
      </c>
      <c r="E49" s="372"/>
      <c r="F49" s="372"/>
      <c r="G49" s="372" t="s">
        <v>1</v>
      </c>
      <c r="H49" s="372"/>
      <c r="I49" s="372"/>
      <c r="J49" s="373">
        <f t="shared" si="2"/>
        <v>370042.31999999995</v>
      </c>
    </row>
    <row r="50" spans="1:17">
      <c r="A50" s="358">
        <v>43</v>
      </c>
      <c r="B50" s="365">
        <v>912</v>
      </c>
      <c r="C50" s="359" t="s">
        <v>336</v>
      </c>
      <c r="D50" s="372">
        <v>0</v>
      </c>
      <c r="E50" s="372"/>
      <c r="F50" s="372"/>
      <c r="G50" s="372" t="s">
        <v>1</v>
      </c>
      <c r="H50" s="372"/>
      <c r="I50" s="372"/>
      <c r="J50" s="373">
        <f t="shared" si="2"/>
        <v>0</v>
      </c>
    </row>
    <row r="51" spans="1:17">
      <c r="A51" s="358"/>
      <c r="B51" s="365">
        <v>913</v>
      </c>
      <c r="C51" s="359" t="s">
        <v>441</v>
      </c>
      <c r="D51" s="376">
        <v>148618.07</v>
      </c>
      <c r="E51" s="376"/>
      <c r="F51" s="376"/>
      <c r="G51" s="376"/>
      <c r="H51" s="372"/>
      <c r="I51" s="376"/>
      <c r="J51" s="380"/>
    </row>
    <row r="52" spans="1:17" ht="15">
      <c r="A52" s="358">
        <v>44</v>
      </c>
      <c r="B52" s="383"/>
      <c r="C52" s="384" t="s">
        <v>78</v>
      </c>
      <c r="D52" s="376">
        <f>SUM(D46:D51)</f>
        <v>811685.28</v>
      </c>
      <c r="E52" s="376"/>
      <c r="F52" s="376"/>
      <c r="G52" s="376">
        <f>SUM(G46:G50)</f>
        <v>0</v>
      </c>
      <c r="H52" s="378">
        <v>0</v>
      </c>
      <c r="I52" s="376">
        <f>SUM(I46:I50)</f>
        <v>0</v>
      </c>
      <c r="J52" s="379">
        <f t="shared" ref="J52:J68" si="3">SUM(D52,F52:H52)</f>
        <v>811685.28</v>
      </c>
      <c r="L52" s="375">
        <f>SUM(J46:J50)</f>
        <v>663067.21</v>
      </c>
    </row>
    <row r="53" spans="1:17">
      <c r="A53" s="358">
        <v>45</v>
      </c>
      <c r="B53" s="358" t="s">
        <v>1</v>
      </c>
      <c r="C53" s="359" t="s">
        <v>1</v>
      </c>
      <c r="D53" s="372" t="s">
        <v>1</v>
      </c>
      <c r="E53" s="372"/>
      <c r="F53" s="372"/>
      <c r="G53" s="374"/>
      <c r="H53" s="374"/>
      <c r="I53" s="374"/>
      <c r="J53" s="379">
        <f t="shared" si="3"/>
        <v>0</v>
      </c>
    </row>
    <row r="54" spans="1:17">
      <c r="A54" s="358">
        <v>46</v>
      </c>
      <c r="B54" s="362">
        <v>920</v>
      </c>
      <c r="C54" s="363" t="s">
        <v>41</v>
      </c>
      <c r="D54" s="385">
        <f>179937+115994.25+0+12402.39+0+6344.99+7778.01+589792.19+0+0+0+139205.29+370512.35+18239.76+156609.98+2262.14+0+499235.58+5883.6+12643.75+0</f>
        <v>2116841.2799999998</v>
      </c>
      <c r="E54" s="385"/>
      <c r="F54" s="385"/>
      <c r="G54" s="385" t="s">
        <v>1</v>
      </c>
      <c r="H54" s="385"/>
      <c r="I54" s="385"/>
      <c r="J54" s="373">
        <f t="shared" si="3"/>
        <v>2116841.2799999998</v>
      </c>
      <c r="L54" s="386"/>
      <c r="M54" s="386"/>
      <c r="N54" s="386"/>
      <c r="O54" s="386"/>
      <c r="P54" s="386"/>
      <c r="Q54" s="386"/>
    </row>
    <row r="55" spans="1:17">
      <c r="A55" s="358">
        <v>47</v>
      </c>
      <c r="B55" s="365">
        <v>921</v>
      </c>
      <c r="C55" s="359" t="s">
        <v>42</v>
      </c>
      <c r="D55" s="372">
        <f>343536.25+38.35+0+44.76+0+0+14855.05+29312.21+180804.55+16955.86+0+3345.51+0+43562.85+38311.96+26280.67+16552.91+12413.24+6600.69+11635.14+0</f>
        <v>744249.99999999988</v>
      </c>
      <c r="E55" s="372"/>
      <c r="F55" s="372"/>
      <c r="G55" s="372">
        <v>0</v>
      </c>
      <c r="H55" s="372"/>
      <c r="I55" s="372"/>
      <c r="J55" s="373">
        <f t="shared" si="3"/>
        <v>744249.99999999988</v>
      </c>
      <c r="L55" s="386"/>
      <c r="M55" s="386"/>
      <c r="N55" s="386"/>
      <c r="O55" s="386"/>
      <c r="P55" s="386"/>
      <c r="Q55" s="386"/>
    </row>
    <row r="56" spans="1:17">
      <c r="A56" s="358">
        <v>48</v>
      </c>
      <c r="B56" s="365">
        <v>923</v>
      </c>
      <c r="C56" s="359" t="s">
        <v>43</v>
      </c>
      <c r="D56" s="372">
        <f>118341.33+0</f>
        <v>118341.33</v>
      </c>
      <c r="E56" s="372"/>
      <c r="F56" s="372"/>
      <c r="G56" s="372" t="s">
        <v>1</v>
      </c>
      <c r="H56" s="372" t="s">
        <v>1</v>
      </c>
      <c r="I56" s="372"/>
      <c r="J56" s="373">
        <f t="shared" si="3"/>
        <v>118341.33</v>
      </c>
      <c r="L56" s="386"/>
      <c r="M56" s="386"/>
      <c r="N56" s="386"/>
      <c r="O56" s="386"/>
      <c r="P56" s="386"/>
      <c r="Q56" s="386"/>
    </row>
    <row r="57" spans="1:17">
      <c r="A57" s="358">
        <v>49</v>
      </c>
      <c r="B57" s="365">
        <v>924</v>
      </c>
      <c r="C57" s="359" t="s">
        <v>44</v>
      </c>
      <c r="D57" s="372">
        <v>0</v>
      </c>
      <c r="E57" s="372"/>
      <c r="F57" s="372"/>
      <c r="G57" s="372">
        <f>(D57/$D$65)*(11175)</f>
        <v>0</v>
      </c>
      <c r="H57" s="372"/>
      <c r="I57" s="372"/>
      <c r="J57" s="373">
        <f t="shared" si="3"/>
        <v>0</v>
      </c>
    </row>
    <row r="58" spans="1:17">
      <c r="A58" s="358">
        <v>50</v>
      </c>
      <c r="B58" s="365">
        <v>925</v>
      </c>
      <c r="C58" s="359" t="s">
        <v>45</v>
      </c>
      <c r="D58" s="372">
        <f>26498.25</f>
        <v>26498.25</v>
      </c>
      <c r="E58" s="372"/>
      <c r="F58" s="372"/>
      <c r="G58" s="372" t="s">
        <v>1</v>
      </c>
      <c r="H58" s="372"/>
      <c r="I58" s="372"/>
      <c r="J58" s="373">
        <f t="shared" si="3"/>
        <v>26498.25</v>
      </c>
    </row>
    <row r="59" spans="1:17">
      <c r="A59" s="358">
        <v>51</v>
      </c>
      <c r="B59" s="365">
        <v>926</v>
      </c>
      <c r="C59" s="359" t="s">
        <v>46</v>
      </c>
      <c r="D59" s="372">
        <f>8264+149548.92+0+0-3345.36</f>
        <v>154467.56000000003</v>
      </c>
      <c r="E59" s="372"/>
      <c r="F59" s="372"/>
      <c r="G59" s="372" t="s">
        <v>1</v>
      </c>
      <c r="H59" s="372"/>
      <c r="I59" s="372"/>
      <c r="J59" s="373">
        <f t="shared" si="3"/>
        <v>154467.56000000003</v>
      </c>
    </row>
    <row r="60" spans="1:17">
      <c r="A60" s="358">
        <v>52</v>
      </c>
      <c r="B60" s="365">
        <v>928</v>
      </c>
      <c r="C60" s="359" t="s">
        <v>47</v>
      </c>
      <c r="D60" s="372">
        <f>16364.41</f>
        <v>16364.41</v>
      </c>
      <c r="E60" s="372"/>
      <c r="F60" s="372"/>
      <c r="G60" s="372" t="s">
        <v>1</v>
      </c>
      <c r="H60" s="372"/>
      <c r="I60" s="372"/>
      <c r="J60" s="373">
        <f t="shared" si="3"/>
        <v>16364.41</v>
      </c>
    </row>
    <row r="61" spans="1:17">
      <c r="A61" s="358">
        <v>53</v>
      </c>
      <c r="B61" s="365">
        <v>929</v>
      </c>
      <c r="C61" s="359" t="s">
        <v>48</v>
      </c>
      <c r="D61" s="372">
        <v>-84878.35</v>
      </c>
      <c r="E61" s="372"/>
      <c r="F61" s="372"/>
      <c r="G61" s="372" t="s">
        <v>1</v>
      </c>
      <c r="H61" s="372"/>
      <c r="I61" s="372"/>
      <c r="J61" s="373">
        <f t="shared" si="3"/>
        <v>-84878.35</v>
      </c>
    </row>
    <row r="62" spans="1:17">
      <c r="A62" s="358">
        <v>54</v>
      </c>
      <c r="B62" s="365">
        <v>930</v>
      </c>
      <c r="C62" s="359" t="s">
        <v>49</v>
      </c>
      <c r="D62" s="372">
        <f>0+2273.86+0+13498.16+212245.86+172745.63+115543.34+57935.86+276265.25+23043.99+3484.12+0+99.09</f>
        <v>877135.15999999992</v>
      </c>
      <c r="E62" s="372"/>
      <c r="F62" s="372"/>
      <c r="G62" s="372" t="s">
        <v>1</v>
      </c>
      <c r="H62" s="372"/>
      <c r="I62" s="372"/>
      <c r="J62" s="373">
        <f t="shared" si="3"/>
        <v>877135.15999999992</v>
      </c>
    </row>
    <row r="63" spans="1:17">
      <c r="A63" s="358">
        <v>55</v>
      </c>
      <c r="B63" s="365">
        <v>931</v>
      </c>
      <c r="C63" s="359" t="s">
        <v>28</v>
      </c>
      <c r="D63" s="372">
        <v>22200</v>
      </c>
      <c r="E63" s="372"/>
      <c r="F63" s="372"/>
      <c r="G63" s="372" t="s">
        <v>1</v>
      </c>
      <c r="H63" s="372"/>
      <c r="I63" s="372"/>
      <c r="J63" s="373">
        <f t="shared" si="3"/>
        <v>22200</v>
      </c>
    </row>
    <row r="64" spans="1:17">
      <c r="A64" s="358">
        <v>56</v>
      </c>
      <c r="B64" s="365">
        <v>935</v>
      </c>
      <c r="C64" s="359" t="s">
        <v>209</v>
      </c>
      <c r="D64" s="372">
        <f>306167.78+0+98439.78+118534.38+34101.56+26390.44</f>
        <v>583633.93999999994</v>
      </c>
      <c r="E64" s="372"/>
      <c r="F64" s="372"/>
      <c r="G64" s="372" t="s">
        <v>1</v>
      </c>
      <c r="H64" s="372"/>
      <c r="I64" s="372"/>
      <c r="J64" s="373">
        <f t="shared" si="3"/>
        <v>583633.93999999994</v>
      </c>
    </row>
    <row r="65" spans="1:15" ht="15">
      <c r="A65" s="358">
        <v>57</v>
      </c>
      <c r="B65" s="365"/>
      <c r="C65" s="377" t="s">
        <v>50</v>
      </c>
      <c r="D65" s="378">
        <f>SUM(D54:D64)</f>
        <v>4574853.58</v>
      </c>
      <c r="E65" s="378"/>
      <c r="F65" s="378">
        <f>SUM(F54:F64)</f>
        <v>0</v>
      </c>
      <c r="G65" s="378">
        <f>SUM(G54:G64)</f>
        <v>0</v>
      </c>
      <c r="H65" s="378">
        <v>0</v>
      </c>
      <c r="I65" s="378"/>
      <c r="J65" s="379">
        <f t="shared" si="3"/>
        <v>4574853.58</v>
      </c>
      <c r="L65" s="375">
        <f>SUM(J54:J64)</f>
        <v>4574853.58</v>
      </c>
      <c r="M65" s="374">
        <f>(J65-L65)</f>
        <v>0</v>
      </c>
      <c r="N65" s="375">
        <f>(3502109-J65)</f>
        <v>-1072744.58</v>
      </c>
      <c r="O65" s="361" t="s">
        <v>1</v>
      </c>
    </row>
    <row r="66" spans="1:15">
      <c r="A66" s="358">
        <v>58</v>
      </c>
      <c r="B66" s="365"/>
      <c r="C66" s="387" t="s">
        <v>1</v>
      </c>
      <c r="D66" s="387" t="s">
        <v>1</v>
      </c>
      <c r="E66" s="387"/>
      <c r="F66" s="387"/>
      <c r="G66" s="372" t="s">
        <v>1</v>
      </c>
      <c r="H66" s="372"/>
      <c r="I66" s="372"/>
      <c r="J66" s="373">
        <f t="shared" si="3"/>
        <v>0</v>
      </c>
    </row>
    <row r="67" spans="1:15">
      <c r="A67" s="358">
        <v>59</v>
      </c>
      <c r="B67" s="388">
        <v>403.6</v>
      </c>
      <c r="C67" s="359" t="s">
        <v>51</v>
      </c>
      <c r="D67" s="372">
        <v>7662550.5800000001</v>
      </c>
      <c r="E67" s="372"/>
      <c r="F67" s="372"/>
      <c r="G67" s="359"/>
      <c r="H67" s="372"/>
      <c r="I67" s="372"/>
      <c r="J67" s="373">
        <f t="shared" si="3"/>
        <v>7662550.5800000001</v>
      </c>
    </row>
    <row r="68" spans="1:15">
      <c r="A68" s="358">
        <v>60</v>
      </c>
      <c r="B68" s="388">
        <v>403.7</v>
      </c>
      <c r="C68" s="359" t="s">
        <v>52</v>
      </c>
      <c r="D68" s="372">
        <v>593330.59</v>
      </c>
      <c r="E68" s="372"/>
      <c r="F68" s="372"/>
      <c r="G68" s="372" t="s">
        <v>1</v>
      </c>
      <c r="H68" s="372"/>
      <c r="I68" s="372"/>
      <c r="J68" s="373">
        <f t="shared" si="3"/>
        <v>593330.59</v>
      </c>
      <c r="L68" s="361" t="s">
        <v>1</v>
      </c>
    </row>
    <row r="69" spans="1:15">
      <c r="A69" s="358"/>
      <c r="B69" s="388">
        <v>407</v>
      </c>
      <c r="C69" s="359" t="s">
        <v>439</v>
      </c>
      <c r="D69" s="372">
        <v>470772</v>
      </c>
      <c r="E69" s="372"/>
      <c r="F69" s="372"/>
      <c r="G69" s="372"/>
      <c r="H69" s="372"/>
      <c r="I69" s="372"/>
      <c r="J69" s="373"/>
    </row>
    <row r="70" spans="1:15" ht="15">
      <c r="A70" s="358">
        <v>61</v>
      </c>
      <c r="B70" s="365"/>
      <c r="C70" s="377" t="s">
        <v>53</v>
      </c>
      <c r="D70" s="378">
        <f>SUM(D67:D69)</f>
        <v>8726653.1699999999</v>
      </c>
      <c r="E70" s="378"/>
      <c r="F70" s="378"/>
      <c r="G70" s="378">
        <f>SUM(G67:G68)</f>
        <v>0</v>
      </c>
      <c r="H70" s="378">
        <v>0</v>
      </c>
      <c r="I70" s="378"/>
      <c r="J70" s="379">
        <f t="shared" ref="J70:J80" si="4">SUM(D70,F70:H70)</f>
        <v>8726653.1699999999</v>
      </c>
      <c r="L70" s="375">
        <f>SUM(J67:J68)</f>
        <v>8255881.1699999999</v>
      </c>
    </row>
    <row r="71" spans="1:15">
      <c r="A71" s="358">
        <v>62</v>
      </c>
      <c r="B71" s="365"/>
      <c r="C71" s="359"/>
      <c r="D71" s="372"/>
      <c r="E71" s="372"/>
      <c r="F71" s="372"/>
      <c r="G71" s="372"/>
      <c r="H71" s="372"/>
      <c r="I71" s="372"/>
      <c r="J71" s="373">
        <f t="shared" si="4"/>
        <v>0</v>
      </c>
    </row>
    <row r="72" spans="1:15">
      <c r="A72" s="358">
        <v>63</v>
      </c>
      <c r="B72" s="365">
        <v>408.71</v>
      </c>
      <c r="C72" s="359" t="s">
        <v>421</v>
      </c>
      <c r="D72" s="374">
        <v>120557.14</v>
      </c>
      <c r="E72" s="372"/>
      <c r="F72" s="372"/>
      <c r="G72" s="372" t="s">
        <v>1</v>
      </c>
      <c r="H72" s="372"/>
      <c r="I72" s="372"/>
      <c r="J72" s="373">
        <f t="shared" si="4"/>
        <v>120557.14</v>
      </c>
    </row>
    <row r="73" spans="1:15">
      <c r="A73" s="358">
        <v>64</v>
      </c>
      <c r="B73" s="365">
        <v>408.5</v>
      </c>
      <c r="C73" s="359" t="s">
        <v>420</v>
      </c>
      <c r="D73" s="389">
        <v>0</v>
      </c>
      <c r="E73" s="372"/>
      <c r="F73" s="372"/>
      <c r="G73" s="372" t="s">
        <v>1</v>
      </c>
      <c r="H73" s="372"/>
      <c r="I73" s="372"/>
      <c r="J73" s="373">
        <f t="shared" si="4"/>
        <v>0</v>
      </c>
    </row>
    <row r="74" spans="1:15">
      <c r="A74" s="358">
        <v>65</v>
      </c>
      <c r="B74" s="365" t="s">
        <v>424</v>
      </c>
      <c r="C74" s="359" t="s">
        <v>252</v>
      </c>
      <c r="D74" s="376">
        <f>17181.01+63715.14</f>
        <v>80896.149999999994</v>
      </c>
      <c r="E74" s="376"/>
      <c r="F74" s="376"/>
      <c r="G74" s="390"/>
      <c r="H74" s="372" t="s">
        <v>1</v>
      </c>
      <c r="I74" s="376"/>
      <c r="J74" s="373">
        <f t="shared" si="4"/>
        <v>80896.149999999994</v>
      </c>
    </row>
    <row r="75" spans="1:15" ht="15">
      <c r="A75" s="358">
        <v>66</v>
      </c>
      <c r="B75" s="365"/>
      <c r="C75" s="377" t="s">
        <v>54</v>
      </c>
      <c r="D75" s="378">
        <f>SUM(D72:D74)</f>
        <v>201453.28999999998</v>
      </c>
      <c r="E75" s="378"/>
      <c r="F75" s="378">
        <f>SUM(F72:F74)</f>
        <v>0</v>
      </c>
      <c r="G75" s="378">
        <f>SUM(G72:G74)</f>
        <v>0</v>
      </c>
      <c r="H75" s="378">
        <v>0</v>
      </c>
      <c r="I75" s="378"/>
      <c r="J75" s="379">
        <f t="shared" si="4"/>
        <v>201453.28999999998</v>
      </c>
      <c r="L75" s="375">
        <f>SUM(J72:J74)</f>
        <v>201453.28999999998</v>
      </c>
    </row>
    <row r="76" spans="1:15">
      <c r="A76" s="358">
        <v>67</v>
      </c>
      <c r="B76" s="365"/>
      <c r="C76" s="359"/>
      <c r="D76" s="372"/>
      <c r="E76" s="372"/>
      <c r="F76" s="372"/>
      <c r="G76" s="372"/>
      <c r="H76" s="372"/>
      <c r="I76" s="372"/>
      <c r="J76" s="373">
        <f t="shared" si="4"/>
        <v>0</v>
      </c>
    </row>
    <row r="77" spans="1:15">
      <c r="A77" s="358">
        <v>68</v>
      </c>
      <c r="B77" s="365">
        <v>427.1</v>
      </c>
      <c r="C77" s="359" t="s">
        <v>55</v>
      </c>
      <c r="D77" s="372">
        <v>1391391.58</v>
      </c>
      <c r="E77" s="372"/>
      <c r="F77" s="372"/>
      <c r="G77" s="372" t="s">
        <v>1</v>
      </c>
      <c r="H77" s="372" t="s">
        <v>1</v>
      </c>
      <c r="I77" s="372"/>
      <c r="J77" s="373">
        <f t="shared" si="4"/>
        <v>1391391.58</v>
      </c>
    </row>
    <row r="78" spans="1:15">
      <c r="A78" s="358">
        <v>69</v>
      </c>
      <c r="B78" s="365">
        <v>427.2</v>
      </c>
      <c r="C78" s="359" t="s">
        <v>251</v>
      </c>
      <c r="D78" s="376">
        <v>1390363.23</v>
      </c>
      <c r="E78" s="372"/>
      <c r="F78" s="372"/>
      <c r="G78" s="372">
        <v>0</v>
      </c>
      <c r="H78" s="372" t="s">
        <v>1</v>
      </c>
      <c r="I78" s="372"/>
      <c r="J78" s="373">
        <f t="shared" si="4"/>
        <v>1390363.23</v>
      </c>
    </row>
    <row r="79" spans="1:15">
      <c r="A79" s="358">
        <v>70</v>
      </c>
      <c r="B79" s="365">
        <v>427.4</v>
      </c>
      <c r="C79" s="359" t="s">
        <v>440</v>
      </c>
      <c r="D79" s="376">
        <v>2621589.44</v>
      </c>
      <c r="E79" s="376"/>
      <c r="F79" s="376"/>
      <c r="G79" s="376"/>
      <c r="H79" s="372" t="s">
        <v>1</v>
      </c>
      <c r="I79" s="376"/>
      <c r="J79" s="373">
        <f t="shared" si="4"/>
        <v>2621589.44</v>
      </c>
    </row>
    <row r="80" spans="1:15" ht="15">
      <c r="A80" s="358">
        <v>71</v>
      </c>
      <c r="B80" s="365"/>
      <c r="C80" s="377" t="s">
        <v>56</v>
      </c>
      <c r="D80" s="378">
        <f>SUM(D77:D79)</f>
        <v>5403344.25</v>
      </c>
      <c r="E80" s="378"/>
      <c r="F80" s="378"/>
      <c r="G80" s="378">
        <f>SUM(G77:G79)</f>
        <v>0</v>
      </c>
      <c r="H80" s="378">
        <v>0</v>
      </c>
      <c r="I80" s="378"/>
      <c r="J80" s="379">
        <f t="shared" si="4"/>
        <v>5403344.25</v>
      </c>
      <c r="L80" s="375">
        <f>SUM(J77:J79)</f>
        <v>5403344.25</v>
      </c>
    </row>
    <row r="81" spans="1:14">
      <c r="A81" s="358">
        <v>72</v>
      </c>
      <c r="B81" s="365"/>
      <c r="C81" s="359"/>
      <c r="D81" s="372"/>
      <c r="E81" s="372"/>
      <c r="F81" s="372"/>
      <c r="G81" s="372"/>
      <c r="H81" s="372"/>
      <c r="I81" s="372"/>
      <c r="J81" s="373" t="s">
        <v>1</v>
      </c>
    </row>
    <row r="82" spans="1:14">
      <c r="A82" s="358">
        <v>73</v>
      </c>
      <c r="B82" s="365">
        <v>431</v>
      </c>
      <c r="C82" s="359" t="s">
        <v>57</v>
      </c>
      <c r="D82" s="372">
        <v>54021.35</v>
      </c>
      <c r="E82" s="372"/>
      <c r="F82" s="372"/>
      <c r="G82" s="372" t="s">
        <v>1</v>
      </c>
      <c r="H82" s="372">
        <v>0</v>
      </c>
      <c r="I82" s="372"/>
      <c r="J82" s="373">
        <f>SUM(D82,F82:H82)</f>
        <v>54021.35</v>
      </c>
    </row>
    <row r="83" spans="1:14">
      <c r="A83" s="358">
        <v>74</v>
      </c>
      <c r="B83" s="367"/>
      <c r="D83" s="372"/>
      <c r="E83" s="372"/>
      <c r="F83" s="372"/>
      <c r="G83" s="372">
        <v>0</v>
      </c>
      <c r="H83" s="372" t="s">
        <v>1</v>
      </c>
      <c r="I83" s="372"/>
      <c r="J83" s="373">
        <f>SUM(D83,F83:H83)</f>
        <v>0</v>
      </c>
    </row>
    <row r="84" spans="1:14">
      <c r="A84" s="358">
        <v>75</v>
      </c>
      <c r="B84" s="365" t="s">
        <v>1</v>
      </c>
      <c r="C84" s="359" t="s">
        <v>1</v>
      </c>
      <c r="D84" s="376">
        <v>0</v>
      </c>
      <c r="E84" s="376"/>
      <c r="F84" s="376"/>
      <c r="G84" s="376"/>
      <c r="H84" s="372">
        <v>0</v>
      </c>
      <c r="I84" s="376"/>
      <c r="J84" s="373">
        <f>SUM(D84,F84:H84)</f>
        <v>0</v>
      </c>
    </row>
    <row r="85" spans="1:14" ht="15">
      <c r="A85" s="358">
        <v>76</v>
      </c>
      <c r="B85" s="365"/>
      <c r="C85" s="377" t="s">
        <v>81</v>
      </c>
      <c r="D85" s="378">
        <f>SUM(D82:D84)</f>
        <v>54021.35</v>
      </c>
      <c r="E85" s="378"/>
      <c r="F85" s="378"/>
      <c r="G85" s="378">
        <f>SUM(G82:G84)</f>
        <v>0</v>
      </c>
      <c r="H85" s="378">
        <f>SUM(F85:G85)</f>
        <v>0</v>
      </c>
      <c r="I85" s="378"/>
      <c r="J85" s="379">
        <f>SUM(D85,F85:H85)</f>
        <v>54021.35</v>
      </c>
      <c r="L85" s="375">
        <f>SUM(J82:J84)</f>
        <v>54021.35</v>
      </c>
    </row>
    <row r="86" spans="1:14" ht="15">
      <c r="A86" s="358">
        <v>77</v>
      </c>
      <c r="B86" s="365"/>
      <c r="C86" s="391" t="s">
        <v>1</v>
      </c>
      <c r="D86" s="391" t="s">
        <v>1</v>
      </c>
      <c r="E86" s="391"/>
      <c r="F86" s="391"/>
      <c r="G86" s="372"/>
      <c r="H86" s="372"/>
      <c r="I86" s="372"/>
      <c r="J86" s="373">
        <f>SUM(D86,F86:H86)</f>
        <v>0</v>
      </c>
    </row>
    <row r="87" spans="1:14" ht="15">
      <c r="A87" s="358">
        <v>78</v>
      </c>
      <c r="B87" s="365"/>
      <c r="C87" s="377" t="s">
        <v>58</v>
      </c>
      <c r="D87" s="372">
        <f t="shared" ref="D87:G87" si="5">SUM(D16,D28,D38,D44,D52,D65,D70,D75,D80,D85)</f>
        <v>100125170.92</v>
      </c>
      <c r="E87" s="372">
        <f t="shared" si="5"/>
        <v>0</v>
      </c>
      <c r="F87" s="372">
        <f t="shared" si="5"/>
        <v>0</v>
      </c>
      <c r="G87" s="372">
        <f t="shared" si="5"/>
        <v>-7661075</v>
      </c>
      <c r="H87" s="372">
        <v>0</v>
      </c>
      <c r="I87" s="372">
        <f>SUM(I16,I28,I38,I44,I52,I65,I70,I75,I80,I85)</f>
        <v>0</v>
      </c>
      <c r="J87" s="373">
        <f>SUM(J16,J28,J38,J44,J52,J65,J70,J75,J80,J85)</f>
        <v>92464095.920000002</v>
      </c>
      <c r="L87" s="375">
        <f>SUM(L16,L28,L38,L44,L52,L65,L70,L75,L80,L85)</f>
        <v>91697964.649999991</v>
      </c>
      <c r="M87" s="375">
        <f>(J87-L87)</f>
        <v>766131.27000001073</v>
      </c>
      <c r="N87" s="375">
        <f>(J87-M87)</f>
        <v>91697964.649999991</v>
      </c>
    </row>
    <row r="88" spans="1:14" ht="15">
      <c r="A88" s="358">
        <v>79</v>
      </c>
      <c r="B88" s="365"/>
      <c r="C88" s="377" t="s">
        <v>59</v>
      </c>
      <c r="D88" s="376">
        <v>3617966</v>
      </c>
      <c r="E88" s="376"/>
      <c r="F88" s="376"/>
      <c r="G88" s="376">
        <f>(G80)</f>
        <v>0</v>
      </c>
      <c r="H88" s="376">
        <f>(H80*1.32)</f>
        <v>0</v>
      </c>
      <c r="I88" s="376"/>
      <c r="J88" s="373">
        <f>SUM(D88,F88:H88)</f>
        <v>3617966</v>
      </c>
      <c r="L88" s="375">
        <f>(J88)</f>
        <v>3617966</v>
      </c>
    </row>
    <row r="89" spans="1:14" ht="15">
      <c r="A89" s="358">
        <v>80</v>
      </c>
      <c r="B89" s="365"/>
      <c r="C89" s="377" t="s">
        <v>80</v>
      </c>
      <c r="D89" s="378">
        <f>(D87+D88)</f>
        <v>103743136.92</v>
      </c>
      <c r="E89" s="378">
        <f t="shared" ref="E89:I89" si="6">(E87+E88)</f>
        <v>0</v>
      </c>
      <c r="F89" s="378">
        <f t="shared" si="6"/>
        <v>0</v>
      </c>
      <c r="G89" s="378">
        <f t="shared" si="6"/>
        <v>-7661075</v>
      </c>
      <c r="H89" s="378">
        <f t="shared" si="6"/>
        <v>0</v>
      </c>
      <c r="I89" s="378">
        <f t="shared" si="6"/>
        <v>0</v>
      </c>
      <c r="J89" s="379">
        <f>SUM(D89,F89:H89)</f>
        <v>96082061.920000002</v>
      </c>
      <c r="L89" s="378">
        <f>(L87+L88)</f>
        <v>95315930.649999991</v>
      </c>
      <c r="M89" s="361">
        <f>(M97)</f>
        <v>0</v>
      </c>
    </row>
    <row r="90" spans="1:14">
      <c r="A90" s="358">
        <v>81</v>
      </c>
      <c r="B90" s="365"/>
      <c r="C90" s="359"/>
      <c r="D90" s="372"/>
      <c r="E90" s="372"/>
      <c r="F90" s="372"/>
      <c r="G90" s="372"/>
      <c r="H90" s="372"/>
      <c r="I90" s="372"/>
      <c r="J90" s="372" t="s">
        <v>1</v>
      </c>
    </row>
    <row r="91" spans="1:14" ht="15">
      <c r="A91" s="358">
        <v>82</v>
      </c>
      <c r="B91" s="365"/>
      <c r="C91" s="377" t="s">
        <v>60</v>
      </c>
      <c r="D91" s="382"/>
      <c r="E91" s="382"/>
      <c r="F91" s="382"/>
      <c r="G91" s="372"/>
      <c r="H91" s="372"/>
      <c r="I91" s="372"/>
      <c r="J91" s="373">
        <f t="shared" ref="J91:J108" si="7">SUM(D91,F91:H91)</f>
        <v>0</v>
      </c>
    </row>
    <row r="92" spans="1:14">
      <c r="A92" s="358">
        <v>83</v>
      </c>
      <c r="B92" s="365">
        <v>450</v>
      </c>
      <c r="C92" s="359" t="s">
        <v>61</v>
      </c>
      <c r="D92" s="372">
        <v>1124919.1599999999</v>
      </c>
      <c r="E92" s="372"/>
      <c r="F92" s="372"/>
      <c r="G92" s="372"/>
      <c r="H92" s="372"/>
      <c r="I92" s="372"/>
      <c r="J92" s="373">
        <f t="shared" si="7"/>
        <v>1124919.1599999999</v>
      </c>
    </row>
    <row r="93" spans="1:14">
      <c r="A93" s="358">
        <v>84</v>
      </c>
      <c r="B93" s="365">
        <v>451</v>
      </c>
      <c r="C93" s="359" t="s">
        <v>62</v>
      </c>
      <c r="D93" s="372">
        <v>326809.63</v>
      </c>
      <c r="E93" s="372"/>
      <c r="F93" s="372"/>
      <c r="G93" s="372" t="s">
        <v>1</v>
      </c>
      <c r="H93" s="372">
        <v>0</v>
      </c>
      <c r="I93" s="372"/>
      <c r="J93" s="373">
        <f t="shared" si="7"/>
        <v>326809.63</v>
      </c>
    </row>
    <row r="94" spans="1:14">
      <c r="A94" s="358">
        <v>85</v>
      </c>
      <c r="B94" s="365">
        <v>452</v>
      </c>
      <c r="C94" s="359" t="s">
        <v>253</v>
      </c>
      <c r="D94" s="372">
        <v>0</v>
      </c>
      <c r="E94" s="372"/>
      <c r="F94" s="372"/>
      <c r="G94" s="372" t="s">
        <v>1</v>
      </c>
      <c r="H94" s="372"/>
      <c r="I94" s="372"/>
      <c r="J94" s="373">
        <f t="shared" si="7"/>
        <v>0</v>
      </c>
    </row>
    <row r="95" spans="1:14">
      <c r="A95" s="358">
        <v>86</v>
      </c>
      <c r="B95" s="365">
        <v>454</v>
      </c>
      <c r="C95" s="359" t="s">
        <v>63</v>
      </c>
      <c r="D95" s="387">
        <v>915266.04</v>
      </c>
      <c r="E95" s="372"/>
      <c r="F95" s="372"/>
      <c r="G95" s="372" t="s">
        <v>1</v>
      </c>
      <c r="H95" s="372">
        <v>0</v>
      </c>
      <c r="I95" s="372"/>
      <c r="J95" s="373">
        <f t="shared" si="7"/>
        <v>915266.04</v>
      </c>
      <c r="M95" s="375" t="s">
        <v>1</v>
      </c>
    </row>
    <row r="96" spans="1:14">
      <c r="A96" s="358"/>
      <c r="B96" s="365">
        <v>456</v>
      </c>
      <c r="C96" s="359" t="s">
        <v>337</v>
      </c>
      <c r="D96" s="376">
        <v>233945.2</v>
      </c>
      <c r="E96" s="376"/>
      <c r="F96" s="376"/>
      <c r="G96" s="376"/>
      <c r="H96" s="376"/>
      <c r="I96" s="376"/>
      <c r="J96" s="373">
        <f t="shared" si="7"/>
        <v>233945.2</v>
      </c>
      <c r="M96" s="375"/>
    </row>
    <row r="97" spans="1:13" ht="15">
      <c r="A97" s="358">
        <v>87</v>
      </c>
      <c r="B97" s="365"/>
      <c r="C97" s="377" t="s">
        <v>64</v>
      </c>
      <c r="D97" s="376">
        <f>SUM(D92:D96)</f>
        <v>2600940.0300000003</v>
      </c>
      <c r="E97" s="376"/>
      <c r="F97" s="376"/>
      <c r="G97" s="376">
        <f>SUM(G92:G95)</f>
        <v>0</v>
      </c>
      <c r="H97" s="376">
        <f>SUM(H92:H95)</f>
        <v>0</v>
      </c>
      <c r="I97" s="376"/>
      <c r="J97" s="379">
        <f t="shared" si="7"/>
        <v>2600940.0300000003</v>
      </c>
      <c r="L97" s="375">
        <f>SUM(J91:J96)</f>
        <v>2600940.0300000003</v>
      </c>
    </row>
    <row r="98" spans="1:13">
      <c r="A98" s="358">
        <v>88</v>
      </c>
      <c r="B98" s="365"/>
      <c r="C98" s="359"/>
      <c r="D98" s="372"/>
      <c r="E98" s="372"/>
      <c r="F98" s="372"/>
      <c r="G98" s="372"/>
      <c r="H98" s="372"/>
      <c r="I98" s="372"/>
      <c r="J98" s="373">
        <f t="shared" si="7"/>
        <v>0</v>
      </c>
    </row>
    <row r="99" spans="1:13" ht="15">
      <c r="A99" s="358">
        <v>89</v>
      </c>
      <c r="B99" s="365"/>
      <c r="C99" s="377" t="s">
        <v>65</v>
      </c>
      <c r="D99" s="372"/>
      <c r="E99" s="372"/>
      <c r="F99" s="372"/>
      <c r="G99" s="372"/>
      <c r="H99" s="372"/>
      <c r="I99" s="372"/>
      <c r="J99" s="373">
        <f t="shared" si="7"/>
        <v>0</v>
      </c>
    </row>
    <row r="100" spans="1:13">
      <c r="A100" s="358">
        <v>90</v>
      </c>
      <c r="B100" s="365">
        <v>415</v>
      </c>
      <c r="C100" s="359" t="s">
        <v>338</v>
      </c>
      <c r="D100" s="372">
        <v>8776.3700000000008</v>
      </c>
      <c r="E100" s="372"/>
      <c r="F100" s="372"/>
      <c r="G100" s="372"/>
      <c r="H100" s="372"/>
      <c r="I100" s="372"/>
      <c r="J100" s="373">
        <f t="shared" si="7"/>
        <v>8776.3700000000008</v>
      </c>
    </row>
    <row r="101" spans="1:13">
      <c r="A101" s="358"/>
      <c r="B101" s="365">
        <v>416</v>
      </c>
      <c r="C101" s="359" t="s">
        <v>409</v>
      </c>
      <c r="D101" s="372">
        <f>3365.55-8092.82</f>
        <v>-4727.2699999999995</v>
      </c>
      <c r="E101" s="372"/>
      <c r="F101" s="372"/>
      <c r="G101" s="372"/>
      <c r="H101" s="372"/>
      <c r="I101" s="372"/>
      <c r="J101" s="373">
        <f t="shared" si="7"/>
        <v>-4727.2699999999995</v>
      </c>
    </row>
    <row r="102" spans="1:13">
      <c r="A102" s="358"/>
      <c r="B102" s="365">
        <v>417</v>
      </c>
      <c r="C102" s="359" t="s">
        <v>410</v>
      </c>
      <c r="D102" s="372">
        <f>5100+9240</f>
        <v>14340</v>
      </c>
      <c r="E102" s="372"/>
      <c r="F102" s="372"/>
      <c r="G102" s="372"/>
      <c r="H102" s="372"/>
      <c r="I102" s="372"/>
      <c r="J102" s="373">
        <f t="shared" si="7"/>
        <v>14340</v>
      </c>
    </row>
    <row r="103" spans="1:13">
      <c r="A103" s="358"/>
      <c r="B103" s="365">
        <v>418</v>
      </c>
      <c r="C103" s="359" t="s">
        <v>411</v>
      </c>
      <c r="D103" s="372">
        <v>124271.41</v>
      </c>
      <c r="E103" s="372"/>
      <c r="F103" s="372"/>
      <c r="G103" s="372"/>
      <c r="H103" s="372"/>
      <c r="I103" s="372"/>
      <c r="J103" s="373">
        <f t="shared" si="7"/>
        <v>124271.41</v>
      </c>
    </row>
    <row r="104" spans="1:13">
      <c r="A104" s="358">
        <v>91</v>
      </c>
      <c r="B104" s="365">
        <v>419</v>
      </c>
      <c r="C104" s="359" t="s">
        <v>66</v>
      </c>
      <c r="D104" s="372">
        <f>160584.05+660.3+45.17</f>
        <v>161289.51999999999</v>
      </c>
      <c r="E104" s="372"/>
      <c r="F104" s="372"/>
      <c r="G104" s="372"/>
      <c r="H104" s="372"/>
      <c r="I104" s="372"/>
      <c r="J104" s="373">
        <f t="shared" si="7"/>
        <v>161289.51999999999</v>
      </c>
      <c r="M104" s="361">
        <f>(47984+50722+441865-116105)</f>
        <v>424466</v>
      </c>
    </row>
    <row r="105" spans="1:13">
      <c r="A105" s="358">
        <v>92</v>
      </c>
      <c r="B105" s="365">
        <v>421</v>
      </c>
      <c r="C105" s="359" t="s">
        <v>67</v>
      </c>
      <c r="D105" s="372">
        <f>232.66+8415.23-122329.64</f>
        <v>-113681.75</v>
      </c>
      <c r="E105" s="372"/>
      <c r="F105" s="372"/>
      <c r="G105" s="372"/>
      <c r="H105" s="372"/>
      <c r="I105" s="372"/>
      <c r="J105" s="373">
        <f t="shared" si="7"/>
        <v>-113681.75</v>
      </c>
    </row>
    <row r="106" spans="1:13">
      <c r="A106" s="358"/>
      <c r="B106" s="365">
        <v>423</v>
      </c>
      <c r="C106" s="359" t="s">
        <v>558</v>
      </c>
      <c r="D106" s="372">
        <v>4358338.5599999996</v>
      </c>
      <c r="E106" s="372"/>
      <c r="F106" s="372">
        <f>-(D106)</f>
        <v>-4358338.5599999996</v>
      </c>
      <c r="G106" s="372"/>
      <c r="H106" s="372"/>
      <c r="I106" s="372"/>
      <c r="J106" s="373">
        <f t="shared" si="7"/>
        <v>0</v>
      </c>
    </row>
    <row r="107" spans="1:13">
      <c r="A107" s="358">
        <v>93</v>
      </c>
      <c r="B107" s="365">
        <v>424</v>
      </c>
      <c r="C107" s="359" t="s">
        <v>68</v>
      </c>
      <c r="D107" s="376">
        <v>150928.4</v>
      </c>
      <c r="E107" s="376"/>
      <c r="F107" s="376"/>
      <c r="G107" s="376"/>
      <c r="H107" s="376">
        <v>0</v>
      </c>
      <c r="I107" s="376"/>
      <c r="J107" s="373">
        <f t="shared" si="7"/>
        <v>150928.4</v>
      </c>
      <c r="M107" s="392">
        <f>('[2]income statement'!$O$27)</f>
        <v>3729639</v>
      </c>
    </row>
    <row r="108" spans="1:13" ht="15">
      <c r="A108" s="358">
        <v>94</v>
      </c>
      <c r="B108" s="365"/>
      <c r="C108" s="377" t="s">
        <v>69</v>
      </c>
      <c r="D108" s="378">
        <f>SUM(D100:D107)</f>
        <v>4699535.24</v>
      </c>
      <c r="E108" s="378"/>
      <c r="F108" s="378">
        <f>SUM(F100:F107)</f>
        <v>-4358338.5599999996</v>
      </c>
      <c r="G108" s="378">
        <f>SUM(G100:G107)</f>
        <v>0</v>
      </c>
      <c r="H108" s="378">
        <f>SUM(H100:H107)</f>
        <v>0</v>
      </c>
      <c r="I108" s="378"/>
      <c r="J108" s="379">
        <f t="shared" si="7"/>
        <v>341196.68000000063</v>
      </c>
      <c r="L108" s="375">
        <f>SUM(J99:J107)</f>
        <v>341196.68000000005</v>
      </c>
      <c r="M108" s="375">
        <f>SUM(L97,L108)</f>
        <v>2942136.7100000004</v>
      </c>
    </row>
    <row r="109" spans="1:13">
      <c r="A109" s="358">
        <v>95</v>
      </c>
      <c r="B109" s="365"/>
      <c r="C109" s="359"/>
      <c r="D109" s="372"/>
      <c r="E109" s="372"/>
      <c r="F109" s="372"/>
      <c r="G109" s="372"/>
      <c r="H109" s="372"/>
      <c r="I109" s="372"/>
      <c r="J109" s="373">
        <f>SUM(D109,G109,H109)</f>
        <v>0</v>
      </c>
      <c r="M109" s="361">
        <f>(M107-M108)</f>
        <v>787502.28999999957</v>
      </c>
    </row>
    <row r="110" spans="1:13" ht="15">
      <c r="A110" s="358">
        <v>96</v>
      </c>
      <c r="B110" s="365"/>
      <c r="C110" s="377" t="s">
        <v>70</v>
      </c>
      <c r="D110" s="372"/>
      <c r="E110" s="372"/>
      <c r="F110" s="372"/>
      <c r="G110" s="372"/>
      <c r="H110" s="372"/>
      <c r="I110" s="372"/>
      <c r="J110" s="373">
        <f>SUM(D110,G110,H110)</f>
        <v>0</v>
      </c>
    </row>
    <row r="111" spans="1:13" ht="15" thickBot="1">
      <c r="A111" s="358">
        <v>97</v>
      </c>
      <c r="B111" s="365"/>
      <c r="C111" s="359" t="s">
        <v>71</v>
      </c>
      <c r="D111" s="393">
        <f t="shared" ref="D111:H111" si="8">(D89-D97-D108)</f>
        <v>96442661.650000006</v>
      </c>
      <c r="E111" s="393">
        <f t="shared" si="8"/>
        <v>0</v>
      </c>
      <c r="F111" s="393">
        <f t="shared" si="8"/>
        <v>4358338.5599999996</v>
      </c>
      <c r="G111" s="393">
        <f t="shared" si="8"/>
        <v>-7661075</v>
      </c>
      <c r="H111" s="393">
        <f t="shared" si="8"/>
        <v>0</v>
      </c>
      <c r="I111" s="393"/>
      <c r="J111" s="394">
        <f>SUM(D111,F111:H111)</f>
        <v>93139925.210000008</v>
      </c>
      <c r="L111" s="375">
        <f>SUM(L87,L88,-L97,-L108)</f>
        <v>92373793.939999983</v>
      </c>
    </row>
    <row r="112" spans="1:13" ht="15" thickTop="1">
      <c r="A112" s="358">
        <v>98</v>
      </c>
      <c r="B112" s="381"/>
      <c r="C112" s="359"/>
      <c r="D112" s="359"/>
      <c r="E112" s="359"/>
      <c r="F112" s="359"/>
      <c r="G112" s="359"/>
      <c r="H112" s="359"/>
      <c r="I112" s="359"/>
      <c r="J112" s="364"/>
    </row>
    <row r="113" spans="1:10">
      <c r="A113" s="358">
        <v>99</v>
      </c>
      <c r="B113" s="395"/>
      <c r="C113" s="390" t="s">
        <v>257</v>
      </c>
      <c r="D113" s="396">
        <f>(D80+D88)/(D80)</f>
        <v>1.6695790296907327</v>
      </c>
      <c r="E113" s="390"/>
      <c r="F113" s="390"/>
      <c r="G113" s="390"/>
      <c r="H113" s="390"/>
      <c r="I113" s="390"/>
      <c r="J113" s="397"/>
    </row>
    <row r="114" spans="1:10">
      <c r="A114" s="358" t="s">
        <v>1</v>
      </c>
      <c r="B114" s="359"/>
    </row>
    <row r="115" spans="1:10">
      <c r="A115" s="358" t="s">
        <v>1</v>
      </c>
      <c r="B115" s="359"/>
      <c r="C115" s="361" t="s">
        <v>107</v>
      </c>
      <c r="D115" s="375">
        <f>SUM(D38,D52,D44,D65,D28)</f>
        <v>19326753.66</v>
      </c>
      <c r="J115" s="375" t="s">
        <v>1</v>
      </c>
    </row>
    <row r="116" spans="1:10">
      <c r="A116" s="358" t="s">
        <v>1</v>
      </c>
      <c r="B116" s="359"/>
      <c r="D116" s="374">
        <f>D115*0.125</f>
        <v>2415844.2075</v>
      </c>
    </row>
    <row r="117" spans="1:10">
      <c r="A117" s="358" t="s">
        <v>1</v>
      </c>
      <c r="B117" s="359"/>
    </row>
    <row r="118" spans="1:10">
      <c r="A118" s="358" t="s">
        <v>1</v>
      </c>
      <c r="B118" s="359"/>
    </row>
    <row r="119" spans="1:10">
      <c r="A119" s="358" t="s">
        <v>1</v>
      </c>
      <c r="B119" s="359"/>
      <c r="J119" s="375">
        <f>(J97+J108)</f>
        <v>2942136.7100000009</v>
      </c>
    </row>
    <row r="120" spans="1:10">
      <c r="A120" s="358" t="s">
        <v>1</v>
      </c>
      <c r="B120" s="359"/>
    </row>
    <row r="121" spans="1:10">
      <c r="A121" s="358" t="s">
        <v>1</v>
      </c>
      <c r="D121" s="367" t="s">
        <v>1</v>
      </c>
      <c r="E121" s="367"/>
      <c r="F121" s="367"/>
      <c r="G121" s="386"/>
    </row>
    <row r="122" spans="1:10">
      <c r="A122" s="358" t="s">
        <v>1</v>
      </c>
      <c r="B122" s="361">
        <v>583</v>
      </c>
      <c r="D122" s="374">
        <v>1496188.48</v>
      </c>
      <c r="E122" s="374"/>
      <c r="F122" s="374"/>
      <c r="G122" s="386"/>
      <c r="H122" s="361">
        <v>594</v>
      </c>
    </row>
    <row r="123" spans="1:10">
      <c r="A123" s="358" t="s">
        <v>1</v>
      </c>
      <c r="B123" s="361">
        <v>583.1</v>
      </c>
      <c r="D123" s="374">
        <v>95416.52</v>
      </c>
      <c r="E123" s="374">
        <v>27870</v>
      </c>
      <c r="F123" s="374"/>
      <c r="G123" s="386"/>
      <c r="H123" s="361">
        <v>594.1</v>
      </c>
      <c r="J123" s="361">
        <v>77.010000000000005</v>
      </c>
    </row>
    <row r="124" spans="1:10">
      <c r="B124" s="361">
        <v>583.20000000000005</v>
      </c>
      <c r="D124" s="374">
        <v>47753.1</v>
      </c>
      <c r="E124" s="374"/>
      <c r="F124" s="374"/>
      <c r="G124" s="386"/>
      <c r="J124" s="374">
        <v>138283.85999999999</v>
      </c>
    </row>
    <row r="125" spans="1:10" ht="15" thickBot="1">
      <c r="B125" s="361" t="s">
        <v>1</v>
      </c>
      <c r="D125" s="398">
        <f>SUM(D122:D124)</f>
        <v>1639358.1</v>
      </c>
      <c r="E125" s="374"/>
      <c r="F125" s="374"/>
      <c r="G125" s="386"/>
      <c r="J125" s="398">
        <f>SUM(J123:J124)</f>
        <v>138360.87</v>
      </c>
    </row>
    <row r="126" spans="1:10" ht="15" thickTop="1">
      <c r="B126" s="361" t="s">
        <v>1</v>
      </c>
      <c r="D126" s="374"/>
      <c r="E126" s="374"/>
      <c r="F126" s="374"/>
      <c r="G126" s="386"/>
    </row>
    <row r="127" spans="1:10">
      <c r="B127" s="361">
        <v>586</v>
      </c>
      <c r="D127" s="374">
        <v>1188664.67</v>
      </c>
      <c r="E127" s="374"/>
      <c r="F127" s="374"/>
      <c r="G127" s="386"/>
      <c r="H127" s="361">
        <v>920</v>
      </c>
    </row>
    <row r="128" spans="1:10">
      <c r="B128" s="361">
        <v>586.1</v>
      </c>
      <c r="D128" s="374">
        <v>24669.51</v>
      </c>
      <c r="E128" s="374"/>
      <c r="F128" s="374"/>
      <c r="G128" s="386"/>
      <c r="H128" s="361">
        <v>920.1</v>
      </c>
      <c r="J128" s="399">
        <v>38767.07</v>
      </c>
    </row>
    <row r="129" spans="2:10">
      <c r="B129" s="361">
        <v>586.20000000000005</v>
      </c>
      <c r="D129" s="374">
        <v>9071.1200000000008</v>
      </c>
      <c r="E129" s="374"/>
      <c r="F129" s="374"/>
      <c r="G129" s="386"/>
      <c r="H129" s="361">
        <v>920.2</v>
      </c>
      <c r="J129" s="399">
        <v>27000</v>
      </c>
    </row>
    <row r="130" spans="2:10">
      <c r="B130" s="361">
        <v>586.29999999999995</v>
      </c>
      <c r="D130" s="374">
        <v>2664.54</v>
      </c>
      <c r="E130" s="374"/>
      <c r="F130" s="374"/>
      <c r="G130" s="386"/>
      <c r="J130" s="399">
        <v>4632.08</v>
      </c>
    </row>
    <row r="131" spans="2:10" ht="15" thickBot="1">
      <c r="B131" s="361" t="s">
        <v>1</v>
      </c>
      <c r="D131" s="398">
        <f>SUM(D127:D130)</f>
        <v>1225069.8400000001</v>
      </c>
      <c r="E131" s="374"/>
      <c r="F131" s="374"/>
      <c r="G131" s="386"/>
      <c r="J131" s="398">
        <f>SUM(J128:J130)</f>
        <v>70399.150000000009</v>
      </c>
    </row>
    <row r="132" spans="2:10" ht="15" thickTop="1">
      <c r="B132" s="361" t="s">
        <v>1</v>
      </c>
      <c r="D132" s="374"/>
      <c r="E132" s="374">
        <v>32120</v>
      </c>
      <c r="F132" s="374"/>
      <c r="G132" s="386"/>
      <c r="H132" s="361">
        <v>921</v>
      </c>
    </row>
    <row r="133" spans="2:10">
      <c r="B133" s="361">
        <v>588</v>
      </c>
      <c r="D133" s="374">
        <v>816588.29</v>
      </c>
      <c r="E133" s="374"/>
      <c r="F133" s="374"/>
      <c r="G133" s="374"/>
      <c r="H133" s="361">
        <v>921.2</v>
      </c>
    </row>
    <row r="134" spans="2:10">
      <c r="B134" s="361">
        <v>588.1</v>
      </c>
      <c r="D134" s="389">
        <v>230213.02</v>
      </c>
      <c r="H134" s="361">
        <v>921.4</v>
      </c>
      <c r="J134" s="372">
        <v>279600</v>
      </c>
    </row>
    <row r="135" spans="2:10" ht="15" thickBot="1">
      <c r="D135" s="400">
        <f>SUM(D133:D134)</f>
        <v>1046801.31</v>
      </c>
      <c r="H135" s="361">
        <v>921.5</v>
      </c>
      <c r="J135" s="399">
        <v>85798.04</v>
      </c>
    </row>
    <row r="136" spans="2:10" ht="15" thickTop="1">
      <c r="H136" s="361">
        <v>921.7</v>
      </c>
      <c r="J136" s="399">
        <v>13450</v>
      </c>
    </row>
    <row r="137" spans="2:10">
      <c r="J137" s="399">
        <v>1740</v>
      </c>
    </row>
    <row r="138" spans="2:10" ht="15" thickBot="1">
      <c r="B138" s="361">
        <v>593</v>
      </c>
      <c r="D138" s="389">
        <v>1056170.58</v>
      </c>
      <c r="J138" s="400">
        <f>SUM(J134:J137)</f>
        <v>380588.04</v>
      </c>
    </row>
    <row r="139" spans="2:10" ht="15" thickTop="1">
      <c r="B139" s="361">
        <v>593.1</v>
      </c>
      <c r="D139" s="389">
        <v>351000.08</v>
      </c>
      <c r="H139" s="361">
        <v>930</v>
      </c>
    </row>
    <row r="140" spans="2:10">
      <c r="B140" s="361">
        <v>593.20000000000005</v>
      </c>
      <c r="D140" s="389">
        <v>1832599.6</v>
      </c>
      <c r="H140" s="361">
        <v>930.2</v>
      </c>
    </row>
    <row r="141" spans="2:10">
      <c r="B141" s="361">
        <v>593.4</v>
      </c>
      <c r="D141" s="389">
        <v>82801.45</v>
      </c>
      <c r="H141" s="361">
        <v>930.3</v>
      </c>
      <c r="J141" s="399">
        <v>13707.82</v>
      </c>
    </row>
    <row r="142" spans="2:10">
      <c r="B142" s="361">
        <v>593.5</v>
      </c>
      <c r="D142" s="389">
        <v>89191.42</v>
      </c>
      <c r="H142" s="361">
        <v>930.4</v>
      </c>
      <c r="J142" s="399">
        <v>13609.33</v>
      </c>
    </row>
    <row r="143" spans="2:10" ht="15" thickBot="1">
      <c r="B143" s="361">
        <v>593.6</v>
      </c>
      <c r="D143" s="389">
        <v>60558.81</v>
      </c>
      <c r="J143" s="401">
        <f>(J141-J142)</f>
        <v>98.489999999999782</v>
      </c>
    </row>
    <row r="144" spans="2:10" ht="15.75" thickTop="1" thickBot="1">
      <c r="D144" s="402">
        <f>SUM(D138:D143)</f>
        <v>3472321.9400000004</v>
      </c>
    </row>
    <row r="145" spans="8:10" ht="15" thickTop="1">
      <c r="H145" s="361">
        <v>932.1</v>
      </c>
      <c r="J145" s="399">
        <v>19554.82</v>
      </c>
    </row>
    <row r="146" spans="8:10">
      <c r="H146" s="361">
        <v>935</v>
      </c>
      <c r="J146" s="399">
        <v>9009.16</v>
      </c>
    </row>
    <row r="147" spans="8:10" ht="15" thickBot="1">
      <c r="J147" s="401">
        <f>(J145-J146)</f>
        <v>10545.66</v>
      </c>
    </row>
    <row r="148" spans="8:10" ht="15" thickTop="1"/>
    <row r="149" spans="8:10">
      <c r="J149" s="361">
        <v>493.06</v>
      </c>
    </row>
    <row r="150" spans="8:10">
      <c r="J150" s="399">
        <v>42202.03</v>
      </c>
    </row>
    <row r="151" spans="8:10">
      <c r="J151" s="361">
        <v>122.45</v>
      </c>
    </row>
    <row r="152" spans="8:10">
      <c r="J152" s="399">
        <v>44482.13</v>
      </c>
    </row>
    <row r="153" spans="8:10" ht="15" thickBot="1">
      <c r="J153" s="403">
        <f>SUM(J149:J152)</f>
        <v>87299.669999999984</v>
      </c>
    </row>
    <row r="154" spans="8:10" ht="15" thickTop="1"/>
  </sheetData>
  <customSheetViews>
    <customSheetView guid="{18050E3F-BBF0-4BF6-9B33-B0817BE1B1C5}" scale="60" showPageBreaks="1" printArea="1" view="pageBreakPreview" showRuler="0" topLeftCell="D1">
      <pane ySplit="8" topLeftCell="A86" activePane="bottomLeft" state="frozen"/>
      <selection pane="bottomLeft" activeCell="M84" sqref="M84"/>
      <rowBreaks count="3" manualBreakCount="3">
        <brk id="51" max="14" man="1"/>
        <brk id="107" max="13" man="1"/>
        <brk id="109" max="14" man="1"/>
      </rowBreaks>
      <pageMargins left="0.75" right="0.75" top="1" bottom="1" header="0.5" footer="0.5"/>
      <printOptions horizontalCentered="1" verticalCentered="1" gridLines="1"/>
      <pageSetup scale="59" orientation="landscape" horizontalDpi="4294967293" r:id="rId1"/>
      <headerFooter alignWithMargins="0">
        <oddHeader>&amp;C&amp;"Arial,Bold"&amp;12 SOUTH KENTUCKY RECC
TEST YEAR REVENUE REQUIREMENTS WITH ADJUSTMENTS&amp;RExhibit R
Schedule 1 ____
Page ____ of ____
Witness:  Jim Adkins</oddHeader>
      </headerFooter>
    </customSheetView>
  </customSheetViews>
  <phoneticPr fontId="16" type="noConversion"/>
  <printOptions horizontalCentered="1" verticalCentered="1" gridLines="1"/>
  <pageMargins left="0.75" right="0.75" top="1" bottom="0.76" header="0.5" footer="0.5"/>
  <pageSetup scale="71" orientation="portrait" horizontalDpi="4294967293" r:id="rId2"/>
  <headerFooter alignWithMargins="0">
    <oddHeader>&amp;C&amp;"Arial,Bold"&amp;12 JACKSON ENERGY COOPERATIVE
CASE NO. 2013-00219
TEST YEAR REVENUE REQUIREMENTS WITH ADJUSTMENTS&amp;RExhibit R
Schedule 1 
Page ____ of ____
Witness:  Jim Adkins</oddHeader>
  </headerFooter>
  <rowBreaks count="2" manualBreakCount="2">
    <brk id="52" max="9" man="1"/>
    <brk id="113" max="14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3"/>
  <sheetViews>
    <sheetView view="pageBreakPreview" zoomScale="60" zoomScaleNormal="100" workbookViewId="0">
      <pane xSplit="2" topLeftCell="C1" activePane="topRight" state="frozen"/>
      <selection pane="topRight" activeCell="P9" sqref="P8:P9"/>
    </sheetView>
  </sheetViews>
  <sheetFormatPr defaultRowHeight="12.75"/>
  <cols>
    <col min="2" max="2" width="24.140625" customWidth="1"/>
    <col min="3" max="3" width="11.5703125" customWidth="1"/>
    <col min="4" max="4" width="9.7109375" bestFit="1" customWidth="1"/>
    <col min="5" max="5" width="10.140625" customWidth="1"/>
    <col min="6" max="6" width="10.28515625" customWidth="1"/>
    <col min="7" max="7" width="10.42578125" bestFit="1" customWidth="1"/>
    <col min="8" max="8" width="9.85546875" customWidth="1"/>
    <col min="9" max="9" width="10.42578125" bestFit="1" customWidth="1"/>
    <col min="10" max="10" width="2.28515625" customWidth="1"/>
    <col min="11" max="11" width="9.42578125" bestFit="1" customWidth="1"/>
  </cols>
  <sheetData>
    <row r="2" spans="1:11">
      <c r="E2" s="16" t="s">
        <v>400</v>
      </c>
      <c r="F2" s="16" t="s">
        <v>402</v>
      </c>
      <c r="G2" s="16" t="s">
        <v>405</v>
      </c>
      <c r="I2" s="16" t="s">
        <v>407</v>
      </c>
    </row>
    <row r="3" spans="1:11">
      <c r="E3" s="16" t="s">
        <v>401</v>
      </c>
      <c r="F3" s="16" t="s">
        <v>403</v>
      </c>
      <c r="G3" s="16">
        <v>106</v>
      </c>
      <c r="H3" s="16" t="s">
        <v>406</v>
      </c>
      <c r="I3" s="16" t="s">
        <v>408</v>
      </c>
    </row>
    <row r="4" spans="1:11">
      <c r="C4" s="249" t="s">
        <v>116</v>
      </c>
      <c r="D4" s="249" t="s">
        <v>114</v>
      </c>
      <c r="E4" s="249" t="s">
        <v>404</v>
      </c>
      <c r="F4" s="249" t="s">
        <v>404</v>
      </c>
      <c r="G4" s="249" t="s">
        <v>404</v>
      </c>
      <c r="H4" s="249" t="s">
        <v>404</v>
      </c>
      <c r="I4" s="249" t="s">
        <v>404</v>
      </c>
      <c r="K4" s="249" t="s">
        <v>15</v>
      </c>
    </row>
    <row r="5" spans="1:11" ht="15.75">
      <c r="A5" s="252">
        <v>580</v>
      </c>
      <c r="B5" s="253" t="s">
        <v>383</v>
      </c>
      <c r="C5" s="254"/>
      <c r="D5" s="257" t="e">
        <f>(C5/$C$28)</f>
        <v>#DIV/0!</v>
      </c>
      <c r="E5" s="255" t="e">
        <f>(C5*$F$28)</f>
        <v>#REF!</v>
      </c>
      <c r="F5" s="255" t="e">
        <f>(D5*$F$28)</f>
        <v>#DIV/0!</v>
      </c>
      <c r="G5" s="255" t="e">
        <f>(D5*$G$28)</f>
        <v>#DIV/0!</v>
      </c>
      <c r="H5" s="255" t="e">
        <f>(D5*$H$28)</f>
        <v>#DIV/0!</v>
      </c>
      <c r="I5" s="255" t="e">
        <f>(D5*$I$28)</f>
        <v>#DIV/0!</v>
      </c>
      <c r="K5" s="258" t="e">
        <f>SUM(E5:I5)</f>
        <v>#REF!</v>
      </c>
    </row>
    <row r="6" spans="1:11" ht="15.75">
      <c r="A6" s="252">
        <v>583</v>
      </c>
      <c r="B6" s="253" t="s">
        <v>384</v>
      </c>
      <c r="C6" s="254"/>
      <c r="D6" s="257" t="e">
        <f t="shared" ref="D6:D26" si="0">(C6/$C$28)</f>
        <v>#DIV/0!</v>
      </c>
      <c r="E6" s="255" t="e">
        <f t="shared" ref="E6:E26" si="1">(D6*$E$28)</f>
        <v>#DIV/0!</v>
      </c>
      <c r="F6" s="255" t="e">
        <f t="shared" ref="F6:F26" si="2">(D6*$F$28)</f>
        <v>#DIV/0!</v>
      </c>
      <c r="G6" s="255" t="e">
        <f t="shared" ref="G6:G26" si="3">(D6*$G$28)</f>
        <v>#DIV/0!</v>
      </c>
      <c r="H6" s="255" t="e">
        <f t="shared" ref="H6:H26" si="4">(D6*$H$28)</f>
        <v>#DIV/0!</v>
      </c>
      <c r="I6" s="255" t="e">
        <f t="shared" ref="I6:I26" si="5">(D6*$I$28)</f>
        <v>#DIV/0!</v>
      </c>
      <c r="K6" s="258" t="e">
        <f t="shared" ref="K6:K26" si="6">SUM(E6:I6)</f>
        <v>#DIV/0!</v>
      </c>
    </row>
    <row r="7" spans="1:11" ht="15.75">
      <c r="A7" s="252">
        <v>586</v>
      </c>
      <c r="B7" s="253" t="s">
        <v>115</v>
      </c>
      <c r="C7" s="254"/>
      <c r="D7" s="257" t="e">
        <f t="shared" si="0"/>
        <v>#DIV/0!</v>
      </c>
      <c r="E7" s="255" t="e">
        <f t="shared" si="1"/>
        <v>#DIV/0!</v>
      </c>
      <c r="F7" s="255" t="e">
        <f t="shared" si="2"/>
        <v>#DIV/0!</v>
      </c>
      <c r="G7" s="255" t="e">
        <f t="shared" si="3"/>
        <v>#DIV/0!</v>
      </c>
      <c r="H7" s="255" t="e">
        <f t="shared" si="4"/>
        <v>#DIV/0!</v>
      </c>
      <c r="I7" s="255" t="e">
        <f t="shared" si="5"/>
        <v>#DIV/0!</v>
      </c>
      <c r="K7" s="258" t="e">
        <f>SUM(E7:I7)</f>
        <v>#DIV/0!</v>
      </c>
    </row>
    <row r="8" spans="1:11" ht="15.75">
      <c r="A8" s="252">
        <v>587</v>
      </c>
      <c r="B8" s="253" t="s">
        <v>385</v>
      </c>
      <c r="C8" s="254"/>
      <c r="D8" s="257" t="e">
        <f t="shared" si="0"/>
        <v>#DIV/0!</v>
      </c>
      <c r="E8" s="255" t="e">
        <f t="shared" si="1"/>
        <v>#DIV/0!</v>
      </c>
      <c r="F8" s="255" t="e">
        <f t="shared" si="2"/>
        <v>#DIV/0!</v>
      </c>
      <c r="G8" s="255" t="e">
        <f t="shared" si="3"/>
        <v>#DIV/0!</v>
      </c>
      <c r="H8" s="255" t="e">
        <f t="shared" si="4"/>
        <v>#DIV/0!</v>
      </c>
      <c r="I8" s="255" t="e">
        <f t="shared" si="5"/>
        <v>#DIV/0!</v>
      </c>
      <c r="K8" s="258" t="e">
        <f t="shared" si="6"/>
        <v>#DIV/0!</v>
      </c>
    </row>
    <row r="9" spans="1:11" ht="15.75">
      <c r="A9" s="252">
        <v>588</v>
      </c>
      <c r="B9" s="253" t="s">
        <v>386</v>
      </c>
      <c r="C9" s="254"/>
      <c r="D9" s="257" t="e">
        <f t="shared" si="0"/>
        <v>#DIV/0!</v>
      </c>
      <c r="E9" s="255" t="e">
        <f t="shared" si="1"/>
        <v>#DIV/0!</v>
      </c>
      <c r="F9" s="255" t="e">
        <f t="shared" si="2"/>
        <v>#DIV/0!</v>
      </c>
      <c r="G9" s="255" t="e">
        <f t="shared" si="3"/>
        <v>#DIV/0!</v>
      </c>
      <c r="H9" s="255" t="e">
        <f t="shared" si="4"/>
        <v>#DIV/0!</v>
      </c>
      <c r="I9" s="255" t="e">
        <f t="shared" si="5"/>
        <v>#DIV/0!</v>
      </c>
      <c r="K9" s="258" t="e">
        <f t="shared" si="6"/>
        <v>#DIV/0!</v>
      </c>
    </row>
    <row r="10" spans="1:11" ht="15.75">
      <c r="A10" s="252">
        <v>590</v>
      </c>
      <c r="B10" s="253" t="s">
        <v>387</v>
      </c>
      <c r="C10" s="254"/>
      <c r="D10" s="257" t="e">
        <f t="shared" si="0"/>
        <v>#DIV/0!</v>
      </c>
      <c r="E10" s="255" t="e">
        <f t="shared" si="1"/>
        <v>#DIV/0!</v>
      </c>
      <c r="F10" s="255" t="e">
        <f t="shared" si="2"/>
        <v>#DIV/0!</v>
      </c>
      <c r="G10" s="255" t="e">
        <f t="shared" si="3"/>
        <v>#DIV/0!</v>
      </c>
      <c r="H10" s="255" t="e">
        <f t="shared" si="4"/>
        <v>#DIV/0!</v>
      </c>
      <c r="I10" s="255" t="e">
        <f t="shared" si="5"/>
        <v>#DIV/0!</v>
      </c>
      <c r="K10" s="258" t="e">
        <f t="shared" si="6"/>
        <v>#DIV/0!</v>
      </c>
    </row>
    <row r="11" spans="1:11" ht="15.75">
      <c r="A11" s="252">
        <v>593</v>
      </c>
      <c r="B11" s="253" t="s">
        <v>388</v>
      </c>
      <c r="C11" s="254"/>
      <c r="D11" s="257" t="e">
        <f t="shared" si="0"/>
        <v>#DIV/0!</v>
      </c>
      <c r="E11" s="255" t="e">
        <f t="shared" si="1"/>
        <v>#DIV/0!</v>
      </c>
      <c r="F11" s="255" t="e">
        <f t="shared" si="2"/>
        <v>#DIV/0!</v>
      </c>
      <c r="G11" s="255" t="e">
        <f t="shared" si="3"/>
        <v>#DIV/0!</v>
      </c>
      <c r="H11" s="255" t="e">
        <f t="shared" si="4"/>
        <v>#DIV/0!</v>
      </c>
      <c r="I11" s="255" t="e">
        <f t="shared" si="5"/>
        <v>#DIV/0!</v>
      </c>
      <c r="K11" s="258" t="e">
        <f t="shared" si="6"/>
        <v>#DIV/0!</v>
      </c>
    </row>
    <row r="12" spans="1:11" ht="15.75">
      <c r="A12" s="252">
        <v>594</v>
      </c>
      <c r="B12" s="253" t="s">
        <v>389</v>
      </c>
      <c r="C12" s="254"/>
      <c r="D12" s="257" t="e">
        <f t="shared" si="0"/>
        <v>#DIV/0!</v>
      </c>
      <c r="E12" s="255" t="e">
        <f t="shared" si="1"/>
        <v>#DIV/0!</v>
      </c>
      <c r="F12" s="255" t="e">
        <f t="shared" si="2"/>
        <v>#DIV/0!</v>
      </c>
      <c r="G12" s="255" t="e">
        <f t="shared" si="3"/>
        <v>#DIV/0!</v>
      </c>
      <c r="H12" s="255" t="e">
        <f t="shared" si="4"/>
        <v>#DIV/0!</v>
      </c>
      <c r="I12" s="255" t="e">
        <f t="shared" si="5"/>
        <v>#DIV/0!</v>
      </c>
      <c r="K12" s="258" t="e">
        <f t="shared" si="6"/>
        <v>#DIV/0!</v>
      </c>
    </row>
    <row r="13" spans="1:11" ht="15.75">
      <c r="A13" s="252">
        <v>595</v>
      </c>
      <c r="B13" s="253" t="s">
        <v>95</v>
      </c>
      <c r="C13" s="254"/>
      <c r="D13" s="257" t="e">
        <f t="shared" si="0"/>
        <v>#DIV/0!</v>
      </c>
      <c r="E13" s="255" t="e">
        <f t="shared" si="1"/>
        <v>#DIV/0!</v>
      </c>
      <c r="F13" s="255" t="e">
        <f t="shared" si="2"/>
        <v>#DIV/0!</v>
      </c>
      <c r="G13" s="255" t="e">
        <f t="shared" si="3"/>
        <v>#DIV/0!</v>
      </c>
      <c r="H13" s="255" t="e">
        <f t="shared" si="4"/>
        <v>#DIV/0!</v>
      </c>
      <c r="I13" s="255" t="e">
        <f t="shared" si="5"/>
        <v>#DIV/0!</v>
      </c>
      <c r="K13" s="258" t="e">
        <f t="shared" si="6"/>
        <v>#DIV/0!</v>
      </c>
    </row>
    <row r="14" spans="1:11" ht="15.75">
      <c r="A14" s="252">
        <v>596</v>
      </c>
      <c r="B14" s="253" t="s">
        <v>390</v>
      </c>
      <c r="C14" s="254"/>
      <c r="D14" s="257" t="e">
        <f t="shared" si="0"/>
        <v>#DIV/0!</v>
      </c>
      <c r="E14" s="255" t="e">
        <f t="shared" si="1"/>
        <v>#DIV/0!</v>
      </c>
      <c r="F14" s="255" t="e">
        <f t="shared" si="2"/>
        <v>#DIV/0!</v>
      </c>
      <c r="G14" s="255" t="e">
        <f t="shared" si="3"/>
        <v>#DIV/0!</v>
      </c>
      <c r="H14" s="255" t="e">
        <f t="shared" si="4"/>
        <v>#DIV/0!</v>
      </c>
      <c r="I14" s="255" t="e">
        <f t="shared" si="5"/>
        <v>#DIV/0!</v>
      </c>
      <c r="K14" s="258" t="e">
        <f t="shared" si="6"/>
        <v>#DIV/0!</v>
      </c>
    </row>
    <row r="15" spans="1:11" ht="15.75">
      <c r="A15" s="252">
        <v>597</v>
      </c>
      <c r="B15" s="253" t="s">
        <v>9</v>
      </c>
      <c r="C15" s="254"/>
      <c r="D15" s="257" t="e">
        <f t="shared" si="0"/>
        <v>#DIV/0!</v>
      </c>
      <c r="E15" s="255" t="e">
        <f t="shared" si="1"/>
        <v>#DIV/0!</v>
      </c>
      <c r="F15" s="255" t="e">
        <f t="shared" si="2"/>
        <v>#DIV/0!</v>
      </c>
      <c r="G15" s="255" t="e">
        <f t="shared" si="3"/>
        <v>#DIV/0!</v>
      </c>
      <c r="H15" s="255" t="e">
        <f t="shared" si="4"/>
        <v>#DIV/0!</v>
      </c>
      <c r="I15" s="255" t="e">
        <f t="shared" si="5"/>
        <v>#DIV/0!</v>
      </c>
      <c r="K15" s="258" t="e">
        <f t="shared" si="6"/>
        <v>#DIV/0!</v>
      </c>
    </row>
    <row r="16" spans="1:11" ht="15.75">
      <c r="A16" s="252">
        <v>598</v>
      </c>
      <c r="B16" s="253" t="s">
        <v>391</v>
      </c>
      <c r="C16" s="254"/>
      <c r="D16" s="257" t="e">
        <f t="shared" si="0"/>
        <v>#DIV/0!</v>
      </c>
      <c r="E16" s="255" t="e">
        <f t="shared" si="1"/>
        <v>#DIV/0!</v>
      </c>
      <c r="F16" s="255" t="e">
        <f t="shared" si="2"/>
        <v>#DIV/0!</v>
      </c>
      <c r="G16" s="255" t="e">
        <f t="shared" si="3"/>
        <v>#DIV/0!</v>
      </c>
      <c r="H16" s="255" t="e">
        <f t="shared" si="4"/>
        <v>#DIV/0!</v>
      </c>
      <c r="I16" s="255" t="e">
        <f t="shared" si="5"/>
        <v>#DIV/0!</v>
      </c>
      <c r="K16" s="258" t="e">
        <f t="shared" si="6"/>
        <v>#DIV/0!</v>
      </c>
    </row>
    <row r="17" spans="1:11" ht="15.75">
      <c r="A17" s="252">
        <v>901</v>
      </c>
      <c r="B17" s="253" t="s">
        <v>36</v>
      </c>
      <c r="C17" s="254"/>
      <c r="D17" s="257" t="e">
        <f t="shared" si="0"/>
        <v>#DIV/0!</v>
      </c>
      <c r="E17" s="255" t="e">
        <f t="shared" si="1"/>
        <v>#DIV/0!</v>
      </c>
      <c r="F17" s="255" t="e">
        <f t="shared" si="2"/>
        <v>#DIV/0!</v>
      </c>
      <c r="G17" s="255" t="e">
        <f t="shared" si="3"/>
        <v>#DIV/0!</v>
      </c>
      <c r="H17" s="255" t="e">
        <f t="shared" si="4"/>
        <v>#DIV/0!</v>
      </c>
      <c r="I17" s="255" t="e">
        <f t="shared" si="5"/>
        <v>#DIV/0!</v>
      </c>
      <c r="K17" s="258" t="e">
        <f t="shared" si="6"/>
        <v>#DIV/0!</v>
      </c>
    </row>
    <row r="18" spans="1:11" ht="15.75">
      <c r="A18" s="252">
        <v>902</v>
      </c>
      <c r="B18" s="253" t="s">
        <v>392</v>
      </c>
      <c r="C18" s="254"/>
      <c r="D18" s="257" t="e">
        <f t="shared" si="0"/>
        <v>#DIV/0!</v>
      </c>
      <c r="E18" s="255" t="e">
        <f t="shared" si="1"/>
        <v>#DIV/0!</v>
      </c>
      <c r="F18" s="255" t="e">
        <f t="shared" si="2"/>
        <v>#DIV/0!</v>
      </c>
      <c r="G18" s="255" t="e">
        <f t="shared" si="3"/>
        <v>#DIV/0!</v>
      </c>
      <c r="H18" s="255" t="e">
        <f t="shared" si="4"/>
        <v>#DIV/0!</v>
      </c>
      <c r="I18" s="255" t="e">
        <f t="shared" si="5"/>
        <v>#DIV/0!</v>
      </c>
      <c r="K18" s="258" t="e">
        <f t="shared" si="6"/>
        <v>#DIV/0!</v>
      </c>
    </row>
    <row r="19" spans="1:11" ht="15.75">
      <c r="A19" s="252">
        <v>903</v>
      </c>
      <c r="B19" s="253" t="s">
        <v>393</v>
      </c>
      <c r="C19" s="254"/>
      <c r="D19" s="257" t="e">
        <f t="shared" si="0"/>
        <v>#DIV/0!</v>
      </c>
      <c r="E19" s="255" t="e">
        <f t="shared" si="1"/>
        <v>#DIV/0!</v>
      </c>
      <c r="F19" s="255" t="e">
        <f t="shared" si="2"/>
        <v>#DIV/0!</v>
      </c>
      <c r="G19" s="255" t="e">
        <f t="shared" si="3"/>
        <v>#DIV/0!</v>
      </c>
      <c r="H19" s="255" t="e">
        <f t="shared" si="4"/>
        <v>#DIV/0!</v>
      </c>
      <c r="I19" s="255" t="e">
        <f t="shared" si="5"/>
        <v>#DIV/0!</v>
      </c>
      <c r="K19" s="258" t="e">
        <f t="shared" si="6"/>
        <v>#DIV/0!</v>
      </c>
    </row>
    <row r="20" spans="1:11" ht="15.75">
      <c r="A20" s="252">
        <v>907</v>
      </c>
      <c r="B20" s="253" t="s">
        <v>394</v>
      </c>
      <c r="C20" s="254"/>
      <c r="D20" s="257" t="e">
        <f t="shared" si="0"/>
        <v>#DIV/0!</v>
      </c>
      <c r="E20" s="255" t="e">
        <f t="shared" si="1"/>
        <v>#DIV/0!</v>
      </c>
      <c r="F20" s="255" t="e">
        <f t="shared" si="2"/>
        <v>#DIV/0!</v>
      </c>
      <c r="G20" s="255" t="e">
        <f t="shared" si="3"/>
        <v>#DIV/0!</v>
      </c>
      <c r="H20" s="255" t="e">
        <f t="shared" si="4"/>
        <v>#DIV/0!</v>
      </c>
      <c r="I20" s="255" t="e">
        <f t="shared" si="5"/>
        <v>#DIV/0!</v>
      </c>
      <c r="K20" s="258" t="e">
        <f t="shared" si="6"/>
        <v>#DIV/0!</v>
      </c>
    </row>
    <row r="21" spans="1:11" ht="15.75">
      <c r="A21" s="252">
        <v>908</v>
      </c>
      <c r="B21" s="253" t="s">
        <v>395</v>
      </c>
      <c r="C21" s="254"/>
      <c r="D21" s="257" t="e">
        <f t="shared" si="0"/>
        <v>#DIV/0!</v>
      </c>
      <c r="E21" s="255" t="e">
        <f t="shared" si="1"/>
        <v>#DIV/0!</v>
      </c>
      <c r="F21" s="255" t="e">
        <f t="shared" si="2"/>
        <v>#DIV/0!</v>
      </c>
      <c r="G21" s="255" t="e">
        <f t="shared" si="3"/>
        <v>#DIV/0!</v>
      </c>
      <c r="H21" s="255" t="e">
        <f t="shared" si="4"/>
        <v>#DIV/0!</v>
      </c>
      <c r="I21" s="255" t="e">
        <f t="shared" si="5"/>
        <v>#DIV/0!</v>
      </c>
      <c r="K21" s="258" t="e">
        <f t="shared" si="6"/>
        <v>#DIV/0!</v>
      </c>
    </row>
    <row r="22" spans="1:11" ht="15.75">
      <c r="A22" s="252">
        <v>909</v>
      </c>
      <c r="B22" s="253" t="s">
        <v>396</v>
      </c>
      <c r="C22" s="254"/>
      <c r="D22" s="257" t="e">
        <f t="shared" si="0"/>
        <v>#DIV/0!</v>
      </c>
      <c r="E22" s="255" t="e">
        <f t="shared" si="1"/>
        <v>#DIV/0!</v>
      </c>
      <c r="F22" s="255" t="e">
        <f t="shared" si="2"/>
        <v>#DIV/0!</v>
      </c>
      <c r="G22" s="255" t="e">
        <f t="shared" si="3"/>
        <v>#DIV/0!</v>
      </c>
      <c r="H22" s="255" t="e">
        <f t="shared" si="4"/>
        <v>#DIV/0!</v>
      </c>
      <c r="I22" s="255" t="e">
        <f t="shared" si="5"/>
        <v>#DIV/0!</v>
      </c>
      <c r="K22" s="258" t="e">
        <f t="shared" si="6"/>
        <v>#DIV/0!</v>
      </c>
    </row>
    <row r="23" spans="1:11" ht="15.75">
      <c r="A23" s="252">
        <v>910</v>
      </c>
      <c r="B23" s="253" t="s">
        <v>397</v>
      </c>
      <c r="C23" s="254"/>
      <c r="D23" s="257" t="e">
        <f t="shared" si="0"/>
        <v>#DIV/0!</v>
      </c>
      <c r="E23" s="255" t="e">
        <f t="shared" si="1"/>
        <v>#DIV/0!</v>
      </c>
      <c r="F23" s="255" t="e">
        <f t="shared" si="2"/>
        <v>#DIV/0!</v>
      </c>
      <c r="G23" s="255" t="e">
        <f t="shared" si="3"/>
        <v>#DIV/0!</v>
      </c>
      <c r="H23" s="255" t="e">
        <f t="shared" si="4"/>
        <v>#DIV/0!</v>
      </c>
      <c r="I23" s="255" t="e">
        <f t="shared" si="5"/>
        <v>#DIV/0!</v>
      </c>
      <c r="K23" s="258" t="e">
        <f t="shared" si="6"/>
        <v>#DIV/0!</v>
      </c>
    </row>
    <row r="24" spans="1:11" ht="15.75">
      <c r="A24" s="252">
        <v>920</v>
      </c>
      <c r="B24" s="253" t="s">
        <v>398</v>
      </c>
      <c r="C24" s="254"/>
      <c r="D24" s="257" t="e">
        <f t="shared" si="0"/>
        <v>#DIV/0!</v>
      </c>
      <c r="E24" s="255" t="e">
        <f t="shared" si="1"/>
        <v>#DIV/0!</v>
      </c>
      <c r="F24" s="255" t="e">
        <f t="shared" si="2"/>
        <v>#DIV/0!</v>
      </c>
      <c r="G24" s="255" t="e">
        <f t="shared" si="3"/>
        <v>#DIV/0!</v>
      </c>
      <c r="H24" s="255" t="e">
        <f t="shared" si="4"/>
        <v>#DIV/0!</v>
      </c>
      <c r="I24" s="255" t="e">
        <f t="shared" si="5"/>
        <v>#DIV/0!</v>
      </c>
      <c r="K24" s="258" t="e">
        <f t="shared" si="6"/>
        <v>#DIV/0!</v>
      </c>
    </row>
    <row r="25" spans="1:11" ht="15.75">
      <c r="A25" s="252">
        <v>930</v>
      </c>
      <c r="B25" s="253" t="s">
        <v>168</v>
      </c>
      <c r="C25" s="254"/>
      <c r="D25" s="257" t="e">
        <f t="shared" si="0"/>
        <v>#DIV/0!</v>
      </c>
      <c r="E25" s="255" t="e">
        <f t="shared" si="1"/>
        <v>#DIV/0!</v>
      </c>
      <c r="F25" s="255" t="e">
        <f t="shared" si="2"/>
        <v>#DIV/0!</v>
      </c>
      <c r="G25" s="255" t="e">
        <f t="shared" si="3"/>
        <v>#DIV/0!</v>
      </c>
      <c r="H25" s="255" t="e">
        <f t="shared" si="4"/>
        <v>#DIV/0!</v>
      </c>
      <c r="I25" s="255" t="e">
        <f t="shared" si="5"/>
        <v>#DIV/0!</v>
      </c>
      <c r="K25" s="258" t="e">
        <f>SUM(E25:I25)</f>
        <v>#DIV/0!</v>
      </c>
    </row>
    <row r="26" spans="1:11" ht="18">
      <c r="A26" s="252">
        <v>935</v>
      </c>
      <c r="B26" s="253" t="s">
        <v>399</v>
      </c>
      <c r="C26" s="262"/>
      <c r="D26" s="259" t="e">
        <f t="shared" si="0"/>
        <v>#DIV/0!</v>
      </c>
      <c r="E26" s="260" t="e">
        <f t="shared" si="1"/>
        <v>#DIV/0!</v>
      </c>
      <c r="F26" s="260" t="e">
        <f t="shared" si="2"/>
        <v>#DIV/0!</v>
      </c>
      <c r="G26" s="260" t="e">
        <f t="shared" si="3"/>
        <v>#DIV/0!</v>
      </c>
      <c r="H26" s="260" t="e">
        <f t="shared" si="4"/>
        <v>#DIV/0!</v>
      </c>
      <c r="I26" s="260" t="e">
        <f t="shared" si="5"/>
        <v>#DIV/0!</v>
      </c>
      <c r="J26" s="19"/>
      <c r="K26" s="261" t="e">
        <f t="shared" si="6"/>
        <v>#DIV/0!</v>
      </c>
    </row>
    <row r="27" spans="1:11">
      <c r="A27" s="256"/>
      <c r="B27" s="256"/>
      <c r="C27" s="256"/>
      <c r="D27" s="256"/>
      <c r="E27" s="256"/>
    </row>
    <row r="28" spans="1:11" s="250" customFormat="1" ht="16.5" thickBot="1">
      <c r="A28" s="273"/>
      <c r="B28" s="273" t="s">
        <v>15</v>
      </c>
      <c r="C28" s="275">
        <f>SUM(C5:C26)</f>
        <v>0</v>
      </c>
      <c r="D28" s="276" t="e">
        <f>SUM(D5:D26)</f>
        <v>#DIV/0!</v>
      </c>
      <c r="E28" s="274" t="e">
        <f>SUM(#REF!)</f>
        <v>#REF!</v>
      </c>
      <c r="F28" s="274" t="e">
        <f>SUM(#REF!)</f>
        <v>#REF!</v>
      </c>
      <c r="G28" s="274" t="e">
        <f>SUM(A28:E28)</f>
        <v>#DIV/0!</v>
      </c>
      <c r="H28" s="274" t="e">
        <f>SUM(B28:F28)</f>
        <v>#DIV/0!</v>
      </c>
      <c r="I28" s="274" t="e">
        <f>SUM(C28:G28)</f>
        <v>#DIV/0!</v>
      </c>
      <c r="J28" s="274" t="e">
        <f>SUM(D28:H28)</f>
        <v>#DIV/0!</v>
      </c>
      <c r="K28" s="274" t="e">
        <f>SUM(E28:I28)</f>
        <v>#REF!</v>
      </c>
    </row>
    <row r="29" spans="1:11" ht="13.5" thickTop="1"/>
    <row r="30" spans="1:11">
      <c r="D30" s="258" t="e">
        <f t="shared" ref="D30:I30" si="7">SUM(D5:D26)</f>
        <v>#DIV/0!</v>
      </c>
      <c r="E30" s="258" t="e">
        <f t="shared" si="7"/>
        <v>#REF!</v>
      </c>
      <c r="F30" s="258" t="e">
        <f t="shared" si="7"/>
        <v>#DIV/0!</v>
      </c>
      <c r="G30" s="258" t="e">
        <f t="shared" si="7"/>
        <v>#DIV/0!</v>
      </c>
      <c r="H30" s="258" t="e">
        <f t="shared" si="7"/>
        <v>#DIV/0!</v>
      </c>
      <c r="I30" s="258" t="e">
        <f t="shared" si="7"/>
        <v>#DIV/0!</v>
      </c>
      <c r="K30" s="258" t="e">
        <f>SUM(K5:K26)</f>
        <v>#REF!</v>
      </c>
    </row>
    <row r="33" spans="5:11">
      <c r="E33" s="258" t="e">
        <f t="shared" ref="E33:J33" si="8">SUM(E24:E26)</f>
        <v>#DIV/0!</v>
      </c>
      <c r="F33" s="258" t="e">
        <f t="shared" si="8"/>
        <v>#DIV/0!</v>
      </c>
      <c r="G33" s="258" t="e">
        <f t="shared" si="8"/>
        <v>#DIV/0!</v>
      </c>
      <c r="H33" s="258" t="e">
        <f t="shared" si="8"/>
        <v>#DIV/0!</v>
      </c>
      <c r="I33" s="258" t="e">
        <f t="shared" si="8"/>
        <v>#DIV/0!</v>
      </c>
      <c r="J33" s="258">
        <f t="shared" si="8"/>
        <v>0</v>
      </c>
      <c r="K33" s="258" t="e">
        <f>SUM(E33:I33)</f>
        <v>#DIV/0!</v>
      </c>
    </row>
  </sheetData>
  <customSheetViews>
    <customSheetView guid="{18050E3F-BBF0-4BF6-9B33-B0817BE1B1C5}" showRuler="0" topLeftCell="A14">
      <pane xSplit="2" topLeftCell="G1" activePane="topRight" state="frozen"/>
      <selection pane="topRight" activeCell="N6" sqref="N6"/>
      <pageMargins left="0.75" right="0.75" top="1" bottom="1" header="0.5" footer="0.5"/>
      <pageSetup orientation="landscape" r:id="rId1"/>
      <headerFooter alignWithMargins="0"/>
    </customSheetView>
  </customSheetViews>
  <phoneticPr fontId="16" type="noConversion"/>
  <printOptions horizontalCentered="1" verticalCentered="1" gridLines="1"/>
  <pageMargins left="0.75" right="0.75" top="1" bottom="1" header="0.5" footer="0.5"/>
  <pageSetup orientation="landscape" r:id="rId2"/>
  <headerFooter alignWithMargins="0">
    <oddHeader>&amp;C&amp;"Arial,Bold"&amp;12JACKSON ENERGY COOPERATIVE
CASE NO. 2013-XXXXX
ALLOCATION OF TEST YEAR ADJUSTMENTS TO VARIOUS ACCOUNTS&amp;RExhibit R
Schedule 1.1
Page ____ of ____
Witness:  Jim Adkins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G123"/>
  <sheetViews>
    <sheetView view="pageBreakPreview" topLeftCell="F1" zoomScale="60" zoomScaleNormal="100" workbookViewId="0">
      <pane ySplit="4" topLeftCell="A36" activePane="bottomLeft" state="frozen"/>
      <selection pane="bottomLeft" activeCell="W47" sqref="W47"/>
    </sheetView>
  </sheetViews>
  <sheetFormatPr defaultRowHeight="12.75"/>
  <cols>
    <col min="1" max="1" width="5.140625" style="410" customWidth="1"/>
    <col min="2" max="2" width="25.5703125" style="409" customWidth="1"/>
    <col min="3" max="3" width="0.140625" style="409" hidden="1" customWidth="1"/>
    <col min="4" max="4" width="0.42578125" style="409" hidden="1" customWidth="1"/>
    <col min="5" max="5" width="14.28515625" style="409" customWidth="1"/>
    <col min="6" max="6" width="0.42578125" style="409" customWidth="1"/>
    <col min="7" max="7" width="13.7109375" style="409" customWidth="1"/>
    <col min="8" max="8" width="12.28515625" style="409" customWidth="1"/>
    <col min="9" max="9" width="14.5703125" style="409" customWidth="1"/>
    <col min="10" max="10" width="11.85546875" style="409" customWidth="1"/>
    <col min="11" max="11" width="14.140625" style="409" customWidth="1"/>
    <col min="12" max="12" width="12.42578125" style="409" customWidth="1"/>
    <col min="13" max="13" width="12" style="409" customWidth="1"/>
    <col min="14" max="14" width="12.7109375" style="409" customWidth="1"/>
    <col min="15" max="15" width="13.42578125" style="409" customWidth="1"/>
    <col min="16" max="16" width="15" style="409" customWidth="1"/>
    <col min="17" max="17" width="8.28515625" style="408" customWidth="1"/>
    <col min="18" max="18" width="2.140625" style="409" customWidth="1"/>
    <col min="19" max="19" width="5" style="434" customWidth="1"/>
    <col min="20" max="20" width="25.5703125" style="409" customWidth="1"/>
    <col min="21" max="21" width="12.140625" style="409" customWidth="1"/>
    <col min="22" max="22" width="13.7109375" style="409" customWidth="1"/>
    <col min="23" max="23" width="13.7109375" style="409" bestFit="1" customWidth="1"/>
    <col min="24" max="24" width="11.85546875" style="409" customWidth="1"/>
    <col min="25" max="25" width="14.28515625" style="409" customWidth="1"/>
    <col min="26" max="26" width="12.5703125" style="409" bestFit="1" customWidth="1"/>
    <col min="27" max="27" width="11.5703125" style="409" customWidth="1"/>
    <col min="28" max="28" width="12" style="409" bestFit="1" customWidth="1"/>
    <col min="29" max="29" width="15.7109375" style="409" customWidth="1"/>
    <col min="30" max="30" width="10.28515625" style="409" customWidth="1"/>
    <col min="31" max="31" width="15" style="409" customWidth="1"/>
    <col min="32" max="32" width="9.140625" style="409"/>
    <col min="33" max="33" width="10.28515625" style="409" customWidth="1"/>
    <col min="34" max="16384" width="9.140625" style="409"/>
  </cols>
  <sheetData>
    <row r="1" spans="1:31" ht="15.75">
      <c r="A1" s="405"/>
      <c r="B1" s="406"/>
      <c r="C1" s="757" t="s">
        <v>171</v>
      </c>
      <c r="D1" s="758"/>
      <c r="E1" s="759"/>
      <c r="F1" s="407"/>
      <c r="G1" s="754" t="s">
        <v>14</v>
      </c>
      <c r="H1" s="755"/>
      <c r="I1" s="755"/>
      <c r="J1" s="755"/>
      <c r="K1" s="755"/>
      <c r="L1" s="755"/>
      <c r="M1" s="755"/>
      <c r="N1" s="755"/>
      <c r="O1" s="755"/>
      <c r="P1" s="756"/>
      <c r="R1" s="760" t="s">
        <v>194</v>
      </c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</row>
    <row r="2" spans="1:31" s="408" customFormat="1">
      <c r="A2" s="410"/>
      <c r="C2" s="411"/>
      <c r="E2" s="412"/>
      <c r="F2" s="413"/>
      <c r="G2" s="413"/>
      <c r="H2" s="413"/>
      <c r="I2" s="413"/>
      <c r="J2" s="413"/>
      <c r="K2" s="413"/>
      <c r="L2" s="413"/>
      <c r="M2" s="413" t="s">
        <v>10</v>
      </c>
      <c r="N2" s="413"/>
      <c r="O2" s="413"/>
      <c r="P2" s="413"/>
      <c r="Q2" s="414"/>
    </row>
    <row r="3" spans="1:31" s="408" customFormat="1">
      <c r="A3" s="415" t="s">
        <v>16</v>
      </c>
      <c r="B3" s="416" t="s">
        <v>17</v>
      </c>
      <c r="C3" s="417" t="s">
        <v>72</v>
      </c>
      <c r="D3" s="418" t="s">
        <v>73</v>
      </c>
      <c r="E3" s="412" t="s">
        <v>2</v>
      </c>
      <c r="F3" s="419"/>
      <c r="G3" s="419" t="s">
        <v>3</v>
      </c>
      <c r="H3" s="419"/>
      <c r="I3" s="419"/>
      <c r="J3" s="419" t="s">
        <v>6</v>
      </c>
      <c r="K3" s="419"/>
      <c r="L3" s="419"/>
      <c r="M3" s="419" t="s">
        <v>11</v>
      </c>
      <c r="N3" s="419" t="s">
        <v>208</v>
      </c>
      <c r="O3" s="419" t="s">
        <v>211</v>
      </c>
      <c r="P3" s="419"/>
      <c r="Q3" s="420" t="s">
        <v>85</v>
      </c>
    </row>
    <row r="4" spans="1:31" s="419" customFormat="1" ht="13.5" customHeight="1">
      <c r="A4" s="421" t="s">
        <v>18</v>
      </c>
      <c r="B4" s="422"/>
      <c r="C4" s="423" t="s">
        <v>0</v>
      </c>
      <c r="D4" s="423" t="s">
        <v>74</v>
      </c>
      <c r="E4" s="424" t="s">
        <v>0</v>
      </c>
      <c r="F4" s="425"/>
      <c r="G4" s="425" t="s">
        <v>4</v>
      </c>
      <c r="H4" s="425" t="s">
        <v>247</v>
      </c>
      <c r="I4" s="425" t="s">
        <v>5</v>
      </c>
      <c r="J4" s="425" t="s">
        <v>7</v>
      </c>
      <c r="K4" s="425" t="s">
        <v>8</v>
      </c>
      <c r="L4" s="425" t="s">
        <v>9</v>
      </c>
      <c r="M4" s="425" t="s">
        <v>12</v>
      </c>
      <c r="N4" s="425" t="s">
        <v>13</v>
      </c>
      <c r="O4" s="425" t="s">
        <v>13</v>
      </c>
      <c r="P4" s="425" t="s">
        <v>15</v>
      </c>
      <c r="Q4" s="426" t="s">
        <v>83</v>
      </c>
    </row>
    <row r="5" spans="1:31" s="419" customFormat="1" ht="13.5" customHeight="1">
      <c r="A5" s="427"/>
      <c r="B5" s="411"/>
      <c r="C5" s="423"/>
      <c r="D5" s="423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9"/>
      <c r="P5" s="428"/>
    </row>
    <row r="6" spans="1:31">
      <c r="A6" s="430">
        <v>555</v>
      </c>
      <c r="B6" s="431" t="str">
        <f>('1TestYr'!C10)</f>
        <v>Purchased Power</v>
      </c>
      <c r="C6" s="432">
        <f>('1TestYr'!D10)</f>
        <v>0</v>
      </c>
      <c r="D6" s="432">
        <f>('1TestYr'!E10)</f>
        <v>0</v>
      </c>
      <c r="E6" s="433" t="s">
        <v>1</v>
      </c>
      <c r="AE6" s="411"/>
    </row>
    <row r="7" spans="1:31">
      <c r="A7" s="430"/>
      <c r="B7" s="431" t="str">
        <f>('1TestYr'!C11)</f>
        <v>Demand Charges</v>
      </c>
      <c r="C7" s="435">
        <v>14211359</v>
      </c>
      <c r="D7" s="436">
        <v>1465107</v>
      </c>
      <c r="E7" s="436">
        <f>('1TestYr'!J11)</f>
        <v>13020019</v>
      </c>
      <c r="F7" s="436"/>
      <c r="G7" s="436">
        <f>(E7)</f>
        <v>13020019</v>
      </c>
      <c r="H7" s="436"/>
      <c r="I7" s="436"/>
      <c r="J7" s="436"/>
      <c r="K7" s="436"/>
      <c r="L7" s="436"/>
      <c r="M7" s="436"/>
      <c r="P7" s="437">
        <f>SUM(G7:N7)</f>
        <v>13020019</v>
      </c>
      <c r="S7" s="438">
        <v>1</v>
      </c>
      <c r="T7" s="411" t="s">
        <v>188</v>
      </c>
      <c r="U7" s="411"/>
      <c r="V7" s="411"/>
      <c r="W7" s="411"/>
      <c r="X7" s="411"/>
      <c r="AA7" s="408"/>
      <c r="AB7" s="408"/>
      <c r="AC7" s="408"/>
      <c r="AD7" s="408"/>
    </row>
    <row r="8" spans="1:31">
      <c r="A8" s="430"/>
      <c r="B8" s="431" t="str">
        <f>('1TestYr'!C12)</f>
        <v>Metering Point &amp; Substations Charges</v>
      </c>
      <c r="C8" s="435"/>
      <c r="D8" s="436"/>
      <c r="E8" s="436">
        <f>('1TestYr'!J12)</f>
        <v>1321044</v>
      </c>
      <c r="F8" s="436"/>
      <c r="G8" s="436">
        <f>(E8)</f>
        <v>1321044</v>
      </c>
      <c r="H8" s="436"/>
      <c r="I8" s="436"/>
      <c r="J8" s="436"/>
      <c r="K8" s="436"/>
      <c r="L8" s="436"/>
      <c r="M8" s="436"/>
      <c r="P8" s="437">
        <f>SUM(G8:N8)</f>
        <v>1321044</v>
      </c>
      <c r="S8" s="438"/>
      <c r="T8" s="411"/>
      <c r="U8" s="411"/>
      <c r="V8" s="411"/>
      <c r="W8" s="439" t="s">
        <v>240</v>
      </c>
      <c r="X8" s="439" t="s">
        <v>91</v>
      </c>
      <c r="AA8" s="408"/>
      <c r="AB8" s="408"/>
      <c r="AC8" s="408"/>
      <c r="AD8" s="408"/>
    </row>
    <row r="9" spans="1:31">
      <c r="A9" s="430"/>
      <c r="B9" s="431" t="str">
        <f>('1TestYr'!C13)</f>
        <v>Energy Charges</v>
      </c>
      <c r="C9" s="440">
        <v>2758291</v>
      </c>
      <c r="D9" s="440">
        <f>-(C9)</f>
        <v>-2758291</v>
      </c>
      <c r="E9" s="436">
        <f>('1TestYr'!J13)</f>
        <v>44259636</v>
      </c>
      <c r="F9" s="436"/>
      <c r="G9" s="436">
        <f>(E9)</f>
        <v>44259636</v>
      </c>
      <c r="H9" s="436"/>
      <c r="I9" s="436"/>
      <c r="J9" s="436"/>
      <c r="K9" s="436"/>
      <c r="L9" s="436"/>
      <c r="M9" s="436"/>
      <c r="P9" s="437">
        <f>SUM(G9:N9)</f>
        <v>44259636</v>
      </c>
      <c r="S9" s="438"/>
      <c r="T9" s="417" t="s">
        <v>239</v>
      </c>
      <c r="U9" s="419"/>
      <c r="V9" s="419"/>
      <c r="W9" s="433">
        <f>('2.22Rate Base'!H18)</f>
        <v>127387547.88</v>
      </c>
      <c r="X9" s="441">
        <f>(W9/$W$11)</f>
        <v>0.86345812493702634</v>
      </c>
      <c r="AA9" s="419"/>
      <c r="AB9" s="419"/>
      <c r="AC9" s="419"/>
      <c r="AD9" s="419"/>
    </row>
    <row r="10" spans="1:31">
      <c r="A10" s="430"/>
      <c r="B10" s="431" t="str">
        <f>('1TestYr'!C14)</f>
        <v>Renewable Resource Energy</v>
      </c>
      <c r="C10" s="442">
        <f>SUM(C7:C9)</f>
        <v>16969650</v>
      </c>
      <c r="D10" s="442">
        <f>SUM(D7:D9)</f>
        <v>-1293184</v>
      </c>
      <c r="E10" s="436">
        <f>('1TestYr'!J14)</f>
        <v>4430</v>
      </c>
      <c r="F10" s="436"/>
      <c r="G10" s="436">
        <f>(E10)</f>
        <v>4430</v>
      </c>
      <c r="H10" s="436"/>
      <c r="I10" s="435"/>
      <c r="J10" s="435"/>
      <c r="K10" s="435"/>
      <c r="L10" s="435"/>
      <c r="M10" s="435"/>
      <c r="N10" s="411"/>
      <c r="O10" s="411"/>
      <c r="P10" s="437">
        <f>SUM(G10:N10)</f>
        <v>4430</v>
      </c>
      <c r="T10" s="409" t="s">
        <v>8</v>
      </c>
      <c r="W10" s="435">
        <f>('2.22Rate Base'!J18)</f>
        <v>20144271.210000001</v>
      </c>
      <c r="X10" s="441">
        <f>(W10/$W$11)</f>
        <v>0.13654187506297358</v>
      </c>
      <c r="AA10" s="411"/>
      <c r="AB10" s="411"/>
      <c r="AC10" s="411"/>
      <c r="AD10" s="411"/>
    </row>
    <row r="11" spans="1:31" ht="13.5" thickBot="1">
      <c r="A11" s="430"/>
      <c r="B11" s="431" t="str">
        <f>('1TestYr'!C15)</f>
        <v>WellHeads</v>
      </c>
      <c r="C11" s="442">
        <f>SUM(C8:C10)</f>
        <v>19727941</v>
      </c>
      <c r="D11" s="442">
        <f>SUM(D8:D10)</f>
        <v>-4051475</v>
      </c>
      <c r="E11" s="440">
        <f>('1TestYr'!J15)</f>
        <v>146741.20000000001</v>
      </c>
      <c r="F11" s="440"/>
      <c r="G11" s="440">
        <f>(E11)</f>
        <v>146741.20000000001</v>
      </c>
      <c r="H11" s="436"/>
      <c r="I11" s="440"/>
      <c r="J11" s="440"/>
      <c r="K11" s="440"/>
      <c r="L11" s="440"/>
      <c r="M11" s="440"/>
      <c r="N11" s="443"/>
      <c r="O11" s="443"/>
      <c r="P11" s="437">
        <f>SUM(G11:N11)</f>
        <v>146741.20000000001</v>
      </c>
      <c r="T11" s="444" t="s">
        <v>15</v>
      </c>
      <c r="W11" s="445">
        <f>SUM(W9:W10)</f>
        <v>147531819.09</v>
      </c>
      <c r="X11" s="446">
        <f>SUM(X9:X10)</f>
        <v>0.99999999999999989</v>
      </c>
    </row>
    <row r="12" spans="1:31" ht="13.5" thickTop="1">
      <c r="A12" s="430"/>
      <c r="B12" s="431" t="str">
        <f>('1TestYr'!C16)</f>
        <v xml:space="preserve">Total Purchased Power </v>
      </c>
      <c r="C12" s="435"/>
      <c r="D12" s="436"/>
      <c r="E12" s="440">
        <f>SUM(E7:E11)</f>
        <v>58751870.200000003</v>
      </c>
      <c r="F12" s="440"/>
      <c r="G12" s="440">
        <f>SUM(G7:G11)</f>
        <v>58751870.200000003</v>
      </c>
      <c r="H12" s="447"/>
      <c r="I12" s="447"/>
      <c r="J12" s="447"/>
      <c r="K12" s="447"/>
      <c r="L12" s="447"/>
      <c r="M12" s="447"/>
      <c r="N12" s="448"/>
      <c r="O12" s="448"/>
      <c r="P12" s="449">
        <f>SUM(G12:O12)</f>
        <v>58751870.200000003</v>
      </c>
      <c r="Q12" s="408" t="s">
        <v>84</v>
      </c>
      <c r="AB12" s="408"/>
      <c r="AC12" s="408" t="s">
        <v>89</v>
      </c>
    </row>
    <row r="13" spans="1:31">
      <c r="A13" s="430"/>
      <c r="B13" s="432"/>
      <c r="C13" s="435">
        <v>76777.740000000005</v>
      </c>
      <c r="D13" s="436" t="e">
        <f>(#REF!)</f>
        <v>#REF!</v>
      </c>
      <c r="E13" s="436"/>
      <c r="F13" s="436"/>
      <c r="G13" s="436"/>
      <c r="H13" s="436"/>
      <c r="I13" s="436"/>
      <c r="J13" s="436"/>
      <c r="K13" s="436"/>
      <c r="L13" s="436"/>
      <c r="M13" s="436"/>
      <c r="P13" s="450">
        <f>SUM(G13:O13)</f>
        <v>0</v>
      </c>
      <c r="S13" s="451">
        <v>2</v>
      </c>
      <c r="T13" s="452" t="s">
        <v>86</v>
      </c>
      <c r="Y13" s="439" t="s">
        <v>72</v>
      </c>
      <c r="Z13" s="439" t="s">
        <v>91</v>
      </c>
      <c r="AB13" s="439" t="s">
        <v>88</v>
      </c>
      <c r="AC13" s="439" t="s">
        <v>90</v>
      </c>
      <c r="AD13" s="439" t="s">
        <v>28</v>
      </c>
    </row>
    <row r="14" spans="1:31">
      <c r="A14" s="430">
        <v>580</v>
      </c>
      <c r="B14" s="431" t="str">
        <f>('1TestYr'!C18)</f>
        <v>Operations Supv &amp; Eng</v>
      </c>
      <c r="C14" s="435">
        <v>0</v>
      </c>
      <c r="D14" s="436" t="e">
        <f>(#REF!)</f>
        <v>#REF!</v>
      </c>
      <c r="E14" s="436">
        <f>('1TestYr'!J18)</f>
        <v>87147.95</v>
      </c>
      <c r="F14" s="436"/>
      <c r="G14" s="436"/>
      <c r="H14" s="436">
        <f>AB14</f>
        <v>578.51486760684088</v>
      </c>
      <c r="I14" s="436">
        <f>AB15</f>
        <v>38918.970412190734</v>
      </c>
      <c r="J14" s="436">
        <f>AB16</f>
        <v>0</v>
      </c>
      <c r="K14" s="436">
        <f>AB17</f>
        <v>6154.4029086395803</v>
      </c>
      <c r="L14" s="436">
        <f>AB18</f>
        <v>37287.723467524775</v>
      </c>
      <c r="M14" s="436">
        <f>AB19</f>
        <v>0</v>
      </c>
      <c r="N14" s="437">
        <f>AB20</f>
        <v>4208.3383440380658</v>
      </c>
      <c r="O14" s="436">
        <f>AB21</f>
        <v>0</v>
      </c>
      <c r="P14" s="437">
        <f>SUM(H14:O14)</f>
        <v>87147.95</v>
      </c>
      <c r="Q14" s="408">
        <v>2</v>
      </c>
      <c r="T14" s="409" t="s">
        <v>247</v>
      </c>
      <c r="Y14" s="453">
        <f>E16</f>
        <v>24929.3</v>
      </c>
      <c r="Z14" s="454">
        <f t="shared" ref="Z14:Z21" si="0">Y14/$Y$23</f>
        <v>6.6383072419585422E-3</v>
      </c>
      <c r="AB14" s="436">
        <f t="shared" ref="AB14:AB21" si="1">(Z14*$AB$23)</f>
        <v>578.51486760684088</v>
      </c>
      <c r="AC14" s="436">
        <f t="shared" ref="AC14:AC21" si="2">(Z14*$AC$23)</f>
        <v>6807.9390269167125</v>
      </c>
      <c r="AD14" s="436">
        <f t="shared" ref="AD14:AD21" si="3">$AD$24*Z14</f>
        <v>0</v>
      </c>
    </row>
    <row r="15" spans="1:31">
      <c r="A15" s="430">
        <v>581</v>
      </c>
      <c r="B15" s="431" t="str">
        <f>('1TestYr'!C19)</f>
        <v>Load Dispatching</v>
      </c>
      <c r="C15" s="435">
        <v>189903.91</v>
      </c>
      <c r="D15" s="436" t="e">
        <f>(#REF!)</f>
        <v>#REF!</v>
      </c>
      <c r="E15" s="436">
        <f>('1TestYr'!J19)</f>
        <v>0</v>
      </c>
      <c r="F15" s="436"/>
      <c r="G15" s="436" t="s">
        <v>1</v>
      </c>
      <c r="H15" s="436">
        <f>(E15)</f>
        <v>0</v>
      </c>
      <c r="I15" s="436" t="s">
        <v>1</v>
      </c>
      <c r="J15" s="436"/>
      <c r="K15" s="436" t="s">
        <v>1</v>
      </c>
      <c r="L15" s="436"/>
      <c r="M15" s="436"/>
      <c r="N15" s="436"/>
      <c r="O15" s="436"/>
      <c r="P15" s="437">
        <f t="shared" ref="P15:P23" si="4">SUM(H15:O15)</f>
        <v>0</v>
      </c>
      <c r="Q15" s="408" t="s">
        <v>84</v>
      </c>
      <c r="T15" s="409" t="s">
        <v>5</v>
      </c>
      <c r="Y15" s="453">
        <f>I17+I18</f>
        <v>1677092.0566141617</v>
      </c>
      <c r="Z15" s="454">
        <f t="shared" si="0"/>
        <v>0.44658503627670798</v>
      </c>
      <c r="AB15" s="436">
        <f t="shared" si="1"/>
        <v>38918.970412190734</v>
      </c>
      <c r="AC15" s="436">
        <f t="shared" si="2"/>
        <v>457996.83360365377</v>
      </c>
      <c r="AD15" s="436">
        <f t="shared" si="3"/>
        <v>0</v>
      </c>
    </row>
    <row r="16" spans="1:31">
      <c r="A16" s="430">
        <f>('1TestYr'!B20)</f>
        <v>582</v>
      </c>
      <c r="B16" s="431" t="str">
        <f>('1TestYr'!C20)</f>
        <v>Station Expense</v>
      </c>
      <c r="C16" s="435">
        <v>0</v>
      </c>
      <c r="D16" s="436" t="e">
        <f>(#REF!)</f>
        <v>#REF!</v>
      </c>
      <c r="E16" s="436">
        <f>('1TestYr'!J20)</f>
        <v>24929.3</v>
      </c>
      <c r="F16" s="436"/>
      <c r="G16" s="436"/>
      <c r="H16" s="436">
        <f>(E16)</f>
        <v>24929.3</v>
      </c>
      <c r="I16" s="436" t="s">
        <v>1</v>
      </c>
      <c r="J16" s="436"/>
      <c r="K16" s="436" t="s">
        <v>1</v>
      </c>
      <c r="L16" s="436"/>
      <c r="M16" s="436"/>
      <c r="N16" s="436"/>
      <c r="O16" s="436"/>
      <c r="P16" s="437">
        <f t="shared" si="4"/>
        <v>24929.3</v>
      </c>
      <c r="Q16" s="408" t="s">
        <v>84</v>
      </c>
      <c r="T16" s="409" t="s">
        <v>95</v>
      </c>
      <c r="Y16" s="455">
        <f>0</f>
        <v>0</v>
      </c>
      <c r="Z16" s="454">
        <f t="shared" si="0"/>
        <v>0</v>
      </c>
      <c r="AB16" s="436">
        <f t="shared" si="1"/>
        <v>0</v>
      </c>
      <c r="AC16" s="436">
        <f t="shared" si="2"/>
        <v>0</v>
      </c>
      <c r="AD16" s="436">
        <f t="shared" si="3"/>
        <v>0</v>
      </c>
    </row>
    <row r="17" spans="1:33">
      <c r="A17" s="430">
        <f>('1TestYr'!B21)</f>
        <v>583</v>
      </c>
      <c r="B17" s="431" t="str">
        <f>('1TestYr'!C21)</f>
        <v>Overhead Line Exp.</v>
      </c>
      <c r="C17" s="435">
        <f>(354789.72+70911.29)</f>
        <v>425701.00999999995</v>
      </c>
      <c r="D17" s="436" t="e">
        <f>(#REF!)</f>
        <v>#REF!</v>
      </c>
      <c r="E17" s="436">
        <f>('1TestYr'!J21)</f>
        <v>1885386.2200000002</v>
      </c>
      <c r="F17" s="436"/>
      <c r="G17" s="436"/>
      <c r="I17" s="436">
        <f>(X9*E17)</f>
        <v>1627952.0503033081</v>
      </c>
      <c r="J17" s="436"/>
      <c r="K17" s="436">
        <f>E17*X10</f>
        <v>257434.16969669206</v>
      </c>
      <c r="L17" s="436" t="s">
        <v>1</v>
      </c>
      <c r="M17" s="436"/>
      <c r="N17" s="436"/>
      <c r="O17" s="436"/>
      <c r="P17" s="437">
        <f t="shared" si="4"/>
        <v>1885386.2200000002</v>
      </c>
      <c r="Q17" s="408">
        <v>1</v>
      </c>
      <c r="T17" s="409" t="s">
        <v>8</v>
      </c>
      <c r="Y17" s="437">
        <f>K17+K18</f>
        <v>265204.86338583846</v>
      </c>
      <c r="Z17" s="454">
        <f t="shared" si="0"/>
        <v>7.0620168445036061E-2</v>
      </c>
      <c r="AB17" s="436">
        <f t="shared" si="1"/>
        <v>6154.4029086395803</v>
      </c>
      <c r="AC17" s="436">
        <f t="shared" si="2"/>
        <v>72424.758800791227</v>
      </c>
      <c r="AD17" s="436">
        <f t="shared" si="3"/>
        <v>0</v>
      </c>
    </row>
    <row r="18" spans="1:33">
      <c r="A18" s="430">
        <f>('1TestYr'!B22)</f>
        <v>584</v>
      </c>
      <c r="B18" s="431" t="str">
        <f>('1TestYr'!C22)</f>
        <v>Underground Line Exp</v>
      </c>
      <c r="C18" s="435"/>
      <c r="D18" s="436"/>
      <c r="E18" s="436">
        <f>('1TestYr'!J22)</f>
        <v>56910.7</v>
      </c>
      <c r="F18" s="436"/>
      <c r="G18" s="436"/>
      <c r="H18" s="436"/>
      <c r="I18" s="436">
        <f>(X9*E18)</f>
        <v>49140.00631085362</v>
      </c>
      <c r="J18" s="436"/>
      <c r="K18" s="436">
        <f>E18*X10</f>
        <v>7770.6936891463702</v>
      </c>
      <c r="L18" s="436" t="s">
        <v>1</v>
      </c>
      <c r="M18" s="436"/>
      <c r="N18" s="436"/>
      <c r="O18" s="436"/>
      <c r="P18" s="437">
        <f t="shared" si="4"/>
        <v>56910.69999999999</v>
      </c>
      <c r="Q18" s="408">
        <v>1</v>
      </c>
      <c r="T18" s="409" t="s">
        <v>9</v>
      </c>
      <c r="Y18" s="437">
        <f>L20</f>
        <v>1606798.54</v>
      </c>
      <c r="Z18" s="454">
        <f t="shared" si="0"/>
        <v>0.42786690297964297</v>
      </c>
      <c r="AB18" s="436">
        <f t="shared" si="1"/>
        <v>37287.723467524775</v>
      </c>
      <c r="AC18" s="436">
        <f t="shared" si="2"/>
        <v>438800.3870489262</v>
      </c>
      <c r="AD18" s="436">
        <f t="shared" si="3"/>
        <v>0</v>
      </c>
    </row>
    <row r="19" spans="1:33">
      <c r="A19" s="430">
        <f>('1TestYr'!B23)</f>
        <v>585</v>
      </c>
      <c r="B19" s="431" t="str">
        <f>('1TestYr'!C23)</f>
        <v>Street Lights</v>
      </c>
      <c r="C19" s="435">
        <v>42228.91</v>
      </c>
      <c r="D19" s="436" t="e">
        <f>(#REF!)</f>
        <v>#REF!</v>
      </c>
      <c r="E19" s="436">
        <f>('1TestYr'!J23)</f>
        <v>0</v>
      </c>
      <c r="F19" s="436"/>
      <c r="G19" s="436"/>
      <c r="H19" s="436"/>
      <c r="I19" s="436"/>
      <c r="J19" s="436"/>
      <c r="K19" s="436"/>
      <c r="L19" s="436"/>
      <c r="M19" s="436"/>
      <c r="N19" s="436" t="s">
        <v>1</v>
      </c>
      <c r="O19" s="436">
        <f>E19</f>
        <v>0</v>
      </c>
      <c r="P19" s="437">
        <f t="shared" si="4"/>
        <v>0</v>
      </c>
      <c r="Q19" s="408" t="s">
        <v>84</v>
      </c>
      <c r="T19" s="409" t="s">
        <v>446</v>
      </c>
      <c r="Y19" s="437">
        <v>0</v>
      </c>
      <c r="Z19" s="454">
        <f t="shared" si="0"/>
        <v>0</v>
      </c>
      <c r="AB19" s="436">
        <f t="shared" si="1"/>
        <v>0</v>
      </c>
      <c r="AC19" s="436">
        <f t="shared" si="2"/>
        <v>0</v>
      </c>
      <c r="AD19" s="436">
        <f t="shared" si="3"/>
        <v>0</v>
      </c>
      <c r="AG19" s="437">
        <f>SUM(AD17:AD22)</f>
        <v>0</v>
      </c>
    </row>
    <row r="20" spans="1:33">
      <c r="A20" s="430">
        <f>('1TestYr'!B24)</f>
        <v>586</v>
      </c>
      <c r="B20" s="431" t="str">
        <f>('1TestYr'!C24)</f>
        <v>Meter Expense</v>
      </c>
      <c r="C20" s="435">
        <f>(101430.3+63260.76)</f>
        <v>164691.06</v>
      </c>
      <c r="D20" s="436" t="e">
        <f>(#REF!)</f>
        <v>#REF!</v>
      </c>
      <c r="E20" s="436">
        <f>('1TestYr'!J24)</f>
        <v>1606798.54</v>
      </c>
      <c r="F20" s="436"/>
      <c r="G20" s="436"/>
      <c r="H20" s="436"/>
      <c r="I20" s="436"/>
      <c r="J20" s="436"/>
      <c r="K20" s="436" t="s">
        <v>1</v>
      </c>
      <c r="L20" s="436">
        <f>(E20)</f>
        <v>1606798.54</v>
      </c>
      <c r="M20" s="436"/>
      <c r="O20" s="436"/>
      <c r="P20" s="437">
        <f t="shared" si="4"/>
        <v>1606798.54</v>
      </c>
      <c r="Q20" s="408" t="s">
        <v>84</v>
      </c>
      <c r="T20" s="409" t="s">
        <v>241</v>
      </c>
      <c r="X20" s="437" t="s">
        <v>1</v>
      </c>
      <c r="Y20" s="437">
        <f>N21</f>
        <v>181345.26</v>
      </c>
      <c r="Z20" s="454">
        <f t="shared" si="0"/>
        <v>4.8289585056654413E-2</v>
      </c>
      <c r="AB20" s="436">
        <f t="shared" si="1"/>
        <v>4208.3383440380658</v>
      </c>
      <c r="AC20" s="436">
        <f t="shared" si="2"/>
        <v>49523.551519712077</v>
      </c>
      <c r="AD20" s="436">
        <f t="shared" si="3"/>
        <v>0</v>
      </c>
      <c r="AE20" s="437"/>
      <c r="AF20" s="437"/>
    </row>
    <row r="21" spans="1:33">
      <c r="A21" s="430">
        <f>('1TestYr'!B25)</f>
        <v>587</v>
      </c>
      <c r="B21" s="431" t="str">
        <f>('1TestYr'!C25)</f>
        <v>Consumer Installations</v>
      </c>
      <c r="C21" s="440">
        <v>0</v>
      </c>
      <c r="D21" s="440">
        <f>(C21/$C$22)*(103795)</f>
        <v>0</v>
      </c>
      <c r="E21" s="436">
        <f>('1TestYr'!J25)</f>
        <v>181345.26</v>
      </c>
      <c r="F21" s="436"/>
      <c r="G21" s="435"/>
      <c r="H21" s="435" t="s">
        <v>1</v>
      </c>
      <c r="I21" s="435" t="s">
        <v>1</v>
      </c>
      <c r="J21" s="435"/>
      <c r="K21" s="435" t="s">
        <v>1</v>
      </c>
      <c r="L21" s="435" t="s">
        <v>1</v>
      </c>
      <c r="M21" s="435">
        <v>0</v>
      </c>
      <c r="N21" s="455">
        <f>(E21)</f>
        <v>181345.26</v>
      </c>
      <c r="O21" s="436">
        <v>0</v>
      </c>
      <c r="P21" s="437">
        <f t="shared" si="4"/>
        <v>181345.26</v>
      </c>
      <c r="Q21" s="408" t="s">
        <v>84</v>
      </c>
      <c r="T21" s="409" t="s">
        <v>242</v>
      </c>
      <c r="Y21" s="437">
        <f>0</f>
        <v>0</v>
      </c>
      <c r="Z21" s="454">
        <f t="shared" si="0"/>
        <v>0</v>
      </c>
      <c r="AB21" s="436">
        <f t="shared" si="1"/>
        <v>0</v>
      </c>
      <c r="AC21" s="436">
        <f t="shared" si="2"/>
        <v>0</v>
      </c>
      <c r="AD21" s="436">
        <f t="shared" si="3"/>
        <v>0</v>
      </c>
    </row>
    <row r="22" spans="1:33">
      <c r="A22" s="430">
        <f>('1TestYr'!B26)</f>
        <v>588</v>
      </c>
      <c r="B22" s="431" t="str">
        <f>('1TestYr'!C26)</f>
        <v>Misc. Distribution Exp</v>
      </c>
      <c r="C22" s="456">
        <f>SUM(C13:C21)</f>
        <v>899302.62999999989</v>
      </c>
      <c r="D22" s="456" t="e">
        <f>SUM(D13:D21)</f>
        <v>#REF!</v>
      </c>
      <c r="E22" s="436">
        <f>('1TestYr'!J26)</f>
        <v>1025553.47</v>
      </c>
      <c r="F22" s="436"/>
      <c r="G22" s="435"/>
      <c r="H22" s="435">
        <f>AC14</f>
        <v>6807.9390269167125</v>
      </c>
      <c r="I22" s="435">
        <f>AC15</f>
        <v>457996.83360365377</v>
      </c>
      <c r="J22" s="435">
        <f>AC16</f>
        <v>0</v>
      </c>
      <c r="K22" s="435">
        <f>AC17</f>
        <v>72424.758800791227</v>
      </c>
      <c r="L22" s="435">
        <f>AC18</f>
        <v>438800.3870489262</v>
      </c>
      <c r="M22" s="435">
        <f>AC19</f>
        <v>0</v>
      </c>
      <c r="N22" s="435">
        <f>AC20</f>
        <v>49523.551519712077</v>
      </c>
      <c r="O22" s="435">
        <f>AC21</f>
        <v>0</v>
      </c>
      <c r="P22" s="437">
        <f t="shared" si="4"/>
        <v>1025553.47</v>
      </c>
      <c r="Q22" s="408">
        <v>2</v>
      </c>
      <c r="Y22" s="437"/>
      <c r="Z22" s="454"/>
      <c r="AB22" s="436"/>
      <c r="AC22" s="436"/>
      <c r="AD22" s="436"/>
    </row>
    <row r="23" spans="1:33" ht="13.5" thickBot="1">
      <c r="A23" s="430">
        <f>('1TestYr'!B27)</f>
        <v>589</v>
      </c>
      <c r="B23" s="431" t="str">
        <f>('1TestYr'!C27)</f>
        <v>Rents</v>
      </c>
      <c r="C23" s="435"/>
      <c r="D23" s="436"/>
      <c r="E23" s="440">
        <f>('1TestYr'!J27)</f>
        <v>0</v>
      </c>
      <c r="F23" s="440"/>
      <c r="G23" s="440"/>
      <c r="I23" s="437"/>
      <c r="J23" s="457"/>
      <c r="K23" s="457" t="s">
        <v>1</v>
      </c>
      <c r="L23" s="457" t="s">
        <v>1</v>
      </c>
      <c r="M23" s="457" t="s">
        <v>1</v>
      </c>
      <c r="N23" s="457" t="s">
        <v>1</v>
      </c>
      <c r="O23" s="457"/>
      <c r="P23" s="437">
        <f t="shared" si="4"/>
        <v>0</v>
      </c>
      <c r="Q23" s="408" t="s">
        <v>84</v>
      </c>
      <c r="Y23" s="458">
        <f>SUM(Y13:Y22)</f>
        <v>3755370.0200000005</v>
      </c>
      <c r="Z23" s="459">
        <f>SUM(Z14:Z22)</f>
        <v>0.99999999999999989</v>
      </c>
      <c r="AB23" s="445">
        <f>(E14)</f>
        <v>87147.95</v>
      </c>
      <c r="AC23" s="458">
        <f>(E22)</f>
        <v>1025553.47</v>
      </c>
      <c r="AD23" s="445">
        <v>0</v>
      </c>
    </row>
    <row r="24" spans="1:33" ht="13.5" thickTop="1">
      <c r="A24" s="430"/>
      <c r="B24" s="431" t="str">
        <f>('1TestYr'!C28)</f>
        <v>Total Dist. Operations</v>
      </c>
      <c r="C24" s="435"/>
      <c r="D24" s="436"/>
      <c r="E24" s="440">
        <f>SUM(E14:E23)</f>
        <v>4868071.4399999995</v>
      </c>
      <c r="F24" s="440"/>
      <c r="G24" s="440"/>
      <c r="H24" s="442">
        <f>SUM(H14:H23)</f>
        <v>32315.753894523554</v>
      </c>
      <c r="I24" s="442">
        <f t="shared" ref="I24:O24" si="5">SUM(I14:I23)</f>
        <v>2174007.8606300061</v>
      </c>
      <c r="J24" s="442">
        <f t="shared" si="5"/>
        <v>0</v>
      </c>
      <c r="K24" s="442">
        <f t="shared" si="5"/>
        <v>343784.02509526926</v>
      </c>
      <c r="L24" s="442">
        <f t="shared" si="5"/>
        <v>2082886.6505164511</v>
      </c>
      <c r="M24" s="442">
        <f t="shared" si="5"/>
        <v>0</v>
      </c>
      <c r="N24" s="442">
        <f t="shared" si="5"/>
        <v>235077.14986375015</v>
      </c>
      <c r="O24" s="442">
        <f t="shared" si="5"/>
        <v>0</v>
      </c>
      <c r="P24" s="442">
        <f>SUM(P14:P23)</f>
        <v>4868071.4399999995</v>
      </c>
      <c r="AB24" s="437">
        <f>SUM(AB14:AB22)</f>
        <v>87147.95</v>
      </c>
      <c r="AC24" s="437">
        <f>SUM(AC14:AC22)</f>
        <v>1025553.47</v>
      </c>
      <c r="AD24" s="437">
        <f>E23</f>
        <v>0</v>
      </c>
    </row>
    <row r="25" spans="1:33">
      <c r="A25" s="430" t="s">
        <v>1</v>
      </c>
      <c r="B25" s="432" t="s">
        <v>1</v>
      </c>
      <c r="C25" s="435">
        <v>75345.47</v>
      </c>
      <c r="D25" s="436" t="e">
        <f>(#REF!)</f>
        <v>#REF!</v>
      </c>
      <c r="E25" s="436" t="s">
        <v>1</v>
      </c>
      <c r="F25" s="436"/>
      <c r="G25" s="436"/>
      <c r="H25" s="436"/>
      <c r="I25" s="436"/>
      <c r="J25" s="436"/>
      <c r="K25" s="436"/>
      <c r="L25" s="436"/>
      <c r="M25" s="436"/>
      <c r="P25" s="450" t="s">
        <v>1</v>
      </c>
      <c r="S25" s="451">
        <v>3</v>
      </c>
      <c r="T25" s="452" t="s">
        <v>87</v>
      </c>
      <c r="Y25" s="439" t="s">
        <v>72</v>
      </c>
      <c r="Z25" s="439" t="s">
        <v>91</v>
      </c>
      <c r="AB25" s="439" t="s">
        <v>88</v>
      </c>
      <c r="AC25" s="439" t="s">
        <v>243</v>
      </c>
    </row>
    <row r="26" spans="1:33">
      <c r="A26" s="430">
        <v>590</v>
      </c>
      <c r="B26" s="431" t="str">
        <f>('1TestYr'!C30)</f>
        <v>Maint Supv &amp; Eng</v>
      </c>
      <c r="C26" s="435">
        <v>3408.56</v>
      </c>
      <c r="D26" s="436" t="e">
        <f>(#REF!)</f>
        <v>#REF!</v>
      </c>
      <c r="E26" s="436">
        <f>('1TestYr'!J30)</f>
        <v>0</v>
      </c>
      <c r="F26" s="436"/>
      <c r="G26" s="436"/>
      <c r="H26" s="436">
        <f>(AB26)</f>
        <v>0</v>
      </c>
      <c r="I26" s="436">
        <f>+AB27</f>
        <v>0</v>
      </c>
      <c r="J26" s="436">
        <f>+AB28</f>
        <v>0</v>
      </c>
      <c r="K26" s="436">
        <f>+AB29</f>
        <v>0</v>
      </c>
      <c r="L26" s="436">
        <f>+AB30</f>
        <v>0</v>
      </c>
      <c r="N26" s="436">
        <f>+AB31</f>
        <v>0</v>
      </c>
      <c r="O26" s="436">
        <f>+AB33</f>
        <v>0</v>
      </c>
      <c r="P26" s="455">
        <f t="shared" ref="P26:P33" si="6">SUM(G26:O26)</f>
        <v>0</v>
      </c>
      <c r="Q26" s="408">
        <v>3</v>
      </c>
      <c r="S26" s="409"/>
      <c r="T26" s="409" t="s">
        <v>247</v>
      </c>
      <c r="Y26" s="437">
        <f>K27</f>
        <v>0</v>
      </c>
      <c r="Z26" s="460">
        <f t="shared" ref="Z26:Z33" si="7">(Y26/$Y$34)</f>
        <v>0</v>
      </c>
      <c r="AB26" s="436">
        <f>($AB$34*Z26)</f>
        <v>0</v>
      </c>
      <c r="AC26" s="436">
        <f>Z26*$AC$35</f>
        <v>0</v>
      </c>
    </row>
    <row r="27" spans="1:33">
      <c r="A27" s="430">
        <v>592</v>
      </c>
      <c r="B27" s="431" t="str">
        <f>('1TestYr'!C31)</f>
        <v>Maint of Station Equip</v>
      </c>
      <c r="C27" s="435">
        <f>(367239.65+75667.75+334721.48)</f>
        <v>777628.88</v>
      </c>
      <c r="D27" s="436" t="e">
        <f>(#REF!)+(417787)</f>
        <v>#REF!</v>
      </c>
      <c r="E27" s="436">
        <f>('1TestYr'!J31)</f>
        <v>0</v>
      </c>
      <c r="F27" s="436"/>
      <c r="G27" s="436"/>
      <c r="H27" s="436">
        <f>E27</f>
        <v>0</v>
      </c>
      <c r="I27" s="436"/>
      <c r="J27" s="436"/>
      <c r="K27" s="436"/>
      <c r="L27" s="436"/>
      <c r="M27" s="436"/>
      <c r="N27" s="409" t="s">
        <v>1</v>
      </c>
      <c r="P27" s="455">
        <f t="shared" si="6"/>
        <v>0</v>
      </c>
      <c r="Q27" s="408" t="s">
        <v>84</v>
      </c>
      <c r="S27" s="409"/>
      <c r="T27" s="409" t="s">
        <v>5</v>
      </c>
      <c r="Y27" s="437">
        <f>I28+I29</f>
        <v>4892690.8472143291</v>
      </c>
      <c r="Z27" s="460">
        <f t="shared" si="7"/>
        <v>0.85739822606264338</v>
      </c>
      <c r="AB27" s="436">
        <f t="shared" ref="AB27:AB33" si="8">($AB$34*Z27)</f>
        <v>0</v>
      </c>
      <c r="AC27" s="436">
        <f t="shared" ref="AC27:AC33" si="9">Z27*$AC$35</f>
        <v>210508.9097538713</v>
      </c>
    </row>
    <row r="28" spans="1:33">
      <c r="A28" s="430">
        <v>593</v>
      </c>
      <c r="B28" s="431" t="str">
        <f>('1TestYr'!C32)</f>
        <v>Maint. Overhead Lines</v>
      </c>
      <c r="C28" s="435">
        <v>0</v>
      </c>
      <c r="D28" s="436">
        <v>0</v>
      </c>
      <c r="E28" s="436">
        <f>('1TestYr'!J32)</f>
        <v>5660659.8300000001</v>
      </c>
      <c r="F28" s="436"/>
      <c r="G28" s="436"/>
      <c r="H28" s="436"/>
      <c r="I28" s="436">
        <f>E28*X9</f>
        <v>4887742.7227181466</v>
      </c>
      <c r="J28" s="436"/>
      <c r="K28" s="436">
        <f>E28*X10</f>
        <v>772917.10728185321</v>
      </c>
      <c r="L28" s="436"/>
      <c r="M28" s="436"/>
      <c r="N28" s="436"/>
      <c r="P28" s="455">
        <f t="shared" si="6"/>
        <v>5660659.8300000001</v>
      </c>
      <c r="Q28" s="408">
        <v>1</v>
      </c>
      <c r="S28" s="409"/>
      <c r="T28" s="409" t="s">
        <v>95</v>
      </c>
      <c r="Y28" s="437">
        <f>J30</f>
        <v>16590.86</v>
      </c>
      <c r="Z28" s="460">
        <f t="shared" si="7"/>
        <v>2.9073927572907466E-3</v>
      </c>
      <c r="AB28" s="436">
        <f t="shared" si="8"/>
        <v>0</v>
      </c>
      <c r="AC28" s="436">
        <f t="shared" si="9"/>
        <v>713.82475605782327</v>
      </c>
    </row>
    <row r="29" spans="1:33">
      <c r="A29" s="430">
        <v>594</v>
      </c>
      <c r="B29" s="431" t="str">
        <f>('1TestYr'!C33)</f>
        <v>Maint of Underground Lines</v>
      </c>
      <c r="C29" s="435">
        <v>52902.09</v>
      </c>
      <c r="D29" s="436" t="e">
        <f>(#REF!)</f>
        <v>#REF!</v>
      </c>
      <c r="E29" s="436">
        <f>('1TestYr'!J33)</f>
        <v>5730.59</v>
      </c>
      <c r="F29" s="436"/>
      <c r="G29" s="436"/>
      <c r="H29" s="436"/>
      <c r="I29" s="436">
        <f>E29*X9</f>
        <v>4948.1244961828743</v>
      </c>
      <c r="J29" s="461"/>
      <c r="K29" s="436">
        <f>E29*X10</f>
        <v>782.46550381712575</v>
      </c>
      <c r="L29" s="436"/>
      <c r="M29" s="436"/>
      <c r="P29" s="455">
        <f t="shared" si="6"/>
        <v>5730.59</v>
      </c>
      <c r="Q29" s="408">
        <v>1</v>
      </c>
      <c r="S29" s="409"/>
      <c r="T29" s="409" t="s">
        <v>8</v>
      </c>
      <c r="Y29" s="437">
        <f>K28+K29</f>
        <v>773699.57278567029</v>
      </c>
      <c r="Z29" s="460">
        <f t="shared" si="7"/>
        <v>0.13558360050268659</v>
      </c>
      <c r="AB29" s="436">
        <f t="shared" si="8"/>
        <v>0</v>
      </c>
      <c r="AC29" s="436">
        <f t="shared" si="9"/>
        <v>33288.564233907899</v>
      </c>
    </row>
    <row r="30" spans="1:33">
      <c r="A30" s="430">
        <v>595</v>
      </c>
      <c r="B30" s="431" t="str">
        <f>('1TestYr'!C34)</f>
        <v>Maint Line Transformers</v>
      </c>
      <c r="C30" s="435">
        <v>0</v>
      </c>
      <c r="D30" s="436">
        <v>0</v>
      </c>
      <c r="E30" s="436">
        <f>('1TestYr'!J34)</f>
        <v>16590.86</v>
      </c>
      <c r="F30" s="436"/>
      <c r="G30" s="436"/>
      <c r="H30" s="436"/>
      <c r="I30" s="436"/>
      <c r="J30" s="436">
        <f>(E30)</f>
        <v>16590.86</v>
      </c>
      <c r="K30" s="436"/>
      <c r="L30" s="436"/>
      <c r="M30" s="436"/>
      <c r="P30" s="455">
        <f t="shared" si="6"/>
        <v>16590.86</v>
      </c>
      <c r="Q30" s="408" t="s">
        <v>84</v>
      </c>
      <c r="S30" s="409"/>
      <c r="T30" s="409" t="s">
        <v>9</v>
      </c>
      <c r="Y30" s="437">
        <f>L32</f>
        <v>0</v>
      </c>
      <c r="Z30" s="460">
        <f t="shared" si="7"/>
        <v>0</v>
      </c>
      <c r="AB30" s="436">
        <f t="shared" si="8"/>
        <v>0</v>
      </c>
      <c r="AC30" s="436">
        <f t="shared" si="9"/>
        <v>0</v>
      </c>
    </row>
    <row r="31" spans="1:33">
      <c r="A31" s="430">
        <v>596</v>
      </c>
      <c r="B31" s="431" t="str">
        <f>('1TestYr'!C35)</f>
        <v>Maint of Street Lights</v>
      </c>
      <c r="C31" s="435">
        <v>1001</v>
      </c>
      <c r="D31" s="436" t="e">
        <f>(#REF!)</f>
        <v>#REF!</v>
      </c>
      <c r="E31" s="436">
        <f>('1TestYr'!J35)</f>
        <v>23457.919999999998</v>
      </c>
      <c r="F31" s="436"/>
      <c r="G31" s="436"/>
      <c r="H31" s="436"/>
      <c r="I31" s="436"/>
      <c r="J31" s="436"/>
      <c r="K31" s="436"/>
      <c r="L31" s="436"/>
      <c r="M31" s="436"/>
      <c r="O31" s="436">
        <f>E31</f>
        <v>23457.919999999998</v>
      </c>
      <c r="P31" s="455">
        <f t="shared" si="6"/>
        <v>23457.919999999998</v>
      </c>
      <c r="Q31" s="408" t="s">
        <v>84</v>
      </c>
      <c r="S31" s="409"/>
      <c r="T31" s="409" t="s">
        <v>446</v>
      </c>
      <c r="Y31" s="437">
        <v>0</v>
      </c>
      <c r="Z31" s="460">
        <f t="shared" si="7"/>
        <v>0</v>
      </c>
      <c r="AB31" s="436">
        <f t="shared" si="8"/>
        <v>0</v>
      </c>
      <c r="AC31" s="436">
        <f t="shared" si="9"/>
        <v>0</v>
      </c>
    </row>
    <row r="32" spans="1:33">
      <c r="A32" s="430">
        <v>597</v>
      </c>
      <c r="B32" s="431" t="str">
        <f>('1TestYr'!C36)</f>
        <v>Maintenance of Meters</v>
      </c>
      <c r="C32" s="440">
        <v>72405.600000000006</v>
      </c>
      <c r="D32" s="436" t="e">
        <f>(#REF!)</f>
        <v>#REF!</v>
      </c>
      <c r="E32" s="436">
        <f>('1TestYr'!J36)</f>
        <v>0</v>
      </c>
      <c r="F32" s="436"/>
      <c r="G32" s="436"/>
      <c r="H32" s="436"/>
      <c r="I32" s="436"/>
      <c r="J32" s="436"/>
      <c r="K32" s="436"/>
      <c r="L32" s="436">
        <f>E32</f>
        <v>0</v>
      </c>
      <c r="M32" s="436"/>
      <c r="P32" s="455">
        <f t="shared" si="6"/>
        <v>0</v>
      </c>
      <c r="Q32" s="408" t="s">
        <v>84</v>
      </c>
      <c r="T32" s="409" t="s">
        <v>241</v>
      </c>
      <c r="Y32" s="437">
        <v>0</v>
      </c>
      <c r="Z32" s="460"/>
      <c r="AB32" s="436"/>
      <c r="AC32" s="436">
        <f t="shared" si="9"/>
        <v>0</v>
      </c>
    </row>
    <row r="33" spans="1:32">
      <c r="A33" s="430">
        <v>598</v>
      </c>
      <c r="B33" s="431" t="str">
        <f>('1TestYr'!C37)</f>
        <v>Maint Misc Distrib Plant</v>
      </c>
      <c r="C33" s="435"/>
      <c r="D33" s="436"/>
      <c r="E33" s="440">
        <f>('1TestYr'!J37)</f>
        <v>245520.58</v>
      </c>
      <c r="F33" s="436"/>
      <c r="G33" s="436"/>
      <c r="H33" s="436">
        <f>AC26</f>
        <v>0</v>
      </c>
      <c r="I33" s="436">
        <f>AC27</f>
        <v>210508.9097538713</v>
      </c>
      <c r="J33" s="436">
        <f>AC28</f>
        <v>713.82475605782327</v>
      </c>
      <c r="K33" s="436">
        <f>AC29</f>
        <v>33288.564233907899</v>
      </c>
      <c r="L33" s="436">
        <f>AC30</f>
        <v>0</v>
      </c>
      <c r="M33" s="436">
        <f>AC31</f>
        <v>0</v>
      </c>
      <c r="N33" s="437">
        <f>AC32</f>
        <v>0</v>
      </c>
      <c r="O33" s="437">
        <f>AC33</f>
        <v>1009.2812561629677</v>
      </c>
      <c r="P33" s="455">
        <f t="shared" si="6"/>
        <v>245520.58</v>
      </c>
      <c r="Q33" s="408">
        <v>3</v>
      </c>
      <c r="T33" s="409" t="s">
        <v>242</v>
      </c>
      <c r="Y33" s="437">
        <f>O31</f>
        <v>23457.919999999998</v>
      </c>
      <c r="Z33" s="460">
        <f t="shared" si="7"/>
        <v>4.1107806773793372E-3</v>
      </c>
      <c r="AB33" s="436">
        <f t="shared" si="8"/>
        <v>0</v>
      </c>
      <c r="AC33" s="436">
        <f t="shared" si="9"/>
        <v>1009.2812561629677</v>
      </c>
    </row>
    <row r="34" spans="1:32" ht="13.5" thickBot="1">
      <c r="A34" s="430"/>
      <c r="B34" s="431" t="str">
        <f>('1TestYr'!C38)</f>
        <v>Total Dist. Maint.</v>
      </c>
      <c r="C34" s="435"/>
      <c r="D34" s="436"/>
      <c r="E34" s="440">
        <f>SUM(E26:E33)</f>
        <v>5951959.7800000003</v>
      </c>
      <c r="F34" s="436"/>
      <c r="G34" s="442">
        <f t="shared" ref="G34:P34" si="10">SUM(G26:G33)</f>
        <v>0</v>
      </c>
      <c r="H34" s="442">
        <f t="shared" si="10"/>
        <v>0</v>
      </c>
      <c r="I34" s="442">
        <f t="shared" si="10"/>
        <v>5103199.7569682002</v>
      </c>
      <c r="J34" s="442">
        <f t="shared" si="10"/>
        <v>17304.684756057824</v>
      </c>
      <c r="K34" s="442">
        <f t="shared" si="10"/>
        <v>806988.13701957813</v>
      </c>
      <c r="L34" s="442">
        <f t="shared" si="10"/>
        <v>0</v>
      </c>
      <c r="M34" s="442">
        <f t="shared" si="10"/>
        <v>0</v>
      </c>
      <c r="N34" s="442">
        <f t="shared" si="10"/>
        <v>0</v>
      </c>
      <c r="O34" s="442">
        <f t="shared" si="10"/>
        <v>24467.201256162967</v>
      </c>
      <c r="P34" s="442">
        <f t="shared" si="10"/>
        <v>5951959.7800000003</v>
      </c>
      <c r="Y34" s="445">
        <f>SUM(Y26:Y33)</f>
        <v>5706439.1999999993</v>
      </c>
      <c r="Z34" s="459">
        <f>SUM(Z26:Z33)</f>
        <v>1</v>
      </c>
      <c r="AB34" s="445">
        <f>(E26)</f>
        <v>0</v>
      </c>
      <c r="AC34" s="445">
        <f>SUM(AC26:AC33)</f>
        <v>245520.58</v>
      </c>
    </row>
    <row r="35" spans="1:32" ht="13.5" thickTop="1">
      <c r="A35" s="430" t="str">
        <f>('1TestYr'!B38)</f>
        <v xml:space="preserve"> </v>
      </c>
      <c r="B35" s="432" t="s">
        <v>1</v>
      </c>
      <c r="C35" s="435">
        <v>0</v>
      </c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P35" s="450">
        <f t="shared" ref="P35:P47" si="11">SUM(G35:O35)</f>
        <v>0</v>
      </c>
      <c r="Y35" s="455"/>
      <c r="Z35" s="462"/>
      <c r="AB35" s="455">
        <f>E26</f>
        <v>0</v>
      </c>
      <c r="AC35" s="455">
        <f>E33</f>
        <v>245520.58</v>
      </c>
      <c r="AE35" s="437"/>
      <c r="AF35" s="437"/>
    </row>
    <row r="36" spans="1:32">
      <c r="A36" s="430">
        <v>901</v>
      </c>
      <c r="B36" s="431" t="str">
        <f>('1TestYr'!C40)</f>
        <v>Supervision</v>
      </c>
      <c r="C36" s="435">
        <v>57203.53</v>
      </c>
      <c r="D36" s="436"/>
      <c r="E36" s="436">
        <f>('1TestYr'!J40)</f>
        <v>75527.05</v>
      </c>
      <c r="F36" s="436"/>
      <c r="G36" s="436"/>
      <c r="H36" s="436"/>
      <c r="I36" s="436"/>
      <c r="J36" s="436"/>
      <c r="K36" s="436"/>
      <c r="L36" s="436"/>
      <c r="M36" s="436">
        <f>(E36)</f>
        <v>75527.05</v>
      </c>
      <c r="P36" s="455">
        <f t="shared" si="11"/>
        <v>75527.05</v>
      </c>
      <c r="Q36" s="408" t="s">
        <v>84</v>
      </c>
      <c r="S36" s="451">
        <v>4</v>
      </c>
      <c r="T36" s="409" t="s">
        <v>192</v>
      </c>
    </row>
    <row r="37" spans="1:32">
      <c r="A37" s="430">
        <v>902</v>
      </c>
      <c r="B37" s="431" t="str">
        <f>('1TestYr'!C41)</f>
        <v>Meter Reading Expense</v>
      </c>
      <c r="C37" s="435">
        <f>(467413.25+813.58)</f>
        <v>468226.83</v>
      </c>
      <c r="D37" s="436">
        <v>35476</v>
      </c>
      <c r="E37" s="436">
        <f>('1TestYr'!J41)</f>
        <v>37553.07</v>
      </c>
      <c r="F37" s="436"/>
      <c r="G37" s="436"/>
      <c r="H37" s="436"/>
      <c r="I37" s="436"/>
      <c r="J37" s="436"/>
      <c r="K37" s="436"/>
      <c r="L37" s="436"/>
      <c r="M37" s="436">
        <f>(E37)</f>
        <v>37553.07</v>
      </c>
      <c r="P37" s="455">
        <f t="shared" si="11"/>
        <v>37553.07</v>
      </c>
      <c r="Q37" s="408" t="s">
        <v>84</v>
      </c>
      <c r="S37" s="451"/>
    </row>
    <row r="38" spans="1:32">
      <c r="A38" s="430">
        <v>903</v>
      </c>
      <c r="B38" s="431" t="str">
        <f>('1TestYr'!C42)</f>
        <v>Cons Recds &amp; Collections</v>
      </c>
      <c r="C38" s="440">
        <v>84000</v>
      </c>
      <c r="D38" s="440"/>
      <c r="E38" s="436">
        <f>('1TestYr'!J42)</f>
        <v>3111177.7100000004</v>
      </c>
      <c r="F38" s="436"/>
      <c r="G38" s="436"/>
      <c r="H38" s="436"/>
      <c r="I38" s="436"/>
      <c r="J38" s="436"/>
      <c r="K38" s="436"/>
      <c r="L38" s="436"/>
      <c r="M38" s="435">
        <f>(E38)</f>
        <v>3111177.7100000004</v>
      </c>
      <c r="P38" s="455">
        <f t="shared" si="11"/>
        <v>3111177.7100000004</v>
      </c>
      <c r="Q38" s="408" t="s">
        <v>84</v>
      </c>
      <c r="S38" s="451">
        <v>5</v>
      </c>
      <c r="T38" s="409" t="s">
        <v>193</v>
      </c>
    </row>
    <row r="39" spans="1:32">
      <c r="A39" s="430">
        <v>904</v>
      </c>
      <c r="B39" s="431" t="str">
        <f>('1TestYr'!C43)</f>
        <v>Uncollectible Accounts</v>
      </c>
      <c r="C39" s="456">
        <f>SUM(C36:C38)</f>
        <v>609430.36</v>
      </c>
      <c r="D39" s="436">
        <v>35476</v>
      </c>
      <c r="E39" s="436">
        <f>('1TestYr'!J43)</f>
        <v>-104074.25</v>
      </c>
      <c r="F39" s="436"/>
      <c r="G39" s="440"/>
      <c r="H39" s="440"/>
      <c r="I39" s="440"/>
      <c r="J39" s="440"/>
      <c r="K39" s="440"/>
      <c r="L39" s="440"/>
      <c r="M39" s="440">
        <f>(E39)</f>
        <v>-104074.25</v>
      </c>
      <c r="N39" s="443"/>
      <c r="O39" s="443"/>
      <c r="P39" s="463">
        <f t="shared" si="11"/>
        <v>-104074.25</v>
      </c>
      <c r="Q39" s="408" t="s">
        <v>84</v>
      </c>
      <c r="S39" s="451"/>
    </row>
    <row r="40" spans="1:32">
      <c r="A40" s="430"/>
      <c r="B40" s="431" t="str">
        <f>('1TestYr'!C44)</f>
        <v xml:space="preserve"> Total Consumer Accts</v>
      </c>
      <c r="C40" s="464"/>
      <c r="D40" s="436"/>
      <c r="E40" s="442">
        <f>SUM(E36:E39)</f>
        <v>3120183.5800000005</v>
      </c>
      <c r="F40" s="436"/>
      <c r="G40" s="447"/>
      <c r="H40" s="447"/>
      <c r="I40" s="447"/>
      <c r="J40" s="447"/>
      <c r="K40" s="447"/>
      <c r="L40" s="447"/>
      <c r="M40" s="442">
        <f>SUM(M36:M39)</f>
        <v>3120183.5800000005</v>
      </c>
      <c r="N40" s="448"/>
      <c r="O40" s="448"/>
      <c r="P40" s="449">
        <f t="shared" si="11"/>
        <v>3120183.5800000005</v>
      </c>
      <c r="S40" s="451">
        <v>6</v>
      </c>
      <c r="T40" s="409" t="s">
        <v>279</v>
      </c>
    </row>
    <row r="41" spans="1:32">
      <c r="A41" s="430" t="str">
        <f>('1TestYr'!B44)</f>
        <v xml:space="preserve"> </v>
      </c>
      <c r="B41" s="432"/>
      <c r="C41" s="435">
        <v>0</v>
      </c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P41" s="450">
        <f t="shared" si="11"/>
        <v>0</v>
      </c>
      <c r="W41" s="408"/>
      <c r="X41" s="408"/>
      <c r="Y41" s="408" t="s">
        <v>228</v>
      </c>
      <c r="AA41" s="408"/>
      <c r="AB41" s="408"/>
      <c r="AC41" s="408" t="s">
        <v>228</v>
      </c>
    </row>
    <row r="42" spans="1:32">
      <c r="A42" s="430">
        <f>'1TestYr'!B46</f>
        <v>907</v>
      </c>
      <c r="B42" s="431" t="str">
        <f>('1TestYr'!C46)</f>
        <v>Customer Information</v>
      </c>
      <c r="C42" s="435">
        <v>84141.05</v>
      </c>
      <c r="D42" s="436">
        <v>8826</v>
      </c>
      <c r="E42" s="436">
        <f>'1TestYr'!D46</f>
        <v>3544.27</v>
      </c>
      <c r="F42" s="436"/>
      <c r="G42" s="436"/>
      <c r="H42" s="436"/>
      <c r="I42" s="436"/>
      <c r="J42" s="436"/>
      <c r="K42" s="436"/>
      <c r="L42" s="436"/>
      <c r="M42" s="436">
        <f>(E42)</f>
        <v>3544.27</v>
      </c>
      <c r="P42" s="455">
        <f t="shared" si="11"/>
        <v>3544.27</v>
      </c>
      <c r="Q42" s="408" t="s">
        <v>84</v>
      </c>
      <c r="T42" s="409" t="s">
        <v>227</v>
      </c>
      <c r="V42" s="439" t="s">
        <v>15</v>
      </c>
      <c r="W42" s="439" t="s">
        <v>5</v>
      </c>
      <c r="X42" s="439" t="s">
        <v>8</v>
      </c>
      <c r="Y42" s="439" t="s">
        <v>13</v>
      </c>
      <c r="AA42" s="439" t="s">
        <v>5</v>
      </c>
      <c r="AB42" s="439" t="s">
        <v>8</v>
      </c>
      <c r="AC42" s="439" t="s">
        <v>13</v>
      </c>
    </row>
    <row r="43" spans="1:32">
      <c r="A43" s="430">
        <f>'1TestYr'!B47</f>
        <v>908</v>
      </c>
      <c r="B43" s="431" t="str">
        <f>('1TestYr'!C47)</f>
        <v>Customer Accounting</v>
      </c>
      <c r="C43" s="435">
        <v>960</v>
      </c>
      <c r="D43" s="436"/>
      <c r="E43" s="436">
        <f>'1TestYr'!D47</f>
        <v>252729.74000000002</v>
      </c>
      <c r="F43" s="436"/>
      <c r="G43" s="436"/>
      <c r="H43" s="436"/>
      <c r="I43" s="436"/>
      <c r="J43" s="436"/>
      <c r="K43" s="436"/>
      <c r="L43" s="436"/>
      <c r="M43" s="436">
        <f>(E43)</f>
        <v>252729.74000000002</v>
      </c>
      <c r="P43" s="455">
        <f>SUM(G43:O43)</f>
        <v>252729.74000000002</v>
      </c>
      <c r="Q43" s="408" t="s">
        <v>84</v>
      </c>
    </row>
    <row r="44" spans="1:32">
      <c r="A44" s="430">
        <f>'1TestYr'!B48</f>
        <v>909</v>
      </c>
      <c r="B44" s="431" t="str">
        <f>('1TestYr'!C48)</f>
        <v>Consumer Information</v>
      </c>
      <c r="C44" s="440">
        <v>0</v>
      </c>
      <c r="D44" s="440"/>
      <c r="E44" s="436">
        <f>'1TestYr'!D48</f>
        <v>36750.879999999997</v>
      </c>
      <c r="F44" s="436"/>
      <c r="G44" s="436"/>
      <c r="H44" s="436"/>
      <c r="I44" s="436"/>
      <c r="J44" s="436"/>
      <c r="K44" s="436"/>
      <c r="L44" s="436"/>
      <c r="M44" s="435">
        <f>(E44)</f>
        <v>36750.879999999997</v>
      </c>
      <c r="P44" s="455">
        <f t="shared" si="11"/>
        <v>36750.879999999997</v>
      </c>
      <c r="Q44" s="408" t="s">
        <v>84</v>
      </c>
      <c r="T44" s="465" t="s">
        <v>98</v>
      </c>
      <c r="V44" s="436">
        <f>('2.22Rate Base'!E9)</f>
        <v>63612933.850000001</v>
      </c>
      <c r="W44" s="436">
        <f>('2.22Rate Base'!H9)</f>
        <v>63612933.850000001</v>
      </c>
      <c r="X44" s="436"/>
      <c r="Y44" s="436">
        <f>('2.22Rate Base'!M10)</f>
        <v>0</v>
      </c>
      <c r="AA44" s="466">
        <f>(W44/V44)</f>
        <v>1</v>
      </c>
      <c r="AC44" s="467">
        <f>(1-AA44)</f>
        <v>0</v>
      </c>
    </row>
    <row r="45" spans="1:32">
      <c r="A45" s="430">
        <f>'1TestYr'!B49</f>
        <v>910</v>
      </c>
      <c r="B45" s="431" t="str">
        <f>('1TestYr'!C49)</f>
        <v>Mis. Customer Information</v>
      </c>
      <c r="E45" s="436">
        <f>'1TestYr'!D49</f>
        <v>370042.31999999995</v>
      </c>
      <c r="F45" s="436"/>
      <c r="G45" s="436"/>
      <c r="H45" s="436"/>
      <c r="I45" s="436"/>
      <c r="J45" s="436"/>
      <c r="K45" s="436"/>
      <c r="L45" s="436"/>
      <c r="M45" s="435">
        <f>(E45)</f>
        <v>370042.31999999995</v>
      </c>
      <c r="P45" s="455">
        <f t="shared" si="11"/>
        <v>370042.31999999995</v>
      </c>
      <c r="Q45" s="408" t="s">
        <v>84</v>
      </c>
      <c r="T45" s="465" t="s">
        <v>99</v>
      </c>
      <c r="V45" s="436">
        <f>('2.22Rate Base'!E10)</f>
        <v>61967293.810000002</v>
      </c>
      <c r="W45" s="436">
        <f>('2.22Rate Base'!H10)</f>
        <v>61967293.810000002</v>
      </c>
      <c r="X45" s="436"/>
      <c r="Y45" s="436"/>
      <c r="AA45" s="466">
        <f>(W45/V45)</f>
        <v>1</v>
      </c>
    </row>
    <row r="46" spans="1:32">
      <c r="A46" s="430">
        <f>'1TestYr'!B50</f>
        <v>912</v>
      </c>
      <c r="B46" s="431" t="str">
        <f>('1TestYr'!C50)</f>
        <v>Key Accounts Expneses</v>
      </c>
      <c r="C46" s="456">
        <f>SUM(C41:C44)</f>
        <v>85101.05</v>
      </c>
      <c r="D46" s="456">
        <f>SUM(D41:D44)</f>
        <v>8826</v>
      </c>
      <c r="E46" s="436">
        <f>'1TestYr'!D50</f>
        <v>0</v>
      </c>
      <c r="F46" s="436"/>
      <c r="G46" s="435"/>
      <c r="H46" s="435"/>
      <c r="I46" s="435"/>
      <c r="J46" s="435"/>
      <c r="K46" s="435"/>
      <c r="L46" s="435"/>
      <c r="M46" s="435">
        <f>(E46)</f>
        <v>0</v>
      </c>
      <c r="N46" s="411"/>
      <c r="O46" s="411"/>
      <c r="P46" s="455">
        <f t="shared" si="11"/>
        <v>0</v>
      </c>
      <c r="Q46" s="408" t="s">
        <v>84</v>
      </c>
      <c r="T46" s="465" t="s">
        <v>8</v>
      </c>
      <c r="V46" s="436">
        <f>(X46)</f>
        <v>20144271.210000001</v>
      </c>
      <c r="W46" s="436"/>
      <c r="X46" s="436">
        <f>('2.22Rate Base'!E14)</f>
        <v>20144271.210000001</v>
      </c>
      <c r="Y46" s="436">
        <f>('2.22Rate Base'!M15)</f>
        <v>0</v>
      </c>
      <c r="AB46" s="466">
        <f>(X46/V46)</f>
        <v>1</v>
      </c>
      <c r="AC46" s="467">
        <f>(1-AB46)</f>
        <v>0</v>
      </c>
    </row>
    <row r="47" spans="1:32" ht="13.5" thickBot="1">
      <c r="A47" s="430">
        <f>'1TestYr'!B51</f>
        <v>913</v>
      </c>
      <c r="B47" s="431" t="str">
        <f>('1TestYr'!C51)</f>
        <v>Advertising</v>
      </c>
      <c r="C47" s="456"/>
      <c r="D47" s="456"/>
      <c r="E47" s="440">
        <f>'1TestYr'!D51</f>
        <v>148618.07</v>
      </c>
      <c r="F47" s="436"/>
      <c r="G47" s="440"/>
      <c r="H47" s="440"/>
      <c r="I47" s="440"/>
      <c r="J47" s="440"/>
      <c r="K47" s="440"/>
      <c r="L47" s="440"/>
      <c r="M47" s="440">
        <f>E47</f>
        <v>148618.07</v>
      </c>
      <c r="N47" s="443"/>
      <c r="O47" s="443"/>
      <c r="P47" s="463">
        <f t="shared" si="11"/>
        <v>148618.07</v>
      </c>
      <c r="Q47" s="419" t="s">
        <v>84</v>
      </c>
      <c r="V47" s="445">
        <f>SUM(V44:V46)</f>
        <v>145724498.87</v>
      </c>
      <c r="W47" s="445">
        <f>SUM(W44:W46)</f>
        <v>125580227.66</v>
      </c>
      <c r="X47" s="445">
        <f>SUM(X44:X46)</f>
        <v>20144271.210000001</v>
      </c>
      <c r="Y47" s="445">
        <f>SUM(Y44:Y46)</f>
        <v>0</v>
      </c>
      <c r="Z47" s="474"/>
      <c r="AA47" s="468">
        <f>(W47/$V$47)</f>
        <v>0.86176469045214832</v>
      </c>
      <c r="AB47" s="468">
        <f>(X47/$V$47)</f>
        <v>0.1382353095478516</v>
      </c>
      <c r="AC47" s="468">
        <f>(Y47/$V$47)</f>
        <v>0</v>
      </c>
    </row>
    <row r="48" spans="1:32" ht="13.5" thickTop="1">
      <c r="A48" s="430"/>
      <c r="B48" s="431" t="str">
        <f>('1TestYr'!C52)</f>
        <v>Total Customer Serv.</v>
      </c>
      <c r="C48" s="435"/>
      <c r="D48" s="436"/>
      <c r="E48" s="440">
        <f>SUM(E42:E47)</f>
        <v>811685.28</v>
      </c>
      <c r="F48" s="440"/>
      <c r="G48" s="440"/>
      <c r="H48" s="440"/>
      <c r="I48" s="440"/>
      <c r="J48" s="440"/>
      <c r="K48" s="440"/>
      <c r="L48" s="440"/>
      <c r="M48" s="457">
        <f>SUM(M42:M47)</f>
        <v>811685.28</v>
      </c>
      <c r="N48" s="443"/>
      <c r="O48" s="443"/>
      <c r="P48" s="449">
        <f>SUM(G48:O48)</f>
        <v>811685.28</v>
      </c>
      <c r="Q48" s="419"/>
    </row>
    <row r="49" spans="1:31">
      <c r="A49" s="430"/>
      <c r="B49" s="431" t="str">
        <f>('1TestYr'!C53)</f>
        <v xml:space="preserve"> </v>
      </c>
      <c r="C49" s="435">
        <v>618796.41</v>
      </c>
      <c r="D49" s="436">
        <f t="shared" ref="D49:D59" si="12">(C49/$C$60)*(24277)</f>
        <v>13029.666900559967</v>
      </c>
      <c r="E49" s="436"/>
      <c r="F49" s="436"/>
      <c r="G49" s="436"/>
      <c r="H49" s="436"/>
      <c r="I49" s="436"/>
      <c r="J49" s="436"/>
      <c r="K49" s="436"/>
      <c r="L49" s="436"/>
      <c r="M49" s="436"/>
      <c r="Q49" s="419"/>
      <c r="T49" s="436"/>
      <c r="U49" s="436" t="s">
        <v>1</v>
      </c>
    </row>
    <row r="50" spans="1:31">
      <c r="A50" s="430">
        <f>('1TestYr'!B54)</f>
        <v>920</v>
      </c>
      <c r="B50" s="431" t="str">
        <f>('1TestYr'!C54)</f>
        <v>Administrative Salaries</v>
      </c>
      <c r="C50" s="435">
        <v>114229.51</v>
      </c>
      <c r="D50" s="436">
        <f t="shared" si="12"/>
        <v>2405.2700394854965</v>
      </c>
      <c r="E50" s="436">
        <f>('1TestYr'!J54)</f>
        <v>2116841.2799999998</v>
      </c>
      <c r="F50" s="436"/>
      <c r="G50" s="436" t="s">
        <v>1</v>
      </c>
      <c r="H50" s="436">
        <f>($E$50*U91)</f>
        <v>4637.1871736707308</v>
      </c>
      <c r="I50" s="436">
        <f t="shared" ref="I50:O50" si="13">($E$50*V91)</f>
        <v>1044251.4797769927</v>
      </c>
      <c r="J50" s="436">
        <f t="shared" si="13"/>
        <v>2483.156124320084</v>
      </c>
      <c r="K50" s="436">
        <f t="shared" si="13"/>
        <v>165131.40703428362</v>
      </c>
      <c r="L50" s="436">
        <f t="shared" si="13"/>
        <v>298886.27359616419</v>
      </c>
      <c r="M50" s="436">
        <f t="shared" si="13"/>
        <v>564208.1538824077</v>
      </c>
      <c r="N50" s="436">
        <f t="shared" si="13"/>
        <v>33732.672545076828</v>
      </c>
      <c r="O50" s="436">
        <f t="shared" si="13"/>
        <v>3510.9498670840794</v>
      </c>
      <c r="P50" s="455">
        <f>SUM(H50:O50)</f>
        <v>2116841.2799999998</v>
      </c>
      <c r="Q50" s="408">
        <v>7</v>
      </c>
      <c r="V50" s="408"/>
      <c r="W50" s="408"/>
      <c r="X50" s="408"/>
      <c r="Y50" s="408"/>
      <c r="Z50" s="408" t="s">
        <v>10</v>
      </c>
      <c r="AA50" s="408"/>
      <c r="AB50" s="408"/>
      <c r="AC50" s="408"/>
    </row>
    <row r="51" spans="1:31">
      <c r="A51" s="430">
        <f>('1TestYr'!B55)</f>
        <v>921</v>
      </c>
      <c r="B51" s="431" t="str">
        <f>('1TestYr'!C55)</f>
        <v>Office Supplies</v>
      </c>
      <c r="C51" s="435">
        <v>61723.83</v>
      </c>
      <c r="D51" s="436">
        <f t="shared" si="12"/>
        <v>1299.6858606965582</v>
      </c>
      <c r="E51" s="436">
        <f>('1TestYr'!J55)</f>
        <v>744249.99999999988</v>
      </c>
      <c r="F51" s="436"/>
      <c r="G51" s="436"/>
      <c r="H51" s="436">
        <f>($E$51*U91)</f>
        <v>1630.3662379469665</v>
      </c>
      <c r="I51" s="436">
        <f t="shared" ref="I51:O51" si="14">($E$51*V91)</f>
        <v>367143.33340288355</v>
      </c>
      <c r="J51" s="436">
        <f t="shared" si="14"/>
        <v>873.04086659025393</v>
      </c>
      <c r="K51" s="436">
        <f t="shared" si="14"/>
        <v>58057.753713715174</v>
      </c>
      <c r="L51" s="436">
        <f t="shared" si="14"/>
        <v>105083.9811305764</v>
      </c>
      <c r="M51" s="436">
        <f t="shared" si="14"/>
        <v>198367.21935382037</v>
      </c>
      <c r="N51" s="436">
        <f t="shared" si="14"/>
        <v>11859.907390729564</v>
      </c>
      <c r="O51" s="436">
        <f t="shared" si="14"/>
        <v>1234.3979037376512</v>
      </c>
      <c r="P51" s="455">
        <f t="shared" ref="P51:P59" si="15">SUM(H51:O51)</f>
        <v>744250</v>
      </c>
      <c r="Q51" s="408">
        <v>7</v>
      </c>
      <c r="S51" s="451">
        <v>7</v>
      </c>
      <c r="T51" s="409" t="s">
        <v>278</v>
      </c>
      <c r="V51" s="408"/>
      <c r="W51" s="408" t="s">
        <v>6</v>
      </c>
      <c r="X51" s="408"/>
      <c r="Y51" s="408"/>
      <c r="Z51" s="408" t="s">
        <v>11</v>
      </c>
      <c r="AA51" s="408" t="s">
        <v>208</v>
      </c>
      <c r="AB51" s="408" t="s">
        <v>207</v>
      </c>
      <c r="AC51" s="408"/>
    </row>
    <row r="52" spans="1:31">
      <c r="A52" s="430">
        <f>('1TestYr'!B56)</f>
        <v>923</v>
      </c>
      <c r="B52" s="431" t="str">
        <f>('1TestYr'!C56)</f>
        <v>Outside Services</v>
      </c>
      <c r="C52" s="435">
        <v>0</v>
      </c>
      <c r="D52" s="436">
        <f t="shared" si="12"/>
        <v>0</v>
      </c>
      <c r="E52" s="436">
        <f>('1TestYr'!J56)</f>
        <v>118341.33</v>
      </c>
      <c r="F52" s="436"/>
      <c r="G52" s="436"/>
      <c r="H52" s="436">
        <f>($E$52*U91)</f>
        <v>259.24045547294662</v>
      </c>
      <c r="I52" s="436">
        <f t="shared" ref="I52:O52" si="16">($E$52*V91)</f>
        <v>58378.542661109401</v>
      </c>
      <c r="J52" s="436">
        <f t="shared" si="16"/>
        <v>138.82004339488509</v>
      </c>
      <c r="K52" s="436">
        <f t="shared" si="16"/>
        <v>9231.6181273678121</v>
      </c>
      <c r="L52" s="436">
        <f t="shared" si="16"/>
        <v>16709.140864880508</v>
      </c>
      <c r="M52" s="436">
        <f t="shared" si="16"/>
        <v>31541.875131653138</v>
      </c>
      <c r="N52" s="436">
        <f t="shared" si="16"/>
        <v>1885.8141945525917</v>
      </c>
      <c r="O52" s="436">
        <f t="shared" si="16"/>
        <v>196.27852156872774</v>
      </c>
      <c r="P52" s="455">
        <f t="shared" si="15"/>
        <v>118341.33000000002</v>
      </c>
      <c r="Q52" s="408">
        <v>7</v>
      </c>
      <c r="S52" s="469" t="s">
        <v>236</v>
      </c>
      <c r="T52" s="469" t="s">
        <v>17</v>
      </c>
      <c r="U52" s="470" t="s">
        <v>247</v>
      </c>
      <c r="V52" s="439" t="s">
        <v>5</v>
      </c>
      <c r="W52" s="439" t="s">
        <v>7</v>
      </c>
      <c r="X52" s="439" t="s">
        <v>8</v>
      </c>
      <c r="Y52" s="439" t="s">
        <v>9</v>
      </c>
      <c r="Z52" s="439" t="s">
        <v>12</v>
      </c>
      <c r="AA52" s="439" t="s">
        <v>13</v>
      </c>
      <c r="AB52" s="439" t="s">
        <v>13</v>
      </c>
      <c r="AC52" s="439" t="s">
        <v>15</v>
      </c>
    </row>
    <row r="53" spans="1:31">
      <c r="A53" s="430">
        <f>('1TestYr'!B57)</f>
        <v>924</v>
      </c>
      <c r="B53" s="431" t="str">
        <f>('1TestYr'!C57)</f>
        <v>Property Ins</v>
      </c>
      <c r="C53" s="435">
        <v>32598.94</v>
      </c>
      <c r="D53" s="436">
        <f t="shared" si="12"/>
        <v>686.41854194231712</v>
      </c>
      <c r="E53" s="436">
        <f>('1TestYr'!J57)</f>
        <v>0</v>
      </c>
      <c r="F53" s="436"/>
      <c r="G53" s="436"/>
      <c r="H53" s="436">
        <f>($E$53*U91)</f>
        <v>0</v>
      </c>
      <c r="I53" s="436">
        <f t="shared" ref="I53:O53" si="17">($E$53*V91)</f>
        <v>0</v>
      </c>
      <c r="J53" s="436">
        <f t="shared" si="17"/>
        <v>0</v>
      </c>
      <c r="K53" s="436">
        <f t="shared" si="17"/>
        <v>0</v>
      </c>
      <c r="L53" s="436">
        <f t="shared" si="17"/>
        <v>0</v>
      </c>
      <c r="M53" s="436">
        <f t="shared" si="17"/>
        <v>0</v>
      </c>
      <c r="N53" s="436">
        <f t="shared" si="17"/>
        <v>0</v>
      </c>
      <c r="O53" s="436">
        <f t="shared" si="17"/>
        <v>0</v>
      </c>
      <c r="P53" s="455">
        <f t="shared" si="15"/>
        <v>0</v>
      </c>
      <c r="Q53" s="408">
        <v>7</v>
      </c>
    </row>
    <row r="54" spans="1:31">
      <c r="A54" s="430">
        <f>('1TestYr'!B58)</f>
        <v>925</v>
      </c>
      <c r="B54" s="431" t="str">
        <f>('1TestYr'!C58)</f>
        <v>Injuries &amp; Damages</v>
      </c>
      <c r="C54" s="435">
        <v>-382.05</v>
      </c>
      <c r="D54" s="436">
        <f t="shared" si="12"/>
        <v>-8.044623657979745</v>
      </c>
      <c r="E54" s="436">
        <f>('1TestYr'!J58)</f>
        <v>26498.25</v>
      </c>
      <c r="F54" s="436"/>
      <c r="G54" s="436"/>
      <c r="H54" s="436">
        <f>($E$54*U91)</f>
        <v>58.047500389221653</v>
      </c>
      <c r="I54" s="436">
        <f t="shared" ref="I54:O54" si="18">($E$54*V91)</f>
        <v>13071.757923201827</v>
      </c>
      <c r="J54" s="436">
        <f t="shared" si="18"/>
        <v>31.0837153417873</v>
      </c>
      <c r="K54" s="436">
        <f t="shared" si="18"/>
        <v>2067.0861569962422</v>
      </c>
      <c r="L54" s="436">
        <f t="shared" si="18"/>
        <v>3741.4062519224676</v>
      </c>
      <c r="M54" s="436">
        <f t="shared" si="18"/>
        <v>7062.6592814811847</v>
      </c>
      <c r="N54" s="436">
        <f t="shared" si="18"/>
        <v>422.25971248424548</v>
      </c>
      <c r="O54" s="436">
        <f t="shared" si="18"/>
        <v>43.949458183024817</v>
      </c>
      <c r="P54" s="455">
        <f t="shared" si="15"/>
        <v>26498.250000000004</v>
      </c>
      <c r="Q54" s="408">
        <v>7</v>
      </c>
      <c r="S54" s="427">
        <v>580</v>
      </c>
      <c r="T54" s="417" t="str">
        <f>(B14)</f>
        <v>Operations Supv &amp; Eng</v>
      </c>
      <c r="U54" s="471">
        <f>(H14)</f>
        <v>578.51486760684088</v>
      </c>
      <c r="V54" s="471">
        <f t="shared" ref="V54:AB63" si="19">(I14)</f>
        <v>38918.970412190734</v>
      </c>
      <c r="W54" s="471">
        <f t="shared" si="19"/>
        <v>0</v>
      </c>
      <c r="X54" s="471">
        <f t="shared" si="19"/>
        <v>6154.4029086395803</v>
      </c>
      <c r="Y54" s="471">
        <f t="shared" si="19"/>
        <v>37287.723467524775</v>
      </c>
      <c r="Z54" s="471">
        <f t="shared" si="19"/>
        <v>0</v>
      </c>
      <c r="AA54" s="471">
        <f t="shared" si="19"/>
        <v>4208.3383440380658</v>
      </c>
      <c r="AB54" s="471">
        <f t="shared" si="19"/>
        <v>0</v>
      </c>
      <c r="AC54" s="437">
        <f>SUM(U54:AB54)</f>
        <v>87147.95</v>
      </c>
    </row>
    <row r="55" spans="1:31">
      <c r="A55" s="430">
        <f>('1TestYr'!B59)</f>
        <v>926</v>
      </c>
      <c r="B55" s="431" t="str">
        <f>('1TestYr'!C59)</f>
        <v>Employ Pensions &amp; Benef</v>
      </c>
      <c r="C55" s="435">
        <v>0</v>
      </c>
      <c r="D55" s="436">
        <f t="shared" si="12"/>
        <v>0</v>
      </c>
      <c r="E55" s="436">
        <f>('1TestYr'!J59)</f>
        <v>154467.56000000003</v>
      </c>
      <c r="F55" s="436"/>
      <c r="G55" s="436"/>
      <c r="H55" s="436">
        <f>($E$55*U91)</f>
        <v>338.37916651937849</v>
      </c>
      <c r="I55" s="436">
        <f t="shared" ref="I55:O55" si="20">($E$55*V91)</f>
        <v>76199.845322149733</v>
      </c>
      <c r="J55" s="436">
        <f t="shared" si="20"/>
        <v>181.19784003020771</v>
      </c>
      <c r="K55" s="436">
        <f t="shared" si="20"/>
        <v>12049.767625446455</v>
      </c>
      <c r="L55" s="436">
        <f t="shared" si="20"/>
        <v>21809.964609104714</v>
      </c>
      <c r="M55" s="436">
        <f t="shared" si="20"/>
        <v>41170.709247657935</v>
      </c>
      <c r="N55" s="436">
        <f t="shared" si="20"/>
        <v>2461.4994376512768</v>
      </c>
      <c r="O55" s="436">
        <f t="shared" si="20"/>
        <v>256.19675144033579</v>
      </c>
      <c r="P55" s="455">
        <f t="shared" si="15"/>
        <v>154467.56000000003</v>
      </c>
      <c r="Q55" s="408">
        <v>7</v>
      </c>
      <c r="S55" s="427">
        <v>581</v>
      </c>
      <c r="T55" s="417" t="str">
        <f t="shared" ref="T55:T63" si="21">(B15)</f>
        <v>Load Dispatching</v>
      </c>
      <c r="U55" s="471">
        <f t="shared" ref="U55:U63" si="22">(H15)</f>
        <v>0</v>
      </c>
      <c r="V55" s="471" t="str">
        <f t="shared" si="19"/>
        <v xml:space="preserve"> </v>
      </c>
      <c r="W55" s="471">
        <f t="shared" si="19"/>
        <v>0</v>
      </c>
      <c r="X55" s="471" t="str">
        <f t="shared" si="19"/>
        <v xml:space="preserve"> </v>
      </c>
      <c r="Y55" s="471">
        <f t="shared" si="19"/>
        <v>0</v>
      </c>
      <c r="Z55" s="471">
        <f t="shared" si="19"/>
        <v>0</v>
      </c>
      <c r="AA55" s="471">
        <f t="shared" si="19"/>
        <v>0</v>
      </c>
      <c r="AB55" s="471">
        <f t="shared" si="19"/>
        <v>0</v>
      </c>
      <c r="AC55" s="437">
        <f t="shared" ref="AC55:AC63" si="23">SUM(U55:AB55)</f>
        <v>0</v>
      </c>
    </row>
    <row r="56" spans="1:31">
      <c r="A56" s="430">
        <f>('1TestYr'!B60)</f>
        <v>928</v>
      </c>
      <c r="B56" s="431" t="str">
        <f>('1TestYr'!C60)</f>
        <v>Regulatory Exp</v>
      </c>
      <c r="C56" s="435">
        <v>-1303.9000000000001</v>
      </c>
      <c r="D56" s="436">
        <f t="shared" si="12"/>
        <v>-27.455528825127058</v>
      </c>
      <c r="E56" s="436">
        <f>('1TestYr'!J60)</f>
        <v>16364.41</v>
      </c>
      <c r="F56" s="436"/>
      <c r="G56" s="436"/>
      <c r="H56" s="436">
        <f>($E$56*U91)</f>
        <v>35.8481445319741</v>
      </c>
      <c r="I56" s="436">
        <f t="shared" ref="I56:O56" si="24">($E$56*V91)</f>
        <v>8072.6691791353469</v>
      </c>
      <c r="J56" s="436">
        <f t="shared" si="24"/>
        <v>19.196236059977451</v>
      </c>
      <c r="K56" s="436">
        <f t="shared" si="24"/>
        <v>1276.5614853211391</v>
      </c>
      <c r="L56" s="436">
        <f t="shared" si="24"/>
        <v>2310.564127179061</v>
      </c>
      <c r="M56" s="436">
        <f t="shared" si="24"/>
        <v>4361.6560403975172</v>
      </c>
      <c r="N56" s="436">
        <f t="shared" si="24"/>
        <v>260.77310998176529</v>
      </c>
      <c r="O56" s="436">
        <f t="shared" si="24"/>
        <v>27.141677393219293</v>
      </c>
      <c r="P56" s="455">
        <f t="shared" si="15"/>
        <v>16364.410000000002</v>
      </c>
      <c r="Q56" s="408">
        <v>7</v>
      </c>
      <c r="S56" s="427">
        <v>582</v>
      </c>
      <c r="T56" s="417" t="str">
        <f t="shared" si="21"/>
        <v>Station Expense</v>
      </c>
      <c r="U56" s="471">
        <f t="shared" si="22"/>
        <v>24929.3</v>
      </c>
      <c r="V56" s="471" t="str">
        <f t="shared" si="19"/>
        <v xml:space="preserve"> </v>
      </c>
      <c r="W56" s="471">
        <f t="shared" si="19"/>
        <v>0</v>
      </c>
      <c r="X56" s="471" t="str">
        <f t="shared" si="19"/>
        <v xml:space="preserve"> </v>
      </c>
      <c r="Y56" s="471">
        <f t="shared" si="19"/>
        <v>0</v>
      </c>
      <c r="Z56" s="471">
        <f t="shared" si="19"/>
        <v>0</v>
      </c>
      <c r="AA56" s="471">
        <f t="shared" si="19"/>
        <v>0</v>
      </c>
      <c r="AB56" s="471">
        <f t="shared" si="19"/>
        <v>0</v>
      </c>
      <c r="AC56" s="437">
        <f t="shared" si="23"/>
        <v>24929.3</v>
      </c>
    </row>
    <row r="57" spans="1:31">
      <c r="A57" s="430">
        <f>('1TestYr'!B61)</f>
        <v>929</v>
      </c>
      <c r="B57" s="431" t="str">
        <f>('1TestYr'!C61)</f>
        <v xml:space="preserve">Duplicate Charges </v>
      </c>
      <c r="C57" s="435">
        <f>SUM(831.5,41445,1870.42,34240.47,197309.71)</f>
        <v>275697.09999999998</v>
      </c>
      <c r="D57" s="436">
        <f t="shared" si="12"/>
        <v>5805.2072061154504</v>
      </c>
      <c r="E57" s="436">
        <f>('1TestYr'!J61)</f>
        <v>-84878.35</v>
      </c>
      <c r="F57" s="436"/>
      <c r="G57" s="436"/>
      <c r="H57" s="436">
        <f>($E$57*U91)</f>
        <v>-185.93590349028679</v>
      </c>
      <c r="I57" s="436">
        <f t="shared" ref="I57:O57" si="25">($E$57*V91)</f>
        <v>-41871.038431624649</v>
      </c>
      <c r="J57" s="436">
        <f t="shared" si="25"/>
        <v>-99.566366461203756</v>
      </c>
      <c r="K57" s="436">
        <f t="shared" si="25"/>
        <v>-6621.2245077951193</v>
      </c>
      <c r="L57" s="436">
        <f t="shared" si="25"/>
        <v>-11984.353281551175</v>
      </c>
      <c r="M57" s="436">
        <f t="shared" si="25"/>
        <v>-22622.885149936639</v>
      </c>
      <c r="N57" s="436">
        <f t="shared" si="25"/>
        <v>-1352.5688551937264</v>
      </c>
      <c r="O57" s="436">
        <f t="shared" si="25"/>
        <v>-140.77750394720951</v>
      </c>
      <c r="P57" s="455">
        <f t="shared" si="15"/>
        <v>-84878.349999999991</v>
      </c>
      <c r="Q57" s="408">
        <v>7</v>
      </c>
      <c r="S57" s="427">
        <v>583</v>
      </c>
      <c r="T57" s="417" t="str">
        <f t="shared" si="21"/>
        <v>Overhead Line Exp.</v>
      </c>
      <c r="U57" s="471">
        <f t="shared" si="22"/>
        <v>0</v>
      </c>
      <c r="V57" s="471">
        <f t="shared" si="19"/>
        <v>1627952.0503033081</v>
      </c>
      <c r="W57" s="471">
        <f t="shared" si="19"/>
        <v>0</v>
      </c>
      <c r="X57" s="471">
        <f t="shared" si="19"/>
        <v>257434.16969669206</v>
      </c>
      <c r="Y57" s="471" t="str">
        <f t="shared" si="19"/>
        <v xml:space="preserve"> </v>
      </c>
      <c r="Z57" s="471">
        <f t="shared" si="19"/>
        <v>0</v>
      </c>
      <c r="AA57" s="471">
        <f t="shared" si="19"/>
        <v>0</v>
      </c>
      <c r="AB57" s="471">
        <f t="shared" si="19"/>
        <v>0</v>
      </c>
      <c r="AC57" s="437">
        <f t="shared" si="23"/>
        <v>1885386.2200000002</v>
      </c>
    </row>
    <row r="58" spans="1:31">
      <c r="A58" s="430">
        <f>('1TestYr'!B62)</f>
        <v>930</v>
      </c>
      <c r="B58" s="431" t="str">
        <f>('1TestYr'!C62)</f>
        <v>Misc General Exp</v>
      </c>
      <c r="C58" s="435">
        <v>21502.5</v>
      </c>
      <c r="D58" s="436">
        <f t="shared" si="12"/>
        <v>452.76670646697943</v>
      </c>
      <c r="E58" s="436">
        <f>('1TestYr'!J62)</f>
        <v>877135.15999999992</v>
      </c>
      <c r="F58" s="436"/>
      <c r="G58" s="436"/>
      <c r="H58" s="436">
        <f>($E$58*U91)</f>
        <v>1921.4666455898027</v>
      </c>
      <c r="I58" s="436">
        <f t="shared" ref="I58:O58" si="26">($E$58*V91)</f>
        <v>432696.44136684126</v>
      </c>
      <c r="J58" s="436">
        <f t="shared" si="26"/>
        <v>1028.9215185800215</v>
      </c>
      <c r="K58" s="436">
        <f t="shared" si="26"/>
        <v>68423.912788606191</v>
      </c>
      <c r="L58" s="436">
        <f t="shared" si="26"/>
        <v>123846.63030219029</v>
      </c>
      <c r="M58" s="436">
        <f t="shared" si="26"/>
        <v>233785.50579330648</v>
      </c>
      <c r="N58" s="436">
        <f t="shared" si="26"/>
        <v>13977.483059123626</v>
      </c>
      <c r="O58" s="436">
        <f t="shared" si="26"/>
        <v>1454.7985257622965</v>
      </c>
      <c r="P58" s="455">
        <f t="shared" si="15"/>
        <v>877135.15999999992</v>
      </c>
      <c r="Q58" s="408">
        <v>7</v>
      </c>
      <c r="S58" s="427">
        <v>584</v>
      </c>
      <c r="T58" s="417" t="str">
        <f t="shared" si="21"/>
        <v>Underground Line Exp</v>
      </c>
      <c r="U58" s="471">
        <f t="shared" si="22"/>
        <v>0</v>
      </c>
      <c r="V58" s="471">
        <f t="shared" si="19"/>
        <v>49140.00631085362</v>
      </c>
      <c r="W58" s="471">
        <f t="shared" si="19"/>
        <v>0</v>
      </c>
      <c r="X58" s="471">
        <f t="shared" si="19"/>
        <v>7770.6936891463702</v>
      </c>
      <c r="Y58" s="471" t="str">
        <f t="shared" si="19"/>
        <v xml:space="preserve"> </v>
      </c>
      <c r="Z58" s="471">
        <f t="shared" si="19"/>
        <v>0</v>
      </c>
      <c r="AA58" s="471">
        <f t="shared" si="19"/>
        <v>0</v>
      </c>
      <c r="AB58" s="471">
        <f t="shared" si="19"/>
        <v>0</v>
      </c>
      <c r="AC58" s="437">
        <f t="shared" si="23"/>
        <v>56910.69999999999</v>
      </c>
    </row>
    <row r="59" spans="1:31">
      <c r="A59" s="430">
        <f>('1TestYr'!B63)</f>
        <v>931</v>
      </c>
      <c r="B59" s="431" t="str">
        <f>('1TestYr'!C63)</f>
        <v>Rents</v>
      </c>
      <c r="C59" s="440">
        <v>30085.05</v>
      </c>
      <c r="D59" s="440">
        <f t="shared" si="12"/>
        <v>633.48489721634223</v>
      </c>
      <c r="E59" s="436">
        <f>('1TestYr'!J63)</f>
        <v>22200</v>
      </c>
      <c r="F59" s="436"/>
      <c r="G59" s="436"/>
      <c r="H59" s="436">
        <f t="shared" ref="H59" si="27">($E$59*U91)</f>
        <v>48.63168355045034</v>
      </c>
      <c r="I59" s="436">
        <f t="shared" ref="I59" si="28">($E$59*V91)</f>
        <v>10951.403428342648</v>
      </c>
      <c r="J59" s="436">
        <f t="shared" ref="J59" si="29">($E$59*W91)</f>
        <v>26.04166239610835</v>
      </c>
      <c r="K59" s="436">
        <f t="shared" ref="K59" si="30">($E$59*X91)</f>
        <v>1731.7865400664791</v>
      </c>
      <c r="L59" s="436">
        <f t="shared" ref="L59" si="31">($E$59*Y91)</f>
        <v>3134.5171395348289</v>
      </c>
      <c r="M59" s="436">
        <f t="shared" ref="M59" si="32">($E$59*Z91)</f>
        <v>5917.0336172721709</v>
      </c>
      <c r="N59" s="436">
        <f t="shared" ref="N59" si="33">($E$59*AA91)</f>
        <v>353.76546063042844</v>
      </c>
      <c r="O59" s="436">
        <f t="shared" ref="O59" si="34">($E$59*AB91)</f>
        <v>36.820468206887277</v>
      </c>
      <c r="P59" s="455">
        <f t="shared" si="15"/>
        <v>22199.999999999996</v>
      </c>
      <c r="Q59" s="408">
        <v>7</v>
      </c>
      <c r="S59" s="427">
        <v>585</v>
      </c>
      <c r="T59" s="417" t="str">
        <f t="shared" si="21"/>
        <v>Street Lights</v>
      </c>
      <c r="U59" s="471">
        <f t="shared" si="22"/>
        <v>0</v>
      </c>
      <c r="V59" s="471">
        <f t="shared" si="19"/>
        <v>0</v>
      </c>
      <c r="W59" s="471">
        <f t="shared" si="19"/>
        <v>0</v>
      </c>
      <c r="X59" s="471">
        <f t="shared" si="19"/>
        <v>0</v>
      </c>
      <c r="Y59" s="471">
        <f t="shared" si="19"/>
        <v>0</v>
      </c>
      <c r="Z59" s="471">
        <f t="shared" si="19"/>
        <v>0</v>
      </c>
      <c r="AA59" s="471" t="str">
        <f t="shared" si="19"/>
        <v xml:space="preserve"> </v>
      </c>
      <c r="AB59" s="471">
        <f t="shared" si="19"/>
        <v>0</v>
      </c>
      <c r="AC59" s="437">
        <f t="shared" si="23"/>
        <v>0</v>
      </c>
    </row>
    <row r="60" spans="1:31">
      <c r="A60" s="430">
        <f>('1TestYr'!B64)</f>
        <v>935</v>
      </c>
      <c r="B60" s="431" t="str">
        <f>('1TestYr'!C64)</f>
        <v>Maintenance of Gen. Plant</v>
      </c>
      <c r="C60" s="456">
        <f>SUM(C49:C59)</f>
        <v>1152947.3899999999</v>
      </c>
      <c r="D60" s="456">
        <f>SUM(D49:D59)</f>
        <v>24277</v>
      </c>
      <c r="E60" s="440">
        <f>('1TestYr'!J64)</f>
        <v>583633.93999999994</v>
      </c>
      <c r="F60" s="436"/>
      <c r="G60" s="440"/>
      <c r="H60" s="436">
        <f>($E$60*'2.22Rate Base'!G22)</f>
        <v>1278.5180666388521</v>
      </c>
      <c r="I60" s="436">
        <f>($E$60*'2.22Rate Base'!H22)</f>
        <v>287910.3933068976</v>
      </c>
      <c r="J60" s="436">
        <f>($E$60*'2.22Rate Base'!I22)</f>
        <v>684.63054181939447</v>
      </c>
      <c r="K60" s="436">
        <f>($E$60*'2.22Rate Base'!J22)</f>
        <v>45528.351424232744</v>
      </c>
      <c r="L60" s="436">
        <f>($E$60*'2.22Rate Base'!K22)</f>
        <v>82405.882348839717</v>
      </c>
      <c r="M60" s="436">
        <f>($E$60*'2.22Rate Base'!L22)</f>
        <v>155557.7316739193</v>
      </c>
      <c r="N60" s="436">
        <f>($E$60*'2.22Rate Base'!M22)</f>
        <v>9300.4292623266574</v>
      </c>
      <c r="O60" s="436">
        <f>($E$60*'2.22Rate Base'!N22)</f>
        <v>968.00337532569176</v>
      </c>
      <c r="P60" s="455">
        <f>SUM(H60:O60)</f>
        <v>583633.93999999994</v>
      </c>
      <c r="Q60" s="419">
        <v>4</v>
      </c>
      <c r="S60" s="427">
        <v>586</v>
      </c>
      <c r="T60" s="417" t="str">
        <f t="shared" si="21"/>
        <v>Meter Expense</v>
      </c>
      <c r="U60" s="471">
        <f t="shared" si="22"/>
        <v>0</v>
      </c>
      <c r="V60" s="471">
        <f t="shared" si="19"/>
        <v>0</v>
      </c>
      <c r="W60" s="471">
        <f t="shared" si="19"/>
        <v>0</v>
      </c>
      <c r="X60" s="471" t="str">
        <f t="shared" si="19"/>
        <v xml:space="preserve"> </v>
      </c>
      <c r="Y60" s="471">
        <f t="shared" si="19"/>
        <v>1606798.54</v>
      </c>
      <c r="Z60" s="471">
        <f t="shared" si="19"/>
        <v>0</v>
      </c>
      <c r="AA60" s="471">
        <f t="shared" si="19"/>
        <v>0</v>
      </c>
      <c r="AB60" s="471">
        <f t="shared" si="19"/>
        <v>0</v>
      </c>
      <c r="AC60" s="437">
        <f t="shared" si="23"/>
        <v>1606798.54</v>
      </c>
    </row>
    <row r="61" spans="1:31">
      <c r="B61" s="431" t="str">
        <f>('1TestYr'!C65)</f>
        <v>Total Admin &amp; General</v>
      </c>
      <c r="C61" s="435"/>
      <c r="D61" s="436"/>
      <c r="E61" s="440">
        <f>SUM(E50:E60)</f>
        <v>4574853.58</v>
      </c>
      <c r="F61" s="436"/>
      <c r="G61" s="442">
        <f>SUM(G50:G60)</f>
        <v>0</v>
      </c>
      <c r="H61" s="442">
        <f>SUM(H50:H60)</f>
        <v>10021.749170820034</v>
      </c>
      <c r="I61" s="442">
        <f t="shared" ref="I61:O61" si="35">SUM(I50:I60)</f>
        <v>2256804.8279359294</v>
      </c>
      <c r="J61" s="442">
        <f t="shared" si="35"/>
        <v>5366.522182071516</v>
      </c>
      <c r="K61" s="442">
        <f t="shared" si="35"/>
        <v>356877.02038824075</v>
      </c>
      <c r="L61" s="442">
        <f t="shared" si="35"/>
        <v>645944.00708884094</v>
      </c>
      <c r="M61" s="442">
        <f t="shared" si="35"/>
        <v>1219349.6588719792</v>
      </c>
      <c r="N61" s="442">
        <f t="shared" si="35"/>
        <v>72902.035317363261</v>
      </c>
      <c r="O61" s="442">
        <f t="shared" si="35"/>
        <v>7587.7590447547054</v>
      </c>
      <c r="P61" s="442">
        <f>SUM(P50:P60)</f>
        <v>4574853.58</v>
      </c>
      <c r="S61" s="427">
        <v>587</v>
      </c>
      <c r="T61" s="417" t="str">
        <f t="shared" si="21"/>
        <v>Consumer Installations</v>
      </c>
      <c r="U61" s="471" t="str">
        <f t="shared" si="22"/>
        <v xml:space="preserve"> </v>
      </c>
      <c r="V61" s="471" t="str">
        <f t="shared" si="19"/>
        <v xml:space="preserve"> </v>
      </c>
      <c r="W61" s="471">
        <f t="shared" si="19"/>
        <v>0</v>
      </c>
      <c r="X61" s="471" t="str">
        <f t="shared" si="19"/>
        <v xml:space="preserve"> </v>
      </c>
      <c r="Y61" s="471" t="str">
        <f t="shared" si="19"/>
        <v xml:space="preserve"> </v>
      </c>
      <c r="Z61" s="471">
        <f t="shared" si="19"/>
        <v>0</v>
      </c>
      <c r="AA61" s="471">
        <f t="shared" si="19"/>
        <v>181345.26</v>
      </c>
      <c r="AB61" s="471">
        <f t="shared" si="19"/>
        <v>0</v>
      </c>
      <c r="AC61" s="437">
        <f t="shared" si="23"/>
        <v>181345.26</v>
      </c>
    </row>
    <row r="62" spans="1:31">
      <c r="A62" s="430"/>
      <c r="B62" s="432" t="str">
        <f>('1TestYr'!C66)</f>
        <v xml:space="preserve"> </v>
      </c>
      <c r="C62" s="435">
        <v>1202310.72</v>
      </c>
      <c r="D62" s="436">
        <f>(1708797-1202311)</f>
        <v>506486</v>
      </c>
      <c r="E62" s="436">
        <f>('1TestYr'!J66)</f>
        <v>0</v>
      </c>
      <c r="F62" s="436"/>
      <c r="G62" s="436"/>
      <c r="H62" s="436"/>
      <c r="I62" s="436" t="s">
        <v>1</v>
      </c>
      <c r="J62" s="436"/>
      <c r="K62" s="436"/>
      <c r="L62" s="436"/>
      <c r="M62" s="436"/>
      <c r="S62" s="427">
        <v>588</v>
      </c>
      <c r="T62" s="417" t="str">
        <f t="shared" si="21"/>
        <v>Misc. Distribution Exp</v>
      </c>
      <c r="U62" s="471">
        <f t="shared" si="22"/>
        <v>6807.9390269167125</v>
      </c>
      <c r="V62" s="471">
        <f t="shared" si="19"/>
        <v>457996.83360365377</v>
      </c>
      <c r="W62" s="471">
        <f t="shared" si="19"/>
        <v>0</v>
      </c>
      <c r="X62" s="471">
        <f t="shared" si="19"/>
        <v>72424.758800791227</v>
      </c>
      <c r="Y62" s="471">
        <f t="shared" si="19"/>
        <v>438800.3870489262</v>
      </c>
      <c r="Z62" s="471">
        <f t="shared" si="19"/>
        <v>0</v>
      </c>
      <c r="AA62" s="471">
        <f t="shared" si="19"/>
        <v>49523.551519712077</v>
      </c>
      <c r="AB62" s="471">
        <f t="shared" si="19"/>
        <v>0</v>
      </c>
      <c r="AC62" s="437">
        <f t="shared" si="23"/>
        <v>1025553.47</v>
      </c>
    </row>
    <row r="63" spans="1:31">
      <c r="A63" s="430">
        <f>'1TestYr'!B67</f>
        <v>403.6</v>
      </c>
      <c r="B63" s="431" t="str">
        <f>('1TestYr'!C67)</f>
        <v>Deprec. Distribution Plant</v>
      </c>
      <c r="C63" s="440">
        <v>64164.72</v>
      </c>
      <c r="D63" s="440">
        <f>(189533-133585)-(237146-174354)</f>
        <v>-6844</v>
      </c>
      <c r="E63" s="436">
        <f>'1TestYr'!D67</f>
        <v>7662550.5800000001</v>
      </c>
      <c r="F63" s="436"/>
      <c r="G63" s="436"/>
      <c r="H63" s="436">
        <f>($E$63*'2.22Rate Base'!G32)</f>
        <v>62265.553506505821</v>
      </c>
      <c r="I63" s="436">
        <f>($E$63*'2.22Rate Base'!H32)</f>
        <v>4894746.153381885</v>
      </c>
      <c r="J63" s="436">
        <f>($E$63*'2.22Rate Base'!I32)</f>
        <v>1018776.222956888</v>
      </c>
      <c r="K63" s="436">
        <f>($E$63*'2.22Rate Base'!J32)</f>
        <v>774024.58606638631</v>
      </c>
      <c r="L63" s="436">
        <f>($E$63*'2.22Rate Base'!K32)</f>
        <v>521555.84551118495</v>
      </c>
      <c r="M63" s="436">
        <f>($E$63*'2.22Rate Base'!L32)</f>
        <v>183636.04263966368</v>
      </c>
      <c r="N63" s="436">
        <f>($E$63*'2.22Rate Base'!M32)</f>
        <v>196441.43184155988</v>
      </c>
      <c r="O63" s="436">
        <f>($E$63*'2.22Rate Base'!N32)</f>
        <v>11104.744095925647</v>
      </c>
      <c r="P63" s="455">
        <f>SUM(H63:O63)</f>
        <v>7662550.5799999991</v>
      </c>
      <c r="Q63" s="408">
        <v>6</v>
      </c>
      <c r="S63" s="427">
        <v>589</v>
      </c>
      <c r="T63" s="417" t="str">
        <f t="shared" si="21"/>
        <v>Rents</v>
      </c>
      <c r="U63" s="471">
        <f t="shared" si="22"/>
        <v>0</v>
      </c>
      <c r="V63" s="471">
        <f t="shared" si="19"/>
        <v>0</v>
      </c>
      <c r="W63" s="471">
        <f t="shared" si="19"/>
        <v>0</v>
      </c>
      <c r="X63" s="471" t="str">
        <f t="shared" si="19"/>
        <v xml:space="preserve"> </v>
      </c>
      <c r="Y63" s="471" t="str">
        <f t="shared" si="19"/>
        <v xml:space="preserve"> </v>
      </c>
      <c r="Z63" s="471" t="str">
        <f t="shared" si="19"/>
        <v xml:space="preserve"> </v>
      </c>
      <c r="AA63" s="471" t="str">
        <f t="shared" si="19"/>
        <v xml:space="preserve"> </v>
      </c>
      <c r="AB63" s="471">
        <f t="shared" si="19"/>
        <v>0</v>
      </c>
      <c r="AC63" s="437">
        <f t="shared" si="23"/>
        <v>0</v>
      </c>
      <c r="AE63" s="437"/>
    </row>
    <row r="64" spans="1:31" ht="13.5" thickBot="1">
      <c r="A64" s="430">
        <f>'1TestYr'!B68</f>
        <v>403.7</v>
      </c>
      <c r="B64" s="431" t="str">
        <f>('1TestYr'!C68)</f>
        <v>Deprec. General Plant</v>
      </c>
      <c r="C64" s="456">
        <f>SUM(C62:C63)</f>
        <v>1266475.44</v>
      </c>
      <c r="D64" s="456">
        <f>SUM(D62:D63)</f>
        <v>499642</v>
      </c>
      <c r="E64" s="436">
        <f>'1TestYr'!D68</f>
        <v>593330.59</v>
      </c>
      <c r="F64" s="435"/>
      <c r="G64" s="435"/>
      <c r="H64" s="436">
        <f>($E$64*'2.22Rate Base'!G32)</f>
        <v>4821.378627518523</v>
      </c>
      <c r="I64" s="436">
        <f>($E$64*'2.22Rate Base'!H32)</f>
        <v>379012.52236644999</v>
      </c>
      <c r="J64" s="436">
        <f>($E$64*'2.22Rate Base'!I32)</f>
        <v>78886.408792225149</v>
      </c>
      <c r="K64" s="436">
        <f>($E$64*'2.22Rate Base'!J32)</f>
        <v>59934.673126200069</v>
      </c>
      <c r="L64" s="436">
        <f>($E$64*'2.22Rate Base'!K32)</f>
        <v>40385.382687431498</v>
      </c>
      <c r="M64" s="436">
        <f>($E$64*'2.22Rate Base'!L32)</f>
        <v>14219.401279913875</v>
      </c>
      <c r="N64" s="436">
        <f>($E$64*'2.22Rate Base'!M32)</f>
        <v>15210.954816953064</v>
      </c>
      <c r="O64" s="436">
        <f>($E$64*'2.22Rate Base'!N32)</f>
        <v>859.8683033077715</v>
      </c>
      <c r="P64" s="455">
        <f>SUM(G64:O64)</f>
        <v>593330.59</v>
      </c>
      <c r="Q64" s="408">
        <v>6</v>
      </c>
      <c r="S64" s="427" t="s">
        <v>1</v>
      </c>
      <c r="T64" s="419" t="s">
        <v>1</v>
      </c>
      <c r="U64" s="472">
        <f t="shared" ref="U64:AC64" si="36">SUM(U54:U63)</f>
        <v>32315.753894523554</v>
      </c>
      <c r="V64" s="472">
        <f t="shared" si="36"/>
        <v>2174007.8606300061</v>
      </c>
      <c r="W64" s="472">
        <f t="shared" si="36"/>
        <v>0</v>
      </c>
      <c r="X64" s="472">
        <f t="shared" si="36"/>
        <v>343784.02509526926</v>
      </c>
      <c r="Y64" s="472">
        <f t="shared" si="36"/>
        <v>2082886.6505164511</v>
      </c>
      <c r="Z64" s="472">
        <f t="shared" si="36"/>
        <v>0</v>
      </c>
      <c r="AA64" s="472">
        <f t="shared" si="36"/>
        <v>235077.14986375015</v>
      </c>
      <c r="AB64" s="472">
        <f t="shared" si="36"/>
        <v>0</v>
      </c>
      <c r="AC64" s="472">
        <f t="shared" si="36"/>
        <v>4868071.4399999995</v>
      </c>
      <c r="AE64" s="437"/>
    </row>
    <row r="65" spans="1:31" ht="13.5" thickTop="1">
      <c r="A65" s="430">
        <f>'1TestYr'!B69</f>
        <v>407</v>
      </c>
      <c r="B65" s="431" t="str">
        <f>('1TestYr'!C69)</f>
        <v>Amort of Prop Loasses and Undercovery</v>
      </c>
      <c r="C65" s="456"/>
      <c r="D65" s="456"/>
      <c r="E65" s="440">
        <f>'1TestYr'!D69</f>
        <v>470772</v>
      </c>
      <c r="F65" s="440"/>
      <c r="G65" s="440"/>
      <c r="H65" s="436">
        <f>($E$65*'2.22Rate Base'!G32)</f>
        <v>3825.4728434516587</v>
      </c>
      <c r="I65" s="436">
        <f>($E$65*'2.22Rate Base'!H32)</f>
        <v>300723.55308614444</v>
      </c>
      <c r="J65" s="436">
        <f>($E$65*'2.22Rate Base'!I32)</f>
        <v>62591.602499263383</v>
      </c>
      <c r="K65" s="436">
        <f>($E$65*'2.22Rate Base'!J32)</f>
        <v>47554.544485844664</v>
      </c>
      <c r="L65" s="436">
        <f>($E$65*'2.22Rate Base'!K32)</f>
        <v>32043.362838459929</v>
      </c>
      <c r="M65" s="436">
        <f>($E$65*'2.22Rate Base'!L32)</f>
        <v>11282.23639935304</v>
      </c>
      <c r="N65" s="436">
        <f>($E$65*'2.22Rate Base'!M32)</f>
        <v>12068.97426456072</v>
      </c>
      <c r="O65" s="436">
        <f>($E$65*'2.22Rate Base'!N32)</f>
        <v>682.25358292213832</v>
      </c>
      <c r="P65" s="455">
        <f>SUM(G65:O65)</f>
        <v>470772</v>
      </c>
      <c r="Q65" s="408">
        <v>6</v>
      </c>
      <c r="S65" s="427"/>
      <c r="T65" s="419"/>
      <c r="U65" s="437" t="s">
        <v>1</v>
      </c>
      <c r="V65" s="437" t="s">
        <v>1</v>
      </c>
      <c r="W65" s="437" t="s">
        <v>1</v>
      </c>
      <c r="X65" s="437" t="s">
        <v>1</v>
      </c>
      <c r="Y65" s="437" t="s">
        <v>1</v>
      </c>
      <c r="Z65" s="437" t="s">
        <v>1</v>
      </c>
      <c r="AA65" s="437" t="s">
        <v>1</v>
      </c>
      <c r="AC65" s="437" t="s">
        <v>1</v>
      </c>
    </row>
    <row r="66" spans="1:31">
      <c r="A66" s="430"/>
      <c r="B66" s="431" t="str">
        <f>('1TestYr'!C70)</f>
        <v>Total Depreciation</v>
      </c>
      <c r="C66" s="435"/>
      <c r="D66" s="436"/>
      <c r="E66" s="440">
        <f>SUM(E63:E65)</f>
        <v>8726653.1699999999</v>
      </c>
      <c r="F66" s="447"/>
      <c r="G66" s="447"/>
      <c r="H66" s="442">
        <f>SUM(H63:H65)</f>
        <v>70912.404977476006</v>
      </c>
      <c r="I66" s="442">
        <f t="shared" ref="I66:O66" si="37">SUM(I63:I65)</f>
        <v>5574482.22883448</v>
      </c>
      <c r="J66" s="442">
        <f t="shared" si="37"/>
        <v>1160254.2342483765</v>
      </c>
      <c r="K66" s="442">
        <f t="shared" si="37"/>
        <v>881513.80367843108</v>
      </c>
      <c r="L66" s="442">
        <f t="shared" si="37"/>
        <v>593984.59103707632</v>
      </c>
      <c r="M66" s="442">
        <f t="shared" si="37"/>
        <v>209137.68031893059</v>
      </c>
      <c r="N66" s="442">
        <f t="shared" si="37"/>
        <v>223721.36092307369</v>
      </c>
      <c r="O66" s="442">
        <f t="shared" si="37"/>
        <v>12646.865982155558</v>
      </c>
      <c r="P66" s="442">
        <f>SUM(P63:P65)</f>
        <v>8726653.1699999981</v>
      </c>
      <c r="Q66" s="408" t="s">
        <v>1</v>
      </c>
      <c r="S66" s="427">
        <f t="shared" ref="S66:S73" si="38">(A26)</f>
        <v>590</v>
      </c>
      <c r="T66" s="427" t="str">
        <f t="shared" ref="T66:T73" si="39">(B26)</f>
        <v>Maint Supv &amp; Eng</v>
      </c>
      <c r="U66" s="471">
        <f t="shared" ref="U66:U73" si="40">(H26)</f>
        <v>0</v>
      </c>
      <c r="V66" s="471">
        <f t="shared" ref="V66:V73" si="41">(I26)</f>
        <v>0</v>
      </c>
      <c r="W66" s="471">
        <f t="shared" ref="W66:W73" si="42">(J26)</f>
        <v>0</v>
      </c>
      <c r="X66" s="471">
        <f t="shared" ref="X66:X73" si="43">(K26)</f>
        <v>0</v>
      </c>
      <c r="Y66" s="471">
        <f t="shared" ref="Y66:Y73" si="44">(L26)</f>
        <v>0</v>
      </c>
      <c r="Z66" s="471">
        <f t="shared" ref="Z66:Z73" si="45">(M26)</f>
        <v>0</v>
      </c>
      <c r="AA66" s="471">
        <f t="shared" ref="AA66:AA73" si="46">(N26)</f>
        <v>0</v>
      </c>
      <c r="AB66" s="471">
        <f t="shared" ref="AB66:AB73" si="47">(O26)</f>
        <v>0</v>
      </c>
      <c r="AC66" s="437">
        <f t="shared" ref="AC66:AC73" si="48">SUM(U66:AB66)</f>
        <v>0</v>
      </c>
    </row>
    <row r="67" spans="1:31">
      <c r="A67" s="430"/>
      <c r="B67" s="432"/>
      <c r="C67" s="435">
        <v>21911</v>
      </c>
      <c r="D67" s="436"/>
      <c r="E67" s="436">
        <f>('1TestYr'!J71)</f>
        <v>0</v>
      </c>
      <c r="F67" s="436"/>
      <c r="G67" s="436"/>
      <c r="H67" s="436"/>
      <c r="I67" s="436"/>
      <c r="J67" s="436"/>
      <c r="K67" s="436"/>
      <c r="L67" s="436"/>
      <c r="M67" s="436"/>
      <c r="S67" s="427">
        <f t="shared" si="38"/>
        <v>592</v>
      </c>
      <c r="T67" s="427" t="str">
        <f t="shared" si="39"/>
        <v>Maint of Station Equip</v>
      </c>
      <c r="U67" s="471">
        <f t="shared" si="40"/>
        <v>0</v>
      </c>
      <c r="V67" s="471">
        <f t="shared" si="41"/>
        <v>0</v>
      </c>
      <c r="W67" s="471">
        <f t="shared" si="42"/>
        <v>0</v>
      </c>
      <c r="X67" s="471">
        <f t="shared" si="43"/>
        <v>0</v>
      </c>
      <c r="Y67" s="471">
        <f t="shared" si="44"/>
        <v>0</v>
      </c>
      <c r="Z67" s="471">
        <f t="shared" si="45"/>
        <v>0</v>
      </c>
      <c r="AA67" s="471" t="str">
        <f t="shared" si="46"/>
        <v xml:space="preserve"> </v>
      </c>
      <c r="AB67" s="471">
        <f t="shared" si="47"/>
        <v>0</v>
      </c>
      <c r="AC67" s="437">
        <f t="shared" si="48"/>
        <v>0</v>
      </c>
    </row>
    <row r="68" spans="1:31">
      <c r="A68" s="430">
        <f>'1TestYr'!B72</f>
        <v>408.71</v>
      </c>
      <c r="B68" s="430" t="str">
        <f>('1TestYr'!C72)</f>
        <v>PSC Assessment &amp; Sales Taxes</v>
      </c>
      <c r="C68" s="435"/>
      <c r="D68" s="436"/>
      <c r="E68" s="436">
        <f>('1TestYr'!J72)</f>
        <v>120557.14</v>
      </c>
      <c r="F68" s="436"/>
      <c r="G68" s="436"/>
      <c r="H68" s="436"/>
      <c r="I68" s="436"/>
      <c r="J68" s="436"/>
      <c r="K68" s="436"/>
      <c r="L68" s="436"/>
      <c r="M68" s="436"/>
      <c r="S68" s="427">
        <f t="shared" si="38"/>
        <v>593</v>
      </c>
      <c r="T68" s="427" t="str">
        <f t="shared" si="39"/>
        <v>Maint. Overhead Lines</v>
      </c>
      <c r="U68" s="471">
        <f t="shared" si="40"/>
        <v>0</v>
      </c>
      <c r="V68" s="471">
        <f t="shared" si="41"/>
        <v>4887742.7227181466</v>
      </c>
      <c r="W68" s="471">
        <f t="shared" si="42"/>
        <v>0</v>
      </c>
      <c r="X68" s="471">
        <f t="shared" si="43"/>
        <v>772917.10728185321</v>
      </c>
      <c r="Y68" s="471">
        <f t="shared" si="44"/>
        <v>0</v>
      </c>
      <c r="Z68" s="471">
        <f t="shared" si="45"/>
        <v>0</v>
      </c>
      <c r="AA68" s="471">
        <f t="shared" si="46"/>
        <v>0</v>
      </c>
      <c r="AB68" s="471">
        <f t="shared" si="47"/>
        <v>0</v>
      </c>
      <c r="AC68" s="437">
        <f t="shared" si="48"/>
        <v>5660659.8300000001</v>
      </c>
    </row>
    <row r="69" spans="1:31">
      <c r="A69" s="430">
        <f>'1TestYr'!B73</f>
        <v>408.5</v>
      </c>
      <c r="B69" s="430" t="str">
        <f>('1TestYr'!C73)</f>
        <v>Miscellaneous Amortization</v>
      </c>
      <c r="C69" s="440">
        <f>(6790.94+879.77)</f>
        <v>7670.7099999999991</v>
      </c>
      <c r="D69" s="440">
        <v>-7471</v>
      </c>
      <c r="E69" s="436">
        <f>('1TestYr'!J73)</f>
        <v>0</v>
      </c>
      <c r="F69" s="436"/>
      <c r="G69" s="436"/>
      <c r="H69" s="436"/>
      <c r="I69" s="436"/>
      <c r="J69" s="436"/>
      <c r="K69" s="436"/>
      <c r="L69" s="436"/>
      <c r="M69" s="436"/>
      <c r="S69" s="427">
        <f t="shared" si="38"/>
        <v>594</v>
      </c>
      <c r="T69" s="427" t="str">
        <f t="shared" si="39"/>
        <v>Maint of Underground Lines</v>
      </c>
      <c r="U69" s="471">
        <f t="shared" si="40"/>
        <v>0</v>
      </c>
      <c r="V69" s="471">
        <f t="shared" si="41"/>
        <v>4948.1244961828743</v>
      </c>
      <c r="W69" s="471">
        <f t="shared" si="42"/>
        <v>0</v>
      </c>
      <c r="X69" s="471">
        <f t="shared" si="43"/>
        <v>782.46550381712575</v>
      </c>
      <c r="Y69" s="471">
        <f t="shared" si="44"/>
        <v>0</v>
      </c>
      <c r="Z69" s="471">
        <f t="shared" si="45"/>
        <v>0</v>
      </c>
      <c r="AA69" s="471">
        <f t="shared" si="46"/>
        <v>0</v>
      </c>
      <c r="AB69" s="471">
        <f t="shared" si="47"/>
        <v>0</v>
      </c>
      <c r="AC69" s="437">
        <f t="shared" si="48"/>
        <v>5730.59</v>
      </c>
    </row>
    <row r="70" spans="1:31">
      <c r="A70" s="430" t="str">
        <f>'1TestYr'!B74</f>
        <v>425-426</v>
      </c>
      <c r="B70" s="430" t="str">
        <f>('1TestYr'!C74)</f>
        <v>Contributions</v>
      </c>
      <c r="C70" s="456">
        <f>SUM(C67:C69)</f>
        <v>29581.71</v>
      </c>
      <c r="D70" s="456">
        <f>SUM(D67:D69)</f>
        <v>-7471</v>
      </c>
      <c r="E70" s="440">
        <f>('1TestYr'!J74)</f>
        <v>80896.149999999994</v>
      </c>
      <c r="F70" s="436"/>
      <c r="G70" s="440"/>
      <c r="H70" s="440"/>
      <c r="I70" s="440"/>
      <c r="J70" s="440"/>
      <c r="K70" s="440"/>
      <c r="L70" s="440"/>
      <c r="M70" s="440"/>
      <c r="N70" s="443"/>
      <c r="O70" s="443"/>
      <c r="P70" s="443"/>
      <c r="Q70" s="419"/>
      <c r="S70" s="427">
        <f t="shared" si="38"/>
        <v>595</v>
      </c>
      <c r="T70" s="427" t="str">
        <f t="shared" si="39"/>
        <v>Maint Line Transformers</v>
      </c>
      <c r="U70" s="471">
        <f t="shared" si="40"/>
        <v>0</v>
      </c>
      <c r="V70" s="471">
        <f t="shared" si="41"/>
        <v>0</v>
      </c>
      <c r="W70" s="471">
        <f t="shared" si="42"/>
        <v>16590.86</v>
      </c>
      <c r="X70" s="471">
        <f t="shared" si="43"/>
        <v>0</v>
      </c>
      <c r="Y70" s="471">
        <f t="shared" si="44"/>
        <v>0</v>
      </c>
      <c r="Z70" s="471">
        <f t="shared" si="45"/>
        <v>0</v>
      </c>
      <c r="AA70" s="471">
        <f t="shared" si="46"/>
        <v>0</v>
      </c>
      <c r="AB70" s="471">
        <f t="shared" si="47"/>
        <v>0</v>
      </c>
      <c r="AC70" s="437">
        <f t="shared" si="48"/>
        <v>16590.86</v>
      </c>
      <c r="AD70" s="411"/>
    </row>
    <row r="71" spans="1:31">
      <c r="A71" s="430"/>
      <c r="B71" s="430" t="str">
        <f>('1TestYr'!C75)</f>
        <v>Total Miscellaneous</v>
      </c>
      <c r="C71" s="435"/>
      <c r="D71" s="436"/>
      <c r="E71" s="440">
        <f>SUM(E68:E70)</f>
        <v>201453.28999999998</v>
      </c>
      <c r="F71" s="436"/>
      <c r="G71" s="447"/>
      <c r="H71" s="447">
        <f>($E$71*'2.22Rate Base'!G44)</f>
        <v>1637.7065321626549</v>
      </c>
      <c r="I71" s="447">
        <f>($E$71*'2.22Rate Base'!H44)</f>
        <v>128703.26596566684</v>
      </c>
      <c r="J71" s="447">
        <f>($E$71*'2.22Rate Base'!I44)</f>
        <v>26799.94150615414</v>
      </c>
      <c r="K71" s="447">
        <f>($E$71*'2.22Rate Base'!J44)</f>
        <v>20352.330650617718</v>
      </c>
      <c r="L71" s="447">
        <f>($E$71*'2.22Rate Base'!K44)</f>
        <v>13703.335695878595</v>
      </c>
      <c r="M71" s="447">
        <f>($E$71*'2.22Rate Base'!L44)</f>
        <v>4799.0609361180086</v>
      </c>
      <c r="N71" s="447">
        <f>($E$71*'2.22Rate Base'!M44)</f>
        <v>5165.7228807711799</v>
      </c>
      <c r="O71" s="447">
        <f>($E$71*'2.22Rate Base'!N44)</f>
        <v>291.92583263080274</v>
      </c>
      <c r="P71" s="449">
        <f>SUM(G71:O71)</f>
        <v>201453.28999999995</v>
      </c>
      <c r="Q71" s="408">
        <v>5</v>
      </c>
      <c r="S71" s="427">
        <f t="shared" si="38"/>
        <v>596</v>
      </c>
      <c r="T71" s="427" t="str">
        <f t="shared" si="39"/>
        <v>Maint of Street Lights</v>
      </c>
      <c r="U71" s="471">
        <f t="shared" si="40"/>
        <v>0</v>
      </c>
      <c r="V71" s="471">
        <f t="shared" si="41"/>
        <v>0</v>
      </c>
      <c r="W71" s="471">
        <f t="shared" si="42"/>
        <v>0</v>
      </c>
      <c r="X71" s="471">
        <f t="shared" si="43"/>
        <v>0</v>
      </c>
      <c r="Y71" s="471">
        <f t="shared" si="44"/>
        <v>0</v>
      </c>
      <c r="Z71" s="471">
        <f t="shared" si="45"/>
        <v>0</v>
      </c>
      <c r="AA71" s="471">
        <f t="shared" si="46"/>
        <v>0</v>
      </c>
      <c r="AB71" s="471">
        <f t="shared" si="47"/>
        <v>23457.919999999998</v>
      </c>
      <c r="AC71" s="437">
        <f>SUM(U71:AB71)</f>
        <v>23457.919999999998</v>
      </c>
      <c r="AD71" s="411"/>
    </row>
    <row r="72" spans="1:31">
      <c r="A72" s="430"/>
      <c r="B72" s="430"/>
      <c r="C72" s="435">
        <v>334909.24</v>
      </c>
      <c r="D72" s="436"/>
      <c r="E72" s="436">
        <f>('1TestYr'!J76)</f>
        <v>0</v>
      </c>
      <c r="F72" s="436"/>
      <c r="G72" s="436"/>
      <c r="H72" s="436"/>
      <c r="I72" s="436"/>
      <c r="J72" s="436"/>
      <c r="K72" s="436"/>
      <c r="L72" s="436"/>
      <c r="M72" s="436"/>
      <c r="S72" s="427">
        <f t="shared" si="38"/>
        <v>597</v>
      </c>
      <c r="T72" s="427" t="str">
        <f t="shared" si="39"/>
        <v>Maintenance of Meters</v>
      </c>
      <c r="U72" s="471">
        <f t="shared" si="40"/>
        <v>0</v>
      </c>
      <c r="V72" s="471">
        <f t="shared" si="41"/>
        <v>0</v>
      </c>
      <c r="W72" s="471">
        <f t="shared" si="42"/>
        <v>0</v>
      </c>
      <c r="X72" s="471">
        <f t="shared" si="43"/>
        <v>0</v>
      </c>
      <c r="Y72" s="471">
        <f t="shared" si="44"/>
        <v>0</v>
      </c>
      <c r="Z72" s="471">
        <f t="shared" si="45"/>
        <v>0</v>
      </c>
      <c r="AA72" s="471">
        <f t="shared" si="46"/>
        <v>0</v>
      </c>
      <c r="AB72" s="471">
        <f t="shared" si="47"/>
        <v>0</v>
      </c>
      <c r="AC72" s="437">
        <f t="shared" si="48"/>
        <v>0</v>
      </c>
      <c r="AD72" s="411"/>
    </row>
    <row r="73" spans="1:31">
      <c r="A73" s="430">
        <f>'1TestYr'!B77</f>
        <v>427.1</v>
      </c>
      <c r="B73" s="430" t="str">
        <f>('1TestYr'!C77)</f>
        <v>Interest - RUS Constuc</v>
      </c>
      <c r="C73" s="436">
        <v>301500</v>
      </c>
      <c r="D73" s="436"/>
      <c r="E73" s="436">
        <f>('1TestYr'!J77)</f>
        <v>1391391.58</v>
      </c>
      <c r="F73" s="436"/>
      <c r="G73" s="436"/>
      <c r="H73" s="436"/>
      <c r="I73" s="436"/>
      <c r="J73" s="436"/>
      <c r="K73" s="436"/>
      <c r="L73" s="436"/>
      <c r="M73" s="436"/>
      <c r="S73" s="427">
        <f t="shared" si="38"/>
        <v>598</v>
      </c>
      <c r="T73" s="427" t="str">
        <f t="shared" si="39"/>
        <v>Maint Misc Distrib Plant</v>
      </c>
      <c r="U73" s="471">
        <f t="shared" si="40"/>
        <v>0</v>
      </c>
      <c r="V73" s="471">
        <f t="shared" si="41"/>
        <v>210508.9097538713</v>
      </c>
      <c r="W73" s="471">
        <f t="shared" si="42"/>
        <v>713.82475605782327</v>
      </c>
      <c r="X73" s="471">
        <f t="shared" si="43"/>
        <v>33288.564233907899</v>
      </c>
      <c r="Y73" s="471">
        <f t="shared" si="44"/>
        <v>0</v>
      </c>
      <c r="Z73" s="471">
        <f t="shared" si="45"/>
        <v>0</v>
      </c>
      <c r="AA73" s="471">
        <f t="shared" si="46"/>
        <v>0</v>
      </c>
      <c r="AB73" s="471">
        <f t="shared" si="47"/>
        <v>1009.2812561629677</v>
      </c>
      <c r="AC73" s="437">
        <f t="shared" si="48"/>
        <v>245520.58</v>
      </c>
      <c r="AD73" s="411"/>
    </row>
    <row r="74" spans="1:31" ht="13.5" thickBot="1">
      <c r="A74" s="430">
        <f>'1TestYr'!B78</f>
        <v>427.2</v>
      </c>
      <c r="B74" s="430" t="str">
        <f>('1TestYr'!C78)</f>
        <v>Interest - CFC</v>
      </c>
      <c r="C74" s="440">
        <v>372800</v>
      </c>
      <c r="D74" s="440"/>
      <c r="E74" s="436">
        <f>('1TestYr'!J78)</f>
        <v>1390363.23</v>
      </c>
      <c r="F74" s="436"/>
      <c r="G74" s="436"/>
      <c r="H74" s="436"/>
      <c r="I74" s="436"/>
      <c r="J74" s="436"/>
      <c r="K74" s="436"/>
      <c r="L74" s="436"/>
      <c r="M74" s="436"/>
      <c r="S74" s="427"/>
      <c r="T74" s="427" t="str">
        <f>(B34)</f>
        <v>Total Dist. Maint.</v>
      </c>
      <c r="U74" s="472">
        <f t="shared" ref="U74:AB74" si="49">SUM(U66:U73)</f>
        <v>0</v>
      </c>
      <c r="V74" s="472">
        <f t="shared" si="49"/>
        <v>5103199.7569682002</v>
      </c>
      <c r="W74" s="472">
        <f t="shared" si="49"/>
        <v>17304.684756057824</v>
      </c>
      <c r="X74" s="472">
        <f t="shared" si="49"/>
        <v>806988.13701957813</v>
      </c>
      <c r="Y74" s="472">
        <f t="shared" si="49"/>
        <v>0</v>
      </c>
      <c r="Z74" s="472">
        <f t="shared" si="49"/>
        <v>0</v>
      </c>
      <c r="AA74" s="472">
        <f t="shared" si="49"/>
        <v>0</v>
      </c>
      <c r="AB74" s="472">
        <f t="shared" si="49"/>
        <v>24467.201256162967</v>
      </c>
      <c r="AC74" s="445">
        <f>SUM(U74:AB74)</f>
        <v>5951959.7800000003</v>
      </c>
      <c r="AD74" s="411"/>
      <c r="AE74" s="437"/>
    </row>
    <row r="75" spans="1:31" ht="13.5" thickTop="1">
      <c r="A75" s="430">
        <f>'1TestYr'!B79</f>
        <v>427.4</v>
      </c>
      <c r="B75" s="430" t="str">
        <f>('1TestYr'!C79)</f>
        <v>Interest - FFB</v>
      </c>
      <c r="C75" s="456">
        <f>SUM(C72:C74)</f>
        <v>1009209.24</v>
      </c>
      <c r="D75" s="436">
        <v>73120</v>
      </c>
      <c r="E75" s="440">
        <f>('1TestYr'!J79)</f>
        <v>2621589.44</v>
      </c>
      <c r="F75" s="436"/>
      <c r="G75" s="440"/>
      <c r="H75" s="440"/>
      <c r="I75" s="440"/>
      <c r="J75" s="440"/>
      <c r="K75" s="440"/>
      <c r="L75" s="440"/>
      <c r="M75" s="440"/>
      <c r="N75" s="443"/>
      <c r="O75" s="443"/>
      <c r="P75" s="443"/>
      <c r="Q75" s="419"/>
      <c r="S75" s="427"/>
      <c r="T75" s="427"/>
      <c r="U75" s="473"/>
      <c r="V75" s="473"/>
      <c r="W75" s="473"/>
      <c r="X75" s="473"/>
      <c r="Y75" s="473"/>
      <c r="Z75" s="473"/>
      <c r="AA75" s="473"/>
      <c r="AB75" s="473"/>
      <c r="AC75" s="455"/>
      <c r="AD75" s="411"/>
    </row>
    <row r="76" spans="1:31">
      <c r="A76" s="430"/>
      <c r="B76" s="430" t="str">
        <f>('1TestYr'!C80)</f>
        <v>Total Interest on LTD</v>
      </c>
      <c r="C76" s="435"/>
      <c r="D76" s="436"/>
      <c r="E76" s="440">
        <f>SUM(E73:E75)</f>
        <v>5403344.25</v>
      </c>
      <c r="F76" s="436"/>
      <c r="G76" s="447">
        <v>0</v>
      </c>
      <c r="H76" s="447">
        <f>($E$76*'2.22Rate Base'!G44)</f>
        <v>43926.272803727967</v>
      </c>
      <c r="I76" s="447">
        <f>($E$76*'2.22Rate Base'!H44)</f>
        <v>3452056.0677455636</v>
      </c>
      <c r="J76" s="447">
        <f>($E$76*'2.22Rate Base'!I44)</f>
        <v>718823.25593994686</v>
      </c>
      <c r="K76" s="447">
        <f>($E$76*'2.22Rate Base'!J44)</f>
        <v>545886.58638989716</v>
      </c>
      <c r="L76" s="447">
        <f>($E$76*'2.22Rate Base'!K44)</f>
        <v>367548.42841308453</v>
      </c>
      <c r="M76" s="447">
        <f>($E$76*'2.22Rate Base'!L44)</f>
        <v>128719.55734539189</v>
      </c>
      <c r="N76" s="447">
        <f>($E$76*'2.22Rate Base'!M44)</f>
        <v>138554.09869408631</v>
      </c>
      <c r="O76" s="447">
        <f>($E$76*'2.22Rate Base'!N44)</f>
        <v>7829.9826683004812</v>
      </c>
      <c r="P76" s="449">
        <f>SUM(H76:O76)</f>
        <v>5403344.2499999991</v>
      </c>
      <c r="Q76" s="408">
        <v>5</v>
      </c>
      <c r="S76" s="427">
        <v>901</v>
      </c>
      <c r="T76" s="417" t="s">
        <v>36</v>
      </c>
      <c r="U76" s="455" t="s">
        <v>1</v>
      </c>
      <c r="V76" s="455" t="s">
        <v>1</v>
      </c>
      <c r="W76" s="455" t="s">
        <v>1</v>
      </c>
      <c r="X76" s="455" t="s">
        <v>1</v>
      </c>
      <c r="Y76" s="455" t="s">
        <v>1</v>
      </c>
      <c r="Z76" s="437">
        <f>(M36)</f>
        <v>75527.05</v>
      </c>
      <c r="AA76" s="455" t="s">
        <v>1</v>
      </c>
      <c r="AC76" s="437">
        <f>SUM(U76:AA76)</f>
        <v>75527.05</v>
      </c>
      <c r="AD76" s="411"/>
    </row>
    <row r="77" spans="1:31">
      <c r="A77" s="430"/>
      <c r="B77" s="430"/>
      <c r="C77" s="435">
        <v>32877.120000000003</v>
      </c>
      <c r="D77" s="436"/>
      <c r="E77" s="436" t="str">
        <f>('1TestYr'!J81)</f>
        <v xml:space="preserve"> </v>
      </c>
      <c r="F77" s="436"/>
      <c r="G77" s="436"/>
      <c r="H77" s="436"/>
      <c r="I77" s="436"/>
      <c r="J77" s="436"/>
      <c r="K77" s="436"/>
      <c r="L77" s="436"/>
      <c r="M77" s="436"/>
      <c r="P77" s="437"/>
      <c r="S77" s="427">
        <v>902</v>
      </c>
      <c r="T77" s="417" t="s">
        <v>37</v>
      </c>
      <c r="Z77" s="437">
        <f>(M37)</f>
        <v>37553.07</v>
      </c>
      <c r="AC77" s="437">
        <f>SUM(U77:AA77)</f>
        <v>37553.07</v>
      </c>
    </row>
    <row r="78" spans="1:31">
      <c r="A78" s="430">
        <f>('1TestYr'!B82)</f>
        <v>431</v>
      </c>
      <c r="B78" s="430" t="str">
        <f>('1TestYr'!C82)</f>
        <v>Other Interest Expense</v>
      </c>
      <c r="C78" s="440">
        <v>26952.1</v>
      </c>
      <c r="D78" s="440"/>
      <c r="E78" s="440">
        <f>'1TestYr'!D82</f>
        <v>54021.35</v>
      </c>
      <c r="F78" s="436"/>
      <c r="G78" s="436"/>
      <c r="H78" s="436"/>
      <c r="I78" s="436"/>
      <c r="J78" s="436"/>
      <c r="K78" s="436"/>
      <c r="L78" s="436"/>
      <c r="M78" s="436"/>
      <c r="S78" s="427">
        <v>903</v>
      </c>
      <c r="T78" s="417" t="s">
        <v>38</v>
      </c>
      <c r="Z78" s="437">
        <f>(M38)</f>
        <v>3111177.7100000004</v>
      </c>
      <c r="AC78" s="437">
        <f>SUM(U78:AA78)</f>
        <v>3111177.7100000004</v>
      </c>
    </row>
    <row r="79" spans="1:31">
      <c r="A79" s="430" t="str">
        <f>('1TestYr'!B84)</f>
        <v xml:space="preserve"> </v>
      </c>
      <c r="B79" s="430" t="str">
        <f>('1TestYr'!C85)</f>
        <v>Total ST Interest</v>
      </c>
      <c r="C79" s="464"/>
      <c r="D79" s="436"/>
      <c r="E79" s="440">
        <f>SUM(E78)</f>
        <v>54021.35</v>
      </c>
      <c r="F79" s="436"/>
      <c r="G79" s="447"/>
      <c r="H79" s="447">
        <f>($E$79*'2.22Rate Base'!G44)</f>
        <v>439.16442253807344</v>
      </c>
      <c r="I79" s="447">
        <f>($E$79*'2.22Rate Base'!H44)</f>
        <v>34512.835093804504</v>
      </c>
      <c r="J79" s="447">
        <f>($E$79*'2.22Rate Base'!I44)</f>
        <v>7186.6238574881554</v>
      </c>
      <c r="K79" s="447">
        <f>($E$79*'2.22Rate Base'!J44)</f>
        <v>5457.6441883512925</v>
      </c>
      <c r="L79" s="447">
        <f>($E$79*'2.22Rate Base'!K44)</f>
        <v>3674.6617232935296</v>
      </c>
      <c r="M79" s="447">
        <f>($E$79*'2.22Rate Base'!L44)</f>
        <v>1286.9075034781442</v>
      </c>
      <c r="N79" s="447">
        <f>($E$79*'2.22Rate Base'!M44)</f>
        <v>1385.230907597231</v>
      </c>
      <c r="O79" s="447">
        <f>($E$79*'2.22Rate Base'!N44)</f>
        <v>78.282303449052719</v>
      </c>
      <c r="P79" s="449">
        <f>SUM(G79:O79)</f>
        <v>54021.349999999977</v>
      </c>
      <c r="Q79" s="408">
        <v>5</v>
      </c>
      <c r="S79" s="427">
        <v>904</v>
      </c>
      <c r="T79" s="417" t="s">
        <v>39</v>
      </c>
      <c r="U79" s="471" t="s">
        <v>1</v>
      </c>
      <c r="Z79" s="437">
        <f>(M39)</f>
        <v>-104074.25</v>
      </c>
      <c r="AC79" s="437">
        <f>SUM(U79:AA79)</f>
        <v>-104074.25</v>
      </c>
      <c r="AE79" s="437"/>
    </row>
    <row r="80" spans="1:31" ht="13.5" thickBot="1">
      <c r="A80" s="430" t="s">
        <v>1</v>
      </c>
      <c r="B80" s="430" t="str">
        <f>('1TestYr'!C86)</f>
        <v xml:space="preserve"> </v>
      </c>
      <c r="C80" s="456" t="e">
        <f>SUM(C10,C22,#REF!,C39,C46,C60,C64,C70,C75,#REF!)</f>
        <v>#REF!</v>
      </c>
      <c r="D80" s="456" t="e">
        <f>SUM(D10,D22,#REF!,D39,D46,D60,D64,D70,D75,#REF!)</f>
        <v>#REF!</v>
      </c>
      <c r="E80" s="436">
        <f>('1TestYr'!J86)</f>
        <v>0</v>
      </c>
      <c r="F80" s="436"/>
      <c r="G80" s="436"/>
      <c r="H80" s="436"/>
      <c r="I80" s="436"/>
      <c r="J80" s="436"/>
      <c r="K80" s="436"/>
      <c r="L80" s="436"/>
      <c r="M80" s="436"/>
      <c r="S80" s="427" t="s">
        <v>1</v>
      </c>
      <c r="T80" s="417" t="s">
        <v>77</v>
      </c>
      <c r="U80" s="472" t="s">
        <v>1</v>
      </c>
      <c r="V80" s="474"/>
      <c r="W80" s="474"/>
      <c r="X80" s="474"/>
      <c r="Y80" s="474"/>
      <c r="Z80" s="445">
        <f>SUM(Z76:Z79)</f>
        <v>3120183.5800000005</v>
      </c>
      <c r="AA80" s="474"/>
      <c r="AB80" s="474"/>
      <c r="AC80" s="445">
        <f>SUM(AC76:AC79)</f>
        <v>3120183.5800000005</v>
      </c>
    </row>
    <row r="81" spans="1:31" ht="13.5" thickTop="1">
      <c r="A81" s="430" t="s">
        <v>1</v>
      </c>
      <c r="B81" s="430" t="str">
        <f>('1TestYr'!C87)</f>
        <v>Total Costs</v>
      </c>
      <c r="C81" s="457">
        <f>(C75)</f>
        <v>1009209.24</v>
      </c>
      <c r="D81" s="440">
        <f>(D75)</f>
        <v>73120</v>
      </c>
      <c r="E81" s="440">
        <f>SUM(E12,E24,E34,E61,E66,E71,E79,E48,E40,E76)</f>
        <v>92464095.920000002</v>
      </c>
      <c r="F81" s="436"/>
      <c r="G81" s="440">
        <f t="shared" ref="G81:P81" si="50">SUM(G12,G24,G34,G61,G66,G71,G79,G48,G40,G76)</f>
        <v>58751870.200000003</v>
      </c>
      <c r="H81" s="436">
        <f>SUM(H12,H24,H34,H61,H66,H71,H79,H48,H40,H76)</f>
        <v>159253.05180124828</v>
      </c>
      <c r="I81" s="436">
        <f t="shared" si="50"/>
        <v>18723766.843173649</v>
      </c>
      <c r="J81" s="436">
        <f t="shared" si="50"/>
        <v>1935735.2624900951</v>
      </c>
      <c r="K81" s="436">
        <f t="shared" si="50"/>
        <v>2960859.5474103857</v>
      </c>
      <c r="L81" s="436">
        <f t="shared" si="50"/>
        <v>3707741.6744746254</v>
      </c>
      <c r="M81" s="436">
        <f t="shared" si="50"/>
        <v>5495161.7249758989</v>
      </c>
      <c r="N81" s="436">
        <f t="shared" si="50"/>
        <v>676805.59858664183</v>
      </c>
      <c r="O81" s="436">
        <f t="shared" si="50"/>
        <v>52902.017087453562</v>
      </c>
      <c r="P81" s="440">
        <f t="shared" si="50"/>
        <v>92464095.920000002</v>
      </c>
      <c r="S81" s="427" t="s">
        <v>1</v>
      </c>
      <c r="T81" s="417" t="s">
        <v>1</v>
      </c>
      <c r="U81" s="471" t="s">
        <v>1</v>
      </c>
      <c r="Z81" s="437" t="s">
        <v>1</v>
      </c>
    </row>
    <row r="82" spans="1:31">
      <c r="A82" s="430" t="s">
        <v>1</v>
      </c>
      <c r="B82" s="430" t="str">
        <f>('1TestYr'!C88)</f>
        <v>Margin Requirements</v>
      </c>
      <c r="C82" s="456" t="e">
        <f>(C80+C81)</f>
        <v>#REF!</v>
      </c>
      <c r="D82" s="456" t="e">
        <f>(D80+D81)</f>
        <v>#REF!</v>
      </c>
      <c r="E82" s="440">
        <f>('1TestYr'!J88)</f>
        <v>3617966</v>
      </c>
      <c r="F82" s="436"/>
      <c r="G82" s="440">
        <f>(G76)</f>
        <v>0</v>
      </c>
      <c r="H82" s="447">
        <f>($E$82*'2.22Rate Base'!G44)</f>
        <v>29412.11112185059</v>
      </c>
      <c r="I82" s="447">
        <f>($E$82*'2.22Rate Base'!H44)</f>
        <v>2311424.352279081</v>
      </c>
      <c r="J82" s="447">
        <f>($E$82*'2.22Rate Base'!I44)</f>
        <v>481308.97823140281</v>
      </c>
      <c r="K82" s="447">
        <f>($E$82*'2.22Rate Base'!J44)</f>
        <v>365514.21083613369</v>
      </c>
      <c r="L82" s="447">
        <f>($E$82*'2.22Rate Base'!K44)</f>
        <v>246102.72006118688</v>
      </c>
      <c r="M82" s="447">
        <f>($E$82*'2.22Rate Base'!L44)</f>
        <v>86187.916309548134</v>
      </c>
      <c r="N82" s="447">
        <f>($E$82*'2.22Rate Base'!M44)</f>
        <v>92772.918963260337</v>
      </c>
      <c r="O82" s="447">
        <f>($E$82*'2.22Rate Base'!N44)</f>
        <v>5242.7921975358904</v>
      </c>
      <c r="P82" s="436">
        <f>SUM(H82:O82)</f>
        <v>3617965.9999999991</v>
      </c>
      <c r="S82" s="427">
        <f>A42</f>
        <v>907</v>
      </c>
      <c r="T82" s="427" t="str">
        <f>B42</f>
        <v>Customer Information</v>
      </c>
      <c r="U82" s="473" t="s">
        <v>1</v>
      </c>
      <c r="V82" s="473" t="s">
        <v>1</v>
      </c>
      <c r="W82" s="473" t="s">
        <v>1</v>
      </c>
      <c r="X82" s="473" t="s">
        <v>1</v>
      </c>
      <c r="Y82" s="473" t="s">
        <v>1</v>
      </c>
      <c r="Z82" s="437">
        <f t="shared" ref="Z82:Z87" si="51">(M42)</f>
        <v>3544.27</v>
      </c>
      <c r="AA82" s="473" t="s">
        <v>1</v>
      </c>
      <c r="AC82" s="437">
        <f>SUM(U82:AA82)</f>
        <v>3544.27</v>
      </c>
    </row>
    <row r="83" spans="1:31" ht="13.5" thickBot="1">
      <c r="A83" s="430" t="s">
        <v>1</v>
      </c>
      <c r="B83" s="430" t="str">
        <f>('1TestYr'!C89)</f>
        <v>Total Revenue Require.</v>
      </c>
      <c r="C83" s="456"/>
      <c r="D83" s="456"/>
      <c r="E83" s="475">
        <f>(E81+E82)</f>
        <v>96082061.920000002</v>
      </c>
      <c r="F83" s="436"/>
      <c r="G83" s="475">
        <f t="shared" ref="G83:O83" si="52">(G81+G82)</f>
        <v>58751870.200000003</v>
      </c>
      <c r="H83" s="475">
        <f t="shared" si="52"/>
        <v>188665.16292309886</v>
      </c>
      <c r="I83" s="475">
        <f t="shared" si="52"/>
        <v>21035191.195452731</v>
      </c>
      <c r="J83" s="475">
        <f t="shared" si="52"/>
        <v>2417044.2407214977</v>
      </c>
      <c r="K83" s="475">
        <f t="shared" si="52"/>
        <v>3326373.7582465196</v>
      </c>
      <c r="L83" s="475">
        <f t="shared" si="52"/>
        <v>3953844.3945358121</v>
      </c>
      <c r="M83" s="475">
        <f t="shared" si="52"/>
        <v>5581349.6412854474</v>
      </c>
      <c r="N83" s="475">
        <f t="shared" si="52"/>
        <v>769578.5175499022</v>
      </c>
      <c r="O83" s="475">
        <f t="shared" si="52"/>
        <v>58144.809284989453</v>
      </c>
      <c r="P83" s="475">
        <f>(P81+P82)</f>
        <v>96082061.920000002</v>
      </c>
      <c r="S83" s="427">
        <f>A43</f>
        <v>908</v>
      </c>
      <c r="T83" s="427" t="str">
        <f t="shared" ref="T83:T88" si="53">B43</f>
        <v>Customer Accounting</v>
      </c>
      <c r="U83" s="409" t="s">
        <v>1</v>
      </c>
      <c r="Z83" s="437">
        <f t="shared" si="51"/>
        <v>252729.74000000002</v>
      </c>
      <c r="AC83" s="437">
        <f>SUM(U83:AA83)</f>
        <v>252729.74000000002</v>
      </c>
    </row>
    <row r="84" spans="1:31" ht="13.5" thickTop="1">
      <c r="A84" s="430" t="s">
        <v>1</v>
      </c>
      <c r="B84" s="432" t="s">
        <v>1</v>
      </c>
      <c r="C84" s="456"/>
      <c r="D84" s="456"/>
      <c r="E84" s="436" t="s">
        <v>1</v>
      </c>
      <c r="F84" s="436">
        <f>(E83-P83)</f>
        <v>0</v>
      </c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S84" s="427">
        <f>A44</f>
        <v>909</v>
      </c>
      <c r="T84" s="427" t="str">
        <f t="shared" si="53"/>
        <v>Consumer Information</v>
      </c>
      <c r="U84" s="471" t="s">
        <v>1</v>
      </c>
      <c r="Z84" s="437">
        <f t="shared" si="51"/>
        <v>36750.879999999997</v>
      </c>
      <c r="AC84" s="437">
        <f>SUM(U84:AA84)</f>
        <v>36750.879999999997</v>
      </c>
    </row>
    <row r="85" spans="1:31">
      <c r="F85" s="436"/>
      <c r="G85" s="456"/>
      <c r="H85" s="456"/>
      <c r="I85" s="456"/>
      <c r="J85" s="456"/>
      <c r="K85" s="456"/>
      <c r="L85" s="456"/>
      <c r="M85" s="456"/>
      <c r="N85" s="456"/>
      <c r="O85" s="456"/>
      <c r="P85" s="456">
        <f>SUM(G83:O83)</f>
        <v>96082061.920000002</v>
      </c>
      <c r="S85" s="427">
        <f>A45</f>
        <v>910</v>
      </c>
      <c r="T85" s="427" t="str">
        <f t="shared" si="53"/>
        <v>Mis. Customer Information</v>
      </c>
      <c r="U85" s="471" t="s">
        <v>1</v>
      </c>
      <c r="Z85" s="437">
        <f t="shared" si="51"/>
        <v>370042.31999999995</v>
      </c>
      <c r="AC85" s="437">
        <f>SUM(U85:AA85)</f>
        <v>370042.31999999995</v>
      </c>
    </row>
    <row r="86" spans="1:31">
      <c r="E86" s="437">
        <f>('1TestYr'!J89-'2 Functionalization2'!E83)</f>
        <v>0</v>
      </c>
      <c r="F86" s="43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S86" s="427">
        <f>A46</f>
        <v>912</v>
      </c>
      <c r="T86" s="427" t="str">
        <f t="shared" si="53"/>
        <v>Key Accounts Expneses</v>
      </c>
      <c r="U86" s="471"/>
      <c r="Z86" s="437">
        <f t="shared" si="51"/>
        <v>0</v>
      </c>
      <c r="AC86" s="437"/>
      <c r="AE86" s="437">
        <f>SUM(V88:AA88)</f>
        <v>811685.28</v>
      </c>
    </row>
    <row r="87" spans="1:31">
      <c r="F87" s="43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S87" s="427">
        <f>A47</f>
        <v>913</v>
      </c>
      <c r="T87" s="427" t="str">
        <f t="shared" si="53"/>
        <v>Advertising</v>
      </c>
      <c r="U87" s="471" t="s">
        <v>1</v>
      </c>
      <c r="Z87" s="437">
        <f t="shared" si="51"/>
        <v>148618.07</v>
      </c>
      <c r="AC87" s="437">
        <f>SUM(U87:AA87)</f>
        <v>148618.07</v>
      </c>
    </row>
    <row r="88" spans="1:31" ht="13.5" thickBot="1">
      <c r="F88" s="43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S88" s="427"/>
      <c r="T88" s="427" t="str">
        <f t="shared" si="53"/>
        <v>Total Customer Serv.</v>
      </c>
      <c r="U88" s="472" t="s">
        <v>1</v>
      </c>
      <c r="V88" s="474"/>
      <c r="W88" s="474"/>
      <c r="X88" s="474"/>
      <c r="Y88" s="474"/>
      <c r="Z88" s="445">
        <f>SUM(Z82:Z87)</f>
        <v>811685.28</v>
      </c>
      <c r="AA88" s="474"/>
      <c r="AB88" s="474"/>
      <c r="AC88" s="445">
        <f>SUM(AC82:AC87)</f>
        <v>811685.28</v>
      </c>
      <c r="AE88" s="437">
        <f>SUM(U89:AB90)</f>
        <v>14751900.079999998</v>
      </c>
    </row>
    <row r="89" spans="1:31" ht="13.5" thickTop="1">
      <c r="F89" s="43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T89" s="427"/>
      <c r="U89" s="471" t="s">
        <v>1</v>
      </c>
      <c r="Z89" s="437" t="str">
        <f>(U89)</f>
        <v xml:space="preserve"> </v>
      </c>
      <c r="AE89" s="436">
        <f>SUM(U90:AB91)</f>
        <v>14751901.079999996</v>
      </c>
    </row>
    <row r="90" spans="1:31">
      <c r="F90" s="43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T90" s="417" t="s">
        <v>276</v>
      </c>
      <c r="U90" s="471">
        <f t="shared" ref="U90:AC90" si="54">SUM(U64,U74,U88,U80)</f>
        <v>32315.753894523554</v>
      </c>
      <c r="V90" s="471">
        <f t="shared" si="54"/>
        <v>7277207.6175982058</v>
      </c>
      <c r="W90" s="471">
        <f t="shared" si="54"/>
        <v>17304.684756057824</v>
      </c>
      <c r="X90" s="471">
        <f t="shared" si="54"/>
        <v>1150772.1621148475</v>
      </c>
      <c r="Y90" s="471">
        <f t="shared" si="54"/>
        <v>2082886.6505164511</v>
      </c>
      <c r="Z90" s="471">
        <f t="shared" si="54"/>
        <v>3931868.8600000003</v>
      </c>
      <c r="AA90" s="471">
        <f t="shared" si="54"/>
        <v>235077.14986375015</v>
      </c>
      <c r="AB90" s="471">
        <f t="shared" si="54"/>
        <v>24467.201256162967</v>
      </c>
      <c r="AC90" s="471">
        <f t="shared" si="54"/>
        <v>14751900.079999998</v>
      </c>
      <c r="AE90" s="437">
        <f>(AC90-AE88)</f>
        <v>0</v>
      </c>
    </row>
    <row r="91" spans="1:31">
      <c r="F91" s="43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T91" s="417" t="s">
        <v>277</v>
      </c>
      <c r="U91" s="476">
        <f t="shared" ref="U91:AB91" si="55">(U90/$AC$90)</f>
        <v>2.1906163761464116E-3</v>
      </c>
      <c r="V91" s="476">
        <f t="shared" si="55"/>
        <v>0.49330646073615531</v>
      </c>
      <c r="W91" s="476">
        <f t="shared" si="55"/>
        <v>1.1730478556805563E-3</v>
      </c>
      <c r="X91" s="476">
        <f t="shared" si="55"/>
        <v>7.8008402705697255E-2</v>
      </c>
      <c r="Y91" s="476">
        <f t="shared" si="55"/>
        <v>0.14119446574481212</v>
      </c>
      <c r="Z91" s="476">
        <f t="shared" si="55"/>
        <v>0.26653304582307075</v>
      </c>
      <c r="AA91" s="476">
        <f t="shared" si="55"/>
        <v>1.5935381109478758E-2</v>
      </c>
      <c r="AB91" s="476">
        <f t="shared" si="55"/>
        <v>1.6585796489588865E-3</v>
      </c>
      <c r="AC91" s="476">
        <f>SUM(U91:AB91)</f>
        <v>1</v>
      </c>
    </row>
    <row r="92" spans="1:31">
      <c r="F92" s="436"/>
      <c r="G92" s="436"/>
      <c r="H92" s="466">
        <f>(H82/H83)</f>
        <v>0.15589582446569195</v>
      </c>
      <c r="I92" s="466">
        <f t="shared" ref="I92:P92" si="56">(I82/I83)</f>
        <v>0.10988368638069483</v>
      </c>
      <c r="J92" s="466">
        <f t="shared" si="56"/>
        <v>0.19913122404732239</v>
      </c>
      <c r="K92" s="466">
        <f t="shared" si="56"/>
        <v>0.1098836863806948</v>
      </c>
      <c r="L92" s="466">
        <f t="shared" si="56"/>
        <v>6.2243906310855149E-2</v>
      </c>
      <c r="M92" s="466">
        <f t="shared" si="56"/>
        <v>1.5442128131879245E-2</v>
      </c>
      <c r="N92" s="466">
        <f t="shared" si="56"/>
        <v>0.12055029714007656</v>
      </c>
      <c r="O92" s="466">
        <f t="shared" si="56"/>
        <v>9.0167845797532939E-2</v>
      </c>
      <c r="P92" s="466">
        <f t="shared" si="56"/>
        <v>3.7654957935981802E-2</v>
      </c>
      <c r="U92" s="386"/>
      <c r="V92" s="386"/>
      <c r="W92" s="386"/>
      <c r="X92" s="386"/>
      <c r="Y92" s="386"/>
      <c r="Z92" s="386"/>
      <c r="AA92" s="386"/>
      <c r="AB92" s="386"/>
      <c r="AC92" s="386"/>
    </row>
    <row r="93" spans="1:31">
      <c r="A93" s="430">
        <f>('1TestYr'!B90)</f>
        <v>0</v>
      </c>
      <c r="B93" s="432" t="str">
        <f>('1TestYr'!C91)</f>
        <v>Less;  Misc Income</v>
      </c>
      <c r="C93" s="456"/>
      <c r="D93" s="456"/>
      <c r="E93" s="436">
        <f>('1TestYr'!J91)</f>
        <v>0</v>
      </c>
      <c r="F93" s="436"/>
      <c r="G93" s="436"/>
      <c r="H93" s="436"/>
      <c r="I93" s="436"/>
      <c r="J93" s="436"/>
      <c r="K93" s="436"/>
      <c r="L93" s="436"/>
      <c r="M93" s="436"/>
      <c r="U93" s="386"/>
      <c r="V93" s="386"/>
      <c r="W93" s="386"/>
      <c r="X93" s="386"/>
      <c r="Y93" s="386"/>
      <c r="Z93" s="386"/>
      <c r="AA93" s="386"/>
      <c r="AB93" s="386"/>
      <c r="AC93" s="386"/>
    </row>
    <row r="94" spans="1:31">
      <c r="A94" s="430">
        <f>('1TestYr'!B91)</f>
        <v>0</v>
      </c>
      <c r="B94" s="432" t="str">
        <f>('1TestYr'!C92)</f>
        <v>Forfeited Discounts</v>
      </c>
      <c r="C94" s="436">
        <f>('1TestYr'!D92)</f>
        <v>1124919.1599999999</v>
      </c>
      <c r="D94" s="436">
        <f>('1TestYr'!E92)</f>
        <v>0</v>
      </c>
      <c r="E94" s="436">
        <f>('1TestYr'!J92)</f>
        <v>1124919.1599999999</v>
      </c>
      <c r="F94" s="436"/>
      <c r="G94" s="436"/>
      <c r="H94" s="436"/>
      <c r="I94" s="436"/>
      <c r="J94" s="436"/>
      <c r="K94" s="436"/>
      <c r="L94" s="436"/>
      <c r="M94" s="436"/>
      <c r="U94" s="386"/>
      <c r="V94" s="386"/>
      <c r="W94" s="386"/>
      <c r="X94" s="386"/>
      <c r="Y94" s="386"/>
      <c r="Z94" s="386"/>
      <c r="AA94" s="386"/>
      <c r="AB94" s="386"/>
      <c r="AC94" s="386"/>
    </row>
    <row r="95" spans="1:31">
      <c r="A95" s="430">
        <f>('1TestYr'!B92)</f>
        <v>450</v>
      </c>
      <c r="B95" s="432" t="str">
        <f>('1TestYr'!C93)</f>
        <v>Misc Service Revenue</v>
      </c>
      <c r="C95" s="456"/>
      <c r="D95" s="456"/>
      <c r="E95" s="436">
        <f>('1TestYr'!J93)</f>
        <v>326809.63</v>
      </c>
      <c r="F95" s="436"/>
      <c r="G95" s="436"/>
      <c r="H95" s="436"/>
      <c r="I95" s="436"/>
      <c r="J95" s="436"/>
      <c r="K95" s="436"/>
      <c r="L95" s="436"/>
      <c r="M95" s="436"/>
      <c r="U95" s="386"/>
      <c r="V95" s="386"/>
      <c r="W95" s="386"/>
      <c r="X95" s="386"/>
      <c r="Y95" s="386"/>
      <c r="Z95" s="386"/>
      <c r="AA95" s="386"/>
      <c r="AB95" s="386"/>
      <c r="AC95" s="386"/>
    </row>
    <row r="96" spans="1:31">
      <c r="A96" s="430">
        <f>('1TestYr'!B93)</f>
        <v>451</v>
      </c>
      <c r="B96" s="432" t="str">
        <f>('1TestYr'!C94)</f>
        <v>Return Check Charge</v>
      </c>
      <c r="C96" s="456"/>
      <c r="D96" s="456"/>
      <c r="E96" s="436">
        <f>('1TestYr'!J94)</f>
        <v>0</v>
      </c>
      <c r="F96" s="436"/>
      <c r="G96" s="436"/>
      <c r="H96" s="436"/>
      <c r="I96" s="436"/>
      <c r="J96" s="436"/>
      <c r="K96" s="436"/>
      <c r="L96" s="436"/>
      <c r="M96" s="436"/>
      <c r="T96" s="386"/>
      <c r="U96" s="386"/>
      <c r="V96" s="386"/>
      <c r="W96" s="386"/>
      <c r="X96" s="386"/>
      <c r="Y96" s="386"/>
      <c r="Z96" s="386"/>
      <c r="AA96" s="386"/>
      <c r="AB96" s="386"/>
      <c r="AC96" s="386"/>
    </row>
    <row r="97" spans="1:29">
      <c r="A97" s="430">
        <f>('1TestYr'!B94)</f>
        <v>452</v>
      </c>
      <c r="B97" s="432" t="str">
        <f>('1TestYr'!C95)</f>
        <v>Rent from Electric Prop.</v>
      </c>
      <c r="C97" s="435"/>
      <c r="D97" s="436"/>
      <c r="E97" s="436">
        <f>('1TestYr'!J95)</f>
        <v>915266.04</v>
      </c>
      <c r="F97" s="436"/>
      <c r="G97" s="436"/>
      <c r="H97" s="436"/>
      <c r="I97" s="436"/>
      <c r="J97" s="436"/>
      <c r="K97" s="436"/>
      <c r="L97" s="436"/>
      <c r="M97" s="436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</row>
    <row r="98" spans="1:29">
      <c r="A98" s="430">
        <f>('1TestYr'!B95)</f>
        <v>454</v>
      </c>
      <c r="B98" s="432" t="str">
        <f>('1TestYr'!C97)</f>
        <v>Total Misc Income</v>
      </c>
      <c r="C98" s="464"/>
      <c r="D98" s="436"/>
      <c r="E98" s="436">
        <f>('1TestYr'!J97)</f>
        <v>2600940.0300000003</v>
      </c>
      <c r="F98" s="436"/>
      <c r="G98" s="436"/>
      <c r="H98" s="436"/>
      <c r="I98" s="436"/>
      <c r="J98" s="436"/>
      <c r="K98" s="436"/>
      <c r="L98" s="436"/>
      <c r="M98" s="436"/>
      <c r="T98" s="386"/>
      <c r="U98" s="386"/>
      <c r="V98" s="386"/>
      <c r="W98" s="386"/>
      <c r="X98" s="386"/>
      <c r="Y98" s="386"/>
      <c r="Z98" s="386"/>
      <c r="AA98" s="386"/>
      <c r="AB98" s="386"/>
      <c r="AC98" s="386"/>
    </row>
    <row r="99" spans="1:29">
      <c r="A99" s="430">
        <f>('1TestYr'!B97)</f>
        <v>0</v>
      </c>
      <c r="B99" s="432" t="s">
        <v>1</v>
      </c>
      <c r="C99" s="435">
        <v>249793.5</v>
      </c>
      <c r="D99" s="436"/>
      <c r="E99" s="436">
        <f>('1TestYr'!J98)</f>
        <v>0</v>
      </c>
      <c r="F99" s="436"/>
      <c r="G99" s="436"/>
      <c r="H99" s="436"/>
      <c r="I99" s="436"/>
      <c r="J99" s="436"/>
      <c r="K99" s="436"/>
      <c r="L99" s="436"/>
      <c r="M99" s="436"/>
      <c r="P99" s="437" t="s">
        <v>1</v>
      </c>
      <c r="T99" s="386" t="str">
        <f>(B22)</f>
        <v>Misc. Distribution Exp</v>
      </c>
      <c r="U99" s="386"/>
      <c r="V99" s="386"/>
      <c r="W99" s="386"/>
      <c r="X99" s="386"/>
      <c r="Y99" s="386"/>
      <c r="Z99" s="386"/>
      <c r="AA99" s="386"/>
      <c r="AB99" s="386"/>
      <c r="AC99" s="386"/>
    </row>
    <row r="100" spans="1:29">
      <c r="A100" s="430">
        <f>('1TestYr'!B98)</f>
        <v>0</v>
      </c>
      <c r="B100" s="432" t="str">
        <f>('1TestYr'!C99)</f>
        <v>Less:  Other Income</v>
      </c>
      <c r="C100" s="435">
        <v>70175.22</v>
      </c>
      <c r="D100" s="436"/>
      <c r="E100" s="436">
        <f>('1TestYr'!J99)</f>
        <v>0</v>
      </c>
      <c r="F100" s="436"/>
      <c r="G100" s="436"/>
      <c r="H100" s="436"/>
      <c r="I100" s="436"/>
      <c r="J100" s="436"/>
      <c r="K100" s="436"/>
      <c r="L100" s="436"/>
      <c r="M100" s="436"/>
      <c r="P100" s="409" t="s">
        <v>1</v>
      </c>
      <c r="T100" s="386" t="e">
        <f>(#REF!)</f>
        <v>#REF!</v>
      </c>
      <c r="U100" s="386"/>
      <c r="V100" s="386"/>
      <c r="W100" s="386"/>
      <c r="X100" s="386"/>
      <c r="Y100" s="386"/>
      <c r="Z100" s="386"/>
      <c r="AA100" s="386"/>
      <c r="AB100" s="386"/>
      <c r="AC100" s="386"/>
    </row>
    <row r="101" spans="1:29">
      <c r="A101" s="430">
        <f>('1TestYr'!B99)</f>
        <v>0</v>
      </c>
      <c r="B101" s="432" t="str">
        <f>('1TestYr'!C100)</f>
        <v>Net Revenue from Merchandising</v>
      </c>
      <c r="C101" s="435">
        <v>282821.45</v>
      </c>
      <c r="D101" s="436">
        <v>10755</v>
      </c>
      <c r="E101" s="436">
        <f>('1TestYr'!J100)</f>
        <v>8776.3700000000008</v>
      </c>
      <c r="F101" s="436"/>
      <c r="G101" s="436"/>
      <c r="H101" s="436"/>
      <c r="I101" s="436"/>
      <c r="J101" s="436"/>
      <c r="K101" s="436"/>
      <c r="L101" s="436"/>
      <c r="M101" s="436"/>
      <c r="P101" s="409" t="s">
        <v>1</v>
      </c>
      <c r="T101" s="386" t="str">
        <f>(B39)</f>
        <v>Uncollectible Accounts</v>
      </c>
      <c r="U101" s="386"/>
      <c r="V101" s="386"/>
      <c r="W101" s="386"/>
      <c r="X101" s="386"/>
      <c r="Y101" s="386"/>
      <c r="Z101" s="386"/>
      <c r="AA101" s="386"/>
      <c r="AB101" s="386"/>
      <c r="AC101" s="386"/>
    </row>
    <row r="102" spans="1:29">
      <c r="A102" s="430">
        <f>('1TestYr'!B100)</f>
        <v>415</v>
      </c>
      <c r="B102" s="432" t="str">
        <f>('1TestYr'!C104)</f>
        <v>Interest Income</v>
      </c>
      <c r="C102" s="440">
        <v>1080</v>
      </c>
      <c r="D102" s="440">
        <v>15537</v>
      </c>
      <c r="E102" s="436">
        <f>('1TestYr'!J104)</f>
        <v>161289.51999999999</v>
      </c>
      <c r="F102" s="436"/>
      <c r="G102" s="436"/>
      <c r="H102" s="436"/>
      <c r="I102" s="436"/>
      <c r="J102" s="436"/>
      <c r="K102" s="436"/>
      <c r="L102" s="436"/>
      <c r="M102" s="436"/>
      <c r="P102" s="437" t="s">
        <v>1</v>
      </c>
      <c r="T102" s="386" t="str">
        <f>(B46)</f>
        <v>Key Accounts Expneses</v>
      </c>
      <c r="U102" s="386"/>
      <c r="V102" s="386"/>
      <c r="W102" s="386"/>
      <c r="X102" s="386"/>
      <c r="Y102" s="386"/>
      <c r="Z102" s="386"/>
      <c r="AA102" s="386"/>
      <c r="AB102" s="386"/>
      <c r="AC102" s="386"/>
    </row>
    <row r="103" spans="1:29">
      <c r="A103" s="430">
        <f>('1TestYr'!B104)</f>
        <v>419</v>
      </c>
      <c r="B103" s="432" t="str">
        <f>('1TestYr'!C105)</f>
        <v>Misc. Non-operating Income</v>
      </c>
      <c r="C103" s="456">
        <f>SUM(C99:C102)</f>
        <v>603870.16999999993</v>
      </c>
      <c r="D103" s="456">
        <f>SUM(D99:D102)</f>
        <v>26292</v>
      </c>
      <c r="E103" s="436">
        <f>('1TestYr'!J105)</f>
        <v>-113681.75</v>
      </c>
      <c r="F103" s="436"/>
      <c r="G103" s="436"/>
      <c r="H103" s="436"/>
      <c r="I103" s="436"/>
      <c r="J103" s="436"/>
      <c r="K103" s="436"/>
      <c r="L103" s="436"/>
      <c r="M103" s="436"/>
      <c r="P103" s="409" t="s">
        <v>1</v>
      </c>
      <c r="T103" s="386"/>
      <c r="U103" s="386"/>
      <c r="V103" s="386"/>
      <c r="W103" s="386"/>
      <c r="X103" s="386"/>
      <c r="Y103" s="386"/>
      <c r="Z103" s="386"/>
      <c r="AA103" s="386"/>
      <c r="AB103" s="386"/>
      <c r="AC103" s="386"/>
    </row>
    <row r="104" spans="1:29">
      <c r="A104" s="430">
        <f>('1TestYr'!B105)</f>
        <v>421</v>
      </c>
      <c r="B104" s="432" t="str">
        <f>('1TestYr'!C107)</f>
        <v>Other Capital Credits</v>
      </c>
      <c r="C104" s="435"/>
      <c r="D104" s="436"/>
      <c r="E104" s="436">
        <f>('1TestYr'!J107)</f>
        <v>150928.4</v>
      </c>
      <c r="F104" s="436"/>
      <c r="G104" s="436"/>
      <c r="H104" s="436"/>
      <c r="I104" s="436"/>
      <c r="J104" s="436"/>
      <c r="K104" s="436"/>
      <c r="L104" s="436"/>
      <c r="M104" s="436"/>
      <c r="P104" s="409" t="s">
        <v>1</v>
      </c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6"/>
    </row>
    <row r="105" spans="1:29">
      <c r="A105" s="430">
        <f>('1TestYr'!B107)</f>
        <v>424</v>
      </c>
      <c r="B105" s="432" t="str">
        <f>('1TestYr'!C108)</f>
        <v>Total Other Income</v>
      </c>
      <c r="C105" s="435"/>
      <c r="D105" s="436"/>
      <c r="E105" s="436">
        <f>('1TestYr'!J108)</f>
        <v>341196.68000000063</v>
      </c>
      <c r="F105" s="436"/>
      <c r="G105" s="436"/>
      <c r="H105" s="436"/>
      <c r="I105" s="436"/>
      <c r="J105" s="436"/>
      <c r="K105" s="436"/>
      <c r="L105" s="436"/>
      <c r="M105" s="436"/>
      <c r="P105" s="437" t="s">
        <v>1</v>
      </c>
    </row>
    <row r="106" spans="1:29">
      <c r="A106" s="430">
        <f>('1TestYr'!B108)</f>
        <v>0</v>
      </c>
      <c r="B106" s="432">
        <f>('1TestYr'!C109)</f>
        <v>0</v>
      </c>
      <c r="C106" s="435"/>
      <c r="D106" s="436"/>
      <c r="E106" s="436">
        <f>('1TestYr'!J109)</f>
        <v>0</v>
      </c>
      <c r="F106" s="436"/>
      <c r="G106" s="436"/>
      <c r="H106" s="436"/>
      <c r="I106" s="436"/>
      <c r="J106" s="436"/>
      <c r="K106" s="436"/>
      <c r="L106" s="436"/>
      <c r="M106" s="436"/>
    </row>
    <row r="107" spans="1:29">
      <c r="A107" s="430">
        <f>('1TestYr'!B109)</f>
        <v>0</v>
      </c>
      <c r="B107" s="432" t="str">
        <f>('1TestYr'!C110)</f>
        <v xml:space="preserve">Revenue Requirements   </v>
      </c>
      <c r="C107" s="435">
        <v>48706.6</v>
      </c>
      <c r="D107" s="436"/>
      <c r="E107" s="436">
        <f>('1TestYr'!J110)</f>
        <v>0</v>
      </c>
      <c r="F107" s="436"/>
      <c r="G107" s="436"/>
      <c r="H107" s="436"/>
      <c r="I107" s="436"/>
      <c r="J107" s="436"/>
      <c r="K107" s="436"/>
      <c r="L107" s="436"/>
      <c r="M107" s="436"/>
    </row>
    <row r="108" spans="1:29">
      <c r="A108" s="430">
        <f>('1TestYr'!B110)</f>
        <v>0</v>
      </c>
      <c r="B108" s="432" t="str">
        <f>('1TestYr'!C111)</f>
        <v xml:space="preserve">     from Rates</v>
      </c>
      <c r="C108" s="435">
        <v>21071.33</v>
      </c>
      <c r="D108" s="436"/>
      <c r="E108" s="436">
        <f>(E83-E98-E105)</f>
        <v>93139925.209999993</v>
      </c>
      <c r="F108" s="436"/>
      <c r="G108" s="436"/>
      <c r="H108" s="436"/>
      <c r="I108" s="436"/>
      <c r="J108" s="436"/>
      <c r="K108" s="436"/>
      <c r="L108" s="436"/>
      <c r="M108" s="436"/>
    </row>
    <row r="109" spans="1:29">
      <c r="A109" s="430">
        <f>('1TestYr'!B111)</f>
        <v>0</v>
      </c>
      <c r="F109" s="436"/>
      <c r="G109" s="436"/>
      <c r="H109" s="436"/>
      <c r="I109" s="436"/>
      <c r="J109" s="436"/>
      <c r="K109" s="436"/>
      <c r="L109" s="436"/>
      <c r="M109" s="436"/>
    </row>
    <row r="110" spans="1:29">
      <c r="A110" s="430">
        <f>('1TestYr'!B112)</f>
        <v>0</v>
      </c>
      <c r="B110" s="432" t="s">
        <v>1</v>
      </c>
      <c r="C110" s="440">
        <v>79170.52</v>
      </c>
      <c r="D110" s="440"/>
      <c r="E110" s="436">
        <f>('1TestYr'!J112)</f>
        <v>0</v>
      </c>
      <c r="F110" s="436"/>
      <c r="G110" s="436"/>
      <c r="H110" s="436"/>
      <c r="I110" s="436"/>
      <c r="J110" s="436"/>
      <c r="K110" s="436"/>
      <c r="L110" s="436"/>
      <c r="M110" s="436"/>
    </row>
    <row r="111" spans="1:29">
      <c r="A111" s="477">
        <f>('1TestYr'!B113)</f>
        <v>0</v>
      </c>
      <c r="B111" s="436" t="str">
        <f>('1TestYr'!C113)</f>
        <v>TIER</v>
      </c>
      <c r="C111" s="456">
        <f>SUM(C107:C110)</f>
        <v>148948.45000000001</v>
      </c>
      <c r="D111" s="436"/>
      <c r="E111" s="436">
        <v>2.3199999999999998</v>
      </c>
    </row>
    <row r="112" spans="1:29">
      <c r="A112" s="477">
        <f>('1TestYr'!B114)</f>
        <v>0</v>
      </c>
      <c r="B112" s="436">
        <f>('1TestYr'!C114)</f>
        <v>0</v>
      </c>
      <c r="C112" s="456"/>
      <c r="D112" s="436"/>
      <c r="E112" s="436">
        <v>2.3199999999999998</v>
      </c>
    </row>
    <row r="113" spans="1:5">
      <c r="A113" s="477">
        <f>('1TestYr'!B115)</f>
        <v>0</v>
      </c>
      <c r="B113" s="436" t="str">
        <f>('1TestYr'!C115)</f>
        <v>Cash Working Capital</v>
      </c>
      <c r="C113" s="456"/>
      <c r="D113" s="436"/>
      <c r="E113" s="436">
        <f>('1TestYr'!J116)</f>
        <v>0</v>
      </c>
    </row>
    <row r="114" spans="1:5">
      <c r="A114" s="477">
        <f>('1TestYr'!B116)</f>
        <v>0</v>
      </c>
      <c r="B114" s="436">
        <f>('1TestYr'!C116)</f>
        <v>0</v>
      </c>
      <c r="C114" s="456" t="e">
        <f>(C82-C103-C111)</f>
        <v>#REF!</v>
      </c>
      <c r="D114" s="456" t="e">
        <f>(D82-D103-D111)</f>
        <v>#REF!</v>
      </c>
      <c r="E114" s="436">
        <v>31101322.096949998</v>
      </c>
    </row>
    <row r="115" spans="1:5">
      <c r="A115" s="427"/>
      <c r="B115" s="411"/>
      <c r="C115" s="435"/>
      <c r="D115" s="436"/>
      <c r="E115" s="436"/>
    </row>
    <row r="116" spans="1:5">
      <c r="A116" s="427"/>
      <c r="B116" s="411"/>
      <c r="C116" s="435"/>
      <c r="D116" s="436"/>
      <c r="E116" s="436">
        <f>(E108-E114)</f>
        <v>62038603.113049999</v>
      </c>
    </row>
    <row r="117" spans="1:5">
      <c r="A117" s="427"/>
      <c r="B117" s="411"/>
      <c r="C117" s="411"/>
    </row>
    <row r="118" spans="1:5">
      <c r="A118" s="427"/>
      <c r="B118" s="411"/>
      <c r="C118" s="411"/>
    </row>
    <row r="119" spans="1:5">
      <c r="A119" s="427"/>
      <c r="B119" s="411"/>
      <c r="C119" s="411"/>
    </row>
    <row r="120" spans="1:5">
      <c r="A120" s="427"/>
      <c r="B120" s="411"/>
      <c r="C120" s="411"/>
    </row>
    <row r="121" spans="1:5">
      <c r="A121" s="427"/>
      <c r="B121" s="411"/>
      <c r="C121" s="411"/>
    </row>
    <row r="122" spans="1:5">
      <c r="A122" s="427"/>
      <c r="B122" s="411"/>
      <c r="C122" s="411"/>
    </row>
    <row r="123" spans="1:5">
      <c r="A123" s="427"/>
      <c r="B123" s="411"/>
      <c r="C123" s="411"/>
    </row>
  </sheetData>
  <customSheetViews>
    <customSheetView guid="{18050E3F-BBF0-4BF6-9B33-B0817BE1B1C5}" scale="60" showPageBreaks="1" printArea="1" hiddenColumns="1" view="pageBreakPreview" showRuler="0">
      <pane xSplit="6" ySplit="1" topLeftCell="K64" activePane="bottomRight" state="frozen"/>
      <selection pane="bottomRight" activeCell="E80" sqref="E80"/>
      <rowBreaks count="1" manualBreakCount="1">
        <brk id="46" max="29" man="1"/>
      </rowBreaks>
      <colBreaks count="2" manualBreakCount="2">
        <brk id="16" max="86" man="1"/>
        <brk id="18" max="84" man="1"/>
      </colBreaks>
      <pageMargins left="0.75" right="0.75" top="1" bottom="1" header="0.5" footer="0.5"/>
      <printOptions horizontalCentered="1" verticalCentered="1" gridLines="1"/>
      <pageSetup scale="73" orientation="landscape" horizontalDpi="4294967293" r:id="rId1"/>
      <headerFooter alignWithMargins="0">
        <oddHeader xml:space="preserve">&amp;C&amp;"Arial,Bold"&amp;12MEADE COUNTY RECC
CASE NO. 2010-00222
FUNCTIONALIZATION OF TEST YEAR EXPENSES&amp;R&amp;11Exhibit R
Schedule 2
Page ____ of ____
Witness:  Jim Adkins
</oddHeader>
      </headerFooter>
    </customSheetView>
  </customSheetViews>
  <mergeCells count="3">
    <mergeCell ref="G1:P1"/>
    <mergeCell ref="C1:E1"/>
    <mergeCell ref="R1:AD1"/>
  </mergeCells>
  <phoneticPr fontId="3" type="noConversion"/>
  <printOptions horizontalCentered="1" verticalCentered="1" gridLines="1"/>
  <pageMargins left="0.75" right="0.75" top="1" bottom="1" header="0.5" footer="0.5"/>
  <pageSetup scale="65" orientation="landscape" horizontalDpi="4294967293" r:id="rId2"/>
  <headerFooter alignWithMargins="0">
    <oddHeader xml:space="preserve">&amp;C&amp;"Arial,Bold"&amp;12JACKSON ENERGY COOPERATIVE
CASE NO. 2013-00219
FUNCTIONALIZATION OF TEST YEAR EXPENSES&amp;R&amp;11Exhibit R
Schedule 2.1
Page ____ of ____.
Witness:  Jim Adkins
</oddHeader>
  </headerFooter>
  <rowBreaks count="1" manualBreakCount="1">
    <brk id="49" max="29" man="1"/>
  </rowBreaks>
  <colBreaks count="1" manualBreakCount="1">
    <brk id="18" max="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M22"/>
  <sheetViews>
    <sheetView view="pageBreakPreview" zoomScale="60" zoomScaleNormal="100" workbookViewId="0">
      <selection activeCell="L25" sqref="L25"/>
    </sheetView>
  </sheetViews>
  <sheetFormatPr defaultRowHeight="14.25"/>
  <cols>
    <col min="1" max="1" width="2.5703125" style="31" customWidth="1"/>
    <col min="2" max="2" width="26.140625" style="31" customWidth="1"/>
    <col min="3" max="3" width="1.7109375" style="31" customWidth="1"/>
    <col min="4" max="4" width="13" style="31" bestFit="1" customWidth="1"/>
    <col min="5" max="5" width="11.28515625" style="31" customWidth="1"/>
    <col min="6" max="6" width="13.42578125" style="31" bestFit="1" customWidth="1"/>
    <col min="7" max="7" width="12.140625" style="31" customWidth="1"/>
    <col min="8" max="8" width="11.85546875" style="31" bestFit="1" customWidth="1"/>
    <col min="9" max="9" width="12.28515625" style="31" bestFit="1" customWidth="1"/>
    <col min="10" max="10" width="11.85546875" style="31" customWidth="1"/>
    <col min="11" max="11" width="11.7109375" style="31" customWidth="1"/>
    <col min="12" max="12" width="10" style="31" customWidth="1"/>
    <col min="13" max="13" width="14.85546875" style="31" customWidth="1"/>
    <col min="14" max="16384" width="9.140625" style="31"/>
  </cols>
  <sheetData>
    <row r="2" spans="2:13" ht="17.25" customHeight="1">
      <c r="B2" s="33"/>
      <c r="C2" s="33"/>
      <c r="D2" s="40"/>
      <c r="E2" s="40"/>
      <c r="F2" s="40"/>
      <c r="G2" s="40"/>
      <c r="H2" s="40"/>
      <c r="I2" s="40"/>
      <c r="J2" s="40" t="s">
        <v>141</v>
      </c>
      <c r="K2" s="33"/>
      <c r="L2" s="33"/>
      <c r="M2" s="33"/>
    </row>
    <row r="3" spans="2:13" ht="17.25" customHeight="1">
      <c r="B3" s="34"/>
      <c r="C3" s="34"/>
      <c r="D3" s="36" t="s">
        <v>173</v>
      </c>
      <c r="E3" s="36"/>
      <c r="F3" s="36"/>
      <c r="G3" s="36"/>
      <c r="H3" s="36"/>
      <c r="I3" s="36"/>
      <c r="J3" s="36" t="s">
        <v>11</v>
      </c>
      <c r="K3" s="36" t="s">
        <v>228</v>
      </c>
      <c r="L3" s="36" t="s">
        <v>207</v>
      </c>
      <c r="M3" s="34"/>
    </row>
    <row r="4" spans="2:13" ht="17.25" customHeight="1">
      <c r="B4" s="35" t="s">
        <v>131</v>
      </c>
      <c r="C4" s="35"/>
      <c r="D4" s="37" t="s">
        <v>4</v>
      </c>
      <c r="E4" s="37" t="s">
        <v>247</v>
      </c>
      <c r="F4" s="37" t="s">
        <v>5</v>
      </c>
      <c r="G4" s="37" t="s">
        <v>95</v>
      </c>
      <c r="H4" s="37" t="s">
        <v>8</v>
      </c>
      <c r="I4" s="37" t="s">
        <v>9</v>
      </c>
      <c r="J4" s="37" t="s">
        <v>12</v>
      </c>
      <c r="K4" s="37" t="s">
        <v>13</v>
      </c>
      <c r="L4" s="37" t="s">
        <v>13</v>
      </c>
      <c r="M4" s="268" t="s">
        <v>15</v>
      </c>
    </row>
    <row r="5" spans="2:13" ht="17.25" customHeight="1">
      <c r="B5" s="34" t="s">
        <v>19</v>
      </c>
      <c r="C5" s="34"/>
      <c r="D5" s="38">
        <f>('2 Functionalization2'!G12)</f>
        <v>58751870.200000003</v>
      </c>
      <c r="E5" s="38"/>
      <c r="F5" s="38"/>
      <c r="G5" s="38"/>
      <c r="H5" s="38"/>
      <c r="I5" s="38"/>
      <c r="J5" s="38"/>
      <c r="K5" s="38"/>
      <c r="L5" s="33"/>
      <c r="M5" s="323">
        <f t="shared" ref="M5:M17" si="0">SUM(D5:L5)</f>
        <v>58751870.200000003</v>
      </c>
    </row>
    <row r="6" spans="2:13" ht="17.25" customHeight="1">
      <c r="B6" s="34" t="s">
        <v>164</v>
      </c>
      <c r="C6" s="34"/>
      <c r="D6" s="38"/>
      <c r="E6" s="38">
        <f>('2 Functionalization2'!H24)</f>
        <v>32315.753894523554</v>
      </c>
      <c r="F6" s="38">
        <f>('2 Functionalization2'!I24)</f>
        <v>2174007.8606300061</v>
      </c>
      <c r="G6" s="38">
        <f>('2 Functionalization2'!J24)</f>
        <v>0</v>
      </c>
      <c r="H6" s="38">
        <f>('2 Functionalization2'!K24)</f>
        <v>343784.02509526926</v>
      </c>
      <c r="I6" s="38">
        <f>('2 Functionalization2'!L24)</f>
        <v>2082886.6505164511</v>
      </c>
      <c r="J6" s="38">
        <f>('2 Functionalization2'!M24)</f>
        <v>0</v>
      </c>
      <c r="K6" s="38">
        <f>('2 Functionalization2'!N24)</f>
        <v>235077.14986375015</v>
      </c>
      <c r="L6" s="38">
        <f>('2 Functionalization2'!O24)</f>
        <v>0</v>
      </c>
      <c r="M6" s="323">
        <f t="shared" si="0"/>
        <v>4868071.4399999995</v>
      </c>
    </row>
    <row r="7" spans="2:13" ht="17.25" customHeight="1">
      <c r="B7" s="34" t="s">
        <v>142</v>
      </c>
      <c r="C7" s="34"/>
      <c r="D7" s="38"/>
      <c r="E7" s="38">
        <f>('2 Functionalization2'!H34)</f>
        <v>0</v>
      </c>
      <c r="F7" s="38">
        <f>('2 Functionalization2'!I34)</f>
        <v>5103199.7569682002</v>
      </c>
      <c r="G7" s="38">
        <f>('2 Functionalization2'!J34)</f>
        <v>17304.684756057824</v>
      </c>
      <c r="H7" s="38">
        <f>('2 Functionalization2'!K34)</f>
        <v>806988.13701957813</v>
      </c>
      <c r="I7" s="38">
        <f>('2 Functionalization2'!L34)</f>
        <v>0</v>
      </c>
      <c r="J7" s="38">
        <f>('2 Functionalization2'!M34)</f>
        <v>0</v>
      </c>
      <c r="K7" s="38">
        <f>('2 Functionalization2'!N34)</f>
        <v>0</v>
      </c>
      <c r="L7" s="38">
        <f>('2 Functionalization2'!O34)</f>
        <v>24467.201256162967</v>
      </c>
      <c r="M7" s="323">
        <f t="shared" si="0"/>
        <v>5951959.7800000003</v>
      </c>
    </row>
    <row r="8" spans="2:13" ht="17.25" customHeight="1">
      <c r="B8" s="34" t="s">
        <v>117</v>
      </c>
      <c r="C8" s="34"/>
      <c r="D8" s="38"/>
      <c r="E8" s="38">
        <f>'2 Functionalization2'!H40</f>
        <v>0</v>
      </c>
      <c r="F8" s="38">
        <f>'2 Functionalization2'!I40</f>
        <v>0</v>
      </c>
      <c r="G8" s="38">
        <f>'2 Functionalization2'!J40</f>
        <v>0</v>
      </c>
      <c r="H8" s="38">
        <f>'2 Functionalization2'!K40</f>
        <v>0</v>
      </c>
      <c r="I8" s="38">
        <f>'2 Functionalization2'!L40</f>
        <v>0</v>
      </c>
      <c r="J8" s="38">
        <f>'2 Functionalization2'!M40</f>
        <v>3120183.5800000005</v>
      </c>
      <c r="K8" s="38">
        <f>'2 Functionalization2'!N40</f>
        <v>0</v>
      </c>
      <c r="L8" s="38">
        <f>'2 Functionalization2'!O40</f>
        <v>0</v>
      </c>
      <c r="M8" s="323">
        <f t="shared" si="0"/>
        <v>3120183.5800000005</v>
      </c>
    </row>
    <row r="9" spans="2:13" ht="17.25" customHeight="1">
      <c r="B9" s="34" t="s">
        <v>165</v>
      </c>
      <c r="C9" s="34"/>
      <c r="D9" s="38"/>
      <c r="E9" s="38">
        <f>'2 Functionalization2'!H48</f>
        <v>0</v>
      </c>
      <c r="F9" s="38">
        <f>'2 Functionalization2'!I48</f>
        <v>0</v>
      </c>
      <c r="G9" s="38">
        <f>'2 Functionalization2'!J48</f>
        <v>0</v>
      </c>
      <c r="H9" s="38">
        <f>'2 Functionalization2'!K48</f>
        <v>0</v>
      </c>
      <c r="I9" s="38">
        <f>'2 Functionalization2'!L48</f>
        <v>0</v>
      </c>
      <c r="J9" s="38">
        <f>'2 Functionalization2'!M48</f>
        <v>811685.28</v>
      </c>
      <c r="K9" s="38">
        <f>'2 Functionalization2'!N48</f>
        <v>0</v>
      </c>
      <c r="L9" s="38">
        <f>'2 Functionalization2'!O48</f>
        <v>0</v>
      </c>
      <c r="M9" s="323">
        <f t="shared" si="0"/>
        <v>811685.28</v>
      </c>
    </row>
    <row r="10" spans="2:13" ht="17.25" customHeight="1">
      <c r="B10" s="34" t="s">
        <v>166</v>
      </c>
      <c r="C10" s="34"/>
      <c r="D10" s="38"/>
      <c r="E10" s="38">
        <f>('2 Functionalization2'!H61)</f>
        <v>10021.749170820034</v>
      </c>
      <c r="F10" s="38">
        <f>('2 Functionalization2'!I61)</f>
        <v>2256804.8279359294</v>
      </c>
      <c r="G10" s="38">
        <f>('2 Functionalization2'!J61)</f>
        <v>5366.522182071516</v>
      </c>
      <c r="H10" s="38">
        <f>('2 Functionalization2'!K61)</f>
        <v>356877.02038824075</v>
      </c>
      <c r="I10" s="38">
        <f>('2 Functionalization2'!L61)</f>
        <v>645944.00708884094</v>
      </c>
      <c r="J10" s="38">
        <f>('2 Functionalization2'!M61)</f>
        <v>1219349.6588719792</v>
      </c>
      <c r="K10" s="38">
        <f>('2 Functionalization2'!N61)</f>
        <v>72902.035317363261</v>
      </c>
      <c r="L10" s="38">
        <f>('2 Functionalization2'!O61)</f>
        <v>7587.7590447547054</v>
      </c>
      <c r="M10" s="323">
        <f t="shared" si="0"/>
        <v>4574853.58</v>
      </c>
    </row>
    <row r="11" spans="2:13" ht="17.25" customHeight="1">
      <c r="B11" s="34" t="s">
        <v>167</v>
      </c>
      <c r="C11" s="34"/>
      <c r="D11" s="38"/>
      <c r="E11" s="38">
        <f>('2 Functionalization2'!H66)</f>
        <v>70912.404977476006</v>
      </c>
      <c r="F11" s="38">
        <f>('2 Functionalization2'!I66)</f>
        <v>5574482.22883448</v>
      </c>
      <c r="G11" s="38">
        <f>('2 Functionalization2'!J66)</f>
        <v>1160254.2342483765</v>
      </c>
      <c r="H11" s="38">
        <f>('2 Functionalization2'!K66)</f>
        <v>881513.80367843108</v>
      </c>
      <c r="I11" s="38">
        <f>('2 Functionalization2'!L66)</f>
        <v>593984.59103707632</v>
      </c>
      <c r="J11" s="38">
        <f>('2 Functionalization2'!M66)</f>
        <v>209137.68031893059</v>
      </c>
      <c r="K11" s="38">
        <f>('2 Functionalization2'!N66)</f>
        <v>223721.36092307369</v>
      </c>
      <c r="L11" s="38">
        <f>('2 Functionalization2'!O66)</f>
        <v>12646.865982155558</v>
      </c>
      <c r="M11" s="323">
        <f t="shared" si="0"/>
        <v>8726653.1700000018</v>
      </c>
    </row>
    <row r="12" spans="2:13" ht="17.25" customHeight="1">
      <c r="B12" s="34" t="s">
        <v>168</v>
      </c>
      <c r="C12" s="34"/>
      <c r="D12" s="38"/>
      <c r="E12" s="38">
        <f>('2 Functionalization2'!H71)</f>
        <v>1637.7065321626549</v>
      </c>
      <c r="F12" s="38">
        <f>('2 Functionalization2'!I71)</f>
        <v>128703.26596566684</v>
      </c>
      <c r="G12" s="38">
        <f>('2 Functionalization2'!J71)</f>
        <v>26799.94150615414</v>
      </c>
      <c r="H12" s="38">
        <f>('2 Functionalization2'!K71)</f>
        <v>20352.330650617718</v>
      </c>
      <c r="I12" s="38">
        <f>('2 Functionalization2'!L71)</f>
        <v>13703.335695878595</v>
      </c>
      <c r="J12" s="38">
        <f>('2 Functionalization2'!M71)</f>
        <v>4799.0609361180086</v>
      </c>
      <c r="K12" s="38">
        <f>('2 Functionalization2'!N71)</f>
        <v>5165.7228807711799</v>
      </c>
      <c r="L12" s="38">
        <f>('2 Functionalization2'!O71)</f>
        <v>291.92583263080274</v>
      </c>
      <c r="M12" s="323">
        <f t="shared" si="0"/>
        <v>201453.28999999995</v>
      </c>
    </row>
    <row r="13" spans="2:13" ht="17.25" customHeight="1">
      <c r="B13" s="34" t="s">
        <v>169</v>
      </c>
      <c r="C13" s="34"/>
      <c r="D13" s="38"/>
      <c r="E13" s="38">
        <f>('2 Functionalization2'!H76)</f>
        <v>43926.272803727967</v>
      </c>
      <c r="F13" s="38">
        <f>('2 Functionalization2'!I76)</f>
        <v>3452056.0677455636</v>
      </c>
      <c r="G13" s="38">
        <f>('2 Functionalization2'!J76)</f>
        <v>718823.25593994686</v>
      </c>
      <c r="H13" s="38">
        <f>('2 Functionalization2'!K76)</f>
        <v>545886.58638989716</v>
      </c>
      <c r="I13" s="38">
        <f>('2 Functionalization2'!L76)</f>
        <v>367548.42841308453</v>
      </c>
      <c r="J13" s="38">
        <f>('2 Functionalization2'!M76)</f>
        <v>128719.55734539189</v>
      </c>
      <c r="K13" s="38">
        <f>('2 Functionalization2'!N76)</f>
        <v>138554.09869408631</v>
      </c>
      <c r="L13" s="38">
        <f>('2 Functionalization2'!O76)</f>
        <v>7829.9826683004812</v>
      </c>
      <c r="M13" s="323">
        <f t="shared" si="0"/>
        <v>5403344.2499999991</v>
      </c>
    </row>
    <row r="14" spans="2:13" ht="17.25" customHeight="1">
      <c r="B14" s="34" t="s">
        <v>172</v>
      </c>
      <c r="C14" s="34"/>
      <c r="D14" s="38"/>
      <c r="E14" s="38">
        <f>('2 Functionalization2'!H79)</f>
        <v>439.16442253807344</v>
      </c>
      <c r="F14" s="38">
        <f>('2 Functionalization2'!I79)</f>
        <v>34512.835093804504</v>
      </c>
      <c r="G14" s="38">
        <f>('2 Functionalization2'!J79)</f>
        <v>7186.6238574881554</v>
      </c>
      <c r="H14" s="38">
        <f>('2 Functionalization2'!K79)</f>
        <v>5457.6441883512925</v>
      </c>
      <c r="I14" s="38">
        <f>('2 Functionalization2'!L79)</f>
        <v>3674.6617232935296</v>
      </c>
      <c r="J14" s="38">
        <f>('2 Functionalization2'!M79)</f>
        <v>1286.9075034781442</v>
      </c>
      <c r="K14" s="38">
        <f>('2 Functionalization2'!N79)</f>
        <v>1385.230907597231</v>
      </c>
      <c r="L14" s="38">
        <f>('2 Functionalization2'!O79)</f>
        <v>78.282303449052719</v>
      </c>
      <c r="M14" s="323">
        <f t="shared" si="0"/>
        <v>54021.349999999977</v>
      </c>
    </row>
    <row r="15" spans="2:13" ht="17.25" customHeight="1">
      <c r="B15" s="34" t="s">
        <v>58</v>
      </c>
      <c r="C15" s="34"/>
      <c r="D15" s="39">
        <f t="shared" ref="D15:L15" si="1">SUM(D5:D14)</f>
        <v>58751870.200000003</v>
      </c>
      <c r="E15" s="39">
        <f t="shared" si="1"/>
        <v>159253.05180124828</v>
      </c>
      <c r="F15" s="39">
        <f t="shared" si="1"/>
        <v>18723766.843173649</v>
      </c>
      <c r="G15" s="39">
        <f t="shared" si="1"/>
        <v>1935735.2624900949</v>
      </c>
      <c r="H15" s="39">
        <f t="shared" si="1"/>
        <v>2960859.5474103852</v>
      </c>
      <c r="I15" s="39">
        <f t="shared" si="1"/>
        <v>3707741.6744746254</v>
      </c>
      <c r="J15" s="39">
        <f t="shared" si="1"/>
        <v>5495161.7249758979</v>
      </c>
      <c r="K15" s="39">
        <f t="shared" si="1"/>
        <v>676805.59858664183</v>
      </c>
      <c r="L15" s="39">
        <f t="shared" si="1"/>
        <v>52902.017087453562</v>
      </c>
      <c r="M15" s="105">
        <f t="shared" si="0"/>
        <v>92464095.920000017</v>
      </c>
    </row>
    <row r="16" spans="2:13" ht="17.25" customHeight="1">
      <c r="B16" s="34" t="s">
        <v>59</v>
      </c>
      <c r="C16" s="34"/>
      <c r="D16" s="38">
        <f>(D13)</f>
        <v>0</v>
      </c>
      <c r="E16" s="38">
        <f>('2 Functionalization2'!H82)</f>
        <v>29412.11112185059</v>
      </c>
      <c r="F16" s="38">
        <f>('2 Functionalization2'!I82)</f>
        <v>2311424.352279081</v>
      </c>
      <c r="G16" s="38">
        <f>('2 Functionalization2'!J82)</f>
        <v>481308.97823140281</v>
      </c>
      <c r="H16" s="38">
        <f>('2 Functionalization2'!K82)</f>
        <v>365514.21083613369</v>
      </c>
      <c r="I16" s="38">
        <f>('2 Functionalization2'!L82)</f>
        <v>246102.72006118688</v>
      </c>
      <c r="J16" s="38">
        <f>('2 Functionalization2'!M82)</f>
        <v>86187.916309548134</v>
      </c>
      <c r="K16" s="38">
        <f>('2 Functionalization2'!N82)</f>
        <v>92772.918963260337</v>
      </c>
      <c r="L16" s="38">
        <f>('2 Functionalization2'!O82)</f>
        <v>5242.7921975358904</v>
      </c>
      <c r="M16" s="105">
        <f t="shared" si="0"/>
        <v>3617965.9999999991</v>
      </c>
    </row>
    <row r="17" spans="2:13" ht="17.25" customHeight="1">
      <c r="B17" s="35" t="s">
        <v>170</v>
      </c>
      <c r="C17" s="35"/>
      <c r="D17" s="39">
        <f t="shared" ref="D17:L17" si="2">SUM(D15:D16)</f>
        <v>58751870.200000003</v>
      </c>
      <c r="E17" s="39">
        <f>SUM(E15:E16)</f>
        <v>188665.16292309886</v>
      </c>
      <c r="F17" s="39">
        <f t="shared" si="2"/>
        <v>21035191.195452731</v>
      </c>
      <c r="G17" s="39">
        <f>SUM(G15:G16)</f>
        <v>2417044.2407214977</v>
      </c>
      <c r="H17" s="39">
        <f t="shared" si="2"/>
        <v>3326373.7582465187</v>
      </c>
      <c r="I17" s="39">
        <f t="shared" si="2"/>
        <v>3953844.3945358121</v>
      </c>
      <c r="J17" s="39">
        <f t="shared" si="2"/>
        <v>5581349.6412854465</v>
      </c>
      <c r="K17" s="39">
        <f t="shared" si="2"/>
        <v>769578.5175499022</v>
      </c>
      <c r="L17" s="39">
        <f t="shared" si="2"/>
        <v>58144.809284989453</v>
      </c>
      <c r="M17" s="66">
        <f t="shared" si="0"/>
        <v>96082061.919999987</v>
      </c>
    </row>
    <row r="18" spans="2:13">
      <c r="B18" s="31" t="s">
        <v>1</v>
      </c>
      <c r="D18" s="32"/>
      <c r="E18" s="32"/>
      <c r="F18" s="32"/>
      <c r="G18" s="32"/>
      <c r="H18" s="32"/>
      <c r="I18" s="32"/>
      <c r="J18" s="32"/>
      <c r="K18" s="32"/>
    </row>
    <row r="19" spans="2:13">
      <c r="D19" s="32"/>
      <c r="E19" s="197">
        <f>(E16/E17)</f>
        <v>0.15589582446569195</v>
      </c>
      <c r="F19" s="32"/>
      <c r="G19" s="32"/>
      <c r="H19" s="32"/>
      <c r="I19" s="32"/>
      <c r="J19" s="32"/>
      <c r="K19" s="32"/>
      <c r="M19" s="195">
        <f>SUM(M5:M14)</f>
        <v>92464095.920000002</v>
      </c>
    </row>
    <row r="20" spans="2:13">
      <c r="D20" s="32"/>
      <c r="E20" s="32"/>
      <c r="F20" s="32"/>
      <c r="G20" s="32"/>
      <c r="H20" s="32"/>
      <c r="I20" s="32"/>
      <c r="J20" s="32"/>
      <c r="K20" s="32"/>
    </row>
    <row r="21" spans="2:13">
      <c r="D21" s="32"/>
      <c r="E21" s="32"/>
      <c r="F21" s="32"/>
      <c r="G21" s="32"/>
      <c r="H21" s="32"/>
      <c r="I21" s="32"/>
      <c r="J21" s="32"/>
      <c r="K21" s="32"/>
    </row>
    <row r="22" spans="2:13">
      <c r="D22" s="32"/>
      <c r="E22" s="32"/>
      <c r="F22" s="32"/>
      <c r="G22" s="32"/>
      <c r="H22" s="32"/>
      <c r="I22" s="32"/>
      <c r="J22" s="32"/>
      <c r="K22" s="32"/>
    </row>
  </sheetData>
  <customSheetViews>
    <customSheetView guid="{18050E3F-BBF0-4BF6-9B33-B0817BE1B1C5}" showRuler="0" topLeftCell="C1">
      <selection activeCell="N15" sqref="N15"/>
      <colBreaks count="1" manualBreakCount="1">
        <brk id="8" max="1048575" man="1"/>
      </colBreaks>
      <pageMargins left="0.75" right="0.75" top="1" bottom="1" header="0.5" footer="0.5"/>
      <printOptions horizontalCentered="1" verticalCentered="1" gridLines="1"/>
      <pageSetup scale="120" orientation="landscape" horizontalDpi="4294967293" r:id="rId1"/>
      <headerFooter alignWithMargins="0">
        <oddHeader>&amp;C&amp;"Arial,Bold"&amp;12 MEADE COUNTY RECC
CASE NO. 2010-00222
FUNCTIONALIZATION SUMMARY&amp;R&amp;11Exhibit R
Schedule 2
Page ____ of ____
Witness:  Jim Adkins</oddHeader>
      </headerFooter>
    </customSheetView>
  </customSheetViews>
  <phoneticPr fontId="3" type="noConversion"/>
  <printOptions horizontalCentered="1" verticalCentered="1" gridLines="1"/>
  <pageMargins left="0.75" right="0.75" top="1" bottom="1" header="0.5" footer="0.5"/>
  <pageSetup scale="80" orientation="landscape" horizontalDpi="4294967293" r:id="rId2"/>
  <headerFooter alignWithMargins="0">
    <oddHeader>&amp;C&amp;"Arial,Bold"&amp;12 JACKSON ENERGY COOPERATIVE
CASE NO. 2013-00219
FUNCTIONALIZATION SUMMARY&amp;R&amp;11 Exhibit R
Schedule 2
Page ____ of ____
Witness:  Jim Adkins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G211"/>
  <sheetViews>
    <sheetView view="pageBreakPreview" topLeftCell="A2" zoomScale="87" zoomScaleNormal="100" zoomScaleSheetLayoutView="87" workbookViewId="0">
      <selection activeCell="E10" sqref="E10"/>
    </sheetView>
  </sheetViews>
  <sheetFormatPr defaultRowHeight="12.75"/>
  <cols>
    <col min="1" max="1" width="6" style="524" customWidth="1"/>
    <col min="2" max="2" width="7.140625" style="524" customWidth="1"/>
    <col min="3" max="3" width="24.5703125" style="386" customWidth="1"/>
    <col min="4" max="4" width="9.7109375" style="386" customWidth="1"/>
    <col min="5" max="5" width="14" style="506" customWidth="1"/>
    <col min="6" max="6" width="3.28515625" style="386" customWidth="1"/>
    <col min="7" max="7" width="13.5703125" style="386" customWidth="1"/>
    <col min="8" max="8" width="16.5703125" style="386" customWidth="1"/>
    <col min="9" max="9" width="14.28515625" style="386" customWidth="1"/>
    <col min="10" max="10" width="15.5703125" style="386" bestFit="1" customWidth="1"/>
    <col min="11" max="11" width="13.7109375" style="386" customWidth="1"/>
    <col min="12" max="12" width="13" style="386" customWidth="1"/>
    <col min="13" max="13" width="12.140625" style="386" customWidth="1"/>
    <col min="14" max="14" width="14" style="386" customWidth="1"/>
    <col min="15" max="15" width="11.42578125" style="386" customWidth="1"/>
    <col min="16" max="16" width="17.42578125" style="386" customWidth="1"/>
    <col min="17" max="17" width="12.5703125" style="386" bestFit="1" customWidth="1"/>
    <col min="18" max="18" width="13" style="386" bestFit="1" customWidth="1"/>
    <col min="19" max="19" width="12.5703125" style="386" customWidth="1"/>
    <col min="20" max="20" width="12.42578125" style="386" customWidth="1"/>
    <col min="21" max="21" width="11.5703125" style="386" customWidth="1"/>
    <col min="22" max="22" width="11.42578125" style="386" customWidth="1"/>
    <col min="23" max="23" width="9.140625" style="386"/>
    <col min="24" max="24" width="11.5703125" style="386" bestFit="1" customWidth="1"/>
    <col min="25" max="26" width="9.140625" style="386"/>
    <col min="27" max="27" width="12.5703125" style="386" bestFit="1" customWidth="1"/>
    <col min="28" max="29" width="9.140625" style="386"/>
    <col min="30" max="30" width="12.140625" style="386" bestFit="1" customWidth="1"/>
    <col min="31" max="31" width="11.28515625" style="386" bestFit="1" customWidth="1"/>
    <col min="32" max="32" width="9.140625" style="386"/>
    <col min="33" max="33" width="11.42578125" style="386" bestFit="1" customWidth="1"/>
    <col min="34" max="16384" width="9.140625" style="386"/>
  </cols>
  <sheetData>
    <row r="1" spans="1:19" ht="18" customHeight="1">
      <c r="A1" s="764" t="s">
        <v>332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2" spans="1:19" ht="12.75" customHeight="1">
      <c r="A2" s="478" t="s">
        <v>148</v>
      </c>
      <c r="B2" s="478" t="s">
        <v>1</v>
      </c>
      <c r="C2" s="465"/>
      <c r="D2" s="465"/>
      <c r="E2" s="479"/>
      <c r="F2" s="465"/>
      <c r="G2" s="465"/>
      <c r="H2" s="761" t="s">
        <v>196</v>
      </c>
      <c r="I2" s="762"/>
      <c r="J2" s="762"/>
      <c r="K2" s="762"/>
      <c r="L2" s="762"/>
      <c r="M2" s="762"/>
      <c r="N2" s="763"/>
      <c r="O2" s="478"/>
      <c r="Q2" s="465"/>
      <c r="R2" s="465"/>
      <c r="S2" s="465"/>
    </row>
    <row r="3" spans="1:19">
      <c r="A3" s="478" t="s">
        <v>1</v>
      </c>
      <c r="B3" s="478"/>
      <c r="C3" s="465"/>
      <c r="D3" s="465"/>
      <c r="E3" s="479"/>
      <c r="F3" s="465"/>
      <c r="G3" s="480"/>
      <c r="H3" s="480"/>
      <c r="I3" s="480"/>
      <c r="J3" s="481" t="s">
        <v>1</v>
      </c>
      <c r="K3" s="480"/>
      <c r="L3" s="481" t="s">
        <v>10</v>
      </c>
      <c r="M3" s="480"/>
      <c r="N3" s="482"/>
      <c r="O3" s="482"/>
      <c r="P3" s="480"/>
      <c r="Q3" s="465"/>
      <c r="R3" s="465"/>
      <c r="S3" s="478"/>
    </row>
    <row r="4" spans="1:19">
      <c r="A4" s="478" t="s">
        <v>1</v>
      </c>
      <c r="B4" s="478" t="s">
        <v>197</v>
      </c>
      <c r="C4" s="465"/>
      <c r="D4" s="478" t="s">
        <v>1</v>
      </c>
      <c r="E4" s="479"/>
      <c r="F4" s="465"/>
      <c r="G4" s="483"/>
      <c r="H4" s="483"/>
      <c r="I4" s="483"/>
      <c r="J4" s="465"/>
      <c r="K4" s="483"/>
      <c r="L4" s="478" t="s">
        <v>96</v>
      </c>
      <c r="M4" s="484" t="s">
        <v>208</v>
      </c>
      <c r="N4" s="485" t="s">
        <v>207</v>
      </c>
      <c r="O4" s="485" t="s">
        <v>207</v>
      </c>
      <c r="P4" s="483"/>
      <c r="Q4" s="465"/>
      <c r="R4" s="465"/>
      <c r="S4" s="465"/>
    </row>
    <row r="5" spans="1:19">
      <c r="A5" s="478" t="s">
        <v>1</v>
      </c>
      <c r="B5" s="428" t="s">
        <v>198</v>
      </c>
      <c r="C5" s="428" t="s">
        <v>17</v>
      </c>
      <c r="D5" s="478" t="s">
        <v>1</v>
      </c>
      <c r="E5" s="486" t="s">
        <v>97</v>
      </c>
      <c r="F5" s="465"/>
      <c r="G5" s="487" t="s">
        <v>247</v>
      </c>
      <c r="H5" s="487" t="s">
        <v>5</v>
      </c>
      <c r="I5" s="487" t="s">
        <v>113</v>
      </c>
      <c r="J5" s="488" t="s">
        <v>8</v>
      </c>
      <c r="K5" s="487" t="s">
        <v>9</v>
      </c>
      <c r="L5" s="489" t="s">
        <v>8</v>
      </c>
      <c r="M5" s="490" t="s">
        <v>13</v>
      </c>
      <c r="N5" s="490" t="s">
        <v>13</v>
      </c>
      <c r="O5" s="490" t="s">
        <v>13</v>
      </c>
      <c r="P5" s="491"/>
      <c r="Q5" s="465"/>
      <c r="R5" s="465"/>
      <c r="S5" s="465"/>
    </row>
    <row r="6" spans="1:19">
      <c r="A6" s="478">
        <v>1</v>
      </c>
      <c r="B6" s="478">
        <f>([3]adjustment!B36)</f>
        <v>301</v>
      </c>
      <c r="C6" s="492" t="str">
        <f>([3]adjustment!C36)</f>
        <v xml:space="preserve">  Organization</v>
      </c>
      <c r="D6" s="465"/>
      <c r="E6" s="479">
        <v>0</v>
      </c>
      <c r="F6" s="465"/>
      <c r="G6" s="465"/>
      <c r="H6" s="479">
        <f>(E6)</f>
        <v>0</v>
      </c>
      <c r="I6" s="465"/>
      <c r="J6" s="465"/>
      <c r="K6" s="465"/>
      <c r="L6" s="465"/>
      <c r="M6" s="465"/>
      <c r="N6" s="465"/>
      <c r="O6" s="465"/>
      <c r="P6" s="493">
        <f>SUM(H6:N6)</f>
        <v>0</v>
      </c>
    </row>
    <row r="7" spans="1:19">
      <c r="A7" s="478">
        <v>2</v>
      </c>
      <c r="B7" s="478">
        <v>389</v>
      </c>
      <c r="C7" s="492" t="s">
        <v>272</v>
      </c>
      <c r="D7" s="465"/>
      <c r="E7" s="479"/>
      <c r="F7" s="465"/>
      <c r="G7" s="465"/>
      <c r="H7" s="479">
        <f>(E7)</f>
        <v>0</v>
      </c>
      <c r="I7" s="465"/>
      <c r="J7" s="465"/>
      <c r="K7" s="465"/>
      <c r="L7" s="465"/>
      <c r="M7" s="465"/>
      <c r="N7" s="465"/>
      <c r="O7" s="465"/>
      <c r="P7" s="493">
        <f>SUM(G7:N7)</f>
        <v>0</v>
      </c>
    </row>
    <row r="8" spans="1:19">
      <c r="A8" s="478">
        <v>3</v>
      </c>
      <c r="B8" s="478">
        <v>362</v>
      </c>
      <c r="C8" s="492" t="s">
        <v>270</v>
      </c>
      <c r="D8" s="465"/>
      <c r="E8" s="479">
        <f>1623254.23+75937</f>
        <v>1699191.23</v>
      </c>
      <c r="F8" s="465"/>
      <c r="G8" s="494">
        <f>(E8)</f>
        <v>1699191.23</v>
      </c>
      <c r="H8" s="479"/>
      <c r="I8" s="465"/>
      <c r="J8" s="465"/>
      <c r="K8" s="465"/>
      <c r="L8" s="465"/>
      <c r="M8" s="465"/>
      <c r="N8" s="465"/>
      <c r="O8" s="465"/>
      <c r="P8" s="493">
        <f t="shared" ref="P8:P16" si="0">SUM(G8:N8)</f>
        <v>1699191.23</v>
      </c>
    </row>
    <row r="9" spans="1:19">
      <c r="A9" s="478">
        <v>4</v>
      </c>
      <c r="B9" s="478">
        <f>([3]adjustment!B38)</f>
        <v>364</v>
      </c>
      <c r="C9" s="492" t="s">
        <v>273</v>
      </c>
      <c r="D9" s="465"/>
      <c r="E9" s="479">
        <v>63612933.850000001</v>
      </c>
      <c r="F9" s="465"/>
      <c r="G9" s="465"/>
      <c r="H9" s="479">
        <f>(E9)</f>
        <v>63612933.850000001</v>
      </c>
      <c r="I9" s="465"/>
      <c r="J9" s="465"/>
      <c r="K9" s="465"/>
      <c r="L9" s="465"/>
      <c r="M9" s="465"/>
      <c r="N9" s="465"/>
      <c r="O9" s="465"/>
      <c r="P9" s="493">
        <f t="shared" si="0"/>
        <v>63612933.850000001</v>
      </c>
    </row>
    <row r="10" spans="1:19">
      <c r="A10" s="478">
        <v>5</v>
      </c>
      <c r="B10" s="478">
        <f>([3]adjustment!B39)</f>
        <v>365</v>
      </c>
      <c r="C10" s="492" t="s">
        <v>274</v>
      </c>
      <c r="D10" s="465"/>
      <c r="E10" s="479">
        <v>61967293.810000002</v>
      </c>
      <c r="F10" s="465"/>
      <c r="G10" s="465"/>
      <c r="H10" s="479">
        <f>(E10-M10)</f>
        <v>61967293.810000002</v>
      </c>
      <c r="I10" s="465"/>
      <c r="J10" s="465"/>
      <c r="K10" s="465"/>
      <c r="L10" s="465"/>
      <c r="M10" s="479"/>
      <c r="N10" s="465"/>
      <c r="O10" s="465"/>
      <c r="P10" s="493">
        <f t="shared" si="0"/>
        <v>61967293.810000002</v>
      </c>
    </row>
    <row r="11" spans="1:19">
      <c r="A11" s="478"/>
      <c r="B11" s="478">
        <v>366</v>
      </c>
      <c r="C11" s="492" t="s">
        <v>412</v>
      </c>
      <c r="D11" s="465"/>
      <c r="E11" s="495">
        <v>0</v>
      </c>
      <c r="F11" s="465"/>
      <c r="G11" s="465"/>
      <c r="H11" s="479">
        <f>(E11-M11)</f>
        <v>0</v>
      </c>
      <c r="I11" s="465"/>
      <c r="J11" s="465"/>
      <c r="K11" s="465"/>
      <c r="L11" s="465"/>
      <c r="M11" s="479"/>
      <c r="N11" s="465"/>
      <c r="O11" s="465"/>
      <c r="P11" s="493"/>
    </row>
    <row r="12" spans="1:19">
      <c r="A12" s="478">
        <v>6</v>
      </c>
      <c r="B12" s="478">
        <v>367</v>
      </c>
      <c r="C12" s="492" t="s">
        <v>271</v>
      </c>
      <c r="D12" s="465"/>
      <c r="E12" s="479">
        <v>1807320.22</v>
      </c>
      <c r="F12" s="465"/>
      <c r="G12" s="465"/>
      <c r="H12" s="479">
        <f>(E12)</f>
        <v>1807320.22</v>
      </c>
      <c r="I12" s="465"/>
      <c r="J12" s="465"/>
      <c r="K12" s="465"/>
      <c r="L12" s="465"/>
      <c r="M12" s="465"/>
      <c r="N12" s="465"/>
      <c r="O12" s="465"/>
      <c r="P12" s="493">
        <f t="shared" si="0"/>
        <v>1807320.22</v>
      </c>
    </row>
    <row r="13" spans="1:19">
      <c r="A13" s="478">
        <v>7</v>
      </c>
      <c r="B13" s="478">
        <f>([3]adjustment!B42)</f>
        <v>368</v>
      </c>
      <c r="C13" s="492" t="s">
        <v>275</v>
      </c>
      <c r="D13" s="465"/>
      <c r="E13" s="479">
        <v>28469860.960000001</v>
      </c>
      <c r="F13" s="465"/>
      <c r="G13" s="465"/>
      <c r="H13" s="479" t="s">
        <v>1</v>
      </c>
      <c r="I13" s="494">
        <f>(E13)</f>
        <v>28469860.960000001</v>
      </c>
      <c r="J13" s="465"/>
      <c r="K13" s="465"/>
      <c r="L13" s="465"/>
      <c r="M13" s="465"/>
      <c r="N13" s="465"/>
      <c r="O13" s="465"/>
      <c r="P13" s="493">
        <f t="shared" si="0"/>
        <v>28469860.960000001</v>
      </c>
      <c r="R13" s="386">
        <v>370</v>
      </c>
      <c r="S13" s="496">
        <v>1647564.14</v>
      </c>
    </row>
    <row r="14" spans="1:19">
      <c r="A14" s="478">
        <v>8</v>
      </c>
      <c r="B14" s="478">
        <f>([3]adjustment!B43)</f>
        <v>369</v>
      </c>
      <c r="C14" s="492" t="s">
        <v>8</v>
      </c>
      <c r="D14" s="465"/>
      <c r="E14" s="479">
        <v>20144271.210000001</v>
      </c>
      <c r="F14" s="465"/>
      <c r="G14" s="465"/>
      <c r="H14" s="465"/>
      <c r="I14" s="479" t="s">
        <v>1</v>
      </c>
      <c r="J14" s="494">
        <f>(E14)</f>
        <v>20144271.210000001</v>
      </c>
      <c r="K14" s="465"/>
      <c r="L14" s="465"/>
      <c r="M14" s="465"/>
      <c r="N14" s="465"/>
      <c r="O14" s="465"/>
      <c r="P14" s="493">
        <f t="shared" si="0"/>
        <v>20144271.210000001</v>
      </c>
      <c r="R14" s="386">
        <v>370.1</v>
      </c>
      <c r="S14" s="496">
        <v>10218297.970000001</v>
      </c>
    </row>
    <row r="15" spans="1:19">
      <c r="A15" s="478">
        <v>9</v>
      </c>
      <c r="B15" s="478">
        <f>([3]adjustment!B44)</f>
        <v>370</v>
      </c>
      <c r="C15" s="492" t="s">
        <v>9</v>
      </c>
      <c r="D15" s="465"/>
      <c r="E15" s="497">
        <f>S17</f>
        <v>11865862.110000001</v>
      </c>
      <c r="F15" s="465"/>
      <c r="G15" s="465"/>
      <c r="H15" s="465"/>
      <c r="I15" s="465"/>
      <c r="J15" s="494" t="s">
        <v>1</v>
      </c>
      <c r="K15" s="494">
        <f>(E15)</f>
        <v>11865862.110000001</v>
      </c>
      <c r="L15" s="465"/>
      <c r="M15" s="479"/>
      <c r="N15" s="465"/>
      <c r="O15" s="465"/>
      <c r="P15" s="493">
        <f t="shared" si="0"/>
        <v>11865862.110000001</v>
      </c>
      <c r="R15" s="386">
        <v>370.2</v>
      </c>
      <c r="S15" s="498"/>
    </row>
    <row r="16" spans="1:19">
      <c r="A16" s="478">
        <v>10</v>
      </c>
      <c r="B16" s="478">
        <f>([3]adjustment!B46)</f>
        <v>371</v>
      </c>
      <c r="C16" s="492" t="s">
        <v>268</v>
      </c>
      <c r="D16" s="465"/>
      <c r="E16" s="479">
        <v>5186886.88</v>
      </c>
      <c r="F16" s="465"/>
      <c r="G16" s="465"/>
      <c r="H16" s="465"/>
      <c r="I16" s="465"/>
      <c r="J16" s="465"/>
      <c r="K16" s="465"/>
      <c r="L16" s="465"/>
      <c r="M16" s="494">
        <f>(E16)</f>
        <v>5186886.88</v>
      </c>
      <c r="N16" s="465"/>
      <c r="O16" s="465"/>
      <c r="P16" s="493">
        <f t="shared" si="0"/>
        <v>5186886.88</v>
      </c>
      <c r="R16" s="386">
        <v>370.3</v>
      </c>
      <c r="S16" s="498"/>
    </row>
    <row r="17" spans="1:32">
      <c r="A17" s="478">
        <v>11</v>
      </c>
      <c r="B17" s="478">
        <f>([3]adjustment!B47)</f>
        <v>373</v>
      </c>
      <c r="C17" s="492" t="s">
        <v>235</v>
      </c>
      <c r="D17" s="465"/>
      <c r="E17" s="499">
        <v>278611.09999999998</v>
      </c>
      <c r="F17" s="500"/>
      <c r="G17" s="499" t="s">
        <v>1</v>
      </c>
      <c r="H17" s="500"/>
      <c r="I17" s="500"/>
      <c r="J17" s="500"/>
      <c r="K17" s="500"/>
      <c r="L17" s="500"/>
      <c r="M17" s="500"/>
      <c r="N17" s="501">
        <f>(E17)</f>
        <v>278611.09999999998</v>
      </c>
      <c r="P17" s="493">
        <f>SUM(G17:N17)</f>
        <v>278611.09999999998</v>
      </c>
      <c r="S17" s="497">
        <f>SUM(S13:S16)</f>
        <v>11865862.110000001</v>
      </c>
    </row>
    <row r="18" spans="1:32">
      <c r="A18" s="478">
        <v>12</v>
      </c>
      <c r="B18" s="478"/>
      <c r="C18" s="465" t="s">
        <v>100</v>
      </c>
      <c r="D18" s="465"/>
      <c r="E18" s="499">
        <f>SUM(E6:E17)</f>
        <v>195032231.37</v>
      </c>
      <c r="F18" s="499" t="s">
        <v>1</v>
      </c>
      <c r="G18" s="499">
        <f>SUM(G6:G17)</f>
        <v>1699191.23</v>
      </c>
      <c r="H18" s="499">
        <f>SUM(H6:H17)</f>
        <v>127387547.88</v>
      </c>
      <c r="I18" s="499">
        <f t="shared" ref="I18:N18" si="1">SUM(I7:I17)</f>
        <v>28469860.960000001</v>
      </c>
      <c r="J18" s="499">
        <f t="shared" si="1"/>
        <v>20144271.210000001</v>
      </c>
      <c r="K18" s="499">
        <f t="shared" si="1"/>
        <v>11865862.110000001</v>
      </c>
      <c r="L18" s="499">
        <f t="shared" si="1"/>
        <v>0</v>
      </c>
      <c r="M18" s="499">
        <f t="shared" si="1"/>
        <v>5186886.88</v>
      </c>
      <c r="N18" s="499">
        <f t="shared" si="1"/>
        <v>278611.09999999998</v>
      </c>
      <c r="P18" s="493">
        <f>SUM(G18:N18)</f>
        <v>195032231.37</v>
      </c>
    </row>
    <row r="19" spans="1:32">
      <c r="A19" s="478">
        <v>13</v>
      </c>
      <c r="B19" s="478"/>
      <c r="C19" s="465" t="s">
        <v>190</v>
      </c>
      <c r="D19" s="465"/>
      <c r="E19" s="502">
        <f>(E18/$E$18)</f>
        <v>1</v>
      </c>
      <c r="F19" s="479"/>
      <c r="G19" s="503">
        <f>(G18/$E$18)</f>
        <v>8.7123611213596099E-3</v>
      </c>
      <c r="H19" s="503">
        <f t="shared" ref="H19:M19" si="2">(H18/$E$18)</f>
        <v>0.65316151584365678</v>
      </c>
      <c r="I19" s="503">
        <f t="shared" si="2"/>
        <v>0.14597515887509482</v>
      </c>
      <c r="J19" s="503">
        <f t="shared" si="2"/>
        <v>0.10328688272957229</v>
      </c>
      <c r="K19" s="503">
        <f t="shared" si="2"/>
        <v>6.0840518649909761E-2</v>
      </c>
      <c r="L19" s="503">
        <f t="shared" si="2"/>
        <v>0</v>
      </c>
      <c r="M19" s="503">
        <f t="shared" si="2"/>
        <v>2.6595024030463155E-2</v>
      </c>
      <c r="N19" s="503">
        <f>(N18/$E$18)</f>
        <v>1.4285387499435446E-3</v>
      </c>
      <c r="P19" s="504">
        <f>SUM(G19:N19)</f>
        <v>1</v>
      </c>
    </row>
    <row r="20" spans="1:32">
      <c r="A20" s="478">
        <v>14</v>
      </c>
      <c r="B20" s="478"/>
      <c r="C20" s="465"/>
      <c r="D20" s="465"/>
      <c r="E20" s="479"/>
      <c r="F20" s="465"/>
      <c r="G20" s="465"/>
      <c r="H20" s="465" t="s">
        <v>1</v>
      </c>
      <c r="I20" s="465"/>
      <c r="J20" s="465"/>
      <c r="K20" s="465"/>
      <c r="L20" s="465"/>
      <c r="M20" s="465"/>
      <c r="N20" s="465"/>
      <c r="T20" s="386">
        <v>108.7</v>
      </c>
      <c r="U20" s="496">
        <v>1764883.9</v>
      </c>
      <c r="W20" s="409">
        <v>108.6</v>
      </c>
      <c r="X20" s="496">
        <v>0</v>
      </c>
      <c r="Z20" s="386">
        <v>108.5</v>
      </c>
      <c r="AA20" s="386">
        <v>0</v>
      </c>
      <c r="AC20" s="386">
        <v>108.8</v>
      </c>
      <c r="AD20" s="386">
        <v>-222308.05</v>
      </c>
    </row>
    <row r="21" spans="1:32">
      <c r="A21" s="478">
        <v>15</v>
      </c>
      <c r="B21" s="478"/>
      <c r="C21" s="465" t="s">
        <v>101</v>
      </c>
      <c r="D21" s="465"/>
      <c r="E21" s="499">
        <f>13056350+9059358</f>
        <v>22115708</v>
      </c>
      <c r="F21" s="499" t="s">
        <v>1</v>
      </c>
      <c r="G21" s="499">
        <f>($E$21*'2 Functionalization2'!U91)</f>
        <v>48447.032114872207</v>
      </c>
      <c r="H21" s="499">
        <f>($E$21*'2 Functionalization2'!V91)</f>
        <v>10909821.640154276</v>
      </c>
      <c r="I21" s="499">
        <f>($E$21*'2 Functionalization2'!W91)</f>
        <v>25942.783846257324</v>
      </c>
      <c r="J21" s="499">
        <f>($E$21*'2 Functionalization2'!X91)</f>
        <v>1725211.0557856103</v>
      </c>
      <c r="K21" s="499">
        <f>($E$21*'2 Functionalization2'!Y91)</f>
        <v>3122615.5756282671</v>
      </c>
      <c r="L21" s="499">
        <f>($E$21*'2 Functionalization2'!Z91)</f>
        <v>5894567.0137736527</v>
      </c>
      <c r="M21" s="499">
        <f>($E$21*'2 Functionalization2'!AA91)</f>
        <v>352422.23548594821</v>
      </c>
      <c r="N21" s="499">
        <f>($E$21*'2 Functionalization2'!AB91)</f>
        <v>36680.663211117237</v>
      </c>
      <c r="P21" s="493">
        <f>SUM(G21:N21)</f>
        <v>22115708.000000004</v>
      </c>
      <c r="T21" s="386">
        <v>108.71</v>
      </c>
      <c r="U21" s="496">
        <v>1295810.8999999999</v>
      </c>
      <c r="W21" s="409">
        <v>108.61</v>
      </c>
      <c r="X21" s="496">
        <v>22915896.559999999</v>
      </c>
      <c r="Z21" s="386">
        <v>108.51</v>
      </c>
      <c r="AA21" s="386">
        <v>0</v>
      </c>
      <c r="AC21" s="386">
        <v>108.81</v>
      </c>
      <c r="AD21" s="386">
        <v>0</v>
      </c>
    </row>
    <row r="22" spans="1:32">
      <c r="A22" s="478">
        <v>16</v>
      </c>
      <c r="B22" s="478"/>
      <c r="C22" s="386" t="s">
        <v>189</v>
      </c>
      <c r="E22" s="502">
        <f>(E21/$E$21)</f>
        <v>1</v>
      </c>
      <c r="G22" s="503">
        <f>(G21/$E$21)</f>
        <v>2.1906163761464116E-3</v>
      </c>
      <c r="H22" s="503">
        <f t="shared" ref="H22:M22" si="3">(H21/$E$21)</f>
        <v>0.49330646073615531</v>
      </c>
      <c r="I22" s="503">
        <f t="shared" si="3"/>
        <v>1.1730478556805563E-3</v>
      </c>
      <c r="J22" s="503">
        <f t="shared" si="3"/>
        <v>7.8008402705697255E-2</v>
      </c>
      <c r="K22" s="503">
        <f t="shared" si="3"/>
        <v>0.14119446574481212</v>
      </c>
      <c r="L22" s="503">
        <f t="shared" si="3"/>
        <v>0.26653304582307075</v>
      </c>
      <c r="M22" s="503">
        <f t="shared" si="3"/>
        <v>1.5935381109478758E-2</v>
      </c>
      <c r="N22" s="503">
        <f>(N21/$E$21)</f>
        <v>1.6585796489588865E-3</v>
      </c>
      <c r="P22" s="505">
        <f>SUM(G22:N22)</f>
        <v>1</v>
      </c>
      <c r="T22" s="386">
        <v>108.72</v>
      </c>
      <c r="U22" s="496">
        <v>2665561.98</v>
      </c>
      <c r="W22" s="409">
        <v>108.62</v>
      </c>
      <c r="X22" s="496">
        <v>12257446.65</v>
      </c>
      <c r="Z22" s="386">
        <v>108.59</v>
      </c>
      <c r="AA22" s="506">
        <v>662141</v>
      </c>
      <c r="AC22" s="386">
        <v>108.9</v>
      </c>
      <c r="AD22" s="386">
        <v>-14583.5</v>
      </c>
    </row>
    <row r="23" spans="1:32">
      <c r="A23" s="478">
        <v>17</v>
      </c>
      <c r="B23" s="478"/>
      <c r="D23" s="465"/>
      <c r="N23" s="465"/>
      <c r="T23" s="386">
        <v>108.73</v>
      </c>
      <c r="U23" s="496">
        <v>161549.41</v>
      </c>
      <c r="W23" s="409">
        <v>108.63</v>
      </c>
      <c r="X23" s="496">
        <v>0</v>
      </c>
    </row>
    <row r="24" spans="1:32">
      <c r="A24" s="478">
        <v>18</v>
      </c>
      <c r="B24" s="478"/>
      <c r="C24" s="465" t="s">
        <v>102</v>
      </c>
      <c r="E24" s="479">
        <f>(E18+E21)</f>
        <v>217147939.37</v>
      </c>
      <c r="F24" s="479" t="s">
        <v>1</v>
      </c>
      <c r="G24" s="479">
        <f>(G18+G21)</f>
        <v>1747638.2621148722</v>
      </c>
      <c r="H24" s="479">
        <f t="shared" ref="H24:M24" si="4">(H18+H21)</f>
        <v>138297369.52015427</v>
      </c>
      <c r="I24" s="479">
        <f t="shared" si="4"/>
        <v>28495803.74384626</v>
      </c>
      <c r="J24" s="479">
        <f t="shared" si="4"/>
        <v>21869482.265785612</v>
      </c>
      <c r="K24" s="479">
        <f t="shared" si="4"/>
        <v>14988477.685628269</v>
      </c>
      <c r="L24" s="479">
        <f t="shared" si="4"/>
        <v>5894567.0137736527</v>
      </c>
      <c r="M24" s="479">
        <f t="shared" si="4"/>
        <v>5539309.1154859485</v>
      </c>
      <c r="N24" s="479">
        <f>(N18+N21)</f>
        <v>315291.76321111724</v>
      </c>
      <c r="P24" s="506">
        <f>SUM(G24:N24)</f>
        <v>217147939.37</v>
      </c>
      <c r="T24" s="386">
        <v>108.74</v>
      </c>
      <c r="U24" s="496">
        <v>142742.73000000001</v>
      </c>
      <c r="W24" s="409">
        <v>108.64</v>
      </c>
      <c r="X24" s="496">
        <v>227359.95</v>
      </c>
    </row>
    <row r="25" spans="1:32">
      <c r="A25" s="478">
        <v>19</v>
      </c>
      <c r="B25" s="478"/>
      <c r="C25" s="465" t="s">
        <v>195</v>
      </c>
      <c r="E25" s="502">
        <f>(E24/$E$24)</f>
        <v>1</v>
      </c>
      <c r="F25" s="479"/>
      <c r="G25" s="502">
        <f t="shared" ref="G25:M25" si="5">(G24/$E$24)</f>
        <v>8.0481457350468251E-3</v>
      </c>
      <c r="H25" s="502">
        <f t="shared" si="5"/>
        <v>0.63688087449224351</v>
      </c>
      <c r="I25" s="502">
        <f t="shared" si="5"/>
        <v>0.13122760375493153</v>
      </c>
      <c r="J25" s="502">
        <f t="shared" si="5"/>
        <v>0.1007123637886429</v>
      </c>
      <c r="K25" s="502">
        <f t="shared" si="5"/>
        <v>6.9024268565999553E-2</v>
      </c>
      <c r="L25" s="502">
        <f t="shared" si="5"/>
        <v>2.7145396962436081E-2</v>
      </c>
      <c r="M25" s="502">
        <f t="shared" si="5"/>
        <v>2.5509379142886906E-2</v>
      </c>
      <c r="N25" s="502">
        <f>(N24/$E$24)</f>
        <v>1.4519675578126912E-3</v>
      </c>
      <c r="P25" s="506">
        <f>SUM(G25:N25)</f>
        <v>1</v>
      </c>
      <c r="T25" s="386">
        <v>108.75</v>
      </c>
      <c r="U25" s="496">
        <v>183226.37</v>
      </c>
      <c r="W25" s="409">
        <v>108.65</v>
      </c>
      <c r="X25" s="496">
        <v>7347104.8099999996</v>
      </c>
    </row>
    <row r="26" spans="1:32">
      <c r="A26" s="478">
        <v>20</v>
      </c>
      <c r="B26" s="478"/>
      <c r="C26" s="465"/>
      <c r="E26" s="479"/>
      <c r="F26" s="479"/>
      <c r="G26" s="479"/>
      <c r="H26" s="502"/>
      <c r="I26" s="502"/>
      <c r="J26" s="502"/>
      <c r="K26" s="502"/>
      <c r="L26" s="502"/>
      <c r="M26" s="502"/>
      <c r="N26" s="502"/>
      <c r="P26" s="507"/>
      <c r="T26" s="386">
        <v>108.76</v>
      </c>
      <c r="U26" s="496">
        <v>49186.52</v>
      </c>
      <c r="W26" s="409">
        <v>108.66</v>
      </c>
      <c r="X26" s="496">
        <v>4183089.23</v>
      </c>
    </row>
    <row r="27" spans="1:32">
      <c r="A27" s="478">
        <v>21</v>
      </c>
      <c r="B27" s="478"/>
      <c r="C27" s="465" t="s">
        <v>103</v>
      </c>
      <c r="E27" s="479"/>
      <c r="F27" s="479"/>
      <c r="G27" s="479"/>
      <c r="T27" s="386">
        <v>108.77</v>
      </c>
      <c r="U27" s="496">
        <v>420436.77</v>
      </c>
      <c r="W27" s="409">
        <v>108.67</v>
      </c>
      <c r="X27" s="496">
        <v>2422452.5699999998</v>
      </c>
    </row>
    <row r="28" spans="1:32">
      <c r="A28" s="478">
        <v>22</v>
      </c>
      <c r="B28" s="478"/>
      <c r="C28" s="465" t="s">
        <v>118</v>
      </c>
      <c r="D28" s="465"/>
      <c r="E28" s="479">
        <f>X30+AD30</f>
        <v>49744410.940000005</v>
      </c>
      <c r="F28" s="465"/>
      <c r="G28" s="479">
        <f t="shared" ref="G28:M28" si="6">(G19*$E$28)</f>
        <v>433391.27187859168</v>
      </c>
      <c r="H28" s="479">
        <f>(H19*$E$28)</f>
        <v>32491134.854320187</v>
      </c>
      <c r="I28" s="479">
        <f t="shared" si="6"/>
        <v>7261448.2901145061</v>
      </c>
      <c r="J28" s="479">
        <f t="shared" si="6"/>
        <v>5137945.139211433</v>
      </c>
      <c r="K28" s="479">
        <f t="shared" si="6"/>
        <v>3026475.7615238456</v>
      </c>
      <c r="L28" s="479">
        <f t="shared" si="6"/>
        <v>0</v>
      </c>
      <c r="M28" s="479">
        <f t="shared" si="6"/>
        <v>1322953.8043305343</v>
      </c>
      <c r="N28" s="479">
        <f>(N19*$E$28)</f>
        <v>71061.818620905586</v>
      </c>
      <c r="P28" s="506">
        <f>SUM(G28:N28)</f>
        <v>49744410.939999998</v>
      </c>
      <c r="T28" s="386">
        <v>108.78</v>
      </c>
      <c r="U28" s="496">
        <v>415905.55</v>
      </c>
      <c r="W28" s="409">
        <v>108.68</v>
      </c>
      <c r="X28" s="496">
        <v>575888.66</v>
      </c>
    </row>
    <row r="29" spans="1:32">
      <c r="A29" s="478">
        <v>23</v>
      </c>
      <c r="B29" s="478" t="s">
        <v>1</v>
      </c>
      <c r="C29" s="386" t="s">
        <v>119</v>
      </c>
      <c r="D29" s="465"/>
      <c r="E29" s="499">
        <f>U30+AA30</f>
        <v>7761445.1299999999</v>
      </c>
      <c r="F29" s="500"/>
      <c r="G29" s="501">
        <f t="shared" ref="G29:M29" si="7">($E$29*G22)</f>
        <v>17002.348804339814</v>
      </c>
      <c r="H29" s="501">
        <f t="shared" si="7"/>
        <v>3828771.0272781686</v>
      </c>
      <c r="I29" s="501">
        <f t="shared" si="7"/>
        <v>9104.5465667287972</v>
      </c>
      <c r="J29" s="501">
        <f t="shared" si="7"/>
        <v>605457.93727921275</v>
      </c>
      <c r="K29" s="501">
        <f t="shared" si="7"/>
        <v>1095873.0985380239</v>
      </c>
      <c r="L29" s="501">
        <f t="shared" si="7"/>
        <v>2068681.6104875393</v>
      </c>
      <c r="M29" s="501">
        <f t="shared" si="7"/>
        <v>123681.5861068579</v>
      </c>
      <c r="N29" s="501">
        <f>($E$29*N22)</f>
        <v>12872.974939129059</v>
      </c>
      <c r="P29" s="506">
        <f>SUM(G29:N29)</f>
        <v>7761445.1300000008</v>
      </c>
      <c r="Q29" s="493">
        <f>SUM(P28:P29)</f>
        <v>57505856.07</v>
      </c>
      <c r="R29" s="437">
        <v>57505856</v>
      </c>
      <c r="T29" s="386">
        <v>108.79</v>
      </c>
      <c r="U29" s="496">
        <v>0</v>
      </c>
      <c r="W29" s="409">
        <v>108.69</v>
      </c>
      <c r="X29" s="496">
        <v>52064.06</v>
      </c>
    </row>
    <row r="30" spans="1:32">
      <c r="A30" s="478">
        <v>24</v>
      </c>
      <c r="B30" s="478"/>
      <c r="C30" s="465"/>
      <c r="D30" s="465"/>
      <c r="E30" s="479" t="s">
        <v>1</v>
      </c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R30" s="493">
        <f>R29-Q29</f>
        <v>-7.0000000298023224E-2</v>
      </c>
      <c r="U30" s="497">
        <f>SUM(U20:U29)</f>
        <v>7099304.1299999999</v>
      </c>
      <c r="X30" s="497">
        <f>SUM(X20:X29)</f>
        <v>49981302.490000002</v>
      </c>
      <c r="AA30" s="497">
        <f>SUM(AA20:AA29)</f>
        <v>662141</v>
      </c>
      <c r="AD30" s="497">
        <f>SUM(AD20:AD29)</f>
        <v>-236891.55</v>
      </c>
      <c r="AE30" s="497">
        <f>SUM(U30:AD30)</f>
        <v>57505856.070000008</v>
      </c>
    </row>
    <row r="31" spans="1:32">
      <c r="A31" s="478">
        <v>25</v>
      </c>
      <c r="B31" s="478"/>
      <c r="C31" s="465" t="s">
        <v>104</v>
      </c>
      <c r="D31" s="465"/>
      <c r="E31" s="494">
        <f>(E24-E28-E29)</f>
        <v>159642083.30000001</v>
      </c>
      <c r="F31" s="465"/>
      <c r="G31" s="494">
        <f t="shared" ref="G31:N31" si="8">(G24-G28-G29)</f>
        <v>1297244.6414319407</v>
      </c>
      <c r="H31" s="494">
        <f t="shared" si="8"/>
        <v>101977463.63855591</v>
      </c>
      <c r="I31" s="494">
        <f t="shared" si="8"/>
        <v>21225250.907165024</v>
      </c>
      <c r="J31" s="494">
        <f t="shared" si="8"/>
        <v>16126079.189294966</v>
      </c>
      <c r="K31" s="494">
        <f t="shared" si="8"/>
        <v>10866128.825566398</v>
      </c>
      <c r="L31" s="494">
        <f>(L24-L28-L29)</f>
        <v>3825885.4032861134</v>
      </c>
      <c r="M31" s="494">
        <f t="shared" si="8"/>
        <v>4092673.7250485565</v>
      </c>
      <c r="N31" s="494">
        <f t="shared" si="8"/>
        <v>231356.96965108262</v>
      </c>
      <c r="O31" s="494"/>
      <c r="P31" s="493">
        <f>SUM(G31:N31)</f>
        <v>159642083.29999998</v>
      </c>
    </row>
    <row r="32" spans="1:32">
      <c r="A32" s="478">
        <v>26</v>
      </c>
      <c r="B32" s="478"/>
      <c r="C32" s="465" t="s">
        <v>191</v>
      </c>
      <c r="D32" s="465"/>
      <c r="E32" s="502">
        <f t="shared" ref="E32:N32" si="9">(E31/$E$31)</f>
        <v>1</v>
      </c>
      <c r="F32" s="465"/>
      <c r="G32" s="502">
        <f>(G31/$E$31)</f>
        <v>8.1259566062800229E-3</v>
      </c>
      <c r="H32" s="502">
        <f>(H31/$E$31)</f>
        <v>0.63878810355361926</v>
      </c>
      <c r="I32" s="502">
        <f t="shared" si="9"/>
        <v>0.13295523629116299</v>
      </c>
      <c r="J32" s="502">
        <f t="shared" si="9"/>
        <v>0.10101396108061793</v>
      </c>
      <c r="K32" s="502">
        <f t="shared" si="9"/>
        <v>6.8065566428037197E-2</v>
      </c>
      <c r="L32" s="502">
        <f t="shared" si="9"/>
        <v>2.3965393862321972E-2</v>
      </c>
      <c r="M32" s="502">
        <f t="shared" si="9"/>
        <v>2.5636559235809948E-2</v>
      </c>
      <c r="N32" s="502">
        <f t="shared" si="9"/>
        <v>1.449222942150634E-3</v>
      </c>
      <c r="O32" s="502"/>
      <c r="P32" s="493">
        <f>SUM(G32:N32)</f>
        <v>1</v>
      </c>
      <c r="U32" s="409" t="s">
        <v>105</v>
      </c>
      <c r="W32" s="409" t="s">
        <v>443</v>
      </c>
      <c r="Z32" s="409" t="s">
        <v>444</v>
      </c>
      <c r="AC32" s="409" t="s">
        <v>109</v>
      </c>
      <c r="AF32" s="409" t="s">
        <v>445</v>
      </c>
    </row>
    <row r="33" spans="1:33">
      <c r="A33" s="478">
        <v>27</v>
      </c>
      <c r="B33" s="478"/>
      <c r="C33" s="465"/>
      <c r="D33" s="465"/>
      <c r="E33" s="479"/>
      <c r="F33" s="465"/>
      <c r="G33" s="465"/>
      <c r="H33" s="494"/>
      <c r="I33" s="494"/>
      <c r="J33" s="494"/>
      <c r="K33" s="494"/>
      <c r="L33" s="494"/>
      <c r="M33" s="494"/>
      <c r="N33" s="494"/>
      <c r="O33" s="494"/>
      <c r="P33" s="493">
        <f>SUM(H33:N33)</f>
        <v>0</v>
      </c>
      <c r="T33" s="386">
        <v>107.2</v>
      </c>
      <c r="U33" s="506"/>
      <c r="W33" s="386">
        <v>131.1</v>
      </c>
      <c r="X33" s="506">
        <v>1653907.81</v>
      </c>
      <c r="Z33" s="386">
        <v>154</v>
      </c>
      <c r="AA33" s="506">
        <v>1024779.99</v>
      </c>
      <c r="AC33" s="386">
        <v>165.1</v>
      </c>
      <c r="AD33" s="386">
        <v>286643.59000000003</v>
      </c>
      <c r="AF33" s="386">
        <v>252</v>
      </c>
      <c r="AG33" s="386">
        <v>0</v>
      </c>
    </row>
    <row r="34" spans="1:33">
      <c r="A34" s="478">
        <v>28</v>
      </c>
      <c r="B34" s="478" t="s">
        <v>1</v>
      </c>
      <c r="C34" s="465" t="s">
        <v>105</v>
      </c>
      <c r="D34" s="465"/>
      <c r="E34" s="508">
        <v>993407</v>
      </c>
      <c r="F34" s="500"/>
      <c r="G34" s="499">
        <f t="shared" ref="G34:N34" si="10">(G18/$E$18)*($E$34)</f>
        <v>8654.9205244864861</v>
      </c>
      <c r="H34" s="499">
        <f t="shared" si="10"/>
        <v>648855.2219696996</v>
      </c>
      <c r="I34" s="499">
        <f t="shared" si="10"/>
        <v>145012.74465263131</v>
      </c>
      <c r="J34" s="499">
        <f t="shared" si="10"/>
        <v>102605.91231173622</v>
      </c>
      <c r="K34" s="499">
        <f t="shared" si="10"/>
        <v>60439.397110450904</v>
      </c>
      <c r="L34" s="499">
        <f t="shared" si="10"/>
        <v>0</v>
      </c>
      <c r="M34" s="499">
        <f t="shared" si="10"/>
        <v>26419.683037030311</v>
      </c>
      <c r="N34" s="499">
        <f t="shared" si="10"/>
        <v>1419.1203939651668</v>
      </c>
      <c r="O34" s="479"/>
      <c r="P34" s="493">
        <f t="shared" ref="P34:P40" si="11">SUM(G34:N34)</f>
        <v>993407</v>
      </c>
      <c r="T34" s="386">
        <v>107.21</v>
      </c>
      <c r="U34" s="506"/>
      <c r="W34" s="386">
        <v>131.11000000000001</v>
      </c>
      <c r="X34" s="506">
        <v>500</v>
      </c>
      <c r="Z34" s="386">
        <v>154.1</v>
      </c>
      <c r="AA34" s="506">
        <v>0</v>
      </c>
      <c r="AC34" s="386">
        <v>165.11</v>
      </c>
      <c r="AD34" s="386">
        <v>0</v>
      </c>
      <c r="AF34" s="386">
        <v>252.1</v>
      </c>
      <c r="AG34" s="386">
        <v>34652.97</v>
      </c>
    </row>
    <row r="35" spans="1:33">
      <c r="A35" s="478">
        <v>29</v>
      </c>
      <c r="B35" s="478"/>
      <c r="C35" s="465" t="s">
        <v>92</v>
      </c>
      <c r="D35" s="465"/>
      <c r="E35" s="479">
        <f>(E31+E34)</f>
        <v>160635490.30000001</v>
      </c>
      <c r="F35" s="479" t="s">
        <v>1</v>
      </c>
      <c r="G35" s="479">
        <f t="shared" ref="G35:M35" si="12">(G31+G34)</f>
        <v>1305899.5619564273</v>
      </c>
      <c r="H35" s="479">
        <f t="shared" si="12"/>
        <v>102626318.86052561</v>
      </c>
      <c r="I35" s="479">
        <f t="shared" si="12"/>
        <v>21370263.651817657</v>
      </c>
      <c r="J35" s="479">
        <f t="shared" si="12"/>
        <v>16228685.101606702</v>
      </c>
      <c r="K35" s="479">
        <f t="shared" si="12"/>
        <v>10926568.222676849</v>
      </c>
      <c r="L35" s="479">
        <f t="shared" si="12"/>
        <v>3825885.4032861134</v>
      </c>
      <c r="M35" s="479">
        <f t="shared" si="12"/>
        <v>4119093.408085587</v>
      </c>
      <c r="N35" s="479">
        <f>(N31+N34)</f>
        <v>232776.09004504778</v>
      </c>
      <c r="O35" s="465"/>
      <c r="P35" s="493">
        <f t="shared" si="11"/>
        <v>160635490.29999995</v>
      </c>
      <c r="T35" s="386">
        <v>107.22</v>
      </c>
      <c r="U35" s="506"/>
      <c r="W35" s="386">
        <v>131.12</v>
      </c>
      <c r="X35" s="506">
        <v>393.85</v>
      </c>
      <c r="Z35" s="386">
        <v>154.19999999999999</v>
      </c>
      <c r="AA35" s="386">
        <v>96081.84</v>
      </c>
      <c r="AC35" s="386">
        <v>165.15</v>
      </c>
      <c r="AD35" s="386">
        <v>0</v>
      </c>
    </row>
    <row r="36" spans="1:33">
      <c r="A36" s="478">
        <v>30</v>
      </c>
      <c r="B36" s="478"/>
      <c r="C36" s="465" t="s">
        <v>106</v>
      </c>
      <c r="D36" s="465"/>
      <c r="E36" s="479"/>
      <c r="F36" s="465"/>
      <c r="G36" s="465"/>
      <c r="H36" s="494"/>
      <c r="I36" s="494"/>
      <c r="J36" s="494"/>
      <c r="K36" s="494"/>
      <c r="L36" s="494"/>
      <c r="M36" s="494"/>
      <c r="O36" s="479"/>
      <c r="P36" s="493">
        <f t="shared" si="11"/>
        <v>0</v>
      </c>
      <c r="T36" s="386">
        <v>107.3</v>
      </c>
      <c r="U36" s="506"/>
      <c r="W36" s="386">
        <v>131.13</v>
      </c>
      <c r="X36" s="506">
        <v>0</v>
      </c>
      <c r="Z36" s="386">
        <v>154.30000000000001</v>
      </c>
      <c r="AA36" s="386">
        <v>168137.02</v>
      </c>
      <c r="AC36" s="386">
        <v>165.2</v>
      </c>
      <c r="AD36" s="386">
        <v>0</v>
      </c>
    </row>
    <row r="37" spans="1:33" ht="15">
      <c r="A37" s="478">
        <v>31</v>
      </c>
      <c r="B37" s="478"/>
      <c r="C37" s="465" t="s">
        <v>107</v>
      </c>
      <c r="D37" s="465"/>
      <c r="E37" s="509">
        <f>'1TestYr'!D116</f>
        <v>2415844.2075</v>
      </c>
      <c r="F37" s="465"/>
      <c r="G37" s="494">
        <f t="shared" ref="G37:N37" si="13">(G35/$E$35)*($E$37)</f>
        <v>19639.806162618734</v>
      </c>
      <c r="H37" s="494">
        <f t="shared" si="13"/>
        <v>1543427.2805668325</v>
      </c>
      <c r="I37" s="494">
        <f t="shared" si="13"/>
        <v>321393.65690342389</v>
      </c>
      <c r="J37" s="494">
        <f t="shared" si="13"/>
        <v>244067.95051851688</v>
      </c>
      <c r="K37" s="494">
        <f t="shared" si="13"/>
        <v>164327.86116759799</v>
      </c>
      <c r="L37" s="494">
        <f t="shared" si="13"/>
        <v>57538.611628264553</v>
      </c>
      <c r="M37" s="494">
        <f t="shared" si="13"/>
        <v>61948.252727280393</v>
      </c>
      <c r="N37" s="494">
        <f t="shared" si="13"/>
        <v>3500.7878254649127</v>
      </c>
      <c r="O37" s="494"/>
      <c r="P37" s="493">
        <f t="shared" si="11"/>
        <v>2415844.2075</v>
      </c>
      <c r="T37" s="386">
        <v>107.31</v>
      </c>
      <c r="U37" s="506"/>
      <c r="W37" s="386">
        <v>131.13999999999999</v>
      </c>
      <c r="X37" s="506">
        <v>0</v>
      </c>
      <c r="Z37" s="386">
        <v>154.4</v>
      </c>
      <c r="AA37" s="386">
        <v>0</v>
      </c>
      <c r="AC37" s="386">
        <v>165.21</v>
      </c>
      <c r="AD37" s="386">
        <v>0</v>
      </c>
    </row>
    <row r="38" spans="1:33">
      <c r="A38" s="478">
        <v>32</v>
      </c>
      <c r="B38" s="478"/>
      <c r="C38" s="465" t="s">
        <v>108</v>
      </c>
      <c r="D38" s="465"/>
      <c r="E38" s="479">
        <f>(T63)</f>
        <v>1325826</v>
      </c>
      <c r="F38" s="465"/>
      <c r="G38" s="494">
        <f>(G35/$E$35)*($E$38)</f>
        <v>10778.412599836551</v>
      </c>
      <c r="H38" s="494">
        <f t="shared" ref="H38:N38" si="14">(H35/$E$35)*($E$38)</f>
        <v>847039.72687146103</v>
      </c>
      <c r="I38" s="494">
        <f t="shared" si="14"/>
        <v>176382.26224802571</v>
      </c>
      <c r="J38" s="494">
        <f t="shared" si="14"/>
        <v>133945.57213564162</v>
      </c>
      <c r="K38" s="494">
        <f t="shared" si="14"/>
        <v>90183.857959057466</v>
      </c>
      <c r="L38" s="494">
        <f t="shared" si="14"/>
        <v>31577.444879857998</v>
      </c>
      <c r="M38" s="494">
        <f t="shared" si="14"/>
        <v>33997.475443746822</v>
      </c>
      <c r="N38" s="494">
        <f t="shared" si="14"/>
        <v>1921.2478623726995</v>
      </c>
      <c r="O38" s="494"/>
      <c r="P38" s="493">
        <f t="shared" si="11"/>
        <v>1325826.0000000002</v>
      </c>
      <c r="T38" s="386">
        <v>107.32</v>
      </c>
      <c r="U38" s="506"/>
      <c r="W38" s="386">
        <v>131.15</v>
      </c>
      <c r="X38" s="506">
        <v>65816.87</v>
      </c>
      <c r="Z38" s="386">
        <v>154.5</v>
      </c>
      <c r="AA38" s="386">
        <v>0</v>
      </c>
      <c r="AC38" s="386">
        <v>165.22</v>
      </c>
      <c r="AD38" s="386">
        <v>0</v>
      </c>
    </row>
    <row r="39" spans="1:33">
      <c r="A39" s="478">
        <v>33</v>
      </c>
      <c r="B39" s="478"/>
      <c r="C39" s="465" t="s">
        <v>109</v>
      </c>
      <c r="D39" s="465"/>
      <c r="E39" s="479">
        <f>(R63)</f>
        <v>214138.15384615384</v>
      </c>
      <c r="F39" s="465"/>
      <c r="G39" s="494">
        <f t="shared" ref="G39:N39" si="15">(G35/$E$35)*($E$39)</f>
        <v>1740.8539095787246</v>
      </c>
      <c r="H39" s="494">
        <f t="shared" si="15"/>
        <v>136807.93961395012</v>
      </c>
      <c r="I39" s="494">
        <f t="shared" si="15"/>
        <v>28488.030864533044</v>
      </c>
      <c r="J39" s="494">
        <f t="shared" si="15"/>
        <v>21633.953122802781</v>
      </c>
      <c r="K39" s="494">
        <f t="shared" si="15"/>
        <v>14565.866750294785</v>
      </c>
      <c r="L39" s="494">
        <f t="shared" si="15"/>
        <v>5100.1683099829652</v>
      </c>
      <c r="M39" s="494">
        <f t="shared" si="15"/>
        <v>5491.0347413264599</v>
      </c>
      <c r="N39" s="494">
        <f t="shared" si="15"/>
        <v>310.3065336849325</v>
      </c>
      <c r="O39" s="494"/>
      <c r="P39" s="493">
        <f t="shared" si="11"/>
        <v>214138.15384615379</v>
      </c>
      <c r="U39" s="506">
        <f>SUM(U33:U38)</f>
        <v>0</v>
      </c>
      <c r="W39" s="386">
        <v>131.16</v>
      </c>
      <c r="X39" s="493">
        <v>213390</v>
      </c>
      <c r="Z39" s="465">
        <v>154.99</v>
      </c>
      <c r="AA39" s="494">
        <v>47937.11</v>
      </c>
      <c r="AB39" s="465"/>
      <c r="AC39" s="465">
        <v>165.23</v>
      </c>
      <c r="AD39" s="465">
        <v>0</v>
      </c>
      <c r="AF39" s="465"/>
      <c r="AG39" s="465"/>
    </row>
    <row r="40" spans="1:33" s="465" customFormat="1">
      <c r="A40" s="478">
        <v>34</v>
      </c>
      <c r="B40" s="478"/>
      <c r="C40" s="465" t="s">
        <v>110</v>
      </c>
      <c r="E40" s="508">
        <f>AG54</f>
        <v>34652.97</v>
      </c>
      <c r="F40" s="500"/>
      <c r="G40" s="499">
        <f t="shared" ref="G40:N40" si="16">(G18/$E$18)*($E$40)</f>
        <v>301.90918856764091</v>
      </c>
      <c r="H40" s="499">
        <f t="shared" si="16"/>
        <v>22633.986413684765</v>
      </c>
      <c r="I40" s="499">
        <f t="shared" si="16"/>
        <v>5058.4728012438945</v>
      </c>
      <c r="J40" s="499">
        <f t="shared" si="16"/>
        <v>3579.1972486213867</v>
      </c>
      <c r="K40" s="499">
        <f t="shared" si="16"/>
        <v>2108.3046675597634</v>
      </c>
      <c r="L40" s="499">
        <f t="shared" si="16"/>
        <v>0</v>
      </c>
      <c r="M40" s="499">
        <f t="shared" si="16"/>
        <v>921.59656987691881</v>
      </c>
      <c r="N40" s="499">
        <f t="shared" si="16"/>
        <v>49.503110445631151</v>
      </c>
      <c r="O40" s="494"/>
      <c r="P40" s="493">
        <f t="shared" si="11"/>
        <v>34652.97</v>
      </c>
      <c r="W40" s="465">
        <v>131.16999999999999</v>
      </c>
      <c r="X40" s="494">
        <v>8747.0499999999993</v>
      </c>
      <c r="Z40" s="465">
        <v>155</v>
      </c>
      <c r="AA40" s="465">
        <v>0</v>
      </c>
      <c r="AC40" s="465">
        <v>165.24</v>
      </c>
      <c r="AD40" s="465">
        <v>0</v>
      </c>
    </row>
    <row r="41" spans="1:33">
      <c r="A41" s="478">
        <v>35</v>
      </c>
      <c r="B41" s="478"/>
      <c r="C41" s="465"/>
      <c r="D41" s="465"/>
      <c r="E41" s="479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93">
        <f>SUM(N41:N41)</f>
        <v>0</v>
      </c>
      <c r="W41" s="465">
        <v>131.18</v>
      </c>
      <c r="X41" s="494">
        <v>151341.12</v>
      </c>
      <c r="Z41" s="465">
        <v>155.01</v>
      </c>
      <c r="AA41" s="465">
        <v>0</v>
      </c>
      <c r="AC41" s="465">
        <v>165.25</v>
      </c>
      <c r="AD41" s="465">
        <v>0</v>
      </c>
      <c r="AF41" s="465"/>
      <c r="AG41" s="465"/>
    </row>
    <row r="42" spans="1:33" ht="13.5" thickBot="1">
      <c r="A42" s="478">
        <v>36</v>
      </c>
      <c r="B42" s="478"/>
      <c r="C42" s="465" t="s">
        <v>111</v>
      </c>
      <c r="D42" s="465"/>
      <c r="E42" s="510">
        <f>SUM(E35,E37,E38,E39)-E40</f>
        <v>164556645.69134617</v>
      </c>
      <c r="F42" s="510" t="s">
        <v>1</v>
      </c>
      <c r="G42" s="510">
        <f>SUM(G35,G37,G38,G39)-G40</f>
        <v>1337756.7254398935</v>
      </c>
      <c r="H42" s="510">
        <f t="shared" ref="H42:N42" si="17">SUM(H35,H37,H38,H39)-H40</f>
        <v>105130959.82116416</v>
      </c>
      <c r="I42" s="510">
        <f t="shared" si="17"/>
        <v>21891469.129032392</v>
      </c>
      <c r="J42" s="510">
        <f t="shared" si="17"/>
        <v>16624753.380135043</v>
      </c>
      <c r="K42" s="510">
        <f t="shared" si="17"/>
        <v>11193537.50388624</v>
      </c>
      <c r="L42" s="510">
        <f t="shared" si="17"/>
        <v>3920101.6281042187</v>
      </c>
      <c r="M42" s="510">
        <f t="shared" si="17"/>
        <v>4219608.5744280629</v>
      </c>
      <c r="N42" s="510">
        <f t="shared" si="17"/>
        <v>238458.92915612468</v>
      </c>
      <c r="O42" s="479"/>
      <c r="P42" s="493">
        <f>SUM(G42:N42)</f>
        <v>164556645.69134611</v>
      </c>
      <c r="W42" s="465">
        <v>131.19</v>
      </c>
      <c r="X42" s="494">
        <v>40263.31</v>
      </c>
      <c r="Z42" s="465">
        <v>155.02000000000001</v>
      </c>
      <c r="AA42" s="465">
        <v>9511.3799999999992</v>
      </c>
      <c r="AC42" s="465">
        <v>165.26</v>
      </c>
      <c r="AD42" s="465">
        <v>3593.12</v>
      </c>
      <c r="AF42" s="465"/>
      <c r="AG42" s="465"/>
    </row>
    <row r="43" spans="1:33" ht="13.5" thickTop="1">
      <c r="A43" s="478">
        <v>37</v>
      </c>
      <c r="B43" s="478"/>
      <c r="N43" s="465"/>
      <c r="O43" s="465"/>
      <c r="P43" s="494"/>
      <c r="W43" s="465">
        <v>131.19999999999999</v>
      </c>
      <c r="X43" s="494">
        <v>0</v>
      </c>
      <c r="Z43" s="465">
        <v>163</v>
      </c>
      <c r="AA43" s="465">
        <v>5400.64</v>
      </c>
    </row>
    <row r="44" spans="1:33" ht="13.5" thickBot="1">
      <c r="A44" s="478">
        <v>38</v>
      </c>
      <c r="B44" s="478"/>
      <c r="C44" s="465" t="s">
        <v>447</v>
      </c>
      <c r="D44" s="465"/>
      <c r="E44" s="511">
        <f>(E42/$E$42)</f>
        <v>1</v>
      </c>
      <c r="F44" s="512"/>
      <c r="G44" s="511">
        <f>(G42/$E$42)</f>
        <v>8.1294603436988053E-3</v>
      </c>
      <c r="H44" s="511">
        <f t="shared" ref="H44:N44" si="18">(H42/$E$42)</f>
        <v>0.63887398396753337</v>
      </c>
      <c r="I44" s="511">
        <f t="shared" si="18"/>
        <v>0.13303302967230837</v>
      </c>
      <c r="J44" s="511">
        <f t="shared" si="18"/>
        <v>0.10102754167289955</v>
      </c>
      <c r="K44" s="511">
        <f t="shared" si="18"/>
        <v>6.8022397131754939E-2</v>
      </c>
      <c r="L44" s="511">
        <f t="shared" si="18"/>
        <v>2.3822201842015136E-2</v>
      </c>
      <c r="M44" s="511">
        <f t="shared" si="18"/>
        <v>2.5642286014644786E-2</v>
      </c>
      <c r="N44" s="511">
        <f t="shared" si="18"/>
        <v>1.4490993551448219E-3</v>
      </c>
      <c r="O44" s="502"/>
      <c r="P44" s="513">
        <f>SUM(G44,H44,I44,J44,K44,L44,M44,N44)</f>
        <v>0.99999999999999967</v>
      </c>
      <c r="W44" s="465">
        <v>131.21</v>
      </c>
      <c r="X44" s="494">
        <v>430259.85</v>
      </c>
      <c r="Z44" s="465">
        <v>163.01</v>
      </c>
      <c r="AA44" s="465">
        <v>0</v>
      </c>
    </row>
    <row r="45" spans="1:33" ht="13.5" thickTop="1">
      <c r="A45" s="478">
        <v>39</v>
      </c>
      <c r="B45" s="478"/>
      <c r="C45" s="465"/>
      <c r="D45" s="465"/>
      <c r="E45" s="479"/>
      <c r="F45" s="465"/>
      <c r="G45" s="465"/>
      <c r="H45" s="502"/>
      <c r="I45" s="465"/>
      <c r="J45" s="465"/>
      <c r="K45" s="465"/>
      <c r="L45" s="465"/>
      <c r="M45" s="465"/>
      <c r="N45" s="465"/>
      <c r="O45" s="465"/>
      <c r="P45" s="494" t="s">
        <v>1</v>
      </c>
      <c r="W45" s="465">
        <v>131.22</v>
      </c>
      <c r="X45" s="494">
        <v>15598.59</v>
      </c>
      <c r="Z45" s="465">
        <v>163.02000000000001</v>
      </c>
      <c r="AA45" s="465">
        <v>0</v>
      </c>
    </row>
    <row r="46" spans="1:33" ht="13.5" thickBot="1">
      <c r="A46" s="478">
        <v>40</v>
      </c>
      <c r="B46" s="478"/>
      <c r="W46" s="465">
        <v>131.22999999999999</v>
      </c>
      <c r="X46" s="494">
        <v>62692.84</v>
      </c>
      <c r="Z46" s="465">
        <v>163.03</v>
      </c>
      <c r="AA46" s="465">
        <v>0</v>
      </c>
    </row>
    <row r="47" spans="1:33">
      <c r="A47" s="478" t="s">
        <v>1</v>
      </c>
      <c r="B47" s="478"/>
      <c r="C47" s="465"/>
      <c r="D47" s="465"/>
      <c r="E47" s="479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R47" s="514"/>
      <c r="T47" s="514" t="s">
        <v>575</v>
      </c>
      <c r="W47" s="465">
        <v>131.4</v>
      </c>
      <c r="X47" s="494">
        <v>0</v>
      </c>
      <c r="Z47" s="465">
        <v>163.04</v>
      </c>
      <c r="AA47" s="465">
        <v>0</v>
      </c>
    </row>
    <row r="48" spans="1:33" ht="13.5" thickBot="1">
      <c r="A48" s="386"/>
      <c r="B48" s="386"/>
      <c r="C48" s="515" t="s">
        <v>579</v>
      </c>
      <c r="D48" s="515"/>
      <c r="E48" s="515"/>
      <c r="R48" s="516" t="s">
        <v>109</v>
      </c>
      <c r="T48" s="516" t="s">
        <v>576</v>
      </c>
      <c r="W48" s="465">
        <v>135</v>
      </c>
      <c r="X48" s="494">
        <v>7250</v>
      </c>
      <c r="Z48" s="465">
        <v>163.05000000000001</v>
      </c>
      <c r="AA48" s="465">
        <v>0</v>
      </c>
    </row>
    <row r="49" spans="1:33">
      <c r="A49" s="386"/>
      <c r="B49" s="386"/>
      <c r="P49" s="517" t="s">
        <v>577</v>
      </c>
      <c r="R49" s="506">
        <v>107843</v>
      </c>
      <c r="S49" s="506"/>
      <c r="T49" s="506">
        <v>1152438</v>
      </c>
      <c r="W49" s="465">
        <v>135.1</v>
      </c>
      <c r="X49" s="494">
        <v>0</v>
      </c>
      <c r="Z49" s="465">
        <v>163.06</v>
      </c>
      <c r="AA49" s="465">
        <v>0</v>
      </c>
    </row>
    <row r="50" spans="1:33">
      <c r="A50" s="386"/>
      <c r="B50" s="386"/>
      <c r="G50" s="518" t="s">
        <v>10</v>
      </c>
      <c r="H50" s="407" t="s">
        <v>176</v>
      </c>
      <c r="I50" s="407" t="s">
        <v>179</v>
      </c>
      <c r="J50" s="407" t="s">
        <v>13</v>
      </c>
      <c r="P50" s="517" t="s">
        <v>578</v>
      </c>
      <c r="R50" s="506">
        <v>253789</v>
      </c>
      <c r="S50" s="506"/>
      <c r="T50" s="506">
        <v>1233003</v>
      </c>
      <c r="W50" s="465">
        <v>135.15</v>
      </c>
      <c r="X50" s="494">
        <v>300</v>
      </c>
      <c r="Z50" s="465">
        <v>163.09</v>
      </c>
      <c r="AA50" s="465">
        <v>0</v>
      </c>
    </row>
    <row r="51" spans="1:33">
      <c r="A51" s="386"/>
      <c r="B51" s="386"/>
      <c r="E51" s="518" t="s">
        <v>15</v>
      </c>
      <c r="G51" s="518" t="s">
        <v>580</v>
      </c>
      <c r="H51" s="407" t="s">
        <v>174</v>
      </c>
      <c r="I51" s="407" t="s">
        <v>581</v>
      </c>
      <c r="J51" s="407" t="s">
        <v>174</v>
      </c>
      <c r="M51" s="407" t="s">
        <v>15</v>
      </c>
      <c r="P51" s="517" t="s">
        <v>156</v>
      </c>
      <c r="R51" s="506">
        <v>228160</v>
      </c>
      <c r="S51" s="506"/>
      <c r="T51" s="506">
        <v>1314872</v>
      </c>
      <c r="X51" s="493"/>
      <c r="Z51" s="465">
        <v>163.1</v>
      </c>
      <c r="AA51" s="465">
        <v>0</v>
      </c>
    </row>
    <row r="52" spans="1:33">
      <c r="A52" s="386"/>
      <c r="B52" s="386"/>
      <c r="P52" s="517" t="s">
        <v>157</v>
      </c>
      <c r="R52" s="506">
        <v>279866</v>
      </c>
      <c r="S52" s="506"/>
      <c r="T52" s="506">
        <v>1297934</v>
      </c>
      <c r="Z52" s="465">
        <v>163.19999999999999</v>
      </c>
      <c r="AA52" s="465">
        <v>0</v>
      </c>
    </row>
    <row r="53" spans="1:33">
      <c r="A53" s="386"/>
      <c r="B53" s="407" t="s">
        <v>247</v>
      </c>
      <c r="E53" s="506">
        <f>(G42)</f>
        <v>1337756.7254398935</v>
      </c>
      <c r="G53" s="519" t="s">
        <v>1</v>
      </c>
      <c r="H53" s="493">
        <f>(E53)</f>
        <v>1337756.7254398935</v>
      </c>
      <c r="K53" s="493">
        <f>SUM(G53:J53)</f>
        <v>1337756.7254398935</v>
      </c>
      <c r="P53" s="517" t="s">
        <v>158</v>
      </c>
      <c r="R53" s="506">
        <v>256537</v>
      </c>
      <c r="S53" s="506"/>
      <c r="T53" s="506">
        <v>1252048</v>
      </c>
      <c r="Z53" s="465">
        <v>163.5</v>
      </c>
      <c r="AA53" s="465">
        <v>0</v>
      </c>
    </row>
    <row r="54" spans="1:33">
      <c r="A54" s="386"/>
      <c r="B54" s="407" t="s">
        <v>5</v>
      </c>
      <c r="E54" s="506">
        <f>(H42)</f>
        <v>105130959.82116416</v>
      </c>
      <c r="G54" s="506">
        <f>(E54*'3.1 PlantClass.'!D174)</f>
        <v>28198466.506080214</v>
      </c>
      <c r="H54" s="493">
        <f>(E54-G54)</f>
        <v>76932493.315083951</v>
      </c>
      <c r="K54" s="493">
        <f t="shared" ref="K54:K59" si="19">SUM(G54:J54)</f>
        <v>105130959.82116416</v>
      </c>
      <c r="P54" s="517" t="s">
        <v>159</v>
      </c>
      <c r="R54" s="506">
        <v>238560</v>
      </c>
      <c r="S54" s="506"/>
      <c r="T54" s="506">
        <v>1378117</v>
      </c>
      <c r="X54" s="493">
        <f>SUM(X33:X53)</f>
        <v>2650461.29</v>
      </c>
      <c r="AA54" s="493">
        <f>SUM(AA33:AA53)</f>
        <v>1351847.98</v>
      </c>
      <c r="AD54" s="493">
        <f>SUM(AD33:AD53)</f>
        <v>290236.71000000002</v>
      </c>
      <c r="AG54" s="493">
        <f>SUM(AG33:AG53)</f>
        <v>34652.97</v>
      </c>
    </row>
    <row r="55" spans="1:33">
      <c r="A55" s="386"/>
      <c r="B55" s="407" t="s">
        <v>95</v>
      </c>
      <c r="E55" s="506">
        <f>(I42)</f>
        <v>21891469.129032392</v>
      </c>
      <c r="G55" s="506">
        <f>(E55*'3.1 PlantClass.'!F265)</f>
        <v>4621540.2284820341</v>
      </c>
      <c r="H55" s="493">
        <f>(E55-G55)</f>
        <v>17269928.900550358</v>
      </c>
      <c r="K55" s="493">
        <f t="shared" si="19"/>
        <v>21891469.129032392</v>
      </c>
      <c r="P55" s="517" t="s">
        <v>160</v>
      </c>
      <c r="R55" s="506">
        <v>220584</v>
      </c>
      <c r="S55" s="506"/>
      <c r="T55" s="506">
        <v>1378622</v>
      </c>
    </row>
    <row r="56" spans="1:33">
      <c r="A56" s="386"/>
      <c r="B56" s="407" t="s">
        <v>8</v>
      </c>
      <c r="E56" s="506">
        <f>(J42)</f>
        <v>16624753.380135043</v>
      </c>
      <c r="G56" s="493">
        <f>(E56)</f>
        <v>16624753.380135043</v>
      </c>
      <c r="K56" s="493">
        <f t="shared" si="19"/>
        <v>16624753.380135043</v>
      </c>
      <c r="P56" s="517" t="s">
        <v>161</v>
      </c>
      <c r="R56" s="506">
        <v>177314</v>
      </c>
      <c r="S56" s="506"/>
      <c r="T56" s="506">
        <v>1420900</v>
      </c>
    </row>
    <row r="57" spans="1:33">
      <c r="A57" s="386"/>
      <c r="B57" s="407" t="s">
        <v>9</v>
      </c>
      <c r="E57" s="506">
        <f>(K42)</f>
        <v>11193537.50388624</v>
      </c>
      <c r="G57" s="493">
        <f>(E57)</f>
        <v>11193537.50388624</v>
      </c>
      <c r="K57" s="493">
        <f t="shared" si="19"/>
        <v>11193537.50388624</v>
      </c>
      <c r="P57" s="517" t="s">
        <v>162</v>
      </c>
      <c r="R57" s="506">
        <v>164396</v>
      </c>
      <c r="S57" s="506"/>
      <c r="T57" s="506">
        <v>1459598</v>
      </c>
    </row>
    <row r="58" spans="1:33">
      <c r="A58" s="386"/>
      <c r="B58" s="407" t="s">
        <v>582</v>
      </c>
      <c r="E58" s="506">
        <f>(L42)</f>
        <v>3920101.6281042187</v>
      </c>
      <c r="G58" s="493">
        <f>(E58)</f>
        <v>3920101.6281042187</v>
      </c>
      <c r="K58" s="493">
        <f t="shared" si="19"/>
        <v>3920101.6281042187</v>
      </c>
      <c r="P58" s="517" t="s">
        <v>151</v>
      </c>
      <c r="R58" s="506">
        <v>151478</v>
      </c>
      <c r="T58" s="506">
        <v>1433311</v>
      </c>
    </row>
    <row r="59" spans="1:33">
      <c r="A59" s="386"/>
      <c r="B59" s="407" t="s">
        <v>13</v>
      </c>
      <c r="E59" s="506">
        <f>(M42+N42)</f>
        <v>4458067.5035841875</v>
      </c>
      <c r="J59" s="493">
        <f>(E59)</f>
        <v>4458067.5035841875</v>
      </c>
      <c r="K59" s="493">
        <f t="shared" si="19"/>
        <v>4458067.5035841875</v>
      </c>
      <c r="P59" s="517" t="s">
        <v>152</v>
      </c>
      <c r="R59" s="506">
        <v>139666</v>
      </c>
      <c r="S59" s="506"/>
      <c r="T59" s="506">
        <v>1307518</v>
      </c>
    </row>
    <row r="60" spans="1:33" ht="13.5" thickBot="1">
      <c r="A60" s="386"/>
      <c r="B60" s="386"/>
      <c r="E60" s="520">
        <f>SUM(E53:E59)</f>
        <v>164556645.69134611</v>
      </c>
      <c r="F60" s="521" t="s">
        <v>1</v>
      </c>
      <c r="G60" s="520">
        <f t="shared" ref="G60:M60" si="20">SUM(G53:G59)</f>
        <v>64558399.246687748</v>
      </c>
      <c r="H60" s="520">
        <f t="shared" si="20"/>
        <v>95540178.941074193</v>
      </c>
      <c r="I60" s="520">
        <f t="shared" ref="I60" si="21">SUM(I53:I59)</f>
        <v>0</v>
      </c>
      <c r="J60" s="520">
        <f t="shared" ref="J60" si="22">SUM(J53:J59)</f>
        <v>4458067.5035841875</v>
      </c>
      <c r="K60" s="520">
        <f t="shared" ref="K60" si="23">SUM(K53:K59)</f>
        <v>164556645.69134611</v>
      </c>
      <c r="L60" s="506">
        <f t="shared" si="20"/>
        <v>0</v>
      </c>
      <c r="M60" s="506">
        <f t="shared" si="20"/>
        <v>0</v>
      </c>
      <c r="P60" s="517" t="s">
        <v>153</v>
      </c>
      <c r="R60" s="506">
        <v>305366</v>
      </c>
      <c r="S60" s="506"/>
      <c r="T60" s="506">
        <v>1255529</v>
      </c>
    </row>
    <row r="61" spans="1:33">
      <c r="A61" s="386"/>
      <c r="B61" s="386"/>
      <c r="P61" s="517" t="s">
        <v>154</v>
      </c>
      <c r="R61" s="499">
        <v>260237</v>
      </c>
      <c r="S61" s="499"/>
      <c r="T61" s="499">
        <v>1351848</v>
      </c>
    </row>
    <row r="62" spans="1:33">
      <c r="A62" s="386"/>
      <c r="B62" s="386"/>
      <c r="R62" s="506">
        <f>SUM(R49:R61)</f>
        <v>2783796</v>
      </c>
      <c r="S62" s="506" t="s">
        <v>1</v>
      </c>
      <c r="T62" s="506">
        <f>SUM(T49:T61)</f>
        <v>17235738</v>
      </c>
    </row>
    <row r="63" spans="1:33">
      <c r="A63" s="386"/>
      <c r="B63" s="386"/>
      <c r="R63" s="506">
        <f>(R62/13)</f>
        <v>214138.15384615384</v>
      </c>
      <c r="S63" s="506" t="s">
        <v>1</v>
      </c>
      <c r="T63" s="506">
        <f>(T62/13)</f>
        <v>1325826</v>
      </c>
    </row>
    <row r="64" spans="1:33">
      <c r="A64" s="386"/>
      <c r="B64" s="386"/>
    </row>
    <row r="65" spans="1:22">
      <c r="A65" s="386"/>
      <c r="B65" s="407" t="s">
        <v>583</v>
      </c>
    </row>
    <row r="66" spans="1:22">
      <c r="A66" s="386"/>
      <c r="B66" s="386"/>
      <c r="E66" s="386"/>
    </row>
    <row r="67" spans="1:22">
      <c r="A67" s="386"/>
      <c r="B67" s="386"/>
      <c r="E67" s="386"/>
    </row>
    <row r="68" spans="1:22">
      <c r="A68" s="386"/>
      <c r="B68" s="386"/>
      <c r="J68" s="386">
        <f>('4 Allocation'!E5)</f>
        <v>10</v>
      </c>
      <c r="K68" s="386">
        <f>('4 Allocation'!F5)</f>
        <v>11</v>
      </c>
      <c r="L68" s="386">
        <f>('4 Allocation'!G5)</f>
        <v>20</v>
      </c>
      <c r="M68" s="386">
        <f>('4 Allocation'!H5)</f>
        <v>22</v>
      </c>
      <c r="N68" s="386">
        <f>('4 Allocation'!I5)</f>
        <v>40</v>
      </c>
      <c r="R68" s="407" t="s">
        <v>1</v>
      </c>
      <c r="S68" s="407" t="s">
        <v>1</v>
      </c>
      <c r="T68" s="407" t="s">
        <v>1</v>
      </c>
      <c r="U68" s="407" t="s">
        <v>1</v>
      </c>
      <c r="V68" s="407" t="s">
        <v>1</v>
      </c>
    </row>
    <row r="69" spans="1:22">
      <c r="A69" s="386"/>
      <c r="B69" s="386"/>
      <c r="D69" s="407" t="s">
        <v>587</v>
      </c>
      <c r="H69" s="506"/>
      <c r="J69" s="386" t="str">
        <f>('4 Allocation'!E6)</f>
        <v>Residential</v>
      </c>
      <c r="K69" s="386" t="str">
        <f>('4 Allocation'!F6)</f>
        <v>Residential</v>
      </c>
      <c r="L69" s="386" t="str">
        <f>('4 Allocation'!G6)</f>
        <v>Comm. Sml Pow</v>
      </c>
      <c r="M69" s="386" t="str">
        <f>('4 Allocation'!H6)</f>
        <v>Comm &amp; Sml Pow</v>
      </c>
      <c r="N69" s="386" t="str">
        <f>('4 Allocation'!I6)</f>
        <v>Large Power</v>
      </c>
      <c r="R69" s="407" t="s">
        <v>1</v>
      </c>
      <c r="S69" s="407" t="s">
        <v>1</v>
      </c>
      <c r="T69" s="407" t="s">
        <v>1</v>
      </c>
      <c r="U69" s="407" t="s">
        <v>1</v>
      </c>
      <c r="V69" s="407" t="s">
        <v>1</v>
      </c>
    </row>
    <row r="70" spans="1:22">
      <c r="A70" s="386"/>
      <c r="B70" s="386"/>
      <c r="C70" s="407" t="s">
        <v>206</v>
      </c>
      <c r="D70" s="407" t="s">
        <v>586</v>
      </c>
      <c r="H70" s="407" t="s">
        <v>116</v>
      </c>
      <c r="J70" s="386" t="str">
        <f>('4 Allocation'!E7)</f>
        <v>Farm &amp; Non Farm</v>
      </c>
      <c r="K70" s="386" t="str">
        <f>('4 Allocation'!F7)</f>
        <v>ETS</v>
      </c>
      <c r="L70" s="386" t="str">
        <f>('4 Allocation'!G7)</f>
        <v>&amp; 3 Phase Farm</v>
      </c>
      <c r="M70" s="386" t="str">
        <f>('4 Allocation'!H7)</f>
        <v>ETS</v>
      </c>
      <c r="N70" s="386" t="str">
        <f>('4 Allocation'!I7)</f>
        <v>&lt; Than 50 kW</v>
      </c>
      <c r="R70" s="407" t="s">
        <v>1</v>
      </c>
      <c r="S70" s="407" t="s">
        <v>1</v>
      </c>
      <c r="T70" s="407" t="s">
        <v>1</v>
      </c>
      <c r="U70" s="407" t="s">
        <v>1</v>
      </c>
      <c r="V70" s="407" t="s">
        <v>1</v>
      </c>
    </row>
    <row r="71" spans="1:22">
      <c r="A71" s="386"/>
      <c r="B71" s="386"/>
    </row>
    <row r="72" spans="1:22">
      <c r="A72" s="386"/>
      <c r="B72" s="386"/>
      <c r="C72" s="407" t="s">
        <v>584</v>
      </c>
      <c r="D72" s="407" t="s">
        <v>133</v>
      </c>
      <c r="H72" s="493">
        <f>(H53)</f>
        <v>1337756.7254398935</v>
      </c>
      <c r="J72" s="506">
        <f>($H$72*'4.1 kW &amp; kWh'!C55)</f>
        <v>1041527.4191493193</v>
      </c>
      <c r="K72" s="506">
        <f>($H$72*'4.1 kW &amp; kWh'!D55)</f>
        <v>0</v>
      </c>
      <c r="L72" s="506">
        <f>($H$72*'4.1 kW &amp; kWh'!E55)</f>
        <v>79137.773678165468</v>
      </c>
      <c r="M72" s="506">
        <f>($H$72*'4.1 kW &amp; kWh'!F55)</f>
        <v>0</v>
      </c>
      <c r="N72" s="506">
        <f>($H$72*'4.1 kW &amp; kWh'!G55)</f>
        <v>104563.58339478528</v>
      </c>
      <c r="R72" s="506">
        <f>($H$72*'4.1 kW &amp; kWh'!O55)</f>
        <v>0</v>
      </c>
      <c r="S72" s="518" t="s">
        <v>1</v>
      </c>
      <c r="T72" s="518" t="s">
        <v>1</v>
      </c>
      <c r="U72" s="506">
        <f>($H$72*'4.1 kW &amp; kWh'!R55)</f>
        <v>0</v>
      </c>
      <c r="V72" s="518" t="s">
        <v>1</v>
      </c>
    </row>
    <row r="73" spans="1:22">
      <c r="A73" s="386"/>
      <c r="B73" s="386"/>
      <c r="C73" s="407" t="s">
        <v>5</v>
      </c>
      <c r="D73" s="407" t="s">
        <v>10</v>
      </c>
      <c r="H73" s="493">
        <f>(G54)</f>
        <v>28198466.506080214</v>
      </c>
      <c r="J73" s="506">
        <f>($H$73*'4.2 Consumer Alloc.'!I4)</f>
        <v>25360151.74213288</v>
      </c>
      <c r="K73" s="506">
        <f>($H$73*'4.2 Consumer Alloc.'!J4)</f>
        <v>0</v>
      </c>
      <c r="L73" s="506">
        <f>($H$73*'4.2 Consumer Alloc.'!I6)</f>
        <v>1898020.8517452031</v>
      </c>
      <c r="M73" s="506">
        <f>($H$73*'4.2 Consumer Alloc.'!I7)</f>
        <v>0</v>
      </c>
      <c r="N73" s="506">
        <f>($H$73*'4.2 Consumer Alloc.'!I8)</f>
        <v>87165.13670471657</v>
      </c>
      <c r="V73" s="518" t="s">
        <v>1</v>
      </c>
    </row>
    <row r="74" spans="1:22">
      <c r="A74" s="386"/>
      <c r="B74" s="386"/>
      <c r="C74" s="407" t="s">
        <v>5</v>
      </c>
      <c r="D74" s="407" t="s">
        <v>133</v>
      </c>
      <c r="H74" s="493">
        <f>(H54)</f>
        <v>76932493.315083951</v>
      </c>
      <c r="J74" s="506">
        <f>($H$74*'4.1 kW &amp; kWh'!C84)</f>
        <v>56390402.81663654</v>
      </c>
      <c r="K74" s="506">
        <f>($H$74*'4.1 kW &amp; kWh'!D84)</f>
        <v>0</v>
      </c>
      <c r="L74" s="506">
        <f>($H$74*'4.1 kW &amp; kWh'!E84)</f>
        <v>5531500.7351164538</v>
      </c>
      <c r="M74" s="506">
        <f>($H$74*'4.1 kW &amp; kWh'!F84)</f>
        <v>0</v>
      </c>
      <c r="N74" s="506">
        <f>($H$74*'4.1 kW &amp; kWh'!G84)</f>
        <v>6404604.2052814057</v>
      </c>
    </row>
    <row r="75" spans="1:22">
      <c r="A75" s="386"/>
      <c r="B75" s="386"/>
      <c r="C75" s="407" t="s">
        <v>95</v>
      </c>
      <c r="D75" s="407" t="s">
        <v>10</v>
      </c>
      <c r="H75" s="493">
        <f>(G55)</f>
        <v>4621540.2284820341</v>
      </c>
      <c r="J75" s="506">
        <f>($H$75*'4.2 Consumer Alloc.'!I25)</f>
        <v>3967379.3708002237</v>
      </c>
      <c r="K75" s="506">
        <f>($H$75*'4.2 Consumer Alloc.'!I26)</f>
        <v>0</v>
      </c>
      <c r="L75" s="506">
        <f>($H$75*'4.2 Consumer Alloc.'!I27)</f>
        <v>413438.50780168065</v>
      </c>
      <c r="M75" s="506">
        <f>($H$75*'4.2 Consumer Alloc.'!I28)</f>
        <v>0</v>
      </c>
      <c r="N75" s="506">
        <f>($H$75*'4.2 Consumer Alloc.'!I29)</f>
        <v>80939.510806723731</v>
      </c>
    </row>
    <row r="76" spans="1:22">
      <c r="A76" s="386"/>
      <c r="B76" s="386"/>
      <c r="C76" s="407" t="s">
        <v>95</v>
      </c>
      <c r="D76" s="407" t="s">
        <v>133</v>
      </c>
      <c r="H76" s="493">
        <f>(H55)</f>
        <v>17269928.900550358</v>
      </c>
      <c r="J76" s="506">
        <f>($H$76*'4.1 kW &amp; kWh'!C110)</f>
        <v>14814215.911061792</v>
      </c>
      <c r="K76" s="506">
        <f>($H$76*'4.1 kW &amp; kWh'!D110)</f>
        <v>0</v>
      </c>
      <c r="L76" s="506">
        <f>($H$76*'4.1 kW &amp; kWh'!E110)</f>
        <v>933233.97437820188</v>
      </c>
      <c r="M76" s="506">
        <f>($H$76*'4.1 kW &amp; kWh'!F110)</f>
        <v>0</v>
      </c>
      <c r="N76" s="506">
        <f>($H$76*'4.1 kW &amp; kWh'!G110)</f>
        <v>713020.38324490446</v>
      </c>
    </row>
    <row r="77" spans="1:22">
      <c r="A77" s="386"/>
      <c r="B77" s="386"/>
      <c r="C77" s="407" t="s">
        <v>8</v>
      </c>
      <c r="D77" s="407" t="s">
        <v>10</v>
      </c>
      <c r="H77" s="493">
        <f>(G56)</f>
        <v>16624753.380135043</v>
      </c>
      <c r="J77" s="506">
        <f>($H$77*'4.2 Consumer Alloc.'!J47)</f>
        <v>13673637.820556283</v>
      </c>
      <c r="K77" s="506">
        <f>($H$77*'4.2 Consumer Alloc.'!J48)</f>
        <v>32017.067784593994</v>
      </c>
      <c r="L77" s="506">
        <f>($H$77*'4.2 Consumer Alloc.'!J49)</f>
        <v>2302585.2693892871</v>
      </c>
      <c r="M77" s="506">
        <f>($H$77*'4.2 Consumer Alloc.'!J50)</f>
        <v>2643.6111014802377</v>
      </c>
      <c r="N77" s="506">
        <f>($H$77*'4.2 Consumer Alloc.'!J51)</f>
        <v>46997.530692982007</v>
      </c>
    </row>
    <row r="78" spans="1:22">
      <c r="A78" s="386"/>
      <c r="B78" s="386"/>
      <c r="C78" s="407" t="s">
        <v>9</v>
      </c>
      <c r="D78" s="407" t="s">
        <v>10</v>
      </c>
      <c r="H78" s="493">
        <f>(G57)</f>
        <v>11193537.50388624</v>
      </c>
      <c r="J78" s="506">
        <f>($H$78*'4.2 Consumer Alloc.'!I68)</f>
        <v>9894190.2160364501</v>
      </c>
      <c r="K78" s="506">
        <f>($H$78*'4.2 Consumer Alloc.'!I69)</f>
        <v>231674.23547248676</v>
      </c>
      <c r="L78" s="506">
        <f>($H$78*'4.2 Consumer Alloc.'!I70)</f>
        <v>740507.3728313247</v>
      </c>
      <c r="M78" s="506">
        <f>($H$78*'4.2 Consumer Alloc.'!I71)</f>
        <v>3400.7227225319161</v>
      </c>
      <c r="N78" s="506">
        <f>($H$78*'4.2 Consumer Alloc.'!I72)</f>
        <v>99605.313802539968</v>
      </c>
    </row>
    <row r="79" spans="1:22">
      <c r="A79" s="386"/>
      <c r="B79" s="386"/>
      <c r="C79" s="407" t="s">
        <v>585</v>
      </c>
      <c r="D79" s="407" t="s">
        <v>10</v>
      </c>
      <c r="H79" s="493">
        <f>(G58)</f>
        <v>3920101.6281042187</v>
      </c>
      <c r="J79" s="506">
        <f>($H$79*'4.2 Consumer Alloc.'!I89)</f>
        <v>3249737.6498058303</v>
      </c>
      <c r="K79" s="506">
        <f>($H$79*'4.2 Consumer Alloc.'!I90)</f>
        <v>28534.945852036115</v>
      </c>
      <c r="L79" s="506">
        <f>($H$79*'4.2 Consumer Alloc.'!I91)</f>
        <v>364828.44531557366</v>
      </c>
      <c r="M79" s="506">
        <f>($H$79*'4.2 Consumer Alloc.'!I92)</f>
        <v>418.86159048860355</v>
      </c>
      <c r="N79" s="506">
        <f>($H$79*'4.2 Consumer Alloc.'!I93)</f>
        <v>25131.695429316209</v>
      </c>
    </row>
    <row r="80" spans="1:22">
      <c r="A80" s="386"/>
      <c r="B80" s="386"/>
      <c r="C80" s="407" t="s">
        <v>13</v>
      </c>
      <c r="D80" s="407" t="s">
        <v>13</v>
      </c>
      <c r="H80" s="493">
        <f>(J59)</f>
        <v>4458067.5035841875</v>
      </c>
    </row>
    <row r="81" spans="1:22" ht="13.5" thickBot="1">
      <c r="A81" s="386"/>
      <c r="B81" s="386"/>
      <c r="H81" s="522">
        <f>SUM(H72:H80)</f>
        <v>164556645.69134614</v>
      </c>
      <c r="J81" s="522">
        <f>SUM(J72:J80)</f>
        <v>128391242.94617933</v>
      </c>
      <c r="K81" s="522">
        <f>SUM(K72:K80)</f>
        <v>292226.24910911685</v>
      </c>
      <c r="L81" s="522">
        <f>SUM(L72:L80)</f>
        <v>12263252.930255888</v>
      </c>
      <c r="M81" s="522">
        <f>SUM(M72:M80)</f>
        <v>6463.1954145007576</v>
      </c>
      <c r="N81" s="522">
        <f>SUM(N72:N80)</f>
        <v>7562027.3593573738</v>
      </c>
      <c r="R81" s="493">
        <f t="shared" ref="R81:V81" si="24">SUM(R72:R80)</f>
        <v>0</v>
      </c>
      <c r="S81" s="493">
        <f t="shared" si="24"/>
        <v>0</v>
      </c>
      <c r="T81" s="493">
        <f t="shared" si="24"/>
        <v>0</v>
      </c>
      <c r="U81" s="493">
        <f t="shared" si="24"/>
        <v>0</v>
      </c>
      <c r="V81" s="493">
        <f t="shared" si="24"/>
        <v>0</v>
      </c>
    </row>
    <row r="82" spans="1:22">
      <c r="A82" s="386"/>
      <c r="B82" s="386"/>
      <c r="E82" s="386"/>
    </row>
    <row r="83" spans="1:22">
      <c r="A83" s="386"/>
      <c r="B83" s="386"/>
      <c r="C83" s="407" t="s">
        <v>589</v>
      </c>
      <c r="E83" s="386"/>
      <c r="J83" s="505">
        <f>(J81/$H$81)</f>
        <v>0.78022520699041742</v>
      </c>
      <c r="K83" s="505">
        <f>(K81/$H$81)</f>
        <v>1.7758398506568776E-3</v>
      </c>
      <c r="L83" s="505">
        <f>(L81/$H$81)</f>
        <v>7.4522987988328931E-2</v>
      </c>
      <c r="M83" s="505">
        <f>(M81/$H$81)</f>
        <v>3.9276416867560458E-5</v>
      </c>
      <c r="N83" s="505">
        <f>(N81/$H$81)</f>
        <v>4.5953946907384323E-2</v>
      </c>
    </row>
    <row r="84" spans="1:22">
      <c r="A84" s="386"/>
      <c r="B84" s="386"/>
      <c r="E84" s="386"/>
    </row>
    <row r="85" spans="1:22">
      <c r="A85" s="386"/>
      <c r="B85" s="386"/>
      <c r="E85" s="386"/>
    </row>
    <row r="86" spans="1:22">
      <c r="A86" s="386"/>
      <c r="B86" s="386"/>
      <c r="E86" s="386"/>
    </row>
    <row r="87" spans="1:22">
      <c r="A87" s="386"/>
      <c r="B87" s="386"/>
      <c r="E87" s="386"/>
    </row>
    <row r="88" spans="1:22">
      <c r="A88" s="386"/>
      <c r="B88" s="386"/>
      <c r="E88" s="386"/>
    </row>
    <row r="89" spans="1:22">
      <c r="A89" s="386"/>
      <c r="B89" s="386"/>
      <c r="E89" s="386"/>
      <c r="I89" s="386">
        <f>('4 Allocation'!J5)</f>
        <v>46</v>
      </c>
      <c r="J89" s="386">
        <f>('4 Allocation'!K5)</f>
        <v>47</v>
      </c>
      <c r="K89" s="386">
        <f>('4 Allocation'!L5)</f>
        <v>50</v>
      </c>
      <c r="L89" s="386">
        <f>('4 Allocation'!M5)</f>
        <v>52</v>
      </c>
      <c r="M89" s="386">
        <f>('4 Allocation'!N5)</f>
        <v>0</v>
      </c>
      <c r="N89" s="386" t="str">
        <f>('4 Allocation'!O5)</f>
        <v>Total</v>
      </c>
    </row>
    <row r="90" spans="1:22">
      <c r="A90" s="386"/>
      <c r="B90" s="386"/>
      <c r="D90" s="407" t="s">
        <v>587</v>
      </c>
      <c r="E90" s="386"/>
      <c r="I90" s="386" t="str">
        <f>('4 Allocation'!J6)</f>
        <v>Large Power</v>
      </c>
      <c r="J90" s="386" t="str">
        <f>('4 Allocation'!K6)</f>
        <v>Large Power</v>
      </c>
      <c r="K90" s="386" t="str">
        <f>('4 Allocation'!L6)</f>
        <v>Schl. Community</v>
      </c>
      <c r="L90" s="386" t="str">
        <f>('4 Allocation'!M6)</f>
        <v>All Electric</v>
      </c>
      <c r="M90" s="386" t="str">
        <f>('4 Allocation'!N6)</f>
        <v>Outdoor</v>
      </c>
      <c r="N90" s="386" t="str">
        <f>('4 Allocation'!O6)</f>
        <v>Energy for</v>
      </c>
    </row>
    <row r="91" spans="1:22">
      <c r="A91" s="386"/>
      <c r="B91" s="386"/>
      <c r="C91" s="407" t="s">
        <v>206</v>
      </c>
      <c r="D91" s="407" t="s">
        <v>586</v>
      </c>
      <c r="E91" s="386"/>
      <c r="I91" s="386" t="str">
        <f>('4 Allocation'!J7)</f>
        <v>&gt;500 kW</v>
      </c>
      <c r="J91" s="386" t="str">
        <f>('4 Allocation'!K7)</f>
        <v>500-4999 KW</v>
      </c>
      <c r="K91" s="386" t="str">
        <f>('4 Allocation'!L7)</f>
        <v>Halls &amp; Parks</v>
      </c>
      <c r="L91" s="386" t="str">
        <f>('4 Allocation'!M7)</f>
        <v>Schools</v>
      </c>
      <c r="M91" s="386" t="str">
        <f>('4 Allocation'!N7)</f>
        <v>Lights</v>
      </c>
      <c r="N91" s="386" t="str">
        <f>('4 Allocation'!O7)</f>
        <v>Sched E</v>
      </c>
    </row>
    <row r="92" spans="1:22">
      <c r="A92" s="386"/>
      <c r="B92" s="386"/>
      <c r="E92" s="386"/>
    </row>
    <row r="93" spans="1:22">
      <c r="A93" s="386"/>
      <c r="B93" s="386"/>
      <c r="C93" s="407" t="s">
        <v>584</v>
      </c>
      <c r="D93" s="407" t="s">
        <v>133</v>
      </c>
      <c r="E93" s="386"/>
      <c r="I93" s="506">
        <f>($H$72*'4.1 kW &amp; kWh'!H55)</f>
        <v>19799.609146878738</v>
      </c>
      <c r="J93" s="506">
        <f>($H$72*'4.1 kW &amp; kWh'!I55)</f>
        <v>38929.681867564599</v>
      </c>
      <c r="K93" s="506">
        <f>($H$72*'4.1 kW &amp; kWh'!K55)</f>
        <v>26490.961298970884</v>
      </c>
      <c r="L93" s="506">
        <f>($H$72*'4.1 kW &amp; kWh'!L55)</f>
        <v>13218.328697364977</v>
      </c>
      <c r="M93" s="506">
        <f>($H$72*'4.1 kW &amp; kWh'!M55)</f>
        <v>14089.368206844114</v>
      </c>
      <c r="N93" s="506">
        <f t="shared" ref="N93:N101" si="25">SUM(J72:N72)+SUM(I93:M93)</f>
        <v>1337756.7254398933</v>
      </c>
    </row>
    <row r="94" spans="1:22">
      <c r="A94" s="386"/>
      <c r="B94" s="386"/>
      <c r="C94" s="407" t="s">
        <v>5</v>
      </c>
      <c r="D94" s="407" t="s">
        <v>10</v>
      </c>
      <c r="E94" s="386"/>
      <c r="I94" s="506">
        <f>($H$73*'4.2 Consumer Alloc.'!I9)</f>
        <v>1089.5642088089571</v>
      </c>
      <c r="J94" s="506">
        <f>($H$73*'4.2 Consumer Alloc.'!I10)</f>
        <v>1634.3463132134355</v>
      </c>
      <c r="K94" s="506">
        <f>($H$73*'4.2 Consumer Alloc.'!I11)</f>
        <v>553498.61807495018</v>
      </c>
      <c r="L94" s="506">
        <f>($H$73*'4.2 Consumer Alloc.'!I12)</f>
        <v>13074.770505707484</v>
      </c>
      <c r="M94" s="506">
        <f>($H$73*'4.2 Consumer Alloc.'!I13)</f>
        <v>283831.47639473336</v>
      </c>
      <c r="N94" s="506">
        <f t="shared" si="25"/>
        <v>28198466.506080214</v>
      </c>
    </row>
    <row r="95" spans="1:22">
      <c r="A95" s="386"/>
      <c r="B95" s="386"/>
      <c r="C95" s="407" t="s">
        <v>5</v>
      </c>
      <c r="D95" s="407" t="s">
        <v>133</v>
      </c>
      <c r="E95" s="386"/>
      <c r="I95" s="506">
        <f>($H$74*'4.1 kW &amp; kWh'!H84)</f>
        <v>1143754.5870223837</v>
      </c>
      <c r="J95" s="506">
        <f>($H$74*'4.1 kW &amp; kWh'!I84)</f>
        <v>2336050.2848559828</v>
      </c>
      <c r="K95" s="506">
        <f>($H$74*'4.1 kW &amp; kWh'!K84)</f>
        <v>2103547.0122484094</v>
      </c>
      <c r="L95" s="506">
        <f>($H$74*'4.1 kW &amp; kWh'!L84)</f>
        <v>1715138.0047305862</v>
      </c>
      <c r="M95" s="506">
        <f>($H$74*'4.1 kW &amp; kWh'!M84)</f>
        <v>1307495.6691921963</v>
      </c>
      <c r="N95" s="506">
        <f t="shared" si="25"/>
        <v>76932493.315083951</v>
      </c>
    </row>
    <row r="96" spans="1:22">
      <c r="A96" s="386"/>
      <c r="B96" s="386"/>
      <c r="C96" s="407" t="s">
        <v>95</v>
      </c>
      <c r="D96" s="407" t="s">
        <v>10</v>
      </c>
      <c r="E96" s="386"/>
      <c r="I96" s="506">
        <f>($H$75*'4.2 Consumer Alloc.'!I30)</f>
        <v>0</v>
      </c>
      <c r="J96" s="506">
        <f>($H$75*'4.2 Consumer Alloc.'!I31)</f>
        <v>0</v>
      </c>
      <c r="K96" s="506">
        <f>($H$75*'4.2 Consumer Alloc.'!I32)</f>
        <v>120566.45348062787</v>
      </c>
      <c r="L96" s="506">
        <f>($H$75*'4.2 Consumer Alloc.'!I33)</f>
        <v>25261.841131697769</v>
      </c>
      <c r="M96" s="506">
        <f>($H$75*'4.2 Consumer Alloc.'!I34)</f>
        <v>13954.544461080166</v>
      </c>
      <c r="N96" s="506">
        <f t="shared" si="25"/>
        <v>4621540.2284820331</v>
      </c>
    </row>
    <row r="97" spans="1:14">
      <c r="A97" s="386"/>
      <c r="B97" s="386"/>
      <c r="C97" s="407" t="s">
        <v>95</v>
      </c>
      <c r="D97" s="407" t="s">
        <v>133</v>
      </c>
      <c r="E97" s="386"/>
      <c r="I97" s="506">
        <f>($H$76*'4.1 kW &amp; kWh'!H110)</f>
        <v>0</v>
      </c>
      <c r="J97" s="506">
        <f>($H$76*'4.1 kW &amp; kWh'!I110)</f>
        <v>0</v>
      </c>
      <c r="K97" s="506">
        <f>($H$76*'4.1 kW &amp; kWh'!K110)</f>
        <v>445574.74861595739</v>
      </c>
      <c r="L97" s="506">
        <f>($H$76*'4.1 kW &amp; kWh'!L110)</f>
        <v>247862.78151237636</v>
      </c>
      <c r="M97" s="506">
        <f>($H$76*'4.1 kW &amp; kWh'!M110)</f>
        <v>116021.10173712399</v>
      </c>
      <c r="N97" s="506">
        <f t="shared" si="25"/>
        <v>17269928.900550354</v>
      </c>
    </row>
    <row r="98" spans="1:14">
      <c r="A98" s="386"/>
      <c r="B98" s="386"/>
      <c r="C98" s="407" t="s">
        <v>8</v>
      </c>
      <c r="D98" s="407" t="s">
        <v>10</v>
      </c>
      <c r="E98" s="386"/>
      <c r="I98" s="506">
        <f>($H$77*'4.2 Consumer Alloc.'!J52)</f>
        <v>0</v>
      </c>
      <c r="J98" s="506">
        <f>($H$77*'4.2 Consumer Alloc.'!J53)</f>
        <v>0</v>
      </c>
      <c r="K98" s="506">
        <f>($H$77*'4.2 Consumer Alloc.'!J54)</f>
        <v>298434.31990043574</v>
      </c>
      <c r="L98" s="506">
        <f>($H$77*'4.2 Consumer Alloc.'!J55)</f>
        <v>29578.107815742005</v>
      </c>
      <c r="M98" s="506">
        <f>($H$77*'4.2 Consumer Alloc.'!J56)</f>
        <v>238859.65289423661</v>
      </c>
      <c r="N98" s="506">
        <f t="shared" si="25"/>
        <v>16624753.380135041</v>
      </c>
    </row>
    <row r="99" spans="1:14">
      <c r="A99" s="386"/>
      <c r="B99" s="386"/>
      <c r="C99" s="407" t="s">
        <v>9</v>
      </c>
      <c r="D99" s="407" t="s">
        <v>10</v>
      </c>
      <c r="E99" s="386"/>
      <c r="I99" s="506">
        <f>($H$78*'4.2 Consumer Alloc.'!I73)</f>
        <v>1245.0664225317496</v>
      </c>
      <c r="J99" s="506">
        <f>($H$78*'4.2 Consumer Alloc.'!I74)</f>
        <v>1867.5996337976246</v>
      </c>
      <c r="K99" s="506">
        <f>($H$78*'4.2 Consumer Alloc.'!I75)</f>
        <v>215945.89288077666</v>
      </c>
      <c r="L99" s="506">
        <f>($H$78*'4.2 Consumer Alloc.'!I76)</f>
        <v>5101.084083797874</v>
      </c>
      <c r="M99" s="506">
        <f>($H$78*'4.2 Consumer Alloc.'!I77)</f>
        <v>0</v>
      </c>
      <c r="N99" s="506">
        <f t="shared" si="25"/>
        <v>11193537.503886238</v>
      </c>
    </row>
    <row r="100" spans="1:14">
      <c r="A100" s="386"/>
      <c r="B100" s="386"/>
      <c r="C100" s="407" t="s">
        <v>585</v>
      </c>
      <c r="D100" s="407" t="s">
        <v>10</v>
      </c>
      <c r="E100" s="386"/>
      <c r="I100" s="506">
        <f>($H$79*'4.2 Consumer Alloc.'!I94)</f>
        <v>558.48212065147129</v>
      </c>
      <c r="J100" s="506">
        <f>($H$79*'4.2 Consumer Alloc.'!I95)</f>
        <v>837.72318097720711</v>
      </c>
      <c r="K100" s="506">
        <f>($H$79*'4.2 Consumer Alloc.'!I96)</f>
        <v>106390.8439841053</v>
      </c>
      <c r="L100" s="506">
        <f>($H$79*'4.2 Consumer Alloc.'!I97)</f>
        <v>2513.169542931621</v>
      </c>
      <c r="M100" s="506">
        <f>($H$79*'4.2 Consumer Alloc.'!I98)</f>
        <v>141149.81128230802</v>
      </c>
      <c r="N100" s="506">
        <f t="shared" si="25"/>
        <v>3920101.6281042192</v>
      </c>
    </row>
    <row r="101" spans="1:14">
      <c r="A101" s="386"/>
      <c r="B101" s="386"/>
      <c r="C101" s="407" t="s">
        <v>13</v>
      </c>
      <c r="D101" s="407" t="s">
        <v>13</v>
      </c>
      <c r="E101" s="386"/>
      <c r="M101" s="493">
        <f>(H80)</f>
        <v>4458067.5035841875</v>
      </c>
      <c r="N101" s="506">
        <f t="shared" si="25"/>
        <v>4458067.5035841875</v>
      </c>
    </row>
    <row r="102" spans="1:14" ht="13.5" thickBot="1">
      <c r="A102" s="386"/>
      <c r="B102" s="386"/>
      <c r="E102" s="386"/>
      <c r="I102" s="523">
        <f t="shared" ref="I102:N102" si="26">SUM(I93:I101)</f>
        <v>1166447.3089212547</v>
      </c>
      <c r="J102" s="523">
        <f t="shared" si="26"/>
        <v>2379319.6358515355</v>
      </c>
      <c r="K102" s="523">
        <f t="shared" si="26"/>
        <v>3870448.8504842329</v>
      </c>
      <c r="L102" s="523">
        <f t="shared" si="26"/>
        <v>2051748.0880202046</v>
      </c>
      <c r="M102" s="523">
        <f t="shared" si="26"/>
        <v>6573469.1277527101</v>
      </c>
      <c r="N102" s="523">
        <f t="shared" si="26"/>
        <v>164556645.69134614</v>
      </c>
    </row>
    <row r="103" spans="1:14" ht="13.5" thickTop="1">
      <c r="A103" s="386"/>
      <c r="B103" s="386"/>
      <c r="E103" s="386"/>
    </row>
    <row r="104" spans="1:14">
      <c r="A104" s="386"/>
      <c r="B104" s="386"/>
      <c r="E104" s="386"/>
      <c r="I104" s="505">
        <f t="shared" ref="I104:N104" si="27">(I102/$H$81)</f>
        <v>7.0884241959399451E-3</v>
      </c>
      <c r="J104" s="505">
        <f t="shared" si="27"/>
        <v>1.4458970197498753E-2</v>
      </c>
      <c r="K104" s="505">
        <f t="shared" si="27"/>
        <v>2.3520465151823253E-2</v>
      </c>
      <c r="L104" s="505">
        <f t="shared" si="27"/>
        <v>1.246833927247524E-2</v>
      </c>
      <c r="M104" s="505">
        <f t="shared" si="27"/>
        <v>3.9946543028607701E-2</v>
      </c>
      <c r="N104" s="505">
        <f t="shared" si="27"/>
        <v>1</v>
      </c>
    </row>
    <row r="105" spans="1:14">
      <c r="A105" s="386"/>
      <c r="B105" s="386"/>
      <c r="E105" s="386"/>
    </row>
    <row r="106" spans="1:14">
      <c r="A106" s="386"/>
      <c r="B106" s="386"/>
      <c r="E106" s="386"/>
    </row>
    <row r="107" spans="1:14">
      <c r="A107" s="386"/>
      <c r="B107" s="386"/>
      <c r="E107" s="386"/>
    </row>
    <row r="108" spans="1:14">
      <c r="A108" s="386"/>
      <c r="B108" s="386"/>
      <c r="E108" s="386"/>
    </row>
    <row r="109" spans="1:14">
      <c r="A109" s="386"/>
      <c r="B109" s="386"/>
      <c r="E109" s="386"/>
    </row>
    <row r="110" spans="1:14">
      <c r="A110" s="386"/>
      <c r="B110" s="386"/>
      <c r="E110" s="386"/>
    </row>
    <row r="111" spans="1:14">
      <c r="A111" s="386"/>
      <c r="B111" s="386"/>
      <c r="E111" s="386"/>
    </row>
    <row r="112" spans="1:14">
      <c r="A112" s="386"/>
      <c r="B112" s="386"/>
      <c r="E112" s="386"/>
    </row>
    <row r="113" spans="1:5">
      <c r="A113" s="386"/>
      <c r="B113" s="386"/>
      <c r="E113" s="386"/>
    </row>
    <row r="114" spans="1:5">
      <c r="A114" s="386"/>
      <c r="B114" s="386"/>
      <c r="E114" s="386"/>
    </row>
    <row r="115" spans="1:5">
      <c r="A115" s="386"/>
      <c r="B115" s="386"/>
      <c r="E115" s="386"/>
    </row>
    <row r="116" spans="1:5">
      <c r="A116" s="386"/>
      <c r="B116" s="386"/>
      <c r="E116" s="386"/>
    </row>
    <row r="117" spans="1:5">
      <c r="A117" s="386"/>
      <c r="B117" s="386"/>
      <c r="E117" s="386"/>
    </row>
    <row r="118" spans="1:5">
      <c r="A118" s="386"/>
      <c r="B118" s="386"/>
      <c r="E118" s="386"/>
    </row>
    <row r="119" spans="1:5">
      <c r="A119" s="386"/>
      <c r="B119" s="386"/>
      <c r="E119" s="386"/>
    </row>
    <row r="120" spans="1:5">
      <c r="A120" s="386"/>
      <c r="B120" s="386"/>
      <c r="E120" s="386"/>
    </row>
    <row r="121" spans="1:5">
      <c r="A121" s="386"/>
      <c r="B121" s="386"/>
      <c r="E121" s="386"/>
    </row>
    <row r="122" spans="1:5">
      <c r="A122" s="386"/>
      <c r="B122" s="386"/>
      <c r="E122" s="386"/>
    </row>
    <row r="123" spans="1:5">
      <c r="A123" s="386"/>
      <c r="B123" s="386"/>
      <c r="E123" s="386"/>
    </row>
    <row r="124" spans="1:5">
      <c r="A124" s="386"/>
      <c r="B124" s="386"/>
      <c r="E124" s="386"/>
    </row>
    <row r="125" spans="1:5">
      <c r="A125" s="386"/>
      <c r="B125" s="386"/>
      <c r="E125" s="386"/>
    </row>
    <row r="126" spans="1:5">
      <c r="A126" s="386"/>
      <c r="B126" s="386"/>
      <c r="E126" s="386"/>
    </row>
    <row r="127" spans="1:5">
      <c r="A127" s="386"/>
      <c r="B127" s="386"/>
      <c r="E127" s="386"/>
    </row>
    <row r="128" spans="1:5">
      <c r="A128" s="386"/>
      <c r="B128" s="386"/>
      <c r="E128" s="386"/>
    </row>
    <row r="129" spans="1:5">
      <c r="A129" s="386"/>
      <c r="B129" s="386"/>
      <c r="E129" s="386"/>
    </row>
    <row r="130" spans="1:5">
      <c r="A130" s="386"/>
      <c r="B130" s="386"/>
      <c r="E130" s="386"/>
    </row>
    <row r="131" spans="1:5">
      <c r="A131" s="386"/>
      <c r="B131" s="386"/>
      <c r="E131" s="386"/>
    </row>
    <row r="132" spans="1:5">
      <c r="A132" s="386"/>
      <c r="B132" s="386"/>
      <c r="E132" s="386"/>
    </row>
    <row r="133" spans="1:5">
      <c r="A133" s="386"/>
      <c r="B133" s="386"/>
      <c r="E133" s="386"/>
    </row>
    <row r="134" spans="1:5">
      <c r="A134" s="386"/>
      <c r="B134" s="386"/>
      <c r="E134" s="386"/>
    </row>
    <row r="135" spans="1:5">
      <c r="A135" s="386"/>
      <c r="B135" s="386"/>
      <c r="E135" s="386"/>
    </row>
    <row r="136" spans="1:5">
      <c r="A136" s="386"/>
      <c r="B136" s="386"/>
      <c r="E136" s="386"/>
    </row>
    <row r="137" spans="1:5">
      <c r="A137" s="386"/>
      <c r="B137" s="386"/>
      <c r="E137" s="386"/>
    </row>
    <row r="138" spans="1:5">
      <c r="A138" s="386"/>
      <c r="B138" s="386"/>
      <c r="E138" s="386"/>
    </row>
    <row r="139" spans="1:5">
      <c r="A139" s="386"/>
      <c r="B139" s="386"/>
      <c r="E139" s="386"/>
    </row>
    <row r="140" spans="1:5">
      <c r="A140" s="386"/>
      <c r="B140" s="386"/>
      <c r="E140" s="386"/>
    </row>
    <row r="141" spans="1:5">
      <c r="A141" s="386"/>
      <c r="B141" s="386"/>
      <c r="E141" s="386"/>
    </row>
    <row r="142" spans="1:5">
      <c r="A142" s="386"/>
      <c r="B142" s="386"/>
      <c r="E142" s="386"/>
    </row>
    <row r="143" spans="1:5">
      <c r="A143" s="386"/>
      <c r="B143" s="386"/>
      <c r="E143" s="386"/>
    </row>
    <row r="144" spans="1:5">
      <c r="A144" s="386"/>
      <c r="B144" s="386"/>
      <c r="E144" s="386"/>
    </row>
    <row r="145" spans="1:5">
      <c r="A145" s="386"/>
      <c r="B145" s="386"/>
      <c r="E145" s="386"/>
    </row>
    <row r="146" spans="1:5">
      <c r="A146" s="386"/>
      <c r="B146" s="386"/>
      <c r="E146" s="386"/>
    </row>
    <row r="147" spans="1:5">
      <c r="A147" s="386"/>
      <c r="B147" s="386"/>
      <c r="E147" s="386"/>
    </row>
    <row r="148" spans="1:5">
      <c r="A148" s="386"/>
      <c r="B148" s="386"/>
      <c r="E148" s="386"/>
    </row>
    <row r="149" spans="1:5">
      <c r="A149" s="386"/>
      <c r="B149" s="386"/>
      <c r="E149" s="386"/>
    </row>
    <row r="150" spans="1:5">
      <c r="A150" s="386"/>
      <c r="B150" s="386"/>
      <c r="E150" s="386"/>
    </row>
    <row r="151" spans="1:5">
      <c r="A151" s="386"/>
      <c r="B151" s="386"/>
      <c r="E151" s="386"/>
    </row>
    <row r="152" spans="1:5">
      <c r="A152" s="386"/>
      <c r="B152" s="386"/>
      <c r="E152" s="386"/>
    </row>
    <row r="153" spans="1:5">
      <c r="A153" s="386"/>
      <c r="B153" s="386"/>
      <c r="E153" s="386"/>
    </row>
    <row r="154" spans="1:5">
      <c r="A154" s="386"/>
      <c r="B154" s="386"/>
      <c r="E154" s="386"/>
    </row>
    <row r="155" spans="1:5">
      <c r="A155" s="386"/>
      <c r="B155" s="386"/>
      <c r="E155" s="386"/>
    </row>
    <row r="156" spans="1:5">
      <c r="A156" s="386"/>
      <c r="B156" s="386"/>
      <c r="E156" s="386"/>
    </row>
    <row r="157" spans="1:5">
      <c r="A157" s="386"/>
      <c r="B157" s="386"/>
      <c r="E157" s="386"/>
    </row>
    <row r="158" spans="1:5">
      <c r="A158" s="386"/>
      <c r="B158" s="386"/>
      <c r="E158" s="386"/>
    </row>
    <row r="159" spans="1:5">
      <c r="A159" s="386"/>
      <c r="B159" s="386"/>
      <c r="E159" s="386"/>
    </row>
    <row r="160" spans="1:5">
      <c r="A160" s="386"/>
      <c r="B160" s="386"/>
      <c r="E160" s="386"/>
    </row>
    <row r="161" spans="1:5">
      <c r="A161" s="386"/>
      <c r="B161" s="386"/>
      <c r="E161" s="386"/>
    </row>
    <row r="162" spans="1:5">
      <c r="A162" s="386"/>
      <c r="B162" s="386"/>
      <c r="E162" s="386"/>
    </row>
    <row r="163" spans="1:5">
      <c r="A163" s="386"/>
      <c r="B163" s="386"/>
      <c r="E163" s="386"/>
    </row>
    <row r="164" spans="1:5">
      <c r="A164" s="386"/>
      <c r="B164" s="386"/>
      <c r="E164" s="386"/>
    </row>
    <row r="165" spans="1:5">
      <c r="A165" s="386"/>
      <c r="B165" s="386"/>
      <c r="E165" s="386"/>
    </row>
    <row r="166" spans="1:5">
      <c r="A166" s="386"/>
      <c r="B166" s="386"/>
      <c r="E166" s="386"/>
    </row>
    <row r="167" spans="1:5">
      <c r="A167" s="386"/>
      <c r="B167" s="386"/>
      <c r="E167" s="386"/>
    </row>
    <row r="168" spans="1:5">
      <c r="A168" s="386"/>
      <c r="B168" s="386"/>
      <c r="E168" s="386"/>
    </row>
    <row r="169" spans="1:5">
      <c r="A169" s="386"/>
      <c r="B169" s="386"/>
      <c r="E169" s="386"/>
    </row>
    <row r="170" spans="1:5">
      <c r="A170" s="386"/>
      <c r="B170" s="386"/>
      <c r="E170" s="386"/>
    </row>
    <row r="171" spans="1:5">
      <c r="A171" s="386"/>
      <c r="B171" s="386"/>
      <c r="E171" s="386"/>
    </row>
    <row r="172" spans="1:5">
      <c r="A172" s="386"/>
      <c r="B172" s="386"/>
      <c r="E172" s="386"/>
    </row>
    <row r="173" spans="1:5">
      <c r="A173" s="386"/>
      <c r="B173" s="386"/>
      <c r="E173" s="386"/>
    </row>
    <row r="174" spans="1:5">
      <c r="A174" s="386"/>
      <c r="B174" s="386"/>
      <c r="E174" s="386"/>
    </row>
    <row r="175" spans="1:5">
      <c r="A175" s="386"/>
      <c r="B175" s="386"/>
      <c r="E175" s="386"/>
    </row>
    <row r="176" spans="1:5">
      <c r="A176" s="386"/>
      <c r="B176" s="386"/>
      <c r="E176" s="386"/>
    </row>
    <row r="177" spans="1:5">
      <c r="A177" s="386"/>
      <c r="B177" s="386"/>
      <c r="E177" s="386"/>
    </row>
    <row r="178" spans="1:5">
      <c r="A178" s="386"/>
      <c r="B178" s="386"/>
      <c r="E178" s="386"/>
    </row>
    <row r="179" spans="1:5">
      <c r="A179" s="386"/>
      <c r="B179" s="386"/>
      <c r="E179" s="386"/>
    </row>
    <row r="180" spans="1:5">
      <c r="A180" s="386"/>
      <c r="B180" s="386"/>
      <c r="E180" s="386"/>
    </row>
    <row r="181" spans="1:5">
      <c r="A181" s="386"/>
      <c r="B181" s="386"/>
      <c r="E181" s="386"/>
    </row>
    <row r="182" spans="1:5">
      <c r="A182" s="386"/>
      <c r="B182" s="386"/>
      <c r="E182" s="386"/>
    </row>
    <row r="183" spans="1:5">
      <c r="A183" s="386"/>
      <c r="B183" s="386"/>
      <c r="E183" s="386"/>
    </row>
    <row r="184" spans="1:5">
      <c r="A184" s="386"/>
      <c r="B184" s="386"/>
      <c r="E184" s="386"/>
    </row>
    <row r="185" spans="1:5">
      <c r="A185" s="386"/>
      <c r="B185" s="386"/>
      <c r="E185" s="386"/>
    </row>
    <row r="186" spans="1:5">
      <c r="A186" s="386"/>
      <c r="B186" s="386"/>
      <c r="E186" s="386"/>
    </row>
    <row r="187" spans="1:5">
      <c r="A187" s="386"/>
      <c r="B187" s="386"/>
      <c r="E187" s="386"/>
    </row>
    <row r="188" spans="1:5">
      <c r="A188" s="386"/>
      <c r="B188" s="386"/>
      <c r="E188" s="386"/>
    </row>
    <row r="189" spans="1:5">
      <c r="A189" s="386"/>
      <c r="B189" s="386"/>
      <c r="E189" s="386"/>
    </row>
    <row r="190" spans="1:5">
      <c r="A190" s="386"/>
      <c r="B190" s="386"/>
      <c r="E190" s="386"/>
    </row>
    <row r="191" spans="1:5">
      <c r="A191" s="386"/>
      <c r="B191" s="386"/>
      <c r="E191" s="386"/>
    </row>
    <row r="192" spans="1:5">
      <c r="A192" s="386"/>
      <c r="B192" s="386"/>
      <c r="E192" s="386"/>
    </row>
    <row r="193" spans="1:5">
      <c r="A193" s="386"/>
      <c r="B193" s="386"/>
      <c r="E193" s="386"/>
    </row>
    <row r="194" spans="1:5">
      <c r="A194" s="386"/>
      <c r="B194" s="386"/>
      <c r="E194" s="386"/>
    </row>
    <row r="195" spans="1:5">
      <c r="A195" s="386"/>
      <c r="B195" s="386"/>
      <c r="E195" s="386"/>
    </row>
    <row r="196" spans="1:5">
      <c r="A196" s="386"/>
      <c r="B196" s="386"/>
      <c r="E196" s="386"/>
    </row>
    <row r="197" spans="1:5">
      <c r="A197" s="386"/>
      <c r="B197" s="386"/>
      <c r="E197" s="386"/>
    </row>
    <row r="198" spans="1:5">
      <c r="A198" s="386"/>
      <c r="B198" s="386"/>
      <c r="E198" s="386"/>
    </row>
    <row r="199" spans="1:5">
      <c r="A199" s="386"/>
      <c r="B199" s="386"/>
      <c r="E199" s="386"/>
    </row>
    <row r="200" spans="1:5">
      <c r="A200" s="386"/>
      <c r="B200" s="386"/>
      <c r="E200" s="386"/>
    </row>
    <row r="201" spans="1:5">
      <c r="A201" s="386"/>
      <c r="B201" s="386"/>
      <c r="E201" s="386"/>
    </row>
    <row r="202" spans="1:5">
      <c r="A202" s="386"/>
      <c r="B202" s="386"/>
      <c r="E202" s="386"/>
    </row>
    <row r="203" spans="1:5">
      <c r="A203" s="386"/>
      <c r="B203" s="386"/>
      <c r="E203" s="386"/>
    </row>
    <row r="204" spans="1:5">
      <c r="A204" s="386"/>
      <c r="B204" s="386"/>
      <c r="E204" s="386"/>
    </row>
    <row r="205" spans="1:5">
      <c r="A205" s="386"/>
      <c r="B205" s="386"/>
      <c r="E205" s="386"/>
    </row>
    <row r="206" spans="1:5">
      <c r="A206" s="386"/>
      <c r="B206" s="386"/>
      <c r="E206" s="386"/>
    </row>
    <row r="207" spans="1:5">
      <c r="A207" s="386"/>
      <c r="B207" s="386"/>
      <c r="E207" s="386"/>
    </row>
    <row r="208" spans="1:5">
      <c r="A208" s="386"/>
      <c r="B208" s="386"/>
      <c r="E208" s="386"/>
    </row>
    <row r="209" spans="1:5">
      <c r="A209" s="386"/>
      <c r="B209" s="386"/>
      <c r="E209" s="386"/>
    </row>
    <row r="210" spans="1:5">
      <c r="A210" s="386"/>
      <c r="B210" s="386"/>
      <c r="E210" s="386"/>
    </row>
    <row r="211" spans="1:5">
      <c r="A211" s="386"/>
      <c r="B211" s="386"/>
      <c r="E211" s="386"/>
    </row>
  </sheetData>
  <customSheetViews>
    <customSheetView guid="{18050E3F-BBF0-4BF6-9B33-B0817BE1B1C5}" scale="60" showPageBreaks="1" printArea="1" hiddenColumns="1" view="pageBreakPreview" showRuler="0" topLeftCell="F1">
      <selection activeCell="R17" sqref="R17"/>
      <rowBreaks count="2" manualBreakCount="2">
        <brk id="45" max="14" man="1"/>
        <brk id="69" max="14" man="1"/>
      </rowBreaks>
      <pageMargins left="0.75" right="0.75" top="1" bottom="1" header="0.5" footer="0.5"/>
      <printOptions horizontalCentered="1" verticalCentered="1" gridLines="1"/>
      <pageSetup scale="71" orientation="landscape" horizontalDpi="4294967293" r:id="rId1"/>
      <headerFooter alignWithMargins="0">
        <oddHeader>&amp;C&amp;"Arial,Bold"&amp;12 MEADE COUNTY
CASE NO. 2010-00222
RATE BASE &amp;R&amp;11Exhibit R 
Schedule 2
Page ____ of ____
Witness:  Jim Adkins</oddHeader>
      </headerFooter>
    </customSheetView>
  </customSheetViews>
  <mergeCells count="2">
    <mergeCell ref="H2:N2"/>
    <mergeCell ref="A1:M1"/>
  </mergeCells>
  <phoneticPr fontId="3" type="noConversion"/>
  <printOptions horizontalCentered="1" verticalCentered="1" gridLines="1"/>
  <pageMargins left="0.75" right="0.75" top="1" bottom="1" header="0.5" footer="0.5"/>
  <pageSetup scale="69" orientation="landscape" horizontalDpi="4294967293" r:id="rId2"/>
  <headerFooter alignWithMargins="0">
    <oddHeader>&amp;C&amp;"Arial,Bold"&amp;12 JACKSON ENERGY COOPERATIVE
CASE NO. 2013-00219
RATE BASE &amp;R&amp;11Exhibit R 
Schedule 2.2
Page ____ of ____
Witness:  Jim Adkins</oddHeader>
  </headerFooter>
  <rowBreaks count="2" manualBreakCount="2">
    <brk id="45" max="13" man="1"/>
    <brk id="62" max="13" man="1"/>
  </rowBreaks>
  <ignoredErrors>
    <ignoredError sqref="E37" unlockedFormula="1"/>
  </ignoredError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38"/>
  <sheetViews>
    <sheetView zoomScaleNormal="100" workbookViewId="0">
      <selection activeCell="F9" sqref="F9"/>
    </sheetView>
  </sheetViews>
  <sheetFormatPr defaultRowHeight="15"/>
  <cols>
    <col min="1" max="1" width="3.42578125" style="23" customWidth="1"/>
    <col min="2" max="2" width="21" style="23" customWidth="1"/>
    <col min="3" max="3" width="2.5703125" style="23" customWidth="1"/>
    <col min="4" max="4" width="14.28515625" style="23" customWidth="1"/>
    <col min="5" max="5" width="14.85546875" style="23" customWidth="1"/>
    <col min="6" max="6" width="14.7109375" style="23" customWidth="1"/>
    <col min="7" max="8" width="13" style="23" customWidth="1"/>
    <col min="9" max="9" width="16.28515625" style="23" customWidth="1"/>
    <col min="10" max="10" width="9.140625" style="23"/>
    <col min="11" max="11" width="14.42578125" style="23" bestFit="1" customWidth="1"/>
    <col min="12" max="16384" width="9.140625" style="23"/>
  </cols>
  <sheetData>
    <row r="2" spans="1:10" ht="15.75">
      <c r="A2" s="765" t="s">
        <v>328</v>
      </c>
      <c r="B2" s="765"/>
      <c r="C2" s="765"/>
      <c r="D2" s="765"/>
      <c r="E2" s="765"/>
      <c r="F2" s="765"/>
      <c r="G2" s="765"/>
      <c r="H2" s="765"/>
      <c r="I2" s="765"/>
      <c r="J2" s="765"/>
    </row>
    <row r="5" spans="1:10" ht="20.100000000000001" customHeight="1">
      <c r="B5" s="49"/>
      <c r="C5" s="49"/>
      <c r="D5" s="52" t="s">
        <v>10</v>
      </c>
      <c r="E5" s="52" t="s">
        <v>133</v>
      </c>
      <c r="F5" s="52" t="s">
        <v>179</v>
      </c>
      <c r="G5" s="49"/>
      <c r="H5" s="49"/>
      <c r="I5" s="49"/>
    </row>
    <row r="6" spans="1:10" ht="20.100000000000001" customHeight="1">
      <c r="B6" s="50" t="s">
        <v>1</v>
      </c>
      <c r="C6" s="50"/>
      <c r="D6" s="53" t="s">
        <v>174</v>
      </c>
      <c r="E6" s="53" t="s">
        <v>174</v>
      </c>
      <c r="F6" s="53" t="s">
        <v>174</v>
      </c>
      <c r="G6" s="53" t="s">
        <v>208</v>
      </c>
      <c r="H6" s="53" t="s">
        <v>211</v>
      </c>
      <c r="I6" s="50"/>
    </row>
    <row r="7" spans="1:10" ht="20.100000000000001" customHeight="1">
      <c r="B7" s="51"/>
      <c r="C7" s="51"/>
      <c r="D7" s="73" t="s">
        <v>175</v>
      </c>
      <c r="E7" s="73" t="s">
        <v>175</v>
      </c>
      <c r="F7" s="73" t="s">
        <v>175</v>
      </c>
      <c r="G7" s="73" t="s">
        <v>13</v>
      </c>
      <c r="H7" s="73" t="s">
        <v>13</v>
      </c>
      <c r="I7" s="73" t="s">
        <v>15</v>
      </c>
    </row>
    <row r="8" spans="1:10" ht="20.100000000000001" customHeight="1">
      <c r="B8" s="50"/>
      <c r="C8" s="50"/>
      <c r="D8" s="50"/>
      <c r="E8" s="50"/>
      <c r="F8" s="50"/>
      <c r="G8" s="50"/>
      <c r="H8" s="50"/>
      <c r="I8" s="50"/>
    </row>
    <row r="9" spans="1:10" ht="20.100000000000001" customHeight="1">
      <c r="B9" s="50" t="s">
        <v>19</v>
      </c>
      <c r="C9" s="50"/>
      <c r="D9" s="54">
        <v>0</v>
      </c>
      <c r="E9" s="54">
        <f>('3.2 Classific. 2'!G41)</f>
        <v>14341063</v>
      </c>
      <c r="F9" s="54">
        <f>('3.2 Classific. 2'!F41)</f>
        <v>44410807.200000003</v>
      </c>
      <c r="G9" s="54">
        <v>0</v>
      </c>
      <c r="H9" s="54">
        <v>0</v>
      </c>
      <c r="I9" s="54">
        <f>SUM(D9:H9)</f>
        <v>58751870.200000003</v>
      </c>
    </row>
    <row r="10" spans="1:10" ht="20.100000000000001" customHeight="1">
      <c r="B10" s="50" t="s">
        <v>247</v>
      </c>
      <c r="C10" s="50"/>
      <c r="D10" s="54"/>
      <c r="E10" s="54">
        <f>('3.2 Classific. 2'!K36)</f>
        <v>188665.16292309886</v>
      </c>
      <c r="F10" s="54"/>
      <c r="G10" s="54"/>
      <c r="H10" s="54"/>
      <c r="I10" s="54">
        <f t="shared" ref="I10:I18" si="0">SUM(D10:H10)</f>
        <v>188665.16292309886</v>
      </c>
    </row>
    <row r="11" spans="1:10" ht="20.100000000000001" customHeight="1">
      <c r="B11" s="50" t="s">
        <v>5</v>
      </c>
      <c r="C11" s="50"/>
      <c r="D11" s="54">
        <f>('3.2 Classific. 2'!F18)</f>
        <v>5642107.0955975112</v>
      </c>
      <c r="E11" s="54">
        <f>('3.2 Classific. 2'!G18)</f>
        <v>15393084.099855222</v>
      </c>
      <c r="F11" s="54">
        <v>0</v>
      </c>
      <c r="G11" s="54">
        <v>0</v>
      </c>
      <c r="H11" s="54">
        <v>0</v>
      </c>
      <c r="I11" s="54">
        <f t="shared" si="0"/>
        <v>21035191.195452735</v>
      </c>
    </row>
    <row r="12" spans="1:10" ht="20.100000000000001" customHeight="1">
      <c r="B12" s="50" t="s">
        <v>95</v>
      </c>
      <c r="C12" s="50"/>
      <c r="D12" s="54">
        <f>('3.2 Classific. 2'!F36)</f>
        <v>510265.76273499068</v>
      </c>
      <c r="E12" s="54">
        <f>('3.2 Classific. 2'!G36)</f>
        <v>1906778.4779865071</v>
      </c>
      <c r="F12" s="54">
        <v>0</v>
      </c>
      <c r="G12" s="54">
        <v>0</v>
      </c>
      <c r="H12" s="54">
        <v>0</v>
      </c>
      <c r="I12" s="54">
        <f t="shared" si="0"/>
        <v>2417044.2407214977</v>
      </c>
    </row>
    <row r="13" spans="1:10" ht="20.100000000000001" customHeight="1">
      <c r="B13" s="50" t="s">
        <v>8</v>
      </c>
      <c r="C13" s="50"/>
      <c r="D13" s="54">
        <f>('3.2 Classific. 2'!K18)</f>
        <v>3326373.7582465187</v>
      </c>
      <c r="E13" s="54">
        <v>0</v>
      </c>
      <c r="F13" s="54">
        <v>0</v>
      </c>
      <c r="G13" s="54">
        <v>0</v>
      </c>
      <c r="H13" s="54">
        <v>0</v>
      </c>
      <c r="I13" s="54">
        <f t="shared" si="0"/>
        <v>3326373.7582465187</v>
      </c>
    </row>
    <row r="14" spans="1:10" ht="20.100000000000001" customHeight="1">
      <c r="B14" s="50" t="s">
        <v>9</v>
      </c>
      <c r="C14" s="50"/>
      <c r="D14" s="54">
        <f>('3.2 Classific. 2'!L18)</f>
        <v>3953844.3945358121</v>
      </c>
      <c r="E14" s="54">
        <v>0</v>
      </c>
      <c r="F14" s="54"/>
      <c r="G14" s="54">
        <v>0</v>
      </c>
      <c r="H14" s="54">
        <v>0</v>
      </c>
      <c r="I14" s="54">
        <f t="shared" si="0"/>
        <v>3953844.3945358121</v>
      </c>
    </row>
    <row r="15" spans="1:10" ht="20.100000000000001" customHeight="1">
      <c r="B15" s="50" t="s">
        <v>180</v>
      </c>
      <c r="C15" s="50"/>
      <c r="D15" s="50"/>
      <c r="E15" s="54"/>
      <c r="F15" s="54"/>
      <c r="G15" s="54"/>
      <c r="H15" s="54"/>
      <c r="I15" s="54">
        <f t="shared" si="0"/>
        <v>0</v>
      </c>
    </row>
    <row r="16" spans="1:10" ht="20.100000000000001" customHeight="1">
      <c r="B16" s="50" t="s">
        <v>181</v>
      </c>
      <c r="C16" s="50"/>
      <c r="D16" s="54">
        <f>('3.2 Classific. 2'!M18)</f>
        <v>5581349.6412854465</v>
      </c>
      <c r="E16" s="54">
        <v>0</v>
      </c>
      <c r="F16" s="54">
        <v>0</v>
      </c>
      <c r="G16" s="54"/>
      <c r="H16" s="54"/>
      <c r="I16" s="54">
        <f t="shared" si="0"/>
        <v>5581349.6412854465</v>
      </c>
    </row>
    <row r="17" spans="2:9" ht="20.100000000000001" customHeight="1">
      <c r="B17" s="50" t="s">
        <v>13</v>
      </c>
      <c r="C17" s="50"/>
      <c r="D17" s="54"/>
      <c r="E17" s="54"/>
      <c r="F17" s="54"/>
      <c r="G17" s="54">
        <f>('3.2 Classific. 2'!L36)</f>
        <v>769578.5175499022</v>
      </c>
      <c r="H17" s="54">
        <f>('3.2 Classific. 2'!M36)</f>
        <v>58144.809284989453</v>
      </c>
      <c r="I17" s="54">
        <f t="shared" si="0"/>
        <v>827723.32683489169</v>
      </c>
    </row>
    <row r="18" spans="2:9" ht="20.100000000000001" customHeight="1">
      <c r="B18" s="51"/>
      <c r="C18" s="51"/>
      <c r="D18" s="55">
        <f>SUM(D9:D17)</f>
        <v>19013940.652400278</v>
      </c>
      <c r="E18" s="55">
        <f>SUM(E9:E17)</f>
        <v>31829590.740764827</v>
      </c>
      <c r="F18" s="55">
        <f>SUM(F9:F17)</f>
        <v>44410807.200000003</v>
      </c>
      <c r="G18" s="55">
        <f>SUM(G9:G17)</f>
        <v>769578.5175499022</v>
      </c>
      <c r="H18" s="55">
        <f>SUM(H9:H17)</f>
        <v>58144.809284989453</v>
      </c>
      <c r="I18" s="269">
        <f t="shared" si="0"/>
        <v>96082061.919999987</v>
      </c>
    </row>
    <row r="38" spans="11:11">
      <c r="K38" s="25">
        <f>SUM('2.22Rate Base'!G66:J66)</f>
        <v>0</v>
      </c>
    </row>
  </sheetData>
  <customSheetViews>
    <customSheetView guid="{18050E3F-BBF0-4BF6-9B33-B0817BE1B1C5}" scale="60" showPageBreaks="1" printArea="1" view="pageBreakPreview" showRuler="0" topLeftCell="A4">
      <selection activeCell="E11" sqref="E11"/>
      <rowBreaks count="1" manualBreakCount="1">
        <brk id="21" max="8" man="1"/>
      </rowBreaks>
      <pageMargins left="0.75" right="0.75" top="1" bottom="1" header="0.5" footer="0.5"/>
      <printOptions horizontalCentered="1" verticalCentered="1" gridLines="1"/>
      <pageSetup scale="105" orientation="landscape" horizontalDpi="4294967293" r:id="rId1"/>
      <headerFooter alignWithMargins="0">
        <oddHeader>&amp;C&amp;"Arial,Bold"&amp;14 MEADE COUNTY RECC
CASE NO. 2010-0022&amp;R&amp;11Exhibit R
Schedule 3
Page  ____ of ____
Witness:  Jim Adkins</oddHeader>
      </headerFooter>
    </customSheetView>
  </customSheetViews>
  <mergeCells count="1">
    <mergeCell ref="A2:J2"/>
  </mergeCells>
  <phoneticPr fontId="3" type="noConversion"/>
  <printOptions horizontalCentered="1" verticalCentered="1" gridLines="1"/>
  <pageMargins left="0.75" right="0.75" top="1" bottom="1" header="0.5" footer="0.5"/>
  <pageSetup scale="105" orientation="landscape" horizontalDpi="4294967293" r:id="rId2"/>
  <headerFooter alignWithMargins="0">
    <oddHeader>&amp;C&amp;"Arial,Bold"&amp;14 JACKSON ENERGY COOPERATIVE
CASE NO. 2013-00219&amp;R&amp;11Revised Exhibit R
Schedule 3
Page  ____ of ____
Witness:  Jim Adkins</oddHeader>
  </headerFooter>
  <rowBreaks count="1" manualBreakCount="1">
    <brk id="2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1:BN54"/>
  <sheetViews>
    <sheetView view="pageBreakPreview" zoomScale="60" zoomScaleNormal="100" workbookViewId="0">
      <selection activeCell="K51" sqref="K51"/>
    </sheetView>
  </sheetViews>
  <sheetFormatPr defaultRowHeight="15"/>
  <cols>
    <col min="1" max="1" width="3" style="23" customWidth="1"/>
    <col min="2" max="2" width="27.5703125" style="23" customWidth="1"/>
    <col min="3" max="3" width="2.42578125" style="23" customWidth="1"/>
    <col min="4" max="4" width="16.140625" style="23" bestFit="1" customWidth="1"/>
    <col min="5" max="5" width="2.28515625" style="23" customWidth="1"/>
    <col min="6" max="6" width="15" style="23" customWidth="1"/>
    <col min="7" max="7" width="15.42578125" style="23" bestFit="1" customWidth="1"/>
    <col min="8" max="8" width="17" style="23" bestFit="1" customWidth="1"/>
    <col min="9" max="9" width="28.7109375" style="23" customWidth="1"/>
    <col min="10" max="10" width="12.7109375" style="23" customWidth="1"/>
    <col min="11" max="11" width="14" style="23" bestFit="1" customWidth="1"/>
    <col min="12" max="13" width="14.42578125" style="23" bestFit="1" customWidth="1"/>
    <col min="14" max="14" width="15.42578125" style="23" bestFit="1" customWidth="1"/>
    <col min="15" max="15" width="2.28515625" style="23" customWidth="1"/>
    <col min="16" max="16" width="26.5703125" style="23" customWidth="1"/>
    <col min="17" max="17" width="12.85546875" style="23" customWidth="1"/>
    <col min="18" max="18" width="11.85546875" style="23" customWidth="1"/>
    <col min="19" max="19" width="12.28515625" style="23" customWidth="1"/>
    <col min="20" max="20" width="10.85546875" style="23" customWidth="1"/>
    <col min="21" max="21" width="14.42578125" style="23" bestFit="1" customWidth="1"/>
    <col min="22" max="22" width="9.7109375" style="23" customWidth="1"/>
    <col min="23" max="23" width="11.42578125" style="23" customWidth="1"/>
    <col min="24" max="24" width="13.140625" style="23" customWidth="1"/>
    <col min="25" max="26" width="14.42578125" style="23" bestFit="1" customWidth="1"/>
    <col min="27" max="27" width="10.28515625" style="23" customWidth="1"/>
    <col min="28" max="31" width="13.140625" style="23" bestFit="1" customWidth="1"/>
    <col min="32" max="32" width="11" style="23" customWidth="1"/>
    <col min="33" max="33" width="11.5703125" style="23" customWidth="1"/>
    <col min="34" max="34" width="11.85546875" style="23" customWidth="1"/>
    <col min="35" max="35" width="10.5703125" style="23" customWidth="1"/>
    <col min="36" max="36" width="10.85546875" style="23" customWidth="1"/>
    <col min="37" max="39" width="13.140625" style="23" bestFit="1" customWidth="1"/>
    <col min="40" max="40" width="11.28515625" style="23" customWidth="1"/>
    <col min="41" max="41" width="9.28515625" style="23" bestFit="1" customWidth="1"/>
    <col min="42" max="42" width="9.85546875" style="23" bestFit="1" customWidth="1"/>
    <col min="43" max="43" width="9.7109375" style="23" bestFit="1" customWidth="1"/>
    <col min="44" max="44" width="9.28515625" style="23" bestFit="1" customWidth="1"/>
    <col min="45" max="45" width="9.85546875" style="23" bestFit="1" customWidth="1"/>
    <col min="46" max="47" width="9.28515625" style="23" bestFit="1" customWidth="1"/>
    <col min="48" max="48" width="9.7109375" style="23" bestFit="1" customWidth="1"/>
    <col min="49" max="49" width="13.140625" style="23" bestFit="1" customWidth="1"/>
    <col min="50" max="50" width="14.42578125" style="23" bestFit="1" customWidth="1"/>
    <col min="51" max="52" width="13.140625" style="23" bestFit="1" customWidth="1"/>
    <col min="53" max="54" width="9.7109375" style="23" bestFit="1" customWidth="1"/>
    <col min="55" max="55" width="9.28515625" style="23" bestFit="1" customWidth="1"/>
    <col min="56" max="56" width="10.5703125" style="23" customWidth="1"/>
    <col min="57" max="57" width="5.5703125" style="23" customWidth="1"/>
    <col min="58" max="66" width="12.85546875" style="23" customWidth="1"/>
    <col min="67" max="16384" width="9.140625" style="23"/>
  </cols>
  <sheetData>
    <row r="1" spans="2:66">
      <c r="K1" s="766" t="s">
        <v>177</v>
      </c>
      <c r="L1" s="766"/>
      <c r="M1" s="766"/>
      <c r="N1" s="766"/>
    </row>
    <row r="2" spans="2:66">
      <c r="K2"/>
      <c r="L2"/>
      <c r="M2"/>
      <c r="N2" s="28"/>
    </row>
    <row r="3" spans="2:66" ht="15" customHeight="1">
      <c r="F3" s="24" t="s">
        <v>10</v>
      </c>
      <c r="G3" s="24" t="s">
        <v>176</v>
      </c>
      <c r="M3" s="24" t="s">
        <v>10</v>
      </c>
    </row>
    <row r="4" spans="2:66" ht="15" customHeight="1">
      <c r="D4" s="24">
        <v>2</v>
      </c>
      <c r="F4" s="24" t="s">
        <v>174</v>
      </c>
      <c r="G4" s="24" t="s">
        <v>174</v>
      </c>
      <c r="M4" s="24" t="s">
        <v>11</v>
      </c>
    </row>
    <row r="5" spans="2:66" ht="15" customHeight="1">
      <c r="B5" s="29" t="str">
        <f>('2.1 SummaryFunc.'!B4)</f>
        <v>Expense</v>
      </c>
      <c r="D5" s="29" t="str">
        <f>('2.1 SummaryFunc.'!F4)</f>
        <v>Lines</v>
      </c>
      <c r="F5" s="29" t="s">
        <v>175</v>
      </c>
      <c r="G5" s="29" t="s">
        <v>175</v>
      </c>
      <c r="H5" s="29" t="s">
        <v>15</v>
      </c>
      <c r="I5" s="23" t="str">
        <f t="shared" ref="I5:I18" si="0">(B5)</f>
        <v>Expense</v>
      </c>
      <c r="K5" s="29" t="s">
        <v>8</v>
      </c>
      <c r="L5" s="29" t="s">
        <v>9</v>
      </c>
      <c r="M5" s="29" t="s">
        <v>12</v>
      </c>
      <c r="N5" s="29" t="s">
        <v>15</v>
      </c>
    </row>
    <row r="6" spans="2:66" ht="15" customHeight="1">
      <c r="B6" s="23" t="str">
        <f>('2.1 SummaryFunc.'!B5)</f>
        <v>Purchased Power</v>
      </c>
      <c r="D6" s="41">
        <f>('2.1 SummaryFunc.'!F5)</f>
        <v>0</v>
      </c>
      <c r="F6" s="22">
        <f>(D6*'3.1 PlantClass.'!$D$174)</f>
        <v>0</v>
      </c>
      <c r="G6" s="22">
        <f>(D6*'3.1 PlantClass.'!$F$174)</f>
        <v>0</v>
      </c>
      <c r="H6" s="25">
        <f>(F6+G6)</f>
        <v>0</v>
      </c>
      <c r="I6" s="23" t="str">
        <f t="shared" si="0"/>
        <v>Purchased Power</v>
      </c>
      <c r="J6" s="23" t="s">
        <v>1</v>
      </c>
      <c r="K6" s="22">
        <f>('2.1 SummaryFunc.'!H5)</f>
        <v>0</v>
      </c>
      <c r="L6" s="22">
        <f>('2.1 SummaryFunc.'!I5)</f>
        <v>0</v>
      </c>
      <c r="M6" s="22">
        <f>('2.1 SummaryFunc.'!J5)</f>
        <v>0</v>
      </c>
      <c r="N6" s="25">
        <f>SUM(K6:M6)</f>
        <v>0</v>
      </c>
    </row>
    <row r="7" spans="2:66" ht="15" customHeight="1">
      <c r="B7" s="23" t="str">
        <f>('2.1 SummaryFunc.'!B6)</f>
        <v>Distibution Operations</v>
      </c>
      <c r="D7" s="41">
        <f>('2.1 SummaryFunc.'!F6)</f>
        <v>2174007.8606300061</v>
      </c>
      <c r="F7" s="22">
        <f>(D7*'3.1 PlantClass.'!$D$174)</f>
        <v>583117.36092025228</v>
      </c>
      <c r="G7" s="22">
        <f>(D7*'3.1 PlantClass.'!$F$174)</f>
        <v>1590890.499709754</v>
      </c>
      <c r="H7" s="25">
        <f>(F7+G7)</f>
        <v>2174007.8606300065</v>
      </c>
      <c r="I7" s="23" t="str">
        <f t="shared" si="0"/>
        <v>Distibution Operations</v>
      </c>
      <c r="K7" s="22">
        <f>('2.1 SummaryFunc.'!H6)</f>
        <v>343784.02509526926</v>
      </c>
      <c r="L7" s="22">
        <f>('2.1 SummaryFunc.'!I6)</f>
        <v>2082886.6505164511</v>
      </c>
      <c r="M7" s="22">
        <f>('2.1 SummaryFunc.'!J6)</f>
        <v>0</v>
      </c>
      <c r="N7" s="25">
        <f t="shared" ref="N7:N18" si="1">SUM(K7:M7)</f>
        <v>2426670.6756117204</v>
      </c>
    </row>
    <row r="8" spans="2:66" ht="15" customHeight="1">
      <c r="B8" s="23" t="str">
        <f>('2.1 SummaryFunc.'!B7)</f>
        <v>Distribution Maintenance</v>
      </c>
      <c r="D8" s="41">
        <f>('2.1 SummaryFunc.'!F7)</f>
        <v>5103199.7569682002</v>
      </c>
      <c r="F8" s="22">
        <f>(D8*'3.1 PlantClass.'!$D$174)</f>
        <v>1368791.9112076359</v>
      </c>
      <c r="G8" s="22">
        <f>(D8*'3.1 PlantClass.'!$F$174)</f>
        <v>3734407.8457605648</v>
      </c>
      <c r="H8" s="25">
        <f t="shared" ref="H8:H17" si="2">(F8+G8)</f>
        <v>5103199.7569682002</v>
      </c>
      <c r="I8" s="23" t="str">
        <f t="shared" si="0"/>
        <v>Distribution Maintenance</v>
      </c>
      <c r="K8" s="22">
        <f>('2.1 SummaryFunc.'!H7)</f>
        <v>806988.13701957813</v>
      </c>
      <c r="L8" s="22">
        <f>('2.1 SummaryFunc.'!I7)</f>
        <v>0</v>
      </c>
      <c r="M8" s="22">
        <f>('2.1 SummaryFunc.'!J7)</f>
        <v>0</v>
      </c>
      <c r="N8" s="25">
        <f t="shared" si="1"/>
        <v>806988.13701957813</v>
      </c>
    </row>
    <row r="9" spans="2:66" ht="15" customHeight="1">
      <c r="B9" s="23" t="str">
        <f>('2.1 SummaryFunc.'!B8)</f>
        <v>Consumer Accounts</v>
      </c>
      <c r="D9" s="41">
        <f>('2.1 SummaryFunc.'!F8)</f>
        <v>0</v>
      </c>
      <c r="F9" s="22">
        <f>(D9*'3.1 PlantClass.'!$D$174)</f>
        <v>0</v>
      </c>
      <c r="G9" s="22">
        <f>(D9*'3.1 PlantClass.'!$F$174)</f>
        <v>0</v>
      </c>
      <c r="H9" s="25">
        <f t="shared" si="2"/>
        <v>0</v>
      </c>
      <c r="I9" s="23" t="str">
        <f t="shared" si="0"/>
        <v>Consumer Accounts</v>
      </c>
      <c r="K9" s="22">
        <f>('2.1 SummaryFunc.'!H8)</f>
        <v>0</v>
      </c>
      <c r="L9" s="22">
        <f>('2.1 SummaryFunc.'!I8)</f>
        <v>0</v>
      </c>
      <c r="M9" s="22">
        <f>('2.1 SummaryFunc.'!J8)</f>
        <v>3120183.5800000005</v>
      </c>
      <c r="N9" s="25">
        <f t="shared" si="1"/>
        <v>3120183.5800000005</v>
      </c>
      <c r="BN9" s="25" t="s">
        <v>1</v>
      </c>
    </row>
    <row r="10" spans="2:66" ht="15" customHeight="1">
      <c r="B10" s="23" t="str">
        <f>('2.1 SummaryFunc.'!B9)</f>
        <v>Customer Service</v>
      </c>
      <c r="D10" s="41">
        <f>('2.1 SummaryFunc.'!F9)</f>
        <v>0</v>
      </c>
      <c r="F10" s="22">
        <f>(D10*'3.1 PlantClass.'!$D$174)</f>
        <v>0</v>
      </c>
      <c r="G10" s="22">
        <f>(D10*'3.1 PlantClass.'!$F$174)</f>
        <v>0</v>
      </c>
      <c r="H10" s="25">
        <f t="shared" si="2"/>
        <v>0</v>
      </c>
      <c r="I10" s="23" t="str">
        <f t="shared" si="0"/>
        <v>Customer Service</v>
      </c>
      <c r="K10" s="22">
        <f>('2.1 SummaryFunc.'!H9)</f>
        <v>0</v>
      </c>
      <c r="L10" s="22">
        <f>('2.1 SummaryFunc.'!I9)</f>
        <v>0</v>
      </c>
      <c r="M10" s="22">
        <f>('2.1 SummaryFunc.'!J9)</f>
        <v>811685.28</v>
      </c>
      <c r="N10" s="25">
        <f t="shared" si="1"/>
        <v>811685.28</v>
      </c>
    </row>
    <row r="11" spans="2:66" ht="15" customHeight="1">
      <c r="B11" s="23" t="str">
        <f>('2.1 SummaryFunc.'!B10)</f>
        <v>Administative &amp; General</v>
      </c>
      <c r="D11" s="41">
        <f>('2.1 SummaryFunc.'!F10)</f>
        <v>2256804.8279359294</v>
      </c>
      <c r="F11" s="22">
        <f>(D11*'3.1 PlantClass.'!$D$174)</f>
        <v>605325.35287003266</v>
      </c>
      <c r="G11" s="22">
        <f>(D11*'3.1 PlantClass.'!$F$174)</f>
        <v>1651479.475065897</v>
      </c>
      <c r="H11" s="25">
        <f t="shared" si="2"/>
        <v>2256804.8279359294</v>
      </c>
      <c r="I11" s="23" t="str">
        <f t="shared" si="0"/>
        <v>Administative &amp; General</v>
      </c>
      <c r="K11" s="22">
        <f>('2.1 SummaryFunc.'!H10)</f>
        <v>356877.02038824075</v>
      </c>
      <c r="L11" s="22">
        <f>('2.1 SummaryFunc.'!I10)</f>
        <v>645944.00708884094</v>
      </c>
      <c r="M11" s="22">
        <f>('2.1 SummaryFunc.'!J10)</f>
        <v>1219349.6588719792</v>
      </c>
      <c r="N11" s="25">
        <f t="shared" si="1"/>
        <v>2222170.6863490609</v>
      </c>
    </row>
    <row r="12" spans="2:66" ht="15" customHeight="1">
      <c r="B12" s="23" t="str">
        <f>('2.1 SummaryFunc.'!B11)</f>
        <v>Depreciation</v>
      </c>
      <c r="D12" s="41">
        <f>('2.1 SummaryFunc.'!F11)</f>
        <v>5574482.22883448</v>
      </c>
      <c r="F12" s="22">
        <f>(D12*'3.1 PlantClass.'!$D$174)</f>
        <v>1495200.3737616765</v>
      </c>
      <c r="G12" s="22">
        <f>(D12*'3.1 PlantClass.'!$F$174)</f>
        <v>4079281.8550728043</v>
      </c>
      <c r="H12" s="25">
        <f t="shared" si="2"/>
        <v>5574482.228834481</v>
      </c>
      <c r="I12" s="23" t="str">
        <f t="shared" si="0"/>
        <v>Depreciation</v>
      </c>
      <c r="K12" s="22">
        <f>('2.1 SummaryFunc.'!H11)</f>
        <v>881513.80367843108</v>
      </c>
      <c r="L12" s="22">
        <f>('2.1 SummaryFunc.'!I11)</f>
        <v>593984.59103707632</v>
      </c>
      <c r="M12" s="22">
        <f>('2.1 SummaryFunc.'!J11)</f>
        <v>209137.68031893059</v>
      </c>
      <c r="N12" s="25">
        <f t="shared" si="1"/>
        <v>1684636.0750344382</v>
      </c>
    </row>
    <row r="13" spans="2:66" ht="15" customHeight="1">
      <c r="B13" s="23" t="str">
        <f>('2.1 SummaryFunc.'!B12)</f>
        <v>Miscellaneous</v>
      </c>
      <c r="D13" s="41">
        <f>('2.1 SummaryFunc.'!F12)</f>
        <v>128703.26596566684</v>
      </c>
      <c r="F13" s="22">
        <f>(D13*'3.1 PlantClass.'!$D$174)</f>
        <v>34521.084376377774</v>
      </c>
      <c r="G13" s="22">
        <f>(D13*'3.1 PlantClass.'!$F$174)</f>
        <v>94182.181589289074</v>
      </c>
      <c r="H13" s="25">
        <f t="shared" si="2"/>
        <v>128703.26596566685</v>
      </c>
      <c r="I13" s="23" t="str">
        <f t="shared" si="0"/>
        <v>Miscellaneous</v>
      </c>
      <c r="K13" s="22">
        <f>('2.1 SummaryFunc.'!H12)</f>
        <v>20352.330650617718</v>
      </c>
      <c r="L13" s="22">
        <f>('2.1 SummaryFunc.'!I12)</f>
        <v>13703.335695878595</v>
      </c>
      <c r="M13" s="22">
        <f>('2.1 SummaryFunc.'!J12)</f>
        <v>4799.0609361180086</v>
      </c>
      <c r="N13" s="25">
        <f t="shared" si="1"/>
        <v>38854.727282614323</v>
      </c>
    </row>
    <row r="14" spans="2:66" ht="15" customHeight="1">
      <c r="B14" s="23" t="str">
        <f>('2.1 SummaryFunc.'!B13)</f>
        <v>Interest on Long Term Debt</v>
      </c>
      <c r="D14" s="41">
        <f>('2.1 SummaryFunc.'!F13)</f>
        <v>3452056.0677455636</v>
      </c>
      <c r="F14" s="22">
        <f>(D14*'3.1 PlantClass.'!$D$174)</f>
        <v>925918.37427358818</v>
      </c>
      <c r="G14" s="22">
        <f>(D14*'3.1 PlantClass.'!$F$174)</f>
        <v>2526137.6934719756</v>
      </c>
      <c r="H14" s="25">
        <f t="shared" si="2"/>
        <v>3452056.0677455636</v>
      </c>
      <c r="I14" s="23" t="str">
        <f t="shared" si="0"/>
        <v>Interest on Long Term Debt</v>
      </c>
      <c r="K14" s="22">
        <f>('2.1 SummaryFunc.'!H13)</f>
        <v>545886.58638989716</v>
      </c>
      <c r="L14" s="22">
        <f>('2.1 SummaryFunc.'!I13)</f>
        <v>367548.42841308453</v>
      </c>
      <c r="M14" s="22">
        <f>('2.1 SummaryFunc.'!J13)</f>
        <v>128719.55734539189</v>
      </c>
      <c r="N14" s="25">
        <f t="shared" si="1"/>
        <v>1042154.5721483736</v>
      </c>
    </row>
    <row r="15" spans="2:66" ht="15" customHeight="1">
      <c r="B15" s="23" t="str">
        <f>('2.1 SummaryFunc.'!B14)</f>
        <v>Short Term Interest</v>
      </c>
      <c r="D15" s="42">
        <f>('2.1 SummaryFunc.'!F14)</f>
        <v>34512.835093804504</v>
      </c>
      <c r="F15" s="30">
        <f>(D15*'3.1 PlantClass.'!$D$174)</f>
        <v>9257.1115690184834</v>
      </c>
      <c r="G15" s="30">
        <f>(D15*'3.1 PlantClass.'!$F$174)</f>
        <v>25255.723524786026</v>
      </c>
      <c r="H15" s="44">
        <f t="shared" si="2"/>
        <v>34512.835093804511</v>
      </c>
      <c r="I15" s="23" t="str">
        <f t="shared" si="0"/>
        <v>Short Term Interest</v>
      </c>
      <c r="K15" s="30">
        <f>('2.1 SummaryFunc.'!H14)</f>
        <v>5457.6441883512925</v>
      </c>
      <c r="L15" s="30">
        <f>('2.1 SummaryFunc.'!I14)</f>
        <v>3674.6617232935296</v>
      </c>
      <c r="M15" s="30">
        <f>('2.1 SummaryFunc.'!J14)</f>
        <v>1286.9075034781442</v>
      </c>
      <c r="N15" s="44">
        <f t="shared" si="1"/>
        <v>10419.213415122966</v>
      </c>
    </row>
    <row r="16" spans="2:66" ht="15" customHeight="1">
      <c r="B16" s="23" t="str">
        <f>('2.1 SummaryFunc.'!B15)</f>
        <v>Total Costs</v>
      </c>
      <c r="D16" s="41">
        <f>('2.1 SummaryFunc.'!F15)</f>
        <v>18723766.843173649</v>
      </c>
      <c r="F16" s="22">
        <f>(D16*'3.1 PlantClass.'!$D$174)</f>
        <v>5022131.5689785816</v>
      </c>
      <c r="G16" s="22">
        <f>(D16*'3.1 PlantClass.'!$F$174)</f>
        <v>13701635.274195069</v>
      </c>
      <c r="H16" s="25">
        <f t="shared" si="2"/>
        <v>18723766.843173653</v>
      </c>
      <c r="I16" s="23" t="str">
        <f t="shared" si="0"/>
        <v>Total Costs</v>
      </c>
      <c r="K16" s="22">
        <f>('2.1 SummaryFunc.'!H15)</f>
        <v>2960859.5474103852</v>
      </c>
      <c r="L16" s="22">
        <f>('2.1 SummaryFunc.'!I15)</f>
        <v>3707741.6744746254</v>
      </c>
      <c r="M16" s="22">
        <f>('2.1 SummaryFunc.'!J15)</f>
        <v>5495161.7249758979</v>
      </c>
      <c r="N16" s="25">
        <f t="shared" si="1"/>
        <v>12163762.946860909</v>
      </c>
    </row>
    <row r="17" spans="2:66" ht="15" customHeight="1">
      <c r="B17" s="23" t="str">
        <f>('2.1 SummaryFunc.'!B16)</f>
        <v>Margin Requirements</v>
      </c>
      <c r="D17" s="41">
        <f>('2.1 SummaryFunc.'!F16)</f>
        <v>2311424.352279081</v>
      </c>
      <c r="F17" s="22">
        <f>(D17*'3.1 PlantClass.'!$D$174)</f>
        <v>619975.52661892993</v>
      </c>
      <c r="G17" s="30">
        <f>(D17*'3.1 PlantClass.'!$F$174)</f>
        <v>1691448.8256601514</v>
      </c>
      <c r="H17" s="44">
        <f t="shared" si="2"/>
        <v>2311424.3522790815</v>
      </c>
      <c r="I17" s="23" t="str">
        <f t="shared" si="0"/>
        <v>Margin Requirements</v>
      </c>
      <c r="K17" s="22">
        <f>('2.1 SummaryFunc.'!H16)</f>
        <v>365514.21083613369</v>
      </c>
      <c r="L17" s="22">
        <f>('2.1 SummaryFunc.'!I16)</f>
        <v>246102.72006118688</v>
      </c>
      <c r="M17" s="22">
        <f>('2.1 SummaryFunc.'!J16)</f>
        <v>86187.916309548134</v>
      </c>
      <c r="N17" s="25">
        <f t="shared" si="1"/>
        <v>697804.8472068687</v>
      </c>
    </row>
    <row r="18" spans="2:66" ht="15" customHeight="1" thickBot="1">
      <c r="B18" s="23" t="str">
        <f>('2.1 SummaryFunc.'!B17)</f>
        <v>Revenue Requirements</v>
      </c>
      <c r="D18" s="43">
        <f>(D16+D17)</f>
        <v>21035191.195452731</v>
      </c>
      <c r="F18" s="43">
        <f>(F16+F17)</f>
        <v>5642107.0955975112</v>
      </c>
      <c r="G18" s="43">
        <f>(G16+G17)</f>
        <v>15393084.099855222</v>
      </c>
      <c r="H18" s="27">
        <f>(F18+G18)</f>
        <v>21035191.195452735</v>
      </c>
      <c r="I18" s="23" t="str">
        <f t="shared" si="0"/>
        <v>Revenue Requirements</v>
      </c>
      <c r="K18" s="26">
        <f>('2.1 SummaryFunc.'!H17)</f>
        <v>3326373.7582465187</v>
      </c>
      <c r="L18" s="26">
        <f>('2.1 SummaryFunc.'!I17)</f>
        <v>3953844.3945358121</v>
      </c>
      <c r="M18" s="26">
        <f>('2.1 SummaryFunc.'!J17)</f>
        <v>5581349.6412854465</v>
      </c>
      <c r="N18" s="27">
        <f t="shared" si="1"/>
        <v>12861567.794067778</v>
      </c>
      <c r="BN18" s="25" t="s">
        <v>1</v>
      </c>
    </row>
    <row r="19" spans="2:66" ht="15.75" thickTop="1">
      <c r="B19" s="23" t="str">
        <f>('2.1 SummaryFunc.'!B18)</f>
        <v xml:space="preserve"> </v>
      </c>
    </row>
    <row r="21" spans="2:66">
      <c r="F21" s="24" t="str">
        <f t="shared" ref="F21:G23" si="3">(F3)</f>
        <v>Consumer</v>
      </c>
      <c r="G21" s="24" t="str">
        <f t="shared" si="3"/>
        <v xml:space="preserve">Demand </v>
      </c>
      <c r="H21" s="24"/>
      <c r="L21" s="24" t="s">
        <v>228</v>
      </c>
      <c r="M21" s="23" t="s">
        <v>207</v>
      </c>
      <c r="N21" s="23" t="s">
        <v>1</v>
      </c>
    </row>
    <row r="22" spans="2:66">
      <c r="D22" s="24">
        <v>3</v>
      </c>
      <c r="F22" s="24" t="str">
        <f t="shared" si="3"/>
        <v>Related</v>
      </c>
      <c r="G22" s="24" t="str">
        <f t="shared" si="3"/>
        <v>Related</v>
      </c>
      <c r="H22" s="24"/>
      <c r="K22" s="23" t="s">
        <v>247</v>
      </c>
      <c r="L22" s="29" t="s">
        <v>13</v>
      </c>
      <c r="M22" s="29" t="s">
        <v>13</v>
      </c>
    </row>
    <row r="23" spans="2:66">
      <c r="B23" s="29" t="str">
        <f>(B5)</f>
        <v>Expense</v>
      </c>
      <c r="D23" s="29" t="s">
        <v>95</v>
      </c>
      <c r="E23" s="29"/>
      <c r="F23" s="29" t="str">
        <f t="shared" si="3"/>
        <v>Costs</v>
      </c>
      <c r="G23" s="29" t="str">
        <f t="shared" si="3"/>
        <v>Costs</v>
      </c>
      <c r="H23" s="29" t="str">
        <f>(H5)</f>
        <v>Total</v>
      </c>
      <c r="I23" s="23" t="str">
        <f>(B23)</f>
        <v>Expense</v>
      </c>
      <c r="N23" s="23" t="s">
        <v>1</v>
      </c>
    </row>
    <row r="24" spans="2:66">
      <c r="B24" s="23" t="str">
        <f>(B6)</f>
        <v>Purchased Power</v>
      </c>
      <c r="D24" s="22">
        <f>('2.1 SummaryFunc.'!G5)</f>
        <v>0</v>
      </c>
      <c r="F24" s="22">
        <f>(D24*'3.1 PlantClass.'!$F$265)</f>
        <v>0</v>
      </c>
      <c r="G24" s="22">
        <f>(D24*'3.1 PlantClass.'!$F$266)</f>
        <v>0</v>
      </c>
      <c r="H24" s="25">
        <f>(F24+G24)</f>
        <v>0</v>
      </c>
      <c r="I24" s="23" t="str">
        <f t="shared" ref="I24:I36" si="4">(B24)</f>
        <v>Purchased Power</v>
      </c>
      <c r="L24" s="22">
        <f>('2.1 SummaryFunc.'!K5)</f>
        <v>0</v>
      </c>
    </row>
    <row r="25" spans="2:66">
      <c r="B25" s="23" t="str">
        <f t="shared" ref="B25:B36" si="5">(B7)</f>
        <v>Distibution Operations</v>
      </c>
      <c r="D25" s="22">
        <f>('2.1 SummaryFunc.'!G6)</f>
        <v>0</v>
      </c>
      <c r="F25" s="22">
        <f>(D25*'3.1 PlantClass.'!$F$265)</f>
        <v>0</v>
      </c>
      <c r="G25" s="22">
        <f>(D25*'3.1 PlantClass.'!$F$266)</f>
        <v>0</v>
      </c>
      <c r="H25" s="25">
        <f t="shared" ref="H25:H36" si="6">(F25+G25)</f>
        <v>0</v>
      </c>
      <c r="I25" s="23" t="str">
        <f t="shared" si="4"/>
        <v>Distibution Operations</v>
      </c>
      <c r="K25" s="22">
        <f>('2.1 SummaryFunc.'!E6)</f>
        <v>32315.753894523554</v>
      </c>
      <c r="L25" s="22">
        <f>('2.1 SummaryFunc.'!K6)</f>
        <v>235077.14986375015</v>
      </c>
      <c r="M25" s="22">
        <f>('2.1 SummaryFunc.'!L6)</f>
        <v>0</v>
      </c>
      <c r="AB25" s="25" t="e">
        <f>SUM(#REF!,#REF!,#REF!,#REF!,#REF!,#REF!,#REF!,#REF!)</f>
        <v>#REF!</v>
      </c>
    </row>
    <row r="26" spans="2:66">
      <c r="B26" s="23" t="str">
        <f t="shared" si="5"/>
        <v>Distribution Maintenance</v>
      </c>
      <c r="D26" s="22">
        <f>('2.1 SummaryFunc.'!G7)</f>
        <v>17304.684756057824</v>
      </c>
      <c r="F26" s="22">
        <f>(D26*'3.1 PlantClass.'!$F$265)</f>
        <v>3653.2174368900355</v>
      </c>
      <c r="G26" s="22">
        <f>(D26*'3.1 PlantClass.'!$F$266)</f>
        <v>13651.46731916779</v>
      </c>
      <c r="H26" s="25">
        <f t="shared" si="6"/>
        <v>17304.684756057824</v>
      </c>
      <c r="I26" s="23" t="str">
        <f t="shared" si="4"/>
        <v>Distribution Maintenance</v>
      </c>
      <c r="K26" s="22">
        <f>('2.1 SummaryFunc.'!E7)</f>
        <v>0</v>
      </c>
      <c r="L26" s="22">
        <f>('2.1 SummaryFunc.'!K7)</f>
        <v>0</v>
      </c>
      <c r="M26" s="22">
        <f>('2.1 SummaryFunc.'!L7)</f>
        <v>24467.201256162967</v>
      </c>
    </row>
    <row r="27" spans="2:66">
      <c r="B27" s="23" t="str">
        <f t="shared" si="5"/>
        <v>Consumer Accounts</v>
      </c>
      <c r="D27" s="22">
        <f>('2.1 SummaryFunc.'!G8)</f>
        <v>0</v>
      </c>
      <c r="F27" s="22">
        <f>(D27*'3.1 PlantClass.'!$F$265)</f>
        <v>0</v>
      </c>
      <c r="G27" s="22">
        <f>(D27*'3.1 PlantClass.'!$F$266)</f>
        <v>0</v>
      </c>
      <c r="H27" s="25">
        <f t="shared" si="6"/>
        <v>0</v>
      </c>
      <c r="I27" s="23" t="str">
        <f t="shared" si="4"/>
        <v>Consumer Accounts</v>
      </c>
      <c r="K27" s="22">
        <f>('2.1 SummaryFunc.'!E8)</f>
        <v>0</v>
      </c>
      <c r="L27" s="22">
        <f>('2.1 SummaryFunc.'!K8)</f>
        <v>0</v>
      </c>
      <c r="M27" s="22">
        <f>('2.1 SummaryFunc.'!L8)</f>
        <v>0</v>
      </c>
    </row>
    <row r="28" spans="2:66">
      <c r="B28" s="23" t="str">
        <f t="shared" si="5"/>
        <v>Customer Service</v>
      </c>
      <c r="D28" s="22">
        <f>('2.1 SummaryFunc.'!G9)</f>
        <v>0</v>
      </c>
      <c r="F28" s="22">
        <f>(D28*'3.1 PlantClass.'!$F$265)</f>
        <v>0</v>
      </c>
      <c r="G28" s="22">
        <f>(D28*'3.1 PlantClass.'!$F$266)</f>
        <v>0</v>
      </c>
      <c r="H28" s="25">
        <f t="shared" si="6"/>
        <v>0</v>
      </c>
      <c r="I28" s="23" t="str">
        <f t="shared" si="4"/>
        <v>Customer Service</v>
      </c>
      <c r="K28" s="22">
        <f>('2.1 SummaryFunc.'!E9)</f>
        <v>0</v>
      </c>
      <c r="L28" s="22">
        <f>('2.1 SummaryFunc.'!K9)</f>
        <v>0</v>
      </c>
      <c r="M28" s="22">
        <f>('2.1 SummaryFunc.'!L9)</f>
        <v>0</v>
      </c>
    </row>
    <row r="29" spans="2:66">
      <c r="B29" s="23" t="str">
        <f t="shared" si="5"/>
        <v>Administative &amp; General</v>
      </c>
      <c r="D29" s="22">
        <f>('2.1 SummaryFunc.'!G10)</f>
        <v>5366.522182071516</v>
      </c>
      <c r="F29" s="22">
        <f>(D29*'3.1 PlantClass.'!$F$265)</f>
        <v>1132.9343866918873</v>
      </c>
      <c r="G29" s="22">
        <f>(D29*'3.1 PlantClass.'!$F$266)</f>
        <v>4233.5877953796289</v>
      </c>
      <c r="H29" s="25">
        <f t="shared" si="6"/>
        <v>5366.522182071516</v>
      </c>
      <c r="I29" s="23" t="str">
        <f t="shared" si="4"/>
        <v>Administative &amp; General</v>
      </c>
      <c r="K29" s="22">
        <f>('2.1 SummaryFunc.'!E10)</f>
        <v>10021.749170820034</v>
      </c>
      <c r="L29" s="22">
        <f>('2.1 SummaryFunc.'!K10)</f>
        <v>72902.035317363261</v>
      </c>
      <c r="M29" s="22">
        <f>('2.1 SummaryFunc.'!L10)</f>
        <v>7587.7590447547054</v>
      </c>
    </row>
    <row r="30" spans="2:66">
      <c r="B30" s="23" t="str">
        <f t="shared" si="5"/>
        <v>Depreciation</v>
      </c>
      <c r="D30" s="22">
        <f>('2.1 SummaryFunc.'!G11)</f>
        <v>1160254.2342483765</v>
      </c>
      <c r="F30" s="22">
        <f>(D30*'3.1 PlantClass.'!$F$265)</f>
        <v>244942.97697609564</v>
      </c>
      <c r="G30" s="22">
        <f>(D30*'3.1 PlantClass.'!$F$266)</f>
        <v>915311.25727228087</v>
      </c>
      <c r="H30" s="25">
        <f t="shared" si="6"/>
        <v>1160254.2342483765</v>
      </c>
      <c r="I30" s="23" t="str">
        <f t="shared" si="4"/>
        <v>Depreciation</v>
      </c>
      <c r="K30" s="22">
        <f>('2.1 SummaryFunc.'!E11)</f>
        <v>70912.404977476006</v>
      </c>
      <c r="L30" s="22">
        <f>('2.1 SummaryFunc.'!K11)</f>
        <v>223721.36092307369</v>
      </c>
      <c r="M30" s="22">
        <f>('2.1 SummaryFunc.'!L11)</f>
        <v>12646.865982155558</v>
      </c>
    </row>
    <row r="31" spans="2:66">
      <c r="B31" s="23" t="str">
        <f t="shared" si="5"/>
        <v>Miscellaneous</v>
      </c>
      <c r="D31" s="22">
        <f>('2.1 SummaryFunc.'!G12)</f>
        <v>26799.94150615414</v>
      </c>
      <c r="F31" s="22">
        <f>(D31*'3.1 PlantClass.'!$F$265)</f>
        <v>5657.7750475137373</v>
      </c>
      <c r="G31" s="22">
        <f>(D31*'3.1 PlantClass.'!$F$266)</f>
        <v>21142.166458640404</v>
      </c>
      <c r="H31" s="25">
        <f t="shared" si="6"/>
        <v>26799.94150615414</v>
      </c>
      <c r="I31" s="23" t="str">
        <f t="shared" si="4"/>
        <v>Miscellaneous</v>
      </c>
      <c r="K31" s="22">
        <f>('2.1 SummaryFunc.'!E12)</f>
        <v>1637.7065321626549</v>
      </c>
      <c r="L31" s="22">
        <f>('2.1 SummaryFunc.'!K12)</f>
        <v>5165.7228807711799</v>
      </c>
      <c r="M31" s="22">
        <f>('2.1 SummaryFunc.'!L12)</f>
        <v>291.92583263080274</v>
      </c>
    </row>
    <row r="32" spans="2:66">
      <c r="B32" s="23" t="str">
        <f t="shared" si="5"/>
        <v>Interest on Long Term Debt</v>
      </c>
      <c r="D32" s="22">
        <f>('2.1 SummaryFunc.'!G13)</f>
        <v>718823.25593994686</v>
      </c>
      <c r="F32" s="22">
        <f>(D32*'3.1 PlantClass.'!$F$265)</f>
        <v>151751.83423798557</v>
      </c>
      <c r="G32" s="22">
        <f>(D32*'3.1 PlantClass.'!$F$266)</f>
        <v>567071.42170196131</v>
      </c>
      <c r="H32" s="25">
        <f t="shared" si="6"/>
        <v>718823.25593994686</v>
      </c>
      <c r="I32" s="23" t="str">
        <f t="shared" si="4"/>
        <v>Interest on Long Term Debt</v>
      </c>
      <c r="K32" s="22">
        <f>('2.1 SummaryFunc.'!E13)</f>
        <v>43926.272803727967</v>
      </c>
      <c r="L32" s="22">
        <f>('2.1 SummaryFunc.'!K13)</f>
        <v>138554.09869408631</v>
      </c>
      <c r="M32" s="22">
        <f>('2.1 SummaryFunc.'!L13)</f>
        <v>7829.9826683004812</v>
      </c>
    </row>
    <row r="33" spans="2:13">
      <c r="B33" s="23" t="str">
        <f t="shared" si="5"/>
        <v>Short Term Interest</v>
      </c>
      <c r="D33" s="21">
        <f>('2.1 SummaryFunc.'!G14)</f>
        <v>7186.6238574881554</v>
      </c>
      <c r="F33" s="22">
        <f>(D33*'3.1 PlantClass.'!$F$265)</f>
        <v>1517.1787269545523</v>
      </c>
      <c r="G33" s="22">
        <f>(D33*'3.1 PlantClass.'!$F$266)</f>
        <v>5669.4451305336033</v>
      </c>
      <c r="H33" s="101">
        <f t="shared" si="6"/>
        <v>7186.6238574881554</v>
      </c>
      <c r="I33" s="23" t="str">
        <f t="shared" si="4"/>
        <v>Short Term Interest</v>
      </c>
      <c r="K33" s="30">
        <f>('2.1 SummaryFunc.'!E14)</f>
        <v>439.16442253807344</v>
      </c>
      <c r="L33" s="30">
        <f>('2.1 SummaryFunc.'!K14)</f>
        <v>1385.230907597231</v>
      </c>
      <c r="M33" s="30">
        <f>('2.1 SummaryFunc.'!L14)</f>
        <v>78.282303449052719</v>
      </c>
    </row>
    <row r="34" spans="2:13">
      <c r="B34" s="23" t="str">
        <f t="shared" si="5"/>
        <v>Total Costs</v>
      </c>
      <c r="D34" s="22">
        <f>('2.1 SummaryFunc.'!G15)</f>
        <v>1935735.2624900949</v>
      </c>
      <c r="F34" s="22">
        <f>(D34*'3.1 PlantClass.'!$F$265)</f>
        <v>408655.91681213141</v>
      </c>
      <c r="G34" s="22">
        <f>(D34*'3.1 PlantClass.'!$F$266)</f>
        <v>1527079.3456779635</v>
      </c>
      <c r="H34" s="25">
        <f t="shared" si="6"/>
        <v>1935735.2624900949</v>
      </c>
      <c r="I34" s="23" t="str">
        <f t="shared" si="4"/>
        <v>Total Costs</v>
      </c>
      <c r="K34" s="22">
        <f>SUM(K25:K33)</f>
        <v>159253.05180124828</v>
      </c>
      <c r="L34" s="22">
        <f>SUM(L25:L33)</f>
        <v>676805.59858664183</v>
      </c>
      <c r="M34" s="22">
        <f>SUM(M25:M33)</f>
        <v>52902.017087453562</v>
      </c>
    </row>
    <row r="35" spans="2:13">
      <c r="B35" s="23" t="str">
        <f t="shared" si="5"/>
        <v>Margin Requirements</v>
      </c>
      <c r="D35" s="22">
        <f>('2.1 SummaryFunc.'!G16)</f>
        <v>481308.97823140281</v>
      </c>
      <c r="F35" s="22">
        <f>(D35*'3.1 PlantClass.'!$F$265)</f>
        <v>101609.84592285928</v>
      </c>
      <c r="G35" s="22">
        <f>(D35*'3.1 PlantClass.'!$F$266)</f>
        <v>379699.13230854354</v>
      </c>
      <c r="H35" s="25">
        <f t="shared" si="6"/>
        <v>481308.97823140281</v>
      </c>
      <c r="I35" s="23" t="str">
        <f t="shared" si="4"/>
        <v>Margin Requirements</v>
      </c>
      <c r="K35" s="22">
        <f>('2.1 SummaryFunc.'!E16)</f>
        <v>29412.11112185059</v>
      </c>
      <c r="L35" s="22">
        <f>('2.1 SummaryFunc.'!K16)</f>
        <v>92772.918963260337</v>
      </c>
      <c r="M35" s="22">
        <f>('2.1 SummaryFunc.'!L16)</f>
        <v>5242.7921975358904</v>
      </c>
    </row>
    <row r="36" spans="2:13" ht="15.75" thickBot="1">
      <c r="B36" s="23" t="str">
        <f t="shared" si="5"/>
        <v>Revenue Requirements</v>
      </c>
      <c r="D36" s="26">
        <f>SUM(D34:D35)</f>
        <v>2417044.2407214977</v>
      </c>
      <c r="F36" s="26">
        <f>SUM(F34:F35)</f>
        <v>510265.76273499068</v>
      </c>
      <c r="G36" s="26">
        <f>SUM(G34:G35)</f>
        <v>1906778.4779865071</v>
      </c>
      <c r="H36" s="27">
        <f t="shared" si="6"/>
        <v>2417044.2407214977</v>
      </c>
      <c r="I36" s="23" t="str">
        <f t="shared" si="4"/>
        <v>Revenue Requirements</v>
      </c>
      <c r="K36" s="26">
        <f>SUM(K34:K35)</f>
        <v>188665.16292309886</v>
      </c>
      <c r="L36" s="26">
        <f>SUM(L34:L35)</f>
        <v>769578.5175499022</v>
      </c>
      <c r="M36" s="26">
        <f>SUM(M34:M35)</f>
        <v>58144.809284989453</v>
      </c>
    </row>
    <row r="37" spans="2:13" ht="15.75" thickTop="1">
      <c r="G37" s="24" t="s">
        <v>1</v>
      </c>
    </row>
    <row r="38" spans="2:13">
      <c r="F38" s="24" t="s">
        <v>179</v>
      </c>
      <c r="G38" s="24" t="s">
        <v>176</v>
      </c>
    </row>
    <row r="39" spans="2:13">
      <c r="F39" s="24" t="s">
        <v>174</v>
      </c>
      <c r="G39" s="24" t="s">
        <v>174</v>
      </c>
    </row>
    <row r="40" spans="2:13">
      <c r="F40" s="29" t="s">
        <v>175</v>
      </c>
      <c r="G40" s="29" t="s">
        <v>175</v>
      </c>
    </row>
    <row r="41" spans="2:13" ht="15.75" thickBot="1">
      <c r="B41" s="23" t="s">
        <v>19</v>
      </c>
      <c r="D41" s="22">
        <f>('2.1 SummaryFunc.'!D5)</f>
        <v>58751870.200000003</v>
      </c>
      <c r="F41" s="45">
        <f>('2 Functionalization2'!E9+'2 Functionalization2'!E10+'2 Functionalization2'!E11)</f>
        <v>44410807.200000003</v>
      </c>
      <c r="G41" s="45">
        <f>(D41-F41)</f>
        <v>14341063</v>
      </c>
      <c r="H41" s="46">
        <f>(F41+G41)</f>
        <v>58751870.200000003</v>
      </c>
    </row>
    <row r="42" spans="2:13" ht="15.75" thickTop="1"/>
    <row r="46" spans="2:13">
      <c r="B46" s="23" t="s">
        <v>5</v>
      </c>
      <c r="H46" s="25">
        <f>(H18)</f>
        <v>21035191.195452735</v>
      </c>
    </row>
    <row r="47" spans="2:13">
      <c r="B47" s="23" t="s">
        <v>95</v>
      </c>
      <c r="H47" s="25">
        <f>(H36)</f>
        <v>2417044.2407214977</v>
      </c>
    </row>
    <row r="48" spans="2:13">
      <c r="B48" s="23" t="s">
        <v>19</v>
      </c>
      <c r="H48" s="25">
        <f>(H41)</f>
        <v>58751870.200000003</v>
      </c>
    </row>
    <row r="49" spans="2:8">
      <c r="B49" s="23" t="s">
        <v>185</v>
      </c>
      <c r="H49" s="25">
        <f>(N18)</f>
        <v>12861567.794067778</v>
      </c>
    </row>
    <row r="50" spans="2:8">
      <c r="B50" s="23" t="s">
        <v>13</v>
      </c>
      <c r="H50" s="25">
        <f>(L36)</f>
        <v>769578.5175499022</v>
      </c>
    </row>
    <row r="51" spans="2:8">
      <c r="B51" s="23" t="s">
        <v>247</v>
      </c>
      <c r="H51" s="25">
        <f>(K36)</f>
        <v>188665.16292309886</v>
      </c>
    </row>
    <row r="52" spans="2:8" ht="15.75" thickBot="1">
      <c r="H52" s="27">
        <f>SUM(H46:H51)</f>
        <v>96023917.110715002</v>
      </c>
    </row>
    <row r="53" spans="2:8" ht="15.75" thickTop="1"/>
    <row r="54" spans="2:8">
      <c r="H54" s="25">
        <f>('2.1 SummaryFunc.'!M17-'3.2 Classific. 2'!H52)</f>
        <v>58144.809284985065</v>
      </c>
    </row>
  </sheetData>
  <customSheetViews>
    <customSheetView guid="{18050E3F-BBF0-4BF6-9B33-B0817BE1B1C5}" scale="60" showPageBreaks="1" printArea="1" view="pageBreakPreview" showRuler="0">
      <selection activeCell="J37" sqref="J37"/>
      <rowBreaks count="1" manualBreakCount="1">
        <brk id="43" max="14" man="1"/>
      </rowBreaks>
      <colBreaks count="6" manualBreakCount="6">
        <brk id="8" max="40" man="1"/>
        <brk id="14" max="40" man="1"/>
        <brk id="24" max="40" man="1"/>
        <brk id="32" max="40" man="1"/>
        <brk id="40" max="40" man="1"/>
        <brk id="48" max="1048575" man="1"/>
      </colBreaks>
      <pageMargins left="0.75" right="0.75" top="1" bottom="1" header="0.5" footer="0.5"/>
      <printOptions horizontalCentered="1" verticalCentered="1" gridLines="1"/>
      <pageSetup scale="95" orientation="portrait" horizontalDpi="4294967293" r:id="rId1"/>
      <headerFooter alignWithMargins="0">
        <oddHeader>&amp;C&amp;"Arial,Bold"&amp;12 MEADE COUNTY RECC
CASE NO. 2010-00222
CLASSIFICATION OF EXPENSES&amp;R&amp;11Exhibit R
Schedule 3
Page ____ of ____
Witness:  Jim Adkins</oddHeader>
      </headerFooter>
    </customSheetView>
  </customSheetViews>
  <mergeCells count="1">
    <mergeCell ref="K1:N1"/>
  </mergeCells>
  <phoneticPr fontId="3" type="noConversion"/>
  <printOptions horizontalCentered="1" verticalCentered="1" gridLines="1"/>
  <pageMargins left="0.75" right="0.75" top="1" bottom="1" header="0.5" footer="0.5"/>
  <pageSetup scale="91" orientation="portrait" horizontalDpi="4294967293" r:id="rId2"/>
  <headerFooter alignWithMargins="0">
    <oddHeader>&amp;C&amp;"Arial,Bold"&amp;12 JACKSON ENERGY COOPERATIVE
CASE NO. 2013-00219
CLASSIFICATION OF EXPENSES&amp;R&amp;11Revised Exhibit R
Schedule 3.1
Page ____ of ____
Witness:  Jim Adkins</oddHeader>
  </headerFooter>
  <rowBreaks count="1" manualBreakCount="1">
    <brk id="43" max="14" man="1"/>
  </rowBreaks>
  <colBreaks count="6" manualBreakCount="6">
    <brk id="8" max="40" man="1"/>
    <brk id="14" max="40" man="1"/>
    <brk id="24" max="40" man="1"/>
    <brk id="32" max="40" man="1"/>
    <brk id="40" max="40" man="1"/>
    <brk id="4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N402"/>
  <sheetViews>
    <sheetView view="pageBreakPreview" topLeftCell="A148" zoomScale="76" zoomScaleNormal="100" zoomScaleSheetLayoutView="76" workbookViewId="0">
      <selection activeCell="E170" sqref="E170"/>
    </sheetView>
  </sheetViews>
  <sheetFormatPr defaultRowHeight="12.75"/>
  <cols>
    <col min="1" max="1" width="9.28515625" style="109" customWidth="1"/>
    <col min="2" max="3" width="27.85546875" style="109" customWidth="1"/>
    <col min="4" max="4" width="19" style="109" customWidth="1"/>
    <col min="5" max="5" width="15" style="109" customWidth="1"/>
    <col min="6" max="6" width="15.140625" style="109" customWidth="1"/>
    <col min="7" max="7" width="15.85546875" style="109" customWidth="1"/>
    <col min="8" max="8" width="16.42578125" style="11" customWidth="1"/>
    <col min="9" max="9" width="14.85546875" style="109" customWidth="1"/>
    <col min="10" max="10" width="13.85546875" style="109" customWidth="1"/>
    <col min="11" max="11" width="14.85546875" style="11" customWidth="1"/>
    <col min="12" max="13" width="14.28515625" style="109" customWidth="1"/>
    <col min="14" max="14" width="15.7109375" style="11" customWidth="1"/>
    <col min="15" max="15" width="13.85546875" customWidth="1"/>
    <col min="16" max="16" width="14" bestFit="1" customWidth="1"/>
    <col min="17" max="17" width="2.7109375" customWidth="1"/>
    <col min="18" max="18" width="13.140625" style="109" customWidth="1"/>
    <col min="19" max="19" width="16.7109375" style="109" customWidth="1"/>
    <col min="20" max="20" width="12.85546875" style="11" customWidth="1"/>
    <col min="21" max="21" width="13" style="109" customWidth="1"/>
    <col min="22" max="22" width="3.7109375" style="109" customWidth="1"/>
    <col min="23" max="23" width="17.85546875" style="5" customWidth="1"/>
    <col min="24" max="24" width="14.5703125" style="5" customWidth="1"/>
    <col min="25" max="25" width="14.7109375" style="5" customWidth="1"/>
    <col min="26" max="26" width="13.85546875" style="5" customWidth="1"/>
    <col min="27" max="27" width="16" style="5" customWidth="1"/>
    <col min="28" max="28" width="13.85546875" style="5" customWidth="1"/>
    <col min="29" max="29" width="13.42578125" style="5" customWidth="1"/>
    <col min="30" max="30" width="13.7109375" style="5" customWidth="1"/>
    <col min="31" max="31" width="12.7109375" style="5" customWidth="1"/>
    <col min="32" max="40" width="9.140625" style="5"/>
    <col min="41" max="16384" width="9.140625" style="109"/>
  </cols>
  <sheetData>
    <row r="1" spans="1:26" ht="15">
      <c r="A1" s="767" t="s">
        <v>292</v>
      </c>
      <c r="B1" s="767"/>
      <c r="C1" s="767"/>
      <c r="D1" s="767"/>
      <c r="E1" s="767"/>
      <c r="F1" s="767"/>
      <c r="G1" s="3"/>
      <c r="H1" s="9"/>
      <c r="I1" s="107"/>
      <c r="J1" s="108"/>
      <c r="L1" s="110"/>
      <c r="M1" s="110"/>
      <c r="N1" s="7"/>
      <c r="R1" s="5"/>
      <c r="S1" s="110"/>
    </row>
    <row r="2" spans="1:26" ht="13.5" thickBot="1">
      <c r="B2" s="111" t="s">
        <v>200</v>
      </c>
      <c r="C2" s="111"/>
      <c r="D2" s="111"/>
      <c r="E2" s="111"/>
      <c r="F2" s="110"/>
      <c r="G2" s="110"/>
      <c r="H2" s="7"/>
      <c r="I2" s="110"/>
      <c r="J2" s="110"/>
      <c r="K2" s="7"/>
      <c r="L2" s="110"/>
      <c r="M2" s="110"/>
      <c r="N2" s="7"/>
      <c r="R2" s="110"/>
      <c r="S2" s="110"/>
    </row>
    <row r="3" spans="1:26" ht="15">
      <c r="B3" s="112" t="s">
        <v>93</v>
      </c>
      <c r="C3" s="113" t="s">
        <v>127</v>
      </c>
      <c r="D3" s="114" t="s">
        <v>134</v>
      </c>
      <c r="E3" s="113" t="s">
        <v>126</v>
      </c>
      <c r="F3" s="115" t="s">
        <v>135</v>
      </c>
      <c r="L3" s="110"/>
      <c r="M3" s="116" t="s">
        <v>259</v>
      </c>
      <c r="N3" s="244" t="s">
        <v>260</v>
      </c>
      <c r="R3" s="110" t="s">
        <v>1</v>
      </c>
      <c r="S3" s="110"/>
    </row>
    <row r="4" spans="1:26">
      <c r="B4" s="117"/>
      <c r="C4" s="110"/>
      <c r="D4" s="7"/>
      <c r="E4" s="118" t="s">
        <v>136</v>
      </c>
      <c r="F4" s="119"/>
      <c r="L4" s="110" t="s">
        <v>1</v>
      </c>
      <c r="R4" s="118" t="s">
        <v>1</v>
      </c>
      <c r="S4" s="110"/>
    </row>
    <row r="5" spans="1:26">
      <c r="B5" s="117" t="s">
        <v>457</v>
      </c>
      <c r="C5" s="7">
        <v>20</v>
      </c>
      <c r="D5" s="7">
        <v>105019.61</v>
      </c>
      <c r="E5" s="118">
        <v>220</v>
      </c>
      <c r="F5" s="120">
        <f>(D5/E5)</f>
        <v>477.36186363636364</v>
      </c>
      <c r="L5" s="110"/>
      <c r="R5" s="118"/>
      <c r="S5" s="110"/>
    </row>
    <row r="6" spans="1:26">
      <c r="B6" s="117" t="s">
        <v>458</v>
      </c>
      <c r="C6" s="7">
        <v>25</v>
      </c>
      <c r="D6" s="7">
        <v>422591.38</v>
      </c>
      <c r="E6" s="118">
        <v>153</v>
      </c>
      <c r="F6" s="120">
        <f>(D6/E6)</f>
        <v>2762.0351633986929</v>
      </c>
      <c r="K6" s="11" t="s">
        <v>1</v>
      </c>
      <c r="L6" s="110"/>
      <c r="R6" s="118"/>
      <c r="S6" s="121">
        <f t="shared" ref="S6:T12" si="0">(D69)</f>
        <v>25</v>
      </c>
      <c r="T6" s="122">
        <f t="shared" si="0"/>
        <v>123.05043704156481</v>
      </c>
      <c r="U6" s="7">
        <f>(E7)</f>
        <v>6544</v>
      </c>
      <c r="W6" s="123">
        <f>(T6)</f>
        <v>123.05043704156481</v>
      </c>
      <c r="X6" s="68">
        <f>(S6)</f>
        <v>25</v>
      </c>
      <c r="Y6" s="109">
        <f>SQRT(U6)</f>
        <v>80.894993664626739</v>
      </c>
      <c r="Z6" s="5">
        <f>(X6*Y6)</f>
        <v>2022.3748416156684</v>
      </c>
    </row>
    <row r="7" spans="1:26">
      <c r="B7" s="117" t="s">
        <v>349</v>
      </c>
      <c r="C7" s="7">
        <v>25</v>
      </c>
      <c r="D7" s="7">
        <v>805242.06</v>
      </c>
      <c r="E7" s="7">
        <v>6544</v>
      </c>
      <c r="F7" s="120">
        <f>(D7/E7)</f>
        <v>123.05043704156481</v>
      </c>
      <c r="K7" s="11" t="s">
        <v>1</v>
      </c>
      <c r="L7" s="110"/>
      <c r="R7" s="110" t="s">
        <v>1</v>
      </c>
      <c r="S7" s="121">
        <f t="shared" si="0"/>
        <v>30</v>
      </c>
      <c r="T7" s="122">
        <f t="shared" si="0"/>
        <v>291.82047551643296</v>
      </c>
      <c r="U7" s="7">
        <f>(E8)</f>
        <v>22607</v>
      </c>
      <c r="W7" s="123">
        <f t="shared" ref="W7:W12" si="1">(T7)</f>
        <v>291.82047551643296</v>
      </c>
      <c r="X7" s="68">
        <f t="shared" ref="X7:X12" si="2">(S7)</f>
        <v>30</v>
      </c>
      <c r="Y7" s="109">
        <f t="shared" ref="Y7:Y12" si="3">SQRT(U7)</f>
        <v>150.35624363490862</v>
      </c>
      <c r="Z7" s="5">
        <f t="shared" ref="Z7:Z12" si="4">(X7*Y7)</f>
        <v>4510.6873090472591</v>
      </c>
    </row>
    <row r="8" spans="1:26">
      <c r="B8" s="124" t="s">
        <v>350</v>
      </c>
      <c r="C8" s="7">
        <v>30</v>
      </c>
      <c r="D8" s="7">
        <v>6597185.4900000002</v>
      </c>
      <c r="E8" s="7">
        <v>22607</v>
      </c>
      <c r="F8" s="120">
        <f>(D8/E8)</f>
        <v>291.82047551643296</v>
      </c>
      <c r="K8" s="11" t="s">
        <v>1</v>
      </c>
      <c r="L8" s="110"/>
      <c r="R8" s="110" t="s">
        <v>1</v>
      </c>
      <c r="S8" s="121">
        <f t="shared" si="0"/>
        <v>35</v>
      </c>
      <c r="T8" s="122">
        <f t="shared" si="0"/>
        <v>175.28057858100775</v>
      </c>
      <c r="U8" s="7">
        <f>(E10)</f>
        <v>39670</v>
      </c>
      <c r="W8" s="123">
        <f t="shared" si="1"/>
        <v>175.28057858100775</v>
      </c>
      <c r="X8" s="68">
        <f t="shared" si="2"/>
        <v>35</v>
      </c>
      <c r="Y8" s="109">
        <f t="shared" si="3"/>
        <v>199.17329138215294</v>
      </c>
      <c r="Z8" s="5">
        <f t="shared" si="4"/>
        <v>6971.0651983753532</v>
      </c>
    </row>
    <row r="9" spans="1:26">
      <c r="B9" s="124" t="s">
        <v>351</v>
      </c>
      <c r="C9" s="7">
        <v>35</v>
      </c>
      <c r="D9" s="7">
        <v>2744718.58</v>
      </c>
      <c r="E9" s="7">
        <v>15659</v>
      </c>
      <c r="F9" s="120">
        <f>(D9/E9)</f>
        <v>175.28057858100775</v>
      </c>
      <c r="K9" s="11" t="s">
        <v>1</v>
      </c>
      <c r="L9" s="110"/>
      <c r="R9" s="110" t="s">
        <v>1</v>
      </c>
      <c r="S9" s="121">
        <f t="shared" si="0"/>
        <v>45</v>
      </c>
      <c r="T9" s="122">
        <f t="shared" si="0"/>
        <v>684.45983962264154</v>
      </c>
      <c r="U9" s="7">
        <f>(E11)</f>
        <v>12720</v>
      </c>
      <c r="W9" s="123">
        <f t="shared" si="1"/>
        <v>684.45983962264154</v>
      </c>
      <c r="X9" s="68">
        <f t="shared" si="2"/>
        <v>45</v>
      </c>
      <c r="Y9" s="109">
        <f t="shared" si="3"/>
        <v>112.78297743897348</v>
      </c>
      <c r="Z9" s="5">
        <f t="shared" si="4"/>
        <v>5075.233984753806</v>
      </c>
    </row>
    <row r="10" spans="1:26">
      <c r="B10" s="117" t="s">
        <v>352</v>
      </c>
      <c r="C10" s="7">
        <v>40</v>
      </c>
      <c r="D10" s="7">
        <v>20615448.949999999</v>
      </c>
      <c r="E10" s="7">
        <v>39670</v>
      </c>
      <c r="F10" s="120">
        <f t="shared" ref="F10:F19" si="5">(D10/E10)</f>
        <v>519.67353037559872</v>
      </c>
      <c r="K10" s="11" t="s">
        <v>1</v>
      </c>
      <c r="L10" s="110"/>
      <c r="R10" s="110" t="s">
        <v>1</v>
      </c>
      <c r="S10" s="121">
        <f t="shared" si="0"/>
        <v>50</v>
      </c>
      <c r="T10" s="122">
        <f t="shared" si="0"/>
        <v>830.57590468909279</v>
      </c>
      <c r="U10" s="7">
        <f>(E12)</f>
        <v>3924</v>
      </c>
      <c r="W10" s="123">
        <f t="shared" si="1"/>
        <v>830.57590468909279</v>
      </c>
      <c r="X10" s="68">
        <f t="shared" si="2"/>
        <v>50</v>
      </c>
      <c r="Y10" s="109">
        <f t="shared" si="3"/>
        <v>62.641839053463301</v>
      </c>
      <c r="Z10" s="5">
        <f t="shared" si="4"/>
        <v>3132.091952673165</v>
      </c>
    </row>
    <row r="11" spans="1:26">
      <c r="B11" s="124" t="s">
        <v>353</v>
      </c>
      <c r="C11" s="7">
        <v>45</v>
      </c>
      <c r="D11" s="7">
        <v>8706329.1600000001</v>
      </c>
      <c r="E11" s="7">
        <v>12720</v>
      </c>
      <c r="F11" s="120">
        <f t="shared" si="5"/>
        <v>684.45983962264154</v>
      </c>
      <c r="K11" s="11" t="s">
        <v>1</v>
      </c>
      <c r="L11" s="110"/>
      <c r="R11" s="110"/>
      <c r="S11" s="121">
        <f t="shared" si="0"/>
        <v>55</v>
      </c>
      <c r="T11" s="122">
        <f t="shared" si="0"/>
        <v>996.30353174603169</v>
      </c>
      <c r="U11" s="7">
        <f>(E13)</f>
        <v>1260</v>
      </c>
      <c r="W11" s="123">
        <f t="shared" si="1"/>
        <v>996.30353174603169</v>
      </c>
      <c r="X11" s="68">
        <f t="shared" si="2"/>
        <v>55</v>
      </c>
      <c r="Y11" s="109">
        <f t="shared" si="3"/>
        <v>35.496478698597699</v>
      </c>
      <c r="Z11" s="5">
        <f t="shared" si="4"/>
        <v>1952.3063284228733</v>
      </c>
    </row>
    <row r="12" spans="1:26">
      <c r="B12" s="124" t="s">
        <v>354</v>
      </c>
      <c r="C12" s="7">
        <v>50</v>
      </c>
      <c r="D12" s="7">
        <v>3259179.85</v>
      </c>
      <c r="E12" s="7">
        <v>3924</v>
      </c>
      <c r="F12" s="120">
        <f t="shared" si="5"/>
        <v>830.57590468909279</v>
      </c>
      <c r="K12" s="11" t="s">
        <v>1</v>
      </c>
      <c r="L12" s="110"/>
      <c r="R12" s="110"/>
      <c r="S12" s="121">
        <f t="shared" si="0"/>
        <v>60</v>
      </c>
      <c r="T12" s="122">
        <f t="shared" si="0"/>
        <v>1061.7873195876289</v>
      </c>
      <c r="U12" s="7">
        <f>(E14)</f>
        <v>194</v>
      </c>
      <c r="W12" s="123">
        <f t="shared" si="1"/>
        <v>1061.7873195876289</v>
      </c>
      <c r="X12" s="68">
        <f t="shared" si="2"/>
        <v>60</v>
      </c>
      <c r="Y12" s="109">
        <f t="shared" si="3"/>
        <v>13.928388277184119</v>
      </c>
      <c r="Z12" s="5">
        <f t="shared" si="4"/>
        <v>835.70329663104712</v>
      </c>
    </row>
    <row r="13" spans="1:26">
      <c r="B13" s="117" t="s">
        <v>355</v>
      </c>
      <c r="C13" s="7">
        <v>55</v>
      </c>
      <c r="D13" s="7">
        <v>1255342.45</v>
      </c>
      <c r="E13" s="7">
        <v>1260</v>
      </c>
      <c r="F13" s="120">
        <f t="shared" si="5"/>
        <v>996.30353174603169</v>
      </c>
      <c r="K13" s="11" t="s">
        <v>1</v>
      </c>
      <c r="L13" s="110"/>
      <c r="R13" s="110"/>
      <c r="S13" s="110"/>
    </row>
    <row r="14" spans="1:26">
      <c r="B14" s="124" t="s">
        <v>356</v>
      </c>
      <c r="C14" s="7">
        <v>60</v>
      </c>
      <c r="D14" s="7">
        <v>205986.74</v>
      </c>
      <c r="E14" s="7">
        <v>194</v>
      </c>
      <c r="F14" s="120">
        <f t="shared" si="5"/>
        <v>1061.7873195876289</v>
      </c>
      <c r="L14" s="110"/>
      <c r="R14" s="110"/>
      <c r="S14" s="110"/>
    </row>
    <row r="15" spans="1:26">
      <c r="B15" s="124" t="s">
        <v>357</v>
      </c>
      <c r="C15" s="7">
        <v>65</v>
      </c>
      <c r="D15" s="7">
        <v>81654.02</v>
      </c>
      <c r="E15" s="7">
        <v>62</v>
      </c>
      <c r="F15" s="120">
        <f t="shared" si="5"/>
        <v>1317.0003225806452</v>
      </c>
      <c r="L15" s="110"/>
      <c r="M15" s="3" t="s">
        <v>1</v>
      </c>
      <c r="N15" s="7" t="s">
        <v>1</v>
      </c>
      <c r="R15" s="110"/>
      <c r="S15" s="110"/>
    </row>
    <row r="16" spans="1:26">
      <c r="B16" s="117" t="s">
        <v>358</v>
      </c>
      <c r="C16" s="7">
        <v>70</v>
      </c>
      <c r="D16" s="7">
        <v>16881.240000000002</v>
      </c>
      <c r="E16" s="145">
        <v>15</v>
      </c>
      <c r="F16" s="120">
        <f t="shared" si="5"/>
        <v>1125.4160000000002</v>
      </c>
      <c r="K16" s="7"/>
      <c r="L16" s="110" t="s">
        <v>1</v>
      </c>
      <c r="M16" s="3"/>
      <c r="R16" s="110"/>
      <c r="S16" s="110"/>
    </row>
    <row r="17" spans="1:23">
      <c r="B17" s="117" t="s">
        <v>459</v>
      </c>
      <c r="C17" s="7">
        <v>75</v>
      </c>
      <c r="D17" s="7">
        <v>30144.55</v>
      </c>
      <c r="E17" s="7">
        <v>11</v>
      </c>
      <c r="F17" s="120">
        <f t="shared" si="5"/>
        <v>2740.4136363636362</v>
      </c>
      <c r="K17" s="7"/>
      <c r="L17" s="110"/>
      <c r="M17" s="110"/>
      <c r="R17" s="110"/>
      <c r="S17" s="109">
        <f>(C7)</f>
        <v>25</v>
      </c>
      <c r="T17" s="109">
        <v>602.57714285714292</v>
      </c>
    </row>
    <row r="18" spans="1:23">
      <c r="B18" s="117" t="s">
        <v>460</v>
      </c>
      <c r="C18" s="7">
        <v>80</v>
      </c>
      <c r="D18" s="7">
        <v>2586.7800000000002</v>
      </c>
      <c r="E18" s="7">
        <v>5</v>
      </c>
      <c r="F18" s="120">
        <f t="shared" si="5"/>
        <v>517.35599999999999</v>
      </c>
      <c r="K18" s="7"/>
      <c r="L18" s="110"/>
      <c r="M18" s="110"/>
      <c r="R18" s="110"/>
      <c r="S18" s="109">
        <f>(C8)</f>
        <v>30</v>
      </c>
      <c r="T18" s="109">
        <v>751.70405405405404</v>
      </c>
    </row>
    <row r="19" spans="1:23">
      <c r="B19" s="117" t="s">
        <v>461</v>
      </c>
      <c r="C19" s="7">
        <v>85</v>
      </c>
      <c r="D19" s="7">
        <v>1487.61</v>
      </c>
      <c r="E19" s="7">
        <v>1</v>
      </c>
      <c r="F19" s="120">
        <f t="shared" si="5"/>
        <v>1487.61</v>
      </c>
      <c r="K19" s="7"/>
      <c r="L19" s="110"/>
      <c r="M19" s="110"/>
      <c r="R19" s="110"/>
      <c r="S19" s="109">
        <f>(C9)</f>
        <v>35</v>
      </c>
      <c r="T19" s="109">
        <v>878.73305555555555</v>
      </c>
    </row>
    <row r="20" spans="1:23">
      <c r="B20" s="4" t="s">
        <v>1</v>
      </c>
      <c r="C20" s="7" t="s">
        <v>1</v>
      </c>
      <c r="D20" s="10">
        <v>0</v>
      </c>
      <c r="E20" s="10" t="s">
        <v>1</v>
      </c>
      <c r="F20" s="120" t="s">
        <v>1</v>
      </c>
      <c r="G20" s="3"/>
      <c r="H20" s="7"/>
      <c r="I20" s="3"/>
      <c r="J20" s="110"/>
      <c r="K20" s="7"/>
      <c r="L20" s="110"/>
      <c r="M20" s="110"/>
      <c r="R20" s="3"/>
      <c r="T20" s="109"/>
    </row>
    <row r="21" spans="1:23" ht="13.5" thickBot="1">
      <c r="B21" s="125" t="s">
        <v>92</v>
      </c>
      <c r="C21" s="110"/>
      <c r="D21" s="7">
        <f>SUM(D5:D20)</f>
        <v>44849798.470000014</v>
      </c>
      <c r="E21" s="311">
        <f>SUM(E5:E20)</f>
        <v>103045</v>
      </c>
      <c r="F21" s="119"/>
      <c r="G21" s="106"/>
      <c r="H21" s="8"/>
      <c r="I21" s="1"/>
      <c r="J21" s="1"/>
      <c r="K21" s="8"/>
      <c r="L21" s="110"/>
      <c r="M21" s="110"/>
      <c r="R21" s="3"/>
      <c r="T21" s="109"/>
    </row>
    <row r="22" spans="1:23" ht="13.5" thickTop="1">
      <c r="B22" s="4" t="s">
        <v>286</v>
      </c>
      <c r="C22" s="3"/>
      <c r="D22" s="126">
        <f>3779766.07+14605299.56+272020.81+106048.94</f>
        <v>18763135.379999999</v>
      </c>
      <c r="E22" s="3"/>
      <c r="F22" s="119"/>
      <c r="G22" s="1"/>
      <c r="H22" s="8"/>
      <c r="I22" s="1"/>
      <c r="J22" s="1"/>
      <c r="K22" s="8"/>
      <c r="L22" s="110"/>
      <c r="M22" s="110"/>
      <c r="R22" s="3"/>
      <c r="T22" s="109"/>
    </row>
    <row r="23" spans="1:23" ht="13.5" thickBot="1">
      <c r="B23" s="93" t="s">
        <v>285</v>
      </c>
      <c r="C23" s="127"/>
      <c r="D23" s="312">
        <f>SUM(D21:D22)</f>
        <v>63612933.850000009</v>
      </c>
      <c r="E23" s="160"/>
      <c r="F23" s="128"/>
      <c r="K23" s="7" t="s">
        <v>1</v>
      </c>
      <c r="L23" s="110"/>
      <c r="M23" s="110"/>
      <c r="R23" s="3"/>
      <c r="S23" s="109">
        <f>(C12)</f>
        <v>50</v>
      </c>
      <c r="T23" s="109">
        <v>1593.098181818182</v>
      </c>
    </row>
    <row r="24" spans="1:23">
      <c r="B24" s="3"/>
      <c r="C24" s="3"/>
      <c r="D24" s="3"/>
      <c r="E24" s="3"/>
      <c r="F24" s="3"/>
      <c r="K24" s="7"/>
      <c r="L24" s="110" t="s">
        <v>1</v>
      </c>
      <c r="M24" s="110"/>
      <c r="N24" s="245" t="s">
        <v>163</v>
      </c>
      <c r="R24" s="3"/>
      <c r="S24" s="110"/>
    </row>
    <row r="25" spans="1:23">
      <c r="A25" s="106"/>
      <c r="B25" s="106"/>
      <c r="C25" s="106"/>
      <c r="D25" s="106"/>
      <c r="E25" s="106"/>
      <c r="F25" s="106"/>
      <c r="K25" s="7"/>
      <c r="L25" s="110"/>
      <c r="M25" s="110"/>
      <c r="N25" s="245"/>
      <c r="R25" s="3"/>
      <c r="S25" s="110" t="e">
        <f t="array" ref="S25:T25">LOGEST(T17:T23,S17:S23,TRUE,FALSE)</f>
        <v>#VALUE!</v>
      </c>
      <c r="T25" s="11" t="e">
        <v>#VALUE!</v>
      </c>
      <c r="W25" s="11" t="e">
        <f>(T25*E21)</f>
        <v>#VALUE!</v>
      </c>
    </row>
    <row r="26" spans="1:23">
      <c r="B26" s="129" t="s">
        <v>291</v>
      </c>
      <c r="C26" s="118"/>
      <c r="D26" s="110"/>
      <c r="E26" s="110"/>
      <c r="F26" s="110"/>
      <c r="K26" s="7"/>
      <c r="L26" s="110"/>
      <c r="M26" s="110"/>
      <c r="N26" s="245"/>
      <c r="R26" s="3"/>
      <c r="S26" s="110"/>
      <c r="W26" s="68" t="e">
        <f>(#REF!)</f>
        <v>#REF!</v>
      </c>
    </row>
    <row r="27" spans="1:23" ht="13.5" thickBot="1">
      <c r="B27" s="137" t="s">
        <v>1</v>
      </c>
      <c r="C27" s="137"/>
      <c r="D27" s="137"/>
      <c r="E27" s="137"/>
      <c r="L27" s="110" t="s">
        <v>1</v>
      </c>
      <c r="S27" s="110"/>
      <c r="W27" s="5" t="e">
        <f>(W25/W26)</f>
        <v>#VALUE!</v>
      </c>
    </row>
    <row r="28" spans="1:23">
      <c r="B28" s="138" t="s">
        <v>1</v>
      </c>
      <c r="C28" s="139"/>
      <c r="D28" s="140" t="s">
        <v>287</v>
      </c>
      <c r="E28" s="141" t="s">
        <v>261</v>
      </c>
      <c r="F28" s="142" t="s">
        <v>262</v>
      </c>
      <c r="S28" s="3"/>
      <c r="T28" s="68"/>
      <c r="U28" s="5"/>
      <c r="V28" s="5"/>
    </row>
    <row r="29" spans="1:23">
      <c r="B29" s="117" t="s">
        <v>455</v>
      </c>
      <c r="C29" s="110"/>
      <c r="D29" s="135" t="s">
        <v>450</v>
      </c>
      <c r="E29" s="143">
        <f>(B78)</f>
        <v>26.954014031197545</v>
      </c>
      <c r="F29" s="144">
        <f>(C78)</f>
        <v>-568.8112993562097</v>
      </c>
      <c r="S29" s="3"/>
      <c r="T29" s="68"/>
      <c r="U29" s="5"/>
      <c r="V29" s="5"/>
    </row>
    <row r="30" spans="1:23">
      <c r="B30" s="117"/>
      <c r="C30" s="110"/>
      <c r="D30" s="7"/>
      <c r="E30" s="143"/>
      <c r="F30" s="119"/>
      <c r="S30" s="3"/>
      <c r="T30" s="68"/>
      <c r="U30" s="5"/>
      <c r="V30" s="5"/>
    </row>
    <row r="31" spans="1:23">
      <c r="B31" s="117" t="s">
        <v>559</v>
      </c>
      <c r="C31" s="110"/>
      <c r="D31" s="7"/>
      <c r="E31" s="110" t="s">
        <v>1</v>
      </c>
      <c r="F31" s="325">
        <f>E69</f>
        <v>123.05043704156481</v>
      </c>
      <c r="S31" s="3"/>
    </row>
    <row r="32" spans="1:23">
      <c r="B32" s="117" t="s">
        <v>137</v>
      </c>
      <c r="C32" s="110"/>
      <c r="D32" s="7"/>
      <c r="E32" s="110"/>
      <c r="F32" s="145">
        <f>(E21)</f>
        <v>103045</v>
      </c>
      <c r="S32" s="3"/>
    </row>
    <row r="33" spans="1:19">
      <c r="B33" s="117" t="s">
        <v>138</v>
      </c>
      <c r="C33" s="110"/>
      <c r="D33" s="7"/>
      <c r="E33" s="110"/>
      <c r="F33" s="145">
        <f>(F31*F32)</f>
        <v>12679732.284948045</v>
      </c>
      <c r="S33" s="3"/>
    </row>
    <row r="34" spans="1:19">
      <c r="B34" s="117" t="s">
        <v>324</v>
      </c>
      <c r="C34" s="110"/>
      <c r="D34" s="7"/>
      <c r="E34" s="110"/>
      <c r="F34" s="146">
        <f>D23</f>
        <v>63612933.850000009</v>
      </c>
      <c r="S34" s="3"/>
    </row>
    <row r="35" spans="1:19">
      <c r="B35" s="125" t="s">
        <v>139</v>
      </c>
      <c r="C35" s="111"/>
      <c r="D35" s="147"/>
      <c r="E35" s="111"/>
      <c r="F35" s="148">
        <f>(F33/F34)</f>
        <v>0.19932632434226336</v>
      </c>
      <c r="S35" s="3"/>
    </row>
    <row r="36" spans="1:19" ht="13.5" thickBot="1">
      <c r="B36" s="149" t="s">
        <v>140</v>
      </c>
      <c r="C36" s="150"/>
      <c r="D36" s="151"/>
      <c r="E36" s="150"/>
      <c r="F36" s="152">
        <f>(1-F35)</f>
        <v>0.80067367565773662</v>
      </c>
      <c r="G36" s="153"/>
      <c r="S36" s="3"/>
    </row>
    <row r="37" spans="1:19">
      <c r="B37" s="111"/>
      <c r="C37" s="111"/>
      <c r="D37" s="147"/>
      <c r="E37" s="111"/>
      <c r="F37" s="153"/>
      <c r="G37" s="153"/>
      <c r="H37" s="147"/>
      <c r="I37" s="111"/>
      <c r="J37" s="153"/>
      <c r="S37" s="3"/>
    </row>
    <row r="38" spans="1:19">
      <c r="B38" s="111"/>
      <c r="C38" s="111"/>
      <c r="D38" s="147"/>
      <c r="E38" s="111"/>
      <c r="F38" s="153"/>
      <c r="G38" s="111"/>
      <c r="H38" s="147"/>
      <c r="I38" s="111"/>
      <c r="J38" s="153"/>
      <c r="S38" s="3"/>
    </row>
    <row r="39" spans="1:19">
      <c r="C39" s="129"/>
      <c r="G39" s="111"/>
      <c r="H39" s="147"/>
      <c r="I39" s="111"/>
      <c r="J39" s="153"/>
      <c r="S39" s="3"/>
    </row>
    <row r="40" spans="1:19">
      <c r="G40" s="111"/>
      <c r="H40" s="147"/>
      <c r="I40" s="111"/>
      <c r="J40" s="153"/>
      <c r="S40" s="3"/>
    </row>
    <row r="41" spans="1:19" ht="15">
      <c r="A41" s="767" t="s">
        <v>426</v>
      </c>
      <c r="B41" s="767"/>
      <c r="C41" s="767"/>
      <c r="D41" s="767"/>
      <c r="E41" s="767"/>
      <c r="F41" s="767"/>
      <c r="G41" s="111"/>
      <c r="H41" s="147"/>
      <c r="I41" s="111"/>
      <c r="J41" s="153"/>
      <c r="S41" s="3"/>
    </row>
    <row r="42" spans="1:19">
      <c r="B42" s="111"/>
      <c r="C42" s="111"/>
      <c r="D42" s="111"/>
      <c r="E42" s="111"/>
      <c r="F42" s="111"/>
      <c r="G42" s="111"/>
      <c r="H42" s="147"/>
      <c r="I42" s="111"/>
      <c r="J42" s="153"/>
      <c r="S42" s="3"/>
    </row>
    <row r="43" spans="1:19">
      <c r="B43" s="111"/>
      <c r="C43" s="111"/>
      <c r="D43" s="111"/>
      <c r="E43" s="111"/>
      <c r="F43" s="111"/>
      <c r="G43" s="111"/>
      <c r="H43" s="147"/>
      <c r="I43" s="111"/>
      <c r="J43" s="153"/>
      <c r="S43" s="3"/>
    </row>
    <row r="44" spans="1:19">
      <c r="B44" s="111"/>
      <c r="C44" s="111"/>
      <c r="D44" s="111"/>
      <c r="E44" s="111"/>
      <c r="F44" s="111"/>
      <c r="G44" s="111"/>
      <c r="H44" s="147"/>
      <c r="I44" s="111"/>
      <c r="J44" s="153"/>
      <c r="S44" s="3"/>
    </row>
    <row r="45" spans="1:19">
      <c r="B45" s="111"/>
      <c r="C45" s="111"/>
      <c r="D45" s="111"/>
      <c r="E45" s="111"/>
      <c r="F45" s="111"/>
      <c r="G45" s="111"/>
      <c r="H45" s="147"/>
      <c r="I45" s="111"/>
      <c r="J45" s="153"/>
      <c r="S45" s="3"/>
    </row>
    <row r="46" spans="1:19">
      <c r="B46" s="111"/>
      <c r="C46" s="111"/>
      <c r="D46" s="111"/>
      <c r="E46" s="111"/>
      <c r="F46" s="111"/>
      <c r="G46" s="111"/>
      <c r="H46" s="147"/>
      <c r="I46" s="111"/>
      <c r="J46" s="153"/>
      <c r="S46" s="3"/>
    </row>
    <row r="47" spans="1:19">
      <c r="B47" s="111"/>
      <c r="C47" s="111"/>
      <c r="D47" s="111"/>
      <c r="E47" s="111"/>
      <c r="F47" s="111"/>
      <c r="G47" s="111"/>
      <c r="H47" s="147"/>
      <c r="I47" s="111"/>
      <c r="J47" s="153"/>
      <c r="S47" s="3"/>
    </row>
    <row r="48" spans="1:19">
      <c r="B48" s="111"/>
      <c r="C48" s="111"/>
      <c r="D48" s="111"/>
      <c r="E48" s="111"/>
      <c r="F48" s="111"/>
      <c r="G48" s="111"/>
      <c r="H48" s="147"/>
      <c r="I48" s="111"/>
      <c r="J48" s="153"/>
      <c r="S48" s="3"/>
    </row>
    <row r="49" spans="2:30">
      <c r="B49" s="111"/>
      <c r="C49" s="111"/>
      <c r="D49" s="111"/>
      <c r="E49" s="111"/>
      <c r="F49" s="111"/>
      <c r="G49" s="111"/>
      <c r="H49" s="147"/>
      <c r="I49" s="111"/>
      <c r="J49" s="153"/>
      <c r="S49" s="3"/>
    </row>
    <row r="50" spans="2:30">
      <c r="B50" s="111"/>
      <c r="C50" s="111"/>
      <c r="D50" s="111"/>
      <c r="E50" s="111"/>
      <c r="F50" s="111"/>
      <c r="G50" s="111"/>
      <c r="H50" s="147"/>
      <c r="I50" s="111"/>
      <c r="J50" s="153"/>
      <c r="S50" s="3"/>
    </row>
    <row r="51" spans="2:30">
      <c r="B51" s="111"/>
      <c r="C51" s="111"/>
      <c r="D51" s="111"/>
      <c r="E51" s="111"/>
      <c r="F51" s="111"/>
      <c r="G51" s="111"/>
      <c r="H51" s="147"/>
      <c r="I51" s="111"/>
      <c r="J51" s="153"/>
      <c r="S51" s="3"/>
    </row>
    <row r="52" spans="2:30">
      <c r="B52" s="111"/>
      <c r="C52" s="111"/>
      <c r="D52" s="111"/>
      <c r="E52" s="111"/>
      <c r="F52" s="111"/>
      <c r="G52" s="111"/>
      <c r="H52" s="147"/>
      <c r="I52" s="111"/>
      <c r="J52" s="153"/>
      <c r="S52" s="3"/>
    </row>
    <row r="53" spans="2:30">
      <c r="B53" s="111"/>
      <c r="C53" s="111"/>
      <c r="D53" s="111"/>
      <c r="E53" s="111"/>
      <c r="F53" s="111"/>
      <c r="G53" s="111"/>
      <c r="H53" s="147"/>
      <c r="I53" s="111"/>
      <c r="J53" s="153"/>
      <c r="S53" s="3"/>
    </row>
    <row r="54" spans="2:30">
      <c r="B54" s="111"/>
      <c r="C54" s="111"/>
      <c r="D54" s="111"/>
      <c r="E54" s="111"/>
      <c r="F54" s="111"/>
      <c r="G54" s="111"/>
      <c r="H54" s="147"/>
      <c r="I54" s="111"/>
      <c r="J54" s="153"/>
      <c r="S54" s="3"/>
      <c r="AD54"/>
    </row>
    <row r="55" spans="2:30">
      <c r="B55" s="111"/>
      <c r="C55" s="111"/>
      <c r="D55" s="111"/>
      <c r="E55" s="111"/>
      <c r="F55" s="111"/>
      <c r="G55" s="111"/>
      <c r="H55" s="147"/>
      <c r="I55" s="111"/>
      <c r="J55" s="153"/>
      <c r="S55" s="3"/>
      <c r="AD55"/>
    </row>
    <row r="56" spans="2:30">
      <c r="B56" s="111"/>
      <c r="C56" s="111"/>
      <c r="D56" s="111"/>
      <c r="E56" s="111"/>
      <c r="F56" s="111"/>
      <c r="G56" s="111"/>
      <c r="H56" s="147"/>
      <c r="I56" s="111"/>
      <c r="J56" s="153"/>
      <c r="S56" s="3"/>
      <c r="AD56"/>
    </row>
    <row r="57" spans="2:30">
      <c r="B57" s="111"/>
      <c r="C57" s="111"/>
      <c r="D57" s="111"/>
      <c r="E57" s="111"/>
      <c r="F57" s="111"/>
      <c r="G57" s="111"/>
      <c r="H57" s="147"/>
      <c r="I57" s="111"/>
      <c r="J57" s="153"/>
      <c r="S57" s="3"/>
      <c r="AD57"/>
    </row>
    <row r="58" spans="2:30">
      <c r="B58" s="111"/>
      <c r="C58" s="111"/>
      <c r="D58" s="111"/>
      <c r="E58" s="111"/>
      <c r="F58" s="111"/>
      <c r="G58" s="111"/>
      <c r="H58" s="147"/>
      <c r="I58" s="111"/>
      <c r="J58" s="153"/>
      <c r="S58" s="3"/>
      <c r="AD58"/>
    </row>
    <row r="59" spans="2:30">
      <c r="B59" s="111"/>
      <c r="C59" s="111"/>
      <c r="D59" s="111"/>
      <c r="E59" s="111"/>
      <c r="F59" s="111"/>
      <c r="G59" s="111"/>
      <c r="H59" s="147"/>
      <c r="I59" s="111"/>
      <c r="J59" s="153"/>
      <c r="S59" s="3"/>
      <c r="AD59"/>
    </row>
    <row r="60" spans="2:30">
      <c r="B60" s="111"/>
      <c r="C60" s="111"/>
      <c r="D60" s="111"/>
      <c r="E60" s="111"/>
      <c r="F60" s="111"/>
      <c r="G60" s="111"/>
      <c r="H60" s="147"/>
      <c r="I60" s="111"/>
      <c r="J60" s="153"/>
      <c r="S60" s="3"/>
      <c r="AD60"/>
    </row>
    <row r="61" spans="2:30">
      <c r="B61" s="111"/>
      <c r="C61" s="111"/>
      <c r="D61" s="111"/>
      <c r="E61" s="111"/>
      <c r="F61" s="111"/>
      <c r="G61" s="111"/>
      <c r="H61" s="147"/>
      <c r="I61" s="111"/>
      <c r="J61" s="153"/>
      <c r="S61" s="3"/>
      <c r="AD61"/>
    </row>
    <row r="62" spans="2:30">
      <c r="B62" s="111"/>
      <c r="C62" s="111"/>
      <c r="D62" s="111"/>
      <c r="E62" s="111"/>
      <c r="F62" s="111"/>
      <c r="G62" s="111"/>
      <c r="H62" s="147"/>
      <c r="I62" s="111"/>
      <c r="J62" s="153"/>
      <c r="S62" s="3"/>
      <c r="AD62"/>
    </row>
    <row r="63" spans="2:30">
      <c r="B63" s="111"/>
      <c r="C63" s="111"/>
      <c r="D63" s="111"/>
      <c r="E63" s="111"/>
      <c r="F63" s="111"/>
      <c r="G63" s="111"/>
      <c r="H63" s="147"/>
      <c r="I63" s="111"/>
      <c r="J63" s="153"/>
      <c r="S63" s="3"/>
      <c r="AD63"/>
    </row>
    <row r="64" spans="2:30" ht="13.5" thickBot="1">
      <c r="B64" s="111"/>
      <c r="C64" s="111"/>
      <c r="D64" s="111"/>
      <c r="E64" s="111"/>
      <c r="F64" s="111"/>
      <c r="G64" s="111"/>
      <c r="H64" s="147"/>
      <c r="I64" s="111"/>
      <c r="J64" s="153"/>
      <c r="S64" s="3"/>
      <c r="AD64"/>
    </row>
    <row r="65" spans="2:30">
      <c r="B65" s="209" t="s">
        <v>333</v>
      </c>
      <c r="C65" s="186"/>
      <c r="D65" s="770" t="s">
        <v>294</v>
      </c>
      <c r="E65" s="771"/>
      <c r="F65" s="772"/>
      <c r="G65" s="111"/>
      <c r="H65" s="147"/>
      <c r="I65" s="111"/>
      <c r="J65" s="153"/>
      <c r="S65" s="3"/>
      <c r="AD65"/>
    </row>
    <row r="66" spans="2:30">
      <c r="B66" s="187" t="s">
        <v>451</v>
      </c>
      <c r="C66" s="130"/>
      <c r="D66" s="131"/>
      <c r="E66" s="132" t="s">
        <v>289</v>
      </c>
      <c r="F66" s="188" t="s">
        <v>199</v>
      </c>
      <c r="G66" s="111"/>
      <c r="H66" s="147"/>
      <c r="I66" s="111"/>
      <c r="J66" s="153"/>
      <c r="S66" s="3"/>
      <c r="AD66"/>
    </row>
    <row r="67" spans="2:30">
      <c r="B67" s="117"/>
      <c r="C67" s="110"/>
      <c r="D67" s="133" t="s">
        <v>288</v>
      </c>
      <c r="E67" s="133" t="s">
        <v>290</v>
      </c>
      <c r="F67" s="189" t="s">
        <v>216</v>
      </c>
      <c r="G67" s="111"/>
      <c r="H67" s="147"/>
      <c r="I67" s="111"/>
      <c r="J67" s="153"/>
      <c r="S67" s="3"/>
      <c r="AD67"/>
    </row>
    <row r="68" spans="2:30">
      <c r="B68" s="117"/>
      <c r="C68" s="110"/>
      <c r="D68" s="297" t="s">
        <v>295</v>
      </c>
      <c r="E68" s="134">
        <v>0</v>
      </c>
      <c r="F68" s="190">
        <f>-561.32</f>
        <v>-561.32000000000005</v>
      </c>
      <c r="G68" s="111"/>
      <c r="H68" s="147"/>
      <c r="I68" s="111"/>
      <c r="J68" s="153"/>
      <c r="S68" s="3"/>
      <c r="AD68"/>
    </row>
    <row r="69" spans="2:30">
      <c r="B69" s="117"/>
      <c r="C69" s="110"/>
      <c r="D69" s="298">
        <f>(C7)</f>
        <v>25</v>
      </c>
      <c r="E69" s="295">
        <f>(F7)</f>
        <v>123.05043704156481</v>
      </c>
      <c r="F69" s="174">
        <f>$B$78*D69+$C$78</f>
        <v>105.03905142372889</v>
      </c>
      <c r="G69" s="111"/>
      <c r="H69" s="147"/>
      <c r="I69" s="111"/>
      <c r="J69" s="153"/>
      <c r="S69" s="3"/>
      <c r="AD69"/>
    </row>
    <row r="70" spans="2:30">
      <c r="B70" s="117"/>
      <c r="C70" s="110"/>
      <c r="D70" s="298">
        <f>(C8)</f>
        <v>30</v>
      </c>
      <c r="E70" s="295">
        <f>(F8)</f>
        <v>291.82047551643296</v>
      </c>
      <c r="F70" s="174">
        <f t="shared" ref="F70:F77" si="6">$B$78*D70+$C$78</f>
        <v>239.8091215797167</v>
      </c>
      <c r="G70" s="111"/>
      <c r="H70" s="147"/>
      <c r="I70" s="111"/>
      <c r="J70" s="153"/>
      <c r="S70" s="3"/>
      <c r="AD70"/>
    </row>
    <row r="71" spans="2:30">
      <c r="B71" s="117"/>
      <c r="C71" s="110"/>
      <c r="D71" s="298">
        <f>(C9)</f>
        <v>35</v>
      </c>
      <c r="E71" s="295">
        <f>(F9)</f>
        <v>175.28057858100775</v>
      </c>
      <c r="F71" s="174">
        <f t="shared" si="6"/>
        <v>374.5791917357044</v>
      </c>
      <c r="G71" s="111"/>
      <c r="H71" s="147"/>
      <c r="I71" s="111"/>
      <c r="J71" s="153"/>
      <c r="S71" s="3"/>
      <c r="AD71"/>
    </row>
    <row r="72" spans="2:30">
      <c r="B72" s="117"/>
      <c r="C72" s="110"/>
      <c r="D72" s="298">
        <f t="shared" ref="D72:D77" si="7">(C11)</f>
        <v>45</v>
      </c>
      <c r="E72" s="295">
        <f t="shared" ref="E72:E77" si="8">(F11)</f>
        <v>684.45983962264154</v>
      </c>
      <c r="F72" s="174">
        <f t="shared" si="6"/>
        <v>644.11933204767979</v>
      </c>
      <c r="G72" s="111"/>
      <c r="H72" s="147"/>
      <c r="I72" s="111"/>
      <c r="J72" s="153"/>
      <c r="S72" s="3"/>
      <c r="AD72"/>
    </row>
    <row r="73" spans="2:30">
      <c r="B73" s="117"/>
      <c r="C73" s="110"/>
      <c r="D73" s="298">
        <f t="shared" si="7"/>
        <v>50</v>
      </c>
      <c r="E73" s="295">
        <f t="shared" si="8"/>
        <v>830.57590468909279</v>
      </c>
      <c r="F73" s="174">
        <f t="shared" si="6"/>
        <v>778.88940220366749</v>
      </c>
      <c r="G73" s="111"/>
      <c r="H73" s="147"/>
      <c r="I73" s="111"/>
      <c r="J73" s="153"/>
      <c r="S73" s="3"/>
      <c r="AD73"/>
    </row>
    <row r="74" spans="2:30">
      <c r="B74" s="117"/>
      <c r="C74" s="110"/>
      <c r="D74" s="298">
        <f t="shared" si="7"/>
        <v>55</v>
      </c>
      <c r="E74" s="295">
        <f t="shared" si="8"/>
        <v>996.30353174603169</v>
      </c>
      <c r="F74" s="174">
        <f t="shared" si="6"/>
        <v>913.65947235965518</v>
      </c>
      <c r="G74" s="111"/>
      <c r="H74" s="147"/>
      <c r="I74" s="111"/>
      <c r="J74" s="153"/>
      <c r="S74" s="3"/>
      <c r="AD74"/>
    </row>
    <row r="75" spans="2:30">
      <c r="B75" s="117" t="s">
        <v>454</v>
      </c>
      <c r="C75" s="110"/>
      <c r="D75" s="298">
        <f t="shared" si="7"/>
        <v>60</v>
      </c>
      <c r="E75" s="204">
        <f t="shared" si="8"/>
        <v>1061.7873195876289</v>
      </c>
      <c r="F75" s="174">
        <f t="shared" si="6"/>
        <v>1048.4295425156431</v>
      </c>
      <c r="G75" s="111"/>
      <c r="H75" s="147"/>
      <c r="I75" s="111"/>
      <c r="J75" s="153"/>
      <c r="S75" s="3"/>
      <c r="AD75"/>
    </row>
    <row r="76" spans="2:30">
      <c r="B76" s="117" t="s">
        <v>287</v>
      </c>
      <c r="C76" s="135" t="s">
        <v>450</v>
      </c>
      <c r="D76" s="298">
        <f t="shared" si="7"/>
        <v>65</v>
      </c>
      <c r="E76" s="204">
        <f t="shared" si="8"/>
        <v>1317.0003225806452</v>
      </c>
      <c r="F76" s="174">
        <f t="shared" si="6"/>
        <v>1183.1996126716308</v>
      </c>
      <c r="G76" s="111"/>
      <c r="H76" s="147"/>
      <c r="I76" s="111"/>
      <c r="J76" s="153"/>
      <c r="S76" s="3"/>
      <c r="AD76"/>
    </row>
    <row r="77" spans="2:30">
      <c r="B77" s="191" t="s">
        <v>452</v>
      </c>
      <c r="C77" s="294" t="s">
        <v>453</v>
      </c>
      <c r="D77" s="229">
        <f t="shared" si="7"/>
        <v>70</v>
      </c>
      <c r="E77" s="296">
        <f t="shared" si="8"/>
        <v>1125.4160000000002</v>
      </c>
      <c r="F77" s="174">
        <f t="shared" si="6"/>
        <v>1317.9696828276185</v>
      </c>
      <c r="G77" s="319"/>
      <c r="L77" s="110"/>
      <c r="M77" s="110"/>
      <c r="N77" s="7"/>
      <c r="R77" s="110"/>
      <c r="S77" s="110"/>
    </row>
    <row r="78" spans="2:30">
      <c r="B78" s="199">
        <f>INDEX(LINEST(E69:E77,D69:D77),1)</f>
        <v>26.954014031197545</v>
      </c>
      <c r="C78" s="18">
        <f>INDEX(LINEST(E69:E77,D69:D77),2)</f>
        <v>-568.8112993562097</v>
      </c>
      <c r="D78" s="110"/>
      <c r="E78" s="110"/>
      <c r="F78" s="174"/>
      <c r="G78" s="110"/>
      <c r="H78" s="7"/>
      <c r="I78" s="110"/>
      <c r="J78" s="110"/>
      <c r="K78" s="7"/>
      <c r="L78" s="110"/>
      <c r="M78" s="110"/>
      <c r="N78" s="7"/>
      <c r="R78" s="110"/>
      <c r="S78" s="110"/>
    </row>
    <row r="79" spans="2:30" ht="13.5" thickBot="1">
      <c r="B79" s="93" t="s">
        <v>293</v>
      </c>
      <c r="C79" s="192" t="s">
        <v>462</v>
      </c>
      <c r="D79" s="193" t="s">
        <v>463</v>
      </c>
      <c r="E79" s="194"/>
      <c r="F79" s="128"/>
      <c r="L79" s="5"/>
      <c r="M79" s="5"/>
      <c r="R79" s="110"/>
      <c r="S79" s="3"/>
    </row>
    <row r="80" spans="2:30">
      <c r="B80" s="3"/>
      <c r="C80" s="118"/>
      <c r="D80" s="110"/>
      <c r="E80" s="110"/>
      <c r="F80" s="110"/>
      <c r="H80" s="11" t="s">
        <v>1</v>
      </c>
      <c r="L80" s="5"/>
      <c r="M80" s="5"/>
      <c r="R80" s="5"/>
      <c r="S80" s="5"/>
      <c r="T80" s="68"/>
      <c r="U80" s="5"/>
      <c r="V80" s="5"/>
    </row>
    <row r="81" spans="1:22" ht="15">
      <c r="A81" s="767" t="s">
        <v>296</v>
      </c>
      <c r="B81" s="767"/>
      <c r="C81" s="767"/>
      <c r="D81" s="767"/>
      <c r="E81" s="767"/>
      <c r="F81" s="767"/>
      <c r="L81" s="5"/>
      <c r="M81" s="5"/>
      <c r="R81" s="5"/>
      <c r="S81" s="5"/>
      <c r="T81" s="68"/>
      <c r="U81" s="5"/>
      <c r="V81" s="5"/>
    </row>
    <row r="82" spans="1:22">
      <c r="B82" s="110" t="s">
        <v>200</v>
      </c>
      <c r="C82" s="110"/>
      <c r="D82" s="110"/>
      <c r="E82" s="110"/>
      <c r="F82" s="110"/>
      <c r="R82" s="5"/>
      <c r="S82" s="5"/>
      <c r="T82" s="5"/>
      <c r="U82" s="5"/>
      <c r="V82" s="5"/>
    </row>
    <row r="83" spans="1:22">
      <c r="B83" s="226"/>
      <c r="C83" s="228"/>
      <c r="D83" s="226" t="s">
        <v>126</v>
      </c>
      <c r="E83" s="130"/>
      <c r="F83" s="226" t="s">
        <v>1</v>
      </c>
      <c r="R83" s="5"/>
      <c r="S83" s="5"/>
      <c r="T83" s="5"/>
      <c r="U83" s="5"/>
      <c r="V83" s="5"/>
    </row>
    <row r="84" spans="1:22">
      <c r="B84" s="230" t="s">
        <v>94</v>
      </c>
      <c r="C84" s="229" t="s">
        <v>134</v>
      </c>
      <c r="D84" s="227" t="s">
        <v>136</v>
      </c>
      <c r="E84" s="227" t="s">
        <v>135</v>
      </c>
      <c r="F84" s="227" t="s">
        <v>327</v>
      </c>
      <c r="R84" s="5"/>
      <c r="S84" s="5"/>
      <c r="T84" s="5"/>
      <c r="U84" s="5"/>
      <c r="V84" s="5"/>
    </row>
    <row r="85" spans="1:22">
      <c r="B85" s="301" t="s">
        <v>264</v>
      </c>
      <c r="C85" s="7">
        <v>3049770.19</v>
      </c>
      <c r="D85" s="7">
        <v>5307825</v>
      </c>
      <c r="E85" s="157">
        <f t="shared" ref="E85:E104" si="9">(C85/D85)</f>
        <v>0.57458001912271028</v>
      </c>
      <c r="F85" s="326">
        <v>175</v>
      </c>
      <c r="R85" s="5"/>
      <c r="S85" s="5"/>
      <c r="T85" s="5"/>
      <c r="U85" s="5"/>
      <c r="V85" s="5"/>
    </row>
    <row r="86" spans="1:22">
      <c r="B86" s="301" t="s">
        <v>456</v>
      </c>
      <c r="C86" s="7">
        <v>2090417.8</v>
      </c>
      <c r="D86" s="7">
        <v>9414165</v>
      </c>
      <c r="E86" s="157">
        <f t="shared" si="9"/>
        <v>0.22205026149424831</v>
      </c>
      <c r="F86" s="327">
        <v>130</v>
      </c>
      <c r="R86" s="5"/>
      <c r="S86" s="5"/>
      <c r="T86" s="5"/>
      <c r="U86" s="5"/>
      <c r="V86" s="5"/>
    </row>
    <row r="87" spans="1:22">
      <c r="B87" s="301" t="s">
        <v>341</v>
      </c>
      <c r="C87" s="7">
        <v>8823.9699999999993</v>
      </c>
      <c r="D87" s="7">
        <v>22607</v>
      </c>
      <c r="E87" s="157">
        <f t="shared" si="9"/>
        <v>0.39032025478833987</v>
      </c>
      <c r="F87" s="327">
        <v>350</v>
      </c>
      <c r="R87" s="5"/>
      <c r="S87" s="5"/>
      <c r="T87" s="5"/>
      <c r="U87" s="5"/>
      <c r="V87" s="5"/>
    </row>
    <row r="88" spans="1:22">
      <c r="B88" s="301" t="s">
        <v>464</v>
      </c>
      <c r="C88" s="7">
        <v>2379272.89</v>
      </c>
      <c r="D88" s="7">
        <v>3114564</v>
      </c>
      <c r="E88" s="157">
        <f t="shared" si="9"/>
        <v>0.76391844572787715</v>
      </c>
      <c r="F88" s="326">
        <v>310</v>
      </c>
      <c r="R88" s="5"/>
      <c r="S88" s="5"/>
      <c r="T88" s="5"/>
      <c r="U88" s="5"/>
      <c r="V88" s="5"/>
    </row>
    <row r="89" spans="1:22">
      <c r="B89" s="301" t="s">
        <v>263</v>
      </c>
      <c r="C89" s="7">
        <v>11636282.66</v>
      </c>
      <c r="D89" s="7">
        <v>14838347</v>
      </c>
      <c r="E89" s="157">
        <f t="shared" si="9"/>
        <v>0.78420343317217212</v>
      </c>
      <c r="F89" s="326">
        <v>230</v>
      </c>
      <c r="L89" s="5"/>
      <c r="M89" s="5"/>
      <c r="R89" s="5"/>
      <c r="S89" s="5"/>
      <c r="T89" s="5"/>
      <c r="U89" s="5"/>
      <c r="V89" s="5"/>
    </row>
    <row r="90" spans="1:22">
      <c r="B90" s="301" t="s">
        <v>465</v>
      </c>
      <c r="C90" s="7">
        <v>10503009.710000001</v>
      </c>
      <c r="D90" s="7">
        <v>6903435</v>
      </c>
      <c r="E90" s="157">
        <f t="shared" si="9"/>
        <v>1.5214179187607331</v>
      </c>
      <c r="F90" s="267">
        <v>519</v>
      </c>
      <c r="L90" s="5"/>
      <c r="M90" s="5"/>
      <c r="R90" s="5"/>
      <c r="S90" s="5"/>
      <c r="T90" s="68"/>
      <c r="U90" s="5"/>
      <c r="V90" s="5"/>
    </row>
    <row r="91" spans="1:22">
      <c r="B91" s="301" t="s">
        <v>466</v>
      </c>
      <c r="C91" s="7">
        <v>107587.05</v>
      </c>
      <c r="D91" s="7">
        <v>69343</v>
      </c>
      <c r="E91" s="157">
        <f t="shared" si="9"/>
        <v>1.5515199803873498</v>
      </c>
      <c r="F91" s="267"/>
      <c r="I91"/>
      <c r="J91" t="e">
        <f t="array" ref="J91:K91">LOGEST(C155:C162,D155:D162)</f>
        <v>#VALUE!</v>
      </c>
      <c r="K91" s="17" t="e">
        <v>#VALUE!</v>
      </c>
      <c r="L91" s="5"/>
      <c r="M91" s="5"/>
      <c r="R91" s="5"/>
      <c r="S91" s="5"/>
      <c r="T91" s="68"/>
      <c r="U91" s="5"/>
      <c r="V91" s="5"/>
    </row>
    <row r="92" spans="1:22">
      <c r="B92" s="301" t="s">
        <v>467</v>
      </c>
      <c r="C92" s="7">
        <v>1085942.25</v>
      </c>
      <c r="D92" s="7">
        <v>7024702</v>
      </c>
      <c r="E92" s="157">
        <f t="shared" si="9"/>
        <v>0.15458908434834673</v>
      </c>
      <c r="F92" s="267">
        <v>140</v>
      </c>
      <c r="I92"/>
      <c r="J92"/>
      <c r="L92" s="5"/>
      <c r="M92" s="5"/>
      <c r="R92" s="5"/>
      <c r="S92" s="5"/>
      <c r="T92" s="68"/>
      <c r="U92" s="5"/>
      <c r="V92" s="5"/>
    </row>
    <row r="93" spans="1:22">
      <c r="B93" s="301" t="s">
        <v>468</v>
      </c>
      <c r="C93" s="7">
        <v>1008218.87</v>
      </c>
      <c r="D93" s="7">
        <v>6631761</v>
      </c>
      <c r="E93" s="157">
        <f t="shared" si="9"/>
        <v>0.15202883065297437</v>
      </c>
      <c r="F93" s="326">
        <v>100</v>
      </c>
      <c r="I93"/>
      <c r="J93"/>
      <c r="K93" s="17"/>
      <c r="L93" s="5"/>
      <c r="M93" s="5"/>
      <c r="R93" s="5"/>
      <c r="S93" s="5"/>
      <c r="T93" s="68"/>
      <c r="U93" s="5"/>
      <c r="V93" s="5"/>
    </row>
    <row r="94" spans="1:22">
      <c r="B94" s="301" t="s">
        <v>469</v>
      </c>
      <c r="C94" s="7">
        <v>21794.6</v>
      </c>
      <c r="D94" s="3">
        <v>7224</v>
      </c>
      <c r="E94" s="157">
        <f t="shared" si="9"/>
        <v>3.0169712070874861</v>
      </c>
      <c r="F94" s="300"/>
      <c r="I94"/>
      <c r="J94"/>
      <c r="K94" s="17" t="e">
        <f t="array" ref="K94">INDEX(LINEST(C155:C162,D155:D162),2)</f>
        <v>#VALUE!</v>
      </c>
      <c r="L94" s="5"/>
      <c r="M94" s="5"/>
      <c r="R94" s="5"/>
      <c r="S94" s="5"/>
      <c r="T94" s="68"/>
      <c r="U94" s="5"/>
      <c r="V94" s="5"/>
    </row>
    <row r="95" spans="1:22">
      <c r="B95" s="301" t="s">
        <v>470</v>
      </c>
      <c r="C95" s="7">
        <v>270150.37</v>
      </c>
      <c r="D95" s="126">
        <v>36488</v>
      </c>
      <c r="E95" s="157">
        <f t="shared" si="9"/>
        <v>7.4038141306730978</v>
      </c>
      <c r="F95" s="300"/>
      <c r="L95" s="5"/>
      <c r="M95" s="5"/>
      <c r="R95" s="5"/>
      <c r="S95" s="5"/>
      <c r="T95" s="68"/>
      <c r="U95" s="5"/>
      <c r="V95" s="5"/>
    </row>
    <row r="96" spans="1:22">
      <c r="B96" s="301" t="s">
        <v>471</v>
      </c>
      <c r="C96" s="7">
        <v>21779.200000000001</v>
      </c>
      <c r="D96" s="126">
        <v>9076</v>
      </c>
      <c r="E96" s="157">
        <f t="shared" si="9"/>
        <v>2.3996474217717059</v>
      </c>
      <c r="F96" s="300"/>
      <c r="J96"/>
      <c r="K96" s="7"/>
      <c r="L96" s="5"/>
      <c r="M96" s="5"/>
      <c r="N96" s="11" t="s">
        <v>1</v>
      </c>
      <c r="R96" s="5"/>
      <c r="S96" s="5"/>
      <c r="T96" s="68"/>
      <c r="U96" s="5"/>
      <c r="V96" s="5"/>
    </row>
    <row r="97" spans="2:22">
      <c r="B97" s="301" t="s">
        <v>472</v>
      </c>
      <c r="C97" s="7">
        <v>620.74</v>
      </c>
      <c r="D97" s="126">
        <v>607</v>
      </c>
      <c r="E97" s="157">
        <f t="shared" si="9"/>
        <v>1.0226359143327841</v>
      </c>
      <c r="F97" s="300"/>
      <c r="J97"/>
      <c r="K97" s="7"/>
      <c r="L97" s="5"/>
      <c r="M97" s="5"/>
      <c r="N97" s="11" t="s">
        <v>148</v>
      </c>
      <c r="R97" s="5"/>
      <c r="S97" s="5"/>
      <c r="T97" s="68"/>
      <c r="U97" s="5"/>
      <c r="V97" s="5"/>
    </row>
    <row r="98" spans="2:22">
      <c r="B98" s="301" t="s">
        <v>473</v>
      </c>
      <c r="C98" s="7">
        <v>42696.5</v>
      </c>
      <c r="D98" s="126">
        <v>93562</v>
      </c>
      <c r="E98" s="157">
        <f t="shared" si="9"/>
        <v>0.45634445608259766</v>
      </c>
      <c r="F98" s="300"/>
      <c r="J98"/>
      <c r="K98" s="7"/>
      <c r="L98" s="5"/>
      <c r="M98" s="5"/>
      <c r="N98" s="11" t="s">
        <v>1</v>
      </c>
      <c r="R98" s="5"/>
      <c r="S98" s="5"/>
      <c r="T98" s="68"/>
      <c r="U98" s="5"/>
      <c r="V98" s="5"/>
    </row>
    <row r="99" spans="2:22">
      <c r="B99" s="301" t="s">
        <v>474</v>
      </c>
      <c r="C99" s="7">
        <v>3412122.9</v>
      </c>
      <c r="D99" s="126">
        <v>977707</v>
      </c>
      <c r="E99" s="157">
        <f t="shared" si="9"/>
        <v>3.4899237706183959</v>
      </c>
      <c r="F99" s="300"/>
      <c r="I99" s="7" t="s">
        <v>1</v>
      </c>
      <c r="J99"/>
      <c r="K99" s="7"/>
      <c r="L99" s="5"/>
      <c r="M99" s="5"/>
      <c r="N99" s="11" t="s">
        <v>1</v>
      </c>
      <c r="R99" s="5"/>
      <c r="S99" s="5"/>
      <c r="T99" s="68"/>
      <c r="U99" s="5"/>
      <c r="V99" s="5"/>
    </row>
    <row r="100" spans="2:22">
      <c r="B100" s="301" t="s">
        <v>475</v>
      </c>
      <c r="C100" s="7">
        <v>1479.73</v>
      </c>
      <c r="D100" s="126">
        <v>2061</v>
      </c>
      <c r="E100" s="157">
        <f t="shared" si="9"/>
        <v>0.71796700630761767</v>
      </c>
      <c r="F100" s="300"/>
      <c r="I100" s="7"/>
      <c r="J100"/>
      <c r="K100" s="7"/>
      <c r="L100" s="5"/>
      <c r="M100" s="5"/>
      <c r="R100" s="5"/>
      <c r="S100" s="5"/>
      <c r="T100" s="68"/>
      <c r="U100" s="5"/>
      <c r="V100" s="5"/>
    </row>
    <row r="101" spans="2:22">
      <c r="B101" s="301" t="s">
        <v>476</v>
      </c>
      <c r="C101" s="7">
        <v>7282.44</v>
      </c>
      <c r="D101" s="126">
        <v>51336</v>
      </c>
      <c r="E101" s="157">
        <f t="shared" si="9"/>
        <v>0.14185834502103786</v>
      </c>
      <c r="F101" s="300"/>
      <c r="I101" s="7"/>
      <c r="J101"/>
      <c r="K101" s="7"/>
      <c r="L101" s="5"/>
      <c r="M101" s="5"/>
      <c r="R101" s="5"/>
      <c r="S101" s="5"/>
      <c r="T101" s="68"/>
      <c r="U101" s="5"/>
      <c r="V101" s="5"/>
    </row>
    <row r="102" spans="2:22">
      <c r="B102" s="301" t="s">
        <v>477</v>
      </c>
      <c r="C102" s="7">
        <v>257121</v>
      </c>
      <c r="D102" s="126">
        <v>120150</v>
      </c>
      <c r="E102" s="157">
        <f t="shared" si="9"/>
        <v>2.14</v>
      </c>
      <c r="F102" s="300"/>
      <c r="I102" s="7"/>
      <c r="J102"/>
      <c r="K102" s="7"/>
      <c r="L102" s="5"/>
      <c r="M102" s="5"/>
      <c r="R102" s="5"/>
      <c r="S102" s="5"/>
      <c r="T102" s="68"/>
      <c r="U102" s="5"/>
      <c r="V102" s="5"/>
    </row>
    <row r="103" spans="2:22">
      <c r="B103" s="301" t="s">
        <v>478</v>
      </c>
      <c r="C103" s="7">
        <v>103712.31</v>
      </c>
      <c r="D103" s="126">
        <v>7635</v>
      </c>
      <c r="E103" s="157">
        <f t="shared" si="9"/>
        <v>13.583799607072692</v>
      </c>
      <c r="F103" s="300"/>
      <c r="I103" s="7"/>
      <c r="J103"/>
      <c r="K103" s="7"/>
      <c r="L103" s="5"/>
      <c r="M103" s="5"/>
      <c r="R103" s="5"/>
      <c r="S103" s="5"/>
      <c r="T103" s="68"/>
      <c r="U103" s="5"/>
      <c r="V103" s="5"/>
    </row>
    <row r="104" spans="2:22" ht="13.5" thickBot="1">
      <c r="B104" s="302" t="s">
        <v>144</v>
      </c>
      <c r="C104" s="7">
        <f>SUM(C85:C103)</f>
        <v>36008085.18</v>
      </c>
      <c r="D104" s="314">
        <f>SUM(D85:D103)</f>
        <v>54632595</v>
      </c>
      <c r="E104" s="157">
        <f t="shared" si="9"/>
        <v>0.65909527416737201</v>
      </c>
      <c r="F104" s="299"/>
      <c r="I104" s="7"/>
      <c r="J104"/>
      <c r="K104" s="7"/>
      <c r="L104" s="5"/>
      <c r="M104" s="5"/>
      <c r="R104" s="5"/>
      <c r="S104" s="5"/>
      <c r="T104" s="68"/>
      <c r="U104" s="5"/>
      <c r="V104" s="5"/>
    </row>
    <row r="105" spans="2:22" ht="13.5" thickTop="1">
      <c r="B105" s="303" t="s">
        <v>147</v>
      </c>
      <c r="C105" s="7">
        <f>62439.68+914457.25+17638.4+2715.72+223803.35+339675.71+4118.09+14180.61+43707.78+1036967.03+1247301.11+744.61+7902839.18+7862061.11+5809922.48+476636.52</f>
        <v>25959208.629999999</v>
      </c>
      <c r="D105" s="7" t="s">
        <v>1</v>
      </c>
      <c r="E105" s="157" t="s">
        <v>1</v>
      </c>
      <c r="F105" s="299"/>
      <c r="I105" s="7"/>
      <c r="J105"/>
      <c r="K105" s="7"/>
      <c r="L105" s="5"/>
      <c r="M105" s="5"/>
      <c r="R105" s="5"/>
      <c r="S105" s="5"/>
      <c r="T105" s="68"/>
      <c r="U105" s="5"/>
      <c r="V105" s="5"/>
    </row>
    <row r="106" spans="2:22" ht="13.5" thickBot="1">
      <c r="B106" s="304" t="s">
        <v>145</v>
      </c>
      <c r="C106" s="313">
        <f>SUM(C104:C105)</f>
        <v>61967293.810000002</v>
      </c>
      <c r="D106" s="10" t="s">
        <v>1</v>
      </c>
      <c r="E106" s="136">
        <f>(E104)</f>
        <v>0.65909527416737201</v>
      </c>
      <c r="F106" s="305"/>
      <c r="I106" s="7"/>
      <c r="J106"/>
      <c r="K106" s="7"/>
      <c r="L106" s="5"/>
      <c r="M106" s="5"/>
      <c r="R106" s="5"/>
      <c r="S106" s="5"/>
      <c r="T106" s="68"/>
      <c r="U106" s="5"/>
      <c r="V106" s="5"/>
    </row>
    <row r="107" spans="2:22" ht="13.5" thickTop="1">
      <c r="I107" s="7"/>
      <c r="J107"/>
      <c r="K107" s="7"/>
      <c r="L107" s="5"/>
      <c r="M107" s="5"/>
      <c r="R107" s="5"/>
      <c r="S107" s="5"/>
      <c r="T107" s="68"/>
      <c r="U107" s="5"/>
      <c r="V107" s="5"/>
    </row>
    <row r="108" spans="2:22" ht="13.5" thickBot="1">
      <c r="B108" s="137" t="s">
        <v>201</v>
      </c>
      <c r="C108" s="137"/>
      <c r="D108" s="137"/>
      <c r="E108" s="137"/>
      <c r="I108" s="7"/>
      <c r="J108"/>
      <c r="K108" s="7"/>
      <c r="L108" s="5"/>
      <c r="M108" s="5"/>
      <c r="R108" s="5"/>
      <c r="S108" s="5"/>
      <c r="T108" s="68"/>
      <c r="U108" s="5"/>
      <c r="V108" s="5"/>
    </row>
    <row r="109" spans="2:22">
      <c r="B109" s="138" t="s">
        <v>560</v>
      </c>
      <c r="C109" s="139"/>
      <c r="D109" s="139"/>
      <c r="E109" s="161"/>
      <c r="F109" s="155"/>
      <c r="I109" s="7"/>
      <c r="J109"/>
      <c r="K109" s="7"/>
      <c r="L109" s="5"/>
      <c r="M109" s="5"/>
      <c r="R109" s="5"/>
      <c r="S109" s="5"/>
      <c r="T109" s="68"/>
      <c r="U109" s="5"/>
      <c r="V109" s="5"/>
    </row>
    <row r="110" spans="2:22">
      <c r="B110" s="117"/>
      <c r="C110" s="110"/>
      <c r="D110" s="110"/>
      <c r="E110" s="7"/>
      <c r="F110" s="119"/>
      <c r="I110" s="7"/>
      <c r="J110" s="110"/>
      <c r="K110" s="7"/>
      <c r="L110" s="5"/>
      <c r="M110" s="5"/>
      <c r="R110" s="5"/>
      <c r="S110" s="5"/>
      <c r="T110" s="68"/>
      <c r="U110" s="5"/>
      <c r="V110" s="5"/>
    </row>
    <row r="111" spans="2:22">
      <c r="B111" s="117" t="s">
        <v>287</v>
      </c>
      <c r="C111" s="135" t="s">
        <v>258</v>
      </c>
      <c r="D111" s="110"/>
      <c r="E111" s="7"/>
      <c r="F111" s="119"/>
      <c r="I111" s="7"/>
      <c r="J111" s="110"/>
      <c r="K111" s="7"/>
      <c r="L111" s="5"/>
      <c r="M111" s="5"/>
      <c r="R111" s="5"/>
      <c r="S111" s="5"/>
      <c r="T111" s="68"/>
      <c r="U111" s="5"/>
      <c r="V111" s="5"/>
    </row>
    <row r="112" spans="2:22">
      <c r="B112" s="291" t="s">
        <v>340</v>
      </c>
      <c r="C112" s="18">
        <f>INDEX(LOGEST($C$152:$C$157,$D$152:$D$157),2)</f>
        <v>0.22339895384883401</v>
      </c>
      <c r="D112" s="18" t="s">
        <v>1</v>
      </c>
      <c r="E112" s="7"/>
      <c r="F112" s="119"/>
      <c r="G112"/>
      <c r="I112" s="7"/>
      <c r="J112" s="110"/>
      <c r="K112" s="7"/>
      <c r="L112" s="5"/>
      <c r="M112" s="5"/>
      <c r="R112" s="5"/>
      <c r="S112" s="5"/>
      <c r="T112" s="68"/>
      <c r="U112" s="5"/>
      <c r="V112" s="5"/>
    </row>
    <row r="113" spans="1:22">
      <c r="B113" s="331" t="s">
        <v>261</v>
      </c>
      <c r="C113" s="18">
        <f>INDEX(LOGEST($C$152:$C$159,$D$152:$D$159),1)</f>
        <v>1.0048312446692307</v>
      </c>
      <c r="D113" s="202" t="s">
        <v>1</v>
      </c>
      <c r="E113" s="7"/>
      <c r="F113" s="119"/>
      <c r="G113"/>
      <c r="I113" s="7"/>
      <c r="J113" s="110"/>
      <c r="K113" s="7"/>
      <c r="L113" s="5"/>
      <c r="M113" s="5"/>
      <c r="R113" s="5"/>
      <c r="S113" s="5"/>
      <c r="T113" s="68"/>
      <c r="U113" s="5"/>
      <c r="V113" s="5"/>
    </row>
    <row r="114" spans="1:22">
      <c r="B114" s="292"/>
      <c r="C114" s="289"/>
      <c r="D114" s="289"/>
      <c r="E114" s="290"/>
      <c r="F114" s="293"/>
      <c r="G114"/>
      <c r="I114" s="7"/>
      <c r="J114" s="110"/>
      <c r="K114" s="7"/>
      <c r="L114" s="5"/>
      <c r="M114" s="5"/>
      <c r="R114" s="5"/>
      <c r="S114" s="5"/>
      <c r="T114" s="68"/>
      <c r="U114" s="5"/>
      <c r="V114" s="5"/>
    </row>
    <row r="115" spans="1:22">
      <c r="B115" s="117" t="s">
        <v>280</v>
      </c>
      <c r="C115" s="110"/>
      <c r="D115" s="110"/>
      <c r="E115" s="7"/>
      <c r="F115" s="162">
        <f>(C112)</f>
        <v>0.22339895384883401</v>
      </c>
      <c r="I115" s="7"/>
      <c r="J115" s="110"/>
      <c r="K115" s="7"/>
      <c r="L115" s="5"/>
      <c r="M115" s="5"/>
      <c r="R115" s="5"/>
      <c r="S115" s="5"/>
      <c r="T115" s="68"/>
      <c r="U115" s="5"/>
      <c r="V115" s="5"/>
    </row>
    <row r="116" spans="1:22">
      <c r="B116" s="117" t="s">
        <v>202</v>
      </c>
      <c r="C116" s="110"/>
      <c r="D116" s="110"/>
      <c r="E116" s="7"/>
      <c r="F116" s="145">
        <f>(D104)</f>
        <v>54632595</v>
      </c>
      <c r="I116" s="7"/>
      <c r="J116" s="110"/>
      <c r="K116" s="7"/>
      <c r="L116" s="5"/>
      <c r="M116" s="5"/>
      <c r="R116" s="5"/>
      <c r="S116" s="5"/>
      <c r="T116" s="68"/>
      <c r="U116" s="5"/>
      <c r="V116" s="5"/>
    </row>
    <row r="117" spans="1:22">
      <c r="B117" s="117" t="s">
        <v>138</v>
      </c>
      <c r="C117" s="110"/>
      <c r="D117" s="110"/>
      <c r="E117" s="7"/>
      <c r="F117" s="145">
        <f>(F115*F116)</f>
        <v>12204864.569047039</v>
      </c>
      <c r="G117" s="5"/>
      <c r="I117" s="7"/>
      <c r="J117" s="110"/>
      <c r="K117" s="7"/>
      <c r="L117" s="5"/>
      <c r="M117" s="5"/>
      <c r="R117" s="5"/>
      <c r="S117" s="5"/>
      <c r="T117" s="68"/>
      <c r="U117" s="5"/>
      <c r="V117" s="5"/>
    </row>
    <row r="118" spans="1:22">
      <c r="B118" s="117" t="s">
        <v>325</v>
      </c>
      <c r="C118" s="110"/>
      <c r="D118" s="110"/>
      <c r="E118" s="7"/>
      <c r="F118" s="145">
        <f>(C104)</f>
        <v>36008085.18</v>
      </c>
      <c r="G118" s="68"/>
      <c r="I118" s="7"/>
      <c r="J118" s="110"/>
      <c r="K118" s="7"/>
      <c r="L118" s="5"/>
      <c r="M118" s="5"/>
      <c r="R118" s="5"/>
      <c r="S118" s="5"/>
      <c r="T118" s="68"/>
      <c r="U118" s="5"/>
      <c r="V118" s="5"/>
    </row>
    <row r="119" spans="1:22">
      <c r="B119" s="125" t="s">
        <v>139</v>
      </c>
      <c r="C119" s="111"/>
      <c r="D119" s="111"/>
      <c r="E119" s="147"/>
      <c r="F119" s="148">
        <f>(F117/F118)</f>
        <v>0.33894789206469655</v>
      </c>
      <c r="G119" s="5"/>
      <c r="I119" s="7"/>
      <c r="J119" s="110"/>
      <c r="K119" s="7"/>
      <c r="L119" s="5"/>
      <c r="M119" s="5"/>
      <c r="R119" s="5"/>
      <c r="S119" s="5"/>
      <c r="T119" s="68"/>
      <c r="U119" s="5"/>
      <c r="V119" s="5"/>
    </row>
    <row r="120" spans="1:22" ht="13.5" thickBot="1">
      <c r="A120" s="110"/>
      <c r="B120" s="149" t="s">
        <v>140</v>
      </c>
      <c r="C120" s="150"/>
      <c r="D120" s="150"/>
      <c r="E120" s="151"/>
      <c r="F120" s="152">
        <f>(1-F119)</f>
        <v>0.66105210793530345</v>
      </c>
      <c r="G120" s="351"/>
      <c r="I120" s="7"/>
      <c r="J120" s="110"/>
      <c r="K120" s="7"/>
      <c r="L120" s="5"/>
      <c r="M120" s="5"/>
      <c r="R120" s="5"/>
      <c r="S120" s="5"/>
      <c r="T120" s="68"/>
      <c r="U120" s="5"/>
      <c r="V120" s="5"/>
    </row>
    <row r="121" spans="1:22">
      <c r="E121" s="5"/>
      <c r="F121"/>
      <c r="G121" s="5"/>
      <c r="I121" s="7"/>
      <c r="J121" s="110"/>
      <c r="K121" s="7"/>
      <c r="L121" s="5"/>
      <c r="M121" s="5"/>
      <c r="R121" s="5"/>
      <c r="S121" s="5"/>
      <c r="T121" s="68"/>
      <c r="U121" s="5"/>
      <c r="V121" s="5"/>
    </row>
    <row r="122" spans="1:22" ht="15">
      <c r="A122" s="767" t="s">
        <v>425</v>
      </c>
      <c r="B122" s="767"/>
      <c r="C122" s="767"/>
      <c r="D122" s="767"/>
      <c r="E122" s="767"/>
      <c r="F122" s="767"/>
      <c r="G122" s="5"/>
      <c r="I122" s="7"/>
      <c r="J122" s="110"/>
      <c r="K122" s="7"/>
      <c r="L122" s="5"/>
      <c r="M122" s="5"/>
      <c r="R122" s="5"/>
      <c r="S122" s="5"/>
      <c r="T122" s="68"/>
      <c r="U122" s="5"/>
      <c r="V122" s="5"/>
    </row>
    <row r="123" spans="1:22">
      <c r="B123" s="156"/>
      <c r="C123" s="123"/>
      <c r="D123" s="180"/>
      <c r="G123" s="5"/>
      <c r="I123" s="7"/>
      <c r="J123" s="110"/>
      <c r="K123" s="7"/>
      <c r="L123" s="5"/>
      <c r="M123" s="5"/>
      <c r="R123" s="5"/>
      <c r="S123" s="5"/>
      <c r="T123" s="68"/>
      <c r="U123" s="5"/>
      <c r="V123" s="5"/>
    </row>
    <row r="124" spans="1:22">
      <c r="G124" s="5"/>
      <c r="I124" s="7"/>
      <c r="J124" s="110"/>
      <c r="K124" s="7"/>
      <c r="L124" s="5"/>
      <c r="M124" s="5"/>
      <c r="R124" s="5"/>
      <c r="S124" s="5"/>
      <c r="T124" s="68"/>
      <c r="U124" s="5"/>
      <c r="V124" s="5"/>
    </row>
    <row r="125" spans="1:22">
      <c r="F125" s="5"/>
      <c r="G125" s="5"/>
      <c r="I125" s="7"/>
      <c r="J125" s="110"/>
      <c r="K125" s="7"/>
      <c r="L125" s="5"/>
      <c r="M125" s="5"/>
      <c r="R125" s="5"/>
      <c r="S125" s="5"/>
      <c r="T125" s="68"/>
      <c r="U125" s="5"/>
      <c r="V125" s="5"/>
    </row>
    <row r="126" spans="1:22">
      <c r="G126" s="5"/>
      <c r="I126" s="7"/>
      <c r="J126" s="110"/>
      <c r="K126" s="7"/>
      <c r="L126" s="5"/>
      <c r="M126" s="5"/>
      <c r="R126" s="5"/>
      <c r="S126" s="5"/>
      <c r="T126" s="68"/>
      <c r="U126" s="5"/>
      <c r="V126" s="5"/>
    </row>
    <row r="127" spans="1:22">
      <c r="G127" s="5"/>
      <c r="I127" s="7"/>
      <c r="J127" s="110"/>
      <c r="K127" s="7"/>
      <c r="L127" s="5"/>
      <c r="M127" s="5"/>
      <c r="R127" s="5"/>
      <c r="S127" s="5"/>
      <c r="T127" s="68"/>
      <c r="U127" s="5"/>
      <c r="V127" s="5"/>
    </row>
    <row r="128" spans="1:22">
      <c r="G128" s="5"/>
      <c r="I128" s="7"/>
      <c r="J128" s="110"/>
      <c r="K128" s="7"/>
      <c r="L128" s="5"/>
      <c r="M128" s="5"/>
      <c r="R128" s="5"/>
      <c r="S128" s="5"/>
      <c r="T128" s="68"/>
      <c r="U128" s="5"/>
      <c r="V128" s="5"/>
    </row>
    <row r="129" spans="2:22">
      <c r="G129" s="5"/>
      <c r="I129" s="7"/>
      <c r="J129" s="110"/>
      <c r="K129" s="7"/>
      <c r="L129" s="5"/>
      <c r="M129" s="5"/>
      <c r="R129" s="5"/>
      <c r="S129" s="5"/>
      <c r="T129" s="68"/>
      <c r="U129" s="5"/>
      <c r="V129" s="5"/>
    </row>
    <row r="130" spans="2:22">
      <c r="G130" s="5"/>
      <c r="I130" s="7"/>
      <c r="J130" s="110"/>
      <c r="K130" s="7"/>
      <c r="L130" s="5"/>
      <c r="M130" s="5"/>
      <c r="R130" s="5"/>
      <c r="S130" s="5"/>
      <c r="T130" s="68"/>
      <c r="U130" s="5"/>
      <c r="V130" s="5"/>
    </row>
    <row r="131" spans="2:22">
      <c r="G131" s="5"/>
      <c r="I131" s="7"/>
      <c r="J131" s="110"/>
      <c r="K131" s="7"/>
      <c r="L131" s="5"/>
      <c r="M131" s="5"/>
      <c r="R131" s="5"/>
      <c r="S131" s="5"/>
      <c r="T131" s="68"/>
      <c r="U131" s="5"/>
      <c r="V131" s="5"/>
    </row>
    <row r="132" spans="2:22">
      <c r="G132" s="5"/>
      <c r="I132" s="7"/>
      <c r="J132" s="110"/>
      <c r="K132" s="7"/>
      <c r="L132" s="5"/>
      <c r="M132" s="5"/>
      <c r="R132" s="5"/>
      <c r="S132" s="5"/>
      <c r="T132" s="68"/>
      <c r="U132" s="5"/>
      <c r="V132" s="5"/>
    </row>
    <row r="133" spans="2:22">
      <c r="G133" s="5"/>
      <c r="I133" s="7"/>
      <c r="J133" s="110"/>
      <c r="K133" s="7"/>
      <c r="L133" s="5"/>
      <c r="M133" s="5"/>
      <c r="R133" s="5"/>
      <c r="S133" s="5"/>
      <c r="T133" s="68"/>
      <c r="U133" s="5"/>
      <c r="V133" s="5"/>
    </row>
    <row r="134" spans="2:22">
      <c r="G134" s="5"/>
      <c r="I134" s="7"/>
      <c r="J134" s="110"/>
      <c r="K134" s="7"/>
      <c r="L134" s="5"/>
      <c r="M134" s="5"/>
      <c r="R134" s="5"/>
      <c r="S134" s="5"/>
      <c r="T134" s="68"/>
      <c r="U134" s="5"/>
      <c r="V134" s="5"/>
    </row>
    <row r="135" spans="2:22">
      <c r="G135" s="5"/>
      <c r="I135" s="7"/>
      <c r="J135" s="110"/>
      <c r="K135" s="7"/>
      <c r="L135" s="5"/>
      <c r="M135" s="5"/>
      <c r="R135" s="5"/>
      <c r="S135" s="5"/>
      <c r="T135" s="68"/>
      <c r="U135" s="5"/>
      <c r="V135" s="5"/>
    </row>
    <row r="136" spans="2:22">
      <c r="G136" s="5"/>
      <c r="I136" s="7"/>
      <c r="J136" s="110"/>
      <c r="K136" s="7"/>
      <c r="L136" s="5"/>
      <c r="M136" s="5"/>
      <c r="R136" s="5"/>
      <c r="S136" s="5"/>
      <c r="T136" s="68"/>
      <c r="U136" s="5"/>
      <c r="V136" s="5"/>
    </row>
    <row r="137" spans="2:22">
      <c r="G137" s="5"/>
      <c r="I137" s="7"/>
      <c r="J137" s="110"/>
      <c r="K137" s="7"/>
      <c r="L137" s="5"/>
      <c r="M137" s="5"/>
      <c r="R137" s="5"/>
      <c r="S137" s="5"/>
      <c r="T137" s="68"/>
      <c r="U137" s="5"/>
      <c r="V137" s="5"/>
    </row>
    <row r="138" spans="2:22">
      <c r="G138" s="5"/>
      <c r="I138" s="7"/>
      <c r="J138" s="110"/>
      <c r="K138" s="7"/>
      <c r="L138" s="5"/>
      <c r="M138" s="5"/>
      <c r="R138" s="5"/>
      <c r="S138" s="5"/>
      <c r="T138" s="68"/>
      <c r="U138" s="5"/>
      <c r="V138" s="5"/>
    </row>
    <row r="139" spans="2:22">
      <c r="B139" s="5"/>
      <c r="C139" s="5"/>
      <c r="D139" s="5"/>
      <c r="E139" s="5"/>
      <c r="F139" s="5"/>
      <c r="G139" s="5"/>
      <c r="I139" s="7"/>
      <c r="J139" s="110"/>
      <c r="K139" s="7"/>
      <c r="L139" s="5"/>
      <c r="M139" s="5"/>
      <c r="R139" s="5"/>
      <c r="S139" s="5"/>
      <c r="T139" s="68"/>
      <c r="U139" s="5"/>
      <c r="V139" s="5"/>
    </row>
    <row r="140" spans="2:22">
      <c r="B140" s="5"/>
      <c r="C140" s="5"/>
      <c r="D140" s="5"/>
      <c r="E140" s="5"/>
      <c r="F140" s="5"/>
      <c r="G140" s="5"/>
      <c r="I140" s="7"/>
      <c r="J140" s="110"/>
      <c r="K140" s="7"/>
      <c r="L140" s="5"/>
      <c r="M140" s="5"/>
      <c r="R140" s="5"/>
      <c r="S140" s="5"/>
      <c r="T140" s="68"/>
      <c r="U140" s="5"/>
      <c r="V140" s="5"/>
    </row>
    <row r="141" spans="2:22">
      <c r="B141" s="5"/>
      <c r="C141" s="5"/>
      <c r="D141" s="5"/>
      <c r="E141" s="5"/>
      <c r="F141" s="5"/>
      <c r="G141" s="5"/>
      <c r="I141" s="7"/>
      <c r="J141" s="110"/>
      <c r="K141" s="7"/>
      <c r="L141" s="5"/>
      <c r="M141" s="5"/>
      <c r="R141" s="5"/>
      <c r="S141" s="5"/>
      <c r="T141" s="68"/>
      <c r="U141" s="5"/>
      <c r="V141" s="5"/>
    </row>
    <row r="142" spans="2:22">
      <c r="B142" s="5"/>
      <c r="C142" s="5"/>
      <c r="D142" s="5"/>
      <c r="E142" s="5"/>
      <c r="F142" s="5"/>
      <c r="I142" s="7"/>
      <c r="J142" s="110"/>
      <c r="K142" s="7"/>
      <c r="L142" s="5"/>
      <c r="M142" s="5"/>
      <c r="R142" s="5"/>
      <c r="S142" s="5"/>
      <c r="T142" s="68"/>
      <c r="U142" s="5"/>
      <c r="V142" s="5"/>
    </row>
    <row r="143" spans="2:22">
      <c r="B143" s="5"/>
      <c r="C143" s="5"/>
      <c r="D143" s="5"/>
      <c r="E143" s="5"/>
      <c r="F143" s="5"/>
      <c r="G143" s="5"/>
      <c r="I143" s="7"/>
      <c r="J143" s="110"/>
      <c r="K143" s="7"/>
      <c r="L143" s="5"/>
      <c r="M143" s="5"/>
      <c r="R143" s="5"/>
      <c r="S143" s="5"/>
      <c r="T143" s="68"/>
      <c r="U143" s="5"/>
      <c r="V143" s="5"/>
    </row>
    <row r="144" spans="2:22">
      <c r="B144" s="5"/>
      <c r="C144" s="5"/>
      <c r="D144" s="5"/>
      <c r="E144" s="5"/>
      <c r="F144" s="5"/>
      <c r="G144" s="5"/>
      <c r="I144" s="7"/>
      <c r="J144" s="110"/>
      <c r="K144" s="7"/>
      <c r="L144" s="5"/>
      <c r="M144" s="5"/>
      <c r="R144" s="5"/>
      <c r="S144" s="5"/>
      <c r="T144" s="68"/>
      <c r="U144" s="5"/>
      <c r="V144" s="5"/>
    </row>
    <row r="145" spans="2:22">
      <c r="B145" s="5"/>
      <c r="C145" s="5"/>
      <c r="D145" s="5"/>
      <c r="E145" s="5"/>
      <c r="F145" s="5"/>
      <c r="G145" s="5"/>
      <c r="I145" s="7"/>
      <c r="J145" s="110"/>
      <c r="K145" s="7"/>
      <c r="L145" s="5"/>
      <c r="M145" s="5"/>
      <c r="R145" s="5"/>
      <c r="S145" s="5"/>
      <c r="T145" s="68"/>
      <c r="U145" s="5"/>
      <c r="V145" s="5"/>
    </row>
    <row r="146" spans="2:22">
      <c r="B146" s="5"/>
      <c r="C146" s="5"/>
      <c r="D146" s="5"/>
      <c r="E146" s="5"/>
      <c r="F146" s="5"/>
      <c r="G146" s="5"/>
      <c r="I146" s="7"/>
      <c r="J146" s="110"/>
      <c r="K146" s="7"/>
      <c r="L146" s="5"/>
      <c r="M146" s="5"/>
      <c r="R146" s="5"/>
      <c r="S146" s="5"/>
      <c r="T146" s="68"/>
      <c r="U146" s="5"/>
      <c r="V146" s="5"/>
    </row>
    <row r="147" spans="2:22">
      <c r="B147" s="5"/>
      <c r="C147" s="3"/>
      <c r="D147" s="3"/>
      <c r="E147" s="3"/>
      <c r="F147" s="5"/>
      <c r="G147" s="5"/>
      <c r="I147" s="7"/>
      <c r="J147" s="110"/>
      <c r="K147" s="7"/>
      <c r="L147" s="5"/>
      <c r="M147" s="5"/>
      <c r="R147" s="5"/>
      <c r="S147" s="5"/>
      <c r="T147" s="68"/>
      <c r="U147" s="5"/>
      <c r="V147" s="5"/>
    </row>
    <row r="148" spans="2:22" ht="13.5" thickBot="1">
      <c r="B148" s="3"/>
      <c r="C148" s="3"/>
      <c r="D148" s="3"/>
      <c r="E148" s="3"/>
      <c r="F148" s="3"/>
      <c r="G148" s="5"/>
      <c r="I148" s="7"/>
      <c r="J148" s="110"/>
      <c r="K148" s="7"/>
      <c r="L148" s="5"/>
      <c r="M148" s="5"/>
      <c r="R148" s="5"/>
      <c r="S148" s="5"/>
      <c r="T148" s="68"/>
      <c r="U148" s="5"/>
      <c r="V148" s="5"/>
    </row>
    <row r="149" spans="2:22" ht="13.5" thickBot="1">
      <c r="B149" s="211" t="s">
        <v>333</v>
      </c>
      <c r="C149" s="212"/>
      <c r="D149" s="212"/>
      <c r="E149" s="213"/>
      <c r="F149" s="5"/>
      <c r="G149" s="5"/>
      <c r="I149" s="7"/>
      <c r="J149" s="110"/>
      <c r="K149" s="7"/>
      <c r="L149" s="5"/>
      <c r="M149" s="5"/>
      <c r="R149" s="5"/>
      <c r="S149" s="5"/>
      <c r="T149" s="68"/>
      <c r="U149" s="5"/>
      <c r="V149" s="5"/>
    </row>
    <row r="150" spans="2:22">
      <c r="B150" s="203" t="s">
        <v>299</v>
      </c>
      <c r="C150" s="154" t="s">
        <v>300</v>
      </c>
      <c r="D150" s="154" t="s">
        <v>479</v>
      </c>
      <c r="E150" s="155" t="s">
        <v>301</v>
      </c>
      <c r="F150" s="5"/>
      <c r="G150" s="5"/>
      <c r="I150" s="7"/>
      <c r="J150" s="110"/>
      <c r="K150" s="7"/>
      <c r="L150" s="5"/>
      <c r="M150" s="5"/>
      <c r="R150" s="5"/>
      <c r="S150" s="5"/>
      <c r="T150" s="68"/>
      <c r="U150" s="5"/>
      <c r="V150" s="5"/>
    </row>
    <row r="151" spans="2:22">
      <c r="B151" s="4" t="s">
        <v>1</v>
      </c>
      <c r="C151" s="204" t="s">
        <v>1</v>
      </c>
      <c r="D151" s="205" t="s">
        <v>1</v>
      </c>
      <c r="E151" s="119" t="s">
        <v>1</v>
      </c>
      <c r="F151" s="5"/>
      <c r="G151" s="5"/>
      <c r="I151" s="7"/>
      <c r="J151" s="110"/>
      <c r="K151" s="7"/>
      <c r="L151" s="5"/>
      <c r="M151" s="5"/>
      <c r="R151" s="5"/>
      <c r="S151" s="5"/>
      <c r="T151" s="68"/>
      <c r="U151" s="5"/>
      <c r="V151" s="5"/>
    </row>
    <row r="152" spans="2:22">
      <c r="B152" s="199" t="str">
        <f>B85</f>
        <v xml:space="preserve">2 ACSR                             </v>
      </c>
      <c r="C152" s="328">
        <f>E85</f>
        <v>0.57458001912271028</v>
      </c>
      <c r="D152" s="329">
        <f>F85</f>
        <v>175</v>
      </c>
      <c r="E152" s="332">
        <f>$C$112*$C$113^D152</f>
        <v>0.5192530020198951</v>
      </c>
      <c r="F152" s="5"/>
      <c r="G152" s="5"/>
      <c r="I152" s="7"/>
      <c r="J152" s="110"/>
      <c r="K152" s="7"/>
      <c r="L152" s="5"/>
      <c r="M152" s="5"/>
      <c r="R152" s="5"/>
      <c r="S152" s="5"/>
      <c r="T152" s="68"/>
      <c r="U152" s="5"/>
      <c r="V152" s="5"/>
    </row>
    <row r="153" spans="2:22">
      <c r="B153" s="199" t="str">
        <f>B86</f>
        <v>4 ACSR</v>
      </c>
      <c r="C153" s="328">
        <f>E86</f>
        <v>0.22205026149424831</v>
      </c>
      <c r="D153" s="329">
        <f>F86</f>
        <v>130</v>
      </c>
      <c r="E153" s="332">
        <f t="shared" ref="E153:E159" si="10">$C$112*$C$113^D153</f>
        <v>0.41801140611597576</v>
      </c>
      <c r="F153" s="5"/>
      <c r="G153" s="5"/>
      <c r="I153" s="7"/>
      <c r="J153" s="110"/>
      <c r="K153" s="7"/>
      <c r="L153" s="5"/>
      <c r="M153" s="5"/>
      <c r="R153" s="5"/>
      <c r="S153" s="5"/>
      <c r="T153" s="68"/>
      <c r="U153" s="5"/>
      <c r="V153" s="5"/>
    </row>
    <row r="154" spans="2:22">
      <c r="B154" s="199" t="str">
        <f>B89</f>
        <v>1/0 ACSR</v>
      </c>
      <c r="C154" s="328">
        <f>E89</f>
        <v>0.78420343317217212</v>
      </c>
      <c r="D154" s="329">
        <f>F89</f>
        <v>230</v>
      </c>
      <c r="E154" s="332">
        <f t="shared" si="10"/>
        <v>0.67686367443012663</v>
      </c>
      <c r="F154" s="5"/>
      <c r="G154" s="5"/>
      <c r="I154" s="7"/>
      <c r="J154" s="110"/>
      <c r="K154" s="7"/>
      <c r="L154" s="5"/>
      <c r="M154" s="5"/>
      <c r="R154" s="5"/>
      <c r="S154" s="5"/>
      <c r="T154" s="68"/>
      <c r="U154" s="5"/>
      <c r="V154" s="5"/>
    </row>
    <row r="155" spans="2:22">
      <c r="B155" s="199" t="str">
        <f>B88</f>
        <v>3/0 ACSR</v>
      </c>
      <c r="C155" s="328">
        <f>E88</f>
        <v>0.76391844572787715</v>
      </c>
      <c r="D155" s="329">
        <f>F88</f>
        <v>310</v>
      </c>
      <c r="E155" s="332">
        <f t="shared" si="10"/>
        <v>0.99529464429269021</v>
      </c>
      <c r="F155" s="5"/>
      <c r="G155" s="5"/>
      <c r="I155" s="7"/>
      <c r="J155" s="110"/>
      <c r="K155" s="7"/>
      <c r="L155" s="5"/>
      <c r="M155" s="5"/>
      <c r="R155" s="5"/>
      <c r="S155" s="5"/>
      <c r="T155" s="68"/>
      <c r="U155" s="5"/>
      <c r="V155" s="5"/>
    </row>
    <row r="156" spans="2:22">
      <c r="B156" s="199" t="str">
        <f>B87</f>
        <v>4/0 ACSR</v>
      </c>
      <c r="C156" s="328">
        <f>E87</f>
        <v>0.39032025478833987</v>
      </c>
      <c r="D156" s="329">
        <f>F87</f>
        <v>350</v>
      </c>
      <c r="E156" s="332">
        <f t="shared" si="10"/>
        <v>1.2069155896276844</v>
      </c>
      <c r="F156" s="5"/>
      <c r="G156" s="5"/>
      <c r="I156" s="7"/>
      <c r="J156" s="110"/>
      <c r="K156" s="7"/>
      <c r="L156" s="5"/>
      <c r="M156" s="5"/>
      <c r="R156" s="5"/>
      <c r="S156" s="5"/>
      <c r="T156" s="68"/>
      <c r="U156" s="5"/>
      <c r="V156" s="5"/>
    </row>
    <row r="157" spans="2:22">
      <c r="B157" s="199" t="str">
        <f>B90</f>
        <v>336.4 ACSR</v>
      </c>
      <c r="C157" s="328">
        <f>E90</f>
        <v>1.5214179187607331</v>
      </c>
      <c r="D157" s="329">
        <f>F90</f>
        <v>519</v>
      </c>
      <c r="E157" s="332">
        <f t="shared" si="10"/>
        <v>2.7253105259886388</v>
      </c>
      <c r="F157" s="5"/>
      <c r="G157" s="5"/>
      <c r="I157" s="7"/>
      <c r="J157" s="110"/>
      <c r="K157" s="7"/>
      <c r="L157" s="5"/>
      <c r="M157" s="5"/>
      <c r="R157" s="5"/>
      <c r="S157" s="5"/>
      <c r="T157" s="68"/>
      <c r="U157" s="5"/>
      <c r="V157" s="5"/>
    </row>
    <row r="158" spans="2:22">
      <c r="B158" s="117" t="str">
        <f>B92</f>
        <v>6ACWC</v>
      </c>
      <c r="C158" s="330">
        <f>E92</f>
        <v>0.15458908434834673</v>
      </c>
      <c r="D158" s="7">
        <f>F92</f>
        <v>140</v>
      </c>
      <c r="E158" s="332">
        <f t="shared" si="10"/>
        <v>0.43865131925628154</v>
      </c>
      <c r="F158" s="5"/>
      <c r="G158" s="5"/>
      <c r="I158" s="7"/>
      <c r="J158" s="110"/>
      <c r="K158" s="7"/>
      <c r="L158" s="5"/>
      <c r="M158" s="5"/>
      <c r="R158" s="5"/>
      <c r="S158" s="5"/>
      <c r="T158" s="68"/>
      <c r="U158" s="5"/>
      <c r="V158" s="5"/>
    </row>
    <row r="159" spans="2:22">
      <c r="B159" s="117" t="str">
        <f>B93</f>
        <v>8 ACWC</v>
      </c>
      <c r="C159" s="330">
        <f>E93</f>
        <v>0.15202883065297437</v>
      </c>
      <c r="D159" s="7">
        <f>F93</f>
        <v>100</v>
      </c>
      <c r="E159" s="332">
        <f t="shared" si="10"/>
        <v>0.36173806397047265</v>
      </c>
      <c r="F159" s="5"/>
      <c r="G159" s="5"/>
      <c r="I159" s="7"/>
      <c r="J159" s="110"/>
      <c r="K159" s="7"/>
      <c r="L159" s="5"/>
      <c r="M159" s="5"/>
      <c r="R159" s="5"/>
      <c r="S159" s="5"/>
      <c r="T159" s="68"/>
      <c r="U159" s="5"/>
      <c r="V159" s="5"/>
    </row>
    <row r="160" spans="2:22">
      <c r="B160" s="117" t="s">
        <v>1</v>
      </c>
      <c r="C160" s="206" t="s">
        <v>1</v>
      </c>
      <c r="D160" s="110" t="s">
        <v>1</v>
      </c>
      <c r="E160" s="207" t="s">
        <v>1</v>
      </c>
      <c r="F160" s="5"/>
      <c r="G160" s="5"/>
      <c r="I160" s="7"/>
      <c r="J160" s="110"/>
      <c r="K160" s="7"/>
      <c r="L160" s="5"/>
      <c r="M160" s="5"/>
      <c r="R160" s="5"/>
      <c r="S160" s="5"/>
      <c r="T160" s="68"/>
      <c r="U160" s="5"/>
      <c r="V160" s="5"/>
    </row>
    <row r="161" spans="1:22">
      <c r="B161" s="117" t="s">
        <v>1</v>
      </c>
      <c r="C161" s="206" t="s">
        <v>1</v>
      </c>
      <c r="D161" s="110" t="s">
        <v>1</v>
      </c>
      <c r="E161" s="207" t="s">
        <v>1</v>
      </c>
      <c r="F161" s="5"/>
      <c r="G161" s="5"/>
      <c r="I161" s="7"/>
      <c r="J161" s="110"/>
      <c r="K161" s="7"/>
      <c r="L161" s="5"/>
      <c r="M161" s="5"/>
      <c r="R161" s="5"/>
      <c r="S161" s="5"/>
      <c r="T161" s="68"/>
      <c r="U161" s="5"/>
      <c r="V161" s="5"/>
    </row>
    <row r="162" spans="1:22" ht="13.5" thickBot="1">
      <c r="B162" s="158"/>
      <c r="C162" s="208"/>
      <c r="D162" s="159"/>
      <c r="E162" s="306" t="s">
        <v>1</v>
      </c>
      <c r="F162" s="5"/>
      <c r="G162" s="5"/>
      <c r="I162" s="7"/>
      <c r="J162" s="110"/>
      <c r="K162" s="7"/>
      <c r="L162" s="5"/>
      <c r="M162" s="5"/>
      <c r="R162" s="5"/>
      <c r="S162" s="5"/>
      <c r="T162" s="68"/>
      <c r="U162" s="5"/>
      <c r="V162" s="5"/>
    </row>
    <row r="163" spans="1:22">
      <c r="B163" s="5"/>
      <c r="C163" s="5"/>
      <c r="D163" s="5"/>
      <c r="E163" s="5"/>
      <c r="F163" s="5"/>
      <c r="K163" s="7" t="s">
        <v>1</v>
      </c>
      <c r="L163" s="5"/>
      <c r="M163" s="5"/>
      <c r="R163" s="5"/>
      <c r="S163" s="5"/>
      <c r="T163" s="68"/>
      <c r="U163" s="5"/>
      <c r="V163" s="5"/>
    </row>
    <row r="164" spans="1:22">
      <c r="B164" s="5"/>
      <c r="C164" s="5"/>
      <c r="D164" s="5"/>
      <c r="E164" s="5"/>
      <c r="F164" s="5"/>
      <c r="K164" s="7"/>
      <c r="L164" s="5"/>
      <c r="M164" s="5"/>
      <c r="R164" s="5"/>
      <c r="S164" s="5"/>
      <c r="T164" s="68"/>
      <c r="U164" s="5"/>
      <c r="V164" s="5"/>
    </row>
    <row r="165" spans="1:22">
      <c r="A165" s="111" t="s">
        <v>146</v>
      </c>
      <c r="B165" s="5"/>
      <c r="C165" s="5"/>
      <c r="D165" s="5"/>
      <c r="E165" s="5"/>
      <c r="F165" s="5"/>
      <c r="K165" s="7"/>
      <c r="L165" s="5"/>
      <c r="M165" s="5"/>
      <c r="R165" s="5"/>
      <c r="S165" s="5"/>
      <c r="T165" s="68"/>
      <c r="U165" s="5"/>
      <c r="V165" s="5"/>
    </row>
    <row r="166" spans="1:22">
      <c r="B166" s="5"/>
      <c r="C166" s="5"/>
      <c r="D166" s="5"/>
      <c r="E166" s="5"/>
      <c r="F166" s="5"/>
      <c r="K166" s="7"/>
      <c r="L166" s="5"/>
      <c r="M166" s="5"/>
      <c r="R166" s="5"/>
      <c r="S166" s="5"/>
      <c r="T166" s="68"/>
      <c r="U166" s="5"/>
      <c r="V166" s="5"/>
    </row>
    <row r="167" spans="1:22" ht="13.5" thickBot="1">
      <c r="B167" s="5"/>
      <c r="C167" s="5"/>
      <c r="D167" s="5"/>
      <c r="E167" s="5"/>
      <c r="F167" s="5"/>
      <c r="K167" s="7"/>
      <c r="L167" s="5"/>
      <c r="M167" s="5"/>
      <c r="R167" s="5"/>
      <c r="S167" s="5"/>
      <c r="T167" s="68"/>
      <c r="U167" s="5"/>
      <c r="V167" s="5"/>
    </row>
    <row r="168" spans="1:22" ht="13.5" thickBot="1">
      <c r="A168" s="215" t="s">
        <v>16</v>
      </c>
      <c r="B168" s="163" t="s">
        <v>15</v>
      </c>
      <c r="C168" s="773" t="s">
        <v>297</v>
      </c>
      <c r="D168" s="774"/>
      <c r="E168" s="320" t="s">
        <v>298</v>
      </c>
      <c r="F168" s="321"/>
      <c r="K168" s="7"/>
      <c r="L168" s="5"/>
      <c r="M168" s="5"/>
      <c r="R168" s="5"/>
      <c r="S168" s="5"/>
      <c r="T168" s="68"/>
      <c r="U168" s="5"/>
      <c r="V168" s="5"/>
    </row>
    <row r="169" spans="1:22" ht="13.5" thickBot="1">
      <c r="A169" s="217" t="s">
        <v>18</v>
      </c>
      <c r="B169" s="177" t="s">
        <v>134</v>
      </c>
      <c r="C169" s="172" t="s">
        <v>114</v>
      </c>
      <c r="D169" s="178" t="s">
        <v>116</v>
      </c>
      <c r="E169" s="179" t="s">
        <v>114</v>
      </c>
      <c r="F169" s="178" t="s">
        <v>116</v>
      </c>
      <c r="K169" s="7"/>
      <c r="L169" s="5"/>
      <c r="M169" s="5"/>
      <c r="R169" s="5"/>
      <c r="S169" s="5"/>
      <c r="T169" s="68"/>
      <c r="U169" s="5"/>
      <c r="V169" s="5"/>
    </row>
    <row r="170" spans="1:22">
      <c r="A170" s="216">
        <v>364</v>
      </c>
      <c r="B170" s="214">
        <f>D23</f>
        <v>63612933.850000009</v>
      </c>
      <c r="C170" s="165">
        <f>F35</f>
        <v>0.19932632434226336</v>
      </c>
      <c r="D170" s="174">
        <f>(C170*B170)</f>
        <v>12679732.284948045</v>
      </c>
      <c r="E170" s="169">
        <f>F36</f>
        <v>0.80067367565773662</v>
      </c>
      <c r="F170" s="173">
        <f>(E170*B170)</f>
        <v>50933201.565051965</v>
      </c>
      <c r="G170" s="319"/>
      <c r="H170" s="243"/>
      <c r="I170" s="167"/>
      <c r="J170" s="167"/>
      <c r="K170" s="7"/>
      <c r="L170" s="110"/>
      <c r="M170" s="110"/>
      <c r="N170" s="7"/>
      <c r="R170" s="110"/>
      <c r="S170" s="110"/>
    </row>
    <row r="171" spans="1:22">
      <c r="A171" s="216">
        <v>365</v>
      </c>
      <c r="B171" s="164">
        <f>C106</f>
        <v>61967293.810000002</v>
      </c>
      <c r="C171" s="166">
        <f>F119</f>
        <v>0.33894789206469655</v>
      </c>
      <c r="D171" s="174">
        <f>(C171*B171)</f>
        <v>21003683.61385322</v>
      </c>
      <c r="E171" s="168">
        <f>F120</f>
        <v>0.66105210793530345</v>
      </c>
      <c r="F171" s="173">
        <f>(E171*B171)</f>
        <v>40963610.196146786</v>
      </c>
      <c r="G171" s="106"/>
      <c r="H171" s="243"/>
      <c r="I171" s="167"/>
      <c r="J171" s="167"/>
      <c r="K171" s="7"/>
      <c r="L171" s="110"/>
      <c r="M171" s="110"/>
      <c r="N171" s="7"/>
      <c r="R171" s="110"/>
      <c r="S171" s="110"/>
    </row>
    <row r="172" spans="1:22" ht="15" customHeight="1" thickBot="1">
      <c r="A172" s="216"/>
      <c r="B172" s="218">
        <f>(B170+B171)</f>
        <v>125580227.66000001</v>
      </c>
      <c r="C172" s="218" t="s">
        <v>1</v>
      </c>
      <c r="D172" s="219">
        <f>(D170+D171)</f>
        <v>33683415.898801267</v>
      </c>
      <c r="E172" s="219" t="s">
        <v>1</v>
      </c>
      <c r="F172" s="220">
        <f>(F170+F171)</f>
        <v>91896811.761198759</v>
      </c>
      <c r="H172" s="243"/>
      <c r="I172" s="167"/>
      <c r="J172" s="167"/>
      <c r="K172" s="7"/>
      <c r="R172" s="110"/>
      <c r="S172" s="110"/>
    </row>
    <row r="173" spans="1:22" ht="13.5" thickTop="1">
      <c r="A173" s="216"/>
      <c r="B173" s="164"/>
      <c r="C173" s="117"/>
      <c r="D173" s="174"/>
      <c r="E173" s="110"/>
      <c r="F173" s="174"/>
      <c r="G173" s="241"/>
      <c r="H173" s="242"/>
      <c r="I173" s="241"/>
      <c r="J173" s="241"/>
      <c r="K173" s="242"/>
      <c r="L173" s="241"/>
      <c r="M173" s="241"/>
      <c r="N173" s="242"/>
      <c r="O173" s="241"/>
      <c r="P173" s="241"/>
      <c r="R173" s="5"/>
      <c r="S173" s="5"/>
      <c r="T173" s="5"/>
      <c r="U173" s="5"/>
      <c r="V173" s="5"/>
    </row>
    <row r="174" spans="1:22" ht="13.5" thickBot="1">
      <c r="A174" s="217" t="s">
        <v>91</v>
      </c>
      <c r="B174" s="171">
        <f>(D174+F174)</f>
        <v>1</v>
      </c>
      <c r="C174" s="158"/>
      <c r="D174" s="176">
        <f>(D172/B172)</f>
        <v>0.26822228726959185</v>
      </c>
      <c r="E174" s="170"/>
      <c r="F174" s="175">
        <f>(F172/B172)</f>
        <v>0.73177771273040826</v>
      </c>
      <c r="L174" s="110"/>
      <c r="R174" s="110"/>
      <c r="S174" s="110"/>
    </row>
    <row r="175" spans="1:22">
      <c r="A175" s="117"/>
      <c r="L175" s="110"/>
      <c r="R175" s="68"/>
      <c r="S175" s="68"/>
      <c r="T175" s="109"/>
    </row>
    <row r="176" spans="1:22">
      <c r="A176" s="110"/>
      <c r="L176" s="110"/>
      <c r="R176" s="68"/>
      <c r="S176" s="68"/>
      <c r="T176" s="109"/>
      <c r="U176" s="5"/>
      <c r="V176" s="110"/>
    </row>
    <row r="177" spans="1:22">
      <c r="A177" s="110"/>
      <c r="R177" s="68"/>
      <c r="S177" s="68"/>
      <c r="T177" s="109"/>
      <c r="U177" s="5"/>
      <c r="V177" s="110"/>
    </row>
    <row r="178" spans="1:22" ht="15">
      <c r="A178" s="767" t="s">
        <v>302</v>
      </c>
      <c r="B178" s="767"/>
      <c r="C178" s="767"/>
      <c r="D178" s="767"/>
      <c r="E178" s="767"/>
      <c r="F178" s="767"/>
      <c r="L178" s="110"/>
      <c r="R178" s="68"/>
      <c r="S178" s="68"/>
      <c r="T178" s="109"/>
      <c r="U178" s="5"/>
      <c r="V178" s="110"/>
    </row>
    <row r="179" spans="1:22" ht="13.5" thickBot="1">
      <c r="A179" s="106"/>
      <c r="B179" s="106"/>
      <c r="C179" s="106"/>
      <c r="D179" s="106"/>
      <c r="E179" s="106"/>
      <c r="F179" s="181"/>
      <c r="L179" s="110"/>
      <c r="R179" s="68"/>
      <c r="S179" s="68"/>
      <c r="T179" s="109"/>
      <c r="U179" s="5"/>
      <c r="V179" s="110"/>
    </row>
    <row r="180" spans="1:22">
      <c r="B180" s="110"/>
      <c r="C180" s="182" t="s">
        <v>304</v>
      </c>
      <c r="D180" s="184" t="s">
        <v>121</v>
      </c>
      <c r="E180" s="182" t="s">
        <v>15</v>
      </c>
      <c r="F180" s="182" t="s">
        <v>290</v>
      </c>
      <c r="R180" s="68"/>
      <c r="S180" s="68"/>
      <c r="T180" s="109"/>
      <c r="U180" s="5"/>
      <c r="V180" s="110"/>
    </row>
    <row r="181" spans="1:22" ht="13.5" thickBot="1">
      <c r="A181" s="3"/>
      <c r="B181" s="106" t="s">
        <v>303</v>
      </c>
      <c r="C181" s="183" t="s">
        <v>305</v>
      </c>
      <c r="D181" s="185" t="s">
        <v>283</v>
      </c>
      <c r="E181" s="183" t="s">
        <v>216</v>
      </c>
      <c r="F181" s="183" t="s">
        <v>216</v>
      </c>
      <c r="R181" s="68"/>
      <c r="S181" s="68"/>
      <c r="T181" s="109"/>
      <c r="U181" s="5"/>
      <c r="V181" s="110"/>
    </row>
    <row r="182" spans="1:22">
      <c r="A182" s="110"/>
      <c r="B182" s="110" t="s">
        <v>266</v>
      </c>
      <c r="C182" s="6">
        <v>1.5</v>
      </c>
      <c r="D182" s="11">
        <v>1</v>
      </c>
      <c r="E182" s="11">
        <v>90.85</v>
      </c>
      <c r="F182" s="110">
        <f>(E182/D182)</f>
        <v>90.85</v>
      </c>
      <c r="R182" s="68"/>
      <c r="S182" s="68"/>
      <c r="T182" s="109"/>
      <c r="U182" s="5"/>
    </row>
    <row r="183" spans="1:22">
      <c r="A183" s="110"/>
      <c r="B183" s="110" t="s">
        <v>488</v>
      </c>
      <c r="C183" s="6">
        <v>1.5</v>
      </c>
      <c r="D183" s="11">
        <v>15</v>
      </c>
      <c r="E183" s="11">
        <v>1752.76</v>
      </c>
      <c r="F183" s="110">
        <f>(E183/D183)</f>
        <v>116.85066666666667</v>
      </c>
      <c r="H183" s="109"/>
      <c r="L183" s="11"/>
      <c r="M183" s="11"/>
      <c r="R183" s="68"/>
      <c r="S183" s="68"/>
      <c r="T183" s="109"/>
      <c r="U183" s="5"/>
    </row>
    <row r="184" spans="1:22">
      <c r="A184" s="110"/>
      <c r="B184" s="110" t="s">
        <v>359</v>
      </c>
      <c r="C184" s="6">
        <v>3</v>
      </c>
      <c r="D184" s="11">
        <v>72</v>
      </c>
      <c r="E184" s="11">
        <v>8122.76</v>
      </c>
      <c r="F184" s="110">
        <f t="shared" ref="F184:F216" si="11">(E184/D184)</f>
        <v>112.81611111111111</v>
      </c>
      <c r="R184" s="68">
        <f t="shared" ref="R184:S184" si="12">SUM(H184,K184,N184)</f>
        <v>0</v>
      </c>
      <c r="S184" s="68">
        <f t="shared" si="12"/>
        <v>0</v>
      </c>
      <c r="T184" s="5"/>
      <c r="U184" s="5"/>
    </row>
    <row r="185" spans="1:22">
      <c r="A185" s="110"/>
      <c r="B185" s="110" t="s">
        <v>360</v>
      </c>
      <c r="C185" s="6">
        <v>5</v>
      </c>
      <c r="D185" s="11">
        <v>165</v>
      </c>
      <c r="E185" s="11">
        <v>19276.12</v>
      </c>
      <c r="F185" s="110">
        <f t="shared" si="11"/>
        <v>116.82496969696969</v>
      </c>
      <c r="G185" s="109" t="s">
        <v>1</v>
      </c>
      <c r="I185" s="109" t="s">
        <v>1</v>
      </c>
      <c r="J185" s="109" t="s">
        <v>1</v>
      </c>
      <c r="L185" s="109" t="s">
        <v>1</v>
      </c>
      <c r="R185" s="5"/>
      <c r="S185" s="5"/>
      <c r="T185" s="5"/>
      <c r="U185" s="5"/>
    </row>
    <row r="186" spans="1:22">
      <c r="A186" s="110"/>
      <c r="B186" s="110" t="s">
        <v>361</v>
      </c>
      <c r="C186" s="6">
        <v>10</v>
      </c>
      <c r="D186" s="11">
        <v>6125</v>
      </c>
      <c r="E186" s="11">
        <v>2257642.77</v>
      </c>
      <c r="F186" s="110">
        <f t="shared" si="11"/>
        <v>368.5947379591837</v>
      </c>
      <c r="G186" s="109" t="s">
        <v>1</v>
      </c>
      <c r="I186" s="109" t="s">
        <v>1</v>
      </c>
      <c r="J186" s="109" t="s">
        <v>1</v>
      </c>
      <c r="L186" s="109" t="s">
        <v>1</v>
      </c>
      <c r="R186" s="5"/>
      <c r="S186" s="5"/>
      <c r="T186" s="5"/>
      <c r="U186" s="5"/>
    </row>
    <row r="187" spans="1:22">
      <c r="A187" s="110"/>
      <c r="B187" s="110" t="s">
        <v>480</v>
      </c>
      <c r="C187" s="6">
        <v>10</v>
      </c>
      <c r="D187" s="11">
        <v>512</v>
      </c>
      <c r="E187" s="11">
        <v>183803.1</v>
      </c>
      <c r="F187" s="110">
        <f t="shared" si="11"/>
        <v>358.99042968750001</v>
      </c>
      <c r="G187" s="109" t="s">
        <v>1</v>
      </c>
      <c r="I187" s="109" t="s">
        <v>1</v>
      </c>
      <c r="J187" s="109" t="s">
        <v>1</v>
      </c>
      <c r="L187" s="109" t="s">
        <v>1</v>
      </c>
      <c r="R187" s="5"/>
      <c r="S187" s="5"/>
      <c r="T187" s="5"/>
      <c r="U187" s="5"/>
    </row>
    <row r="188" spans="1:22">
      <c r="A188" s="110"/>
      <c r="B188" s="110" t="s">
        <v>362</v>
      </c>
      <c r="C188" s="6">
        <v>15</v>
      </c>
      <c r="D188" s="11">
        <v>618</v>
      </c>
      <c r="E188" s="11">
        <v>245776.7</v>
      </c>
      <c r="F188" s="110">
        <f t="shared" si="11"/>
        <v>397.69692556634305</v>
      </c>
      <c r="G188" s="109" t="s">
        <v>1</v>
      </c>
      <c r="I188" s="109" t="s">
        <v>1</v>
      </c>
      <c r="J188" s="109" t="s">
        <v>1</v>
      </c>
      <c r="L188" s="109" t="s">
        <v>1</v>
      </c>
      <c r="R188" s="5"/>
      <c r="S188" s="5"/>
      <c r="T188" s="5"/>
      <c r="U188" s="5"/>
    </row>
    <row r="189" spans="1:22">
      <c r="A189" s="110"/>
      <c r="B189" s="110" t="s">
        <v>489</v>
      </c>
      <c r="C189" s="6">
        <v>15</v>
      </c>
      <c r="D189" s="11">
        <v>14892</v>
      </c>
      <c r="E189" s="11">
        <v>6963602.1299999999</v>
      </c>
      <c r="F189" s="110">
        <f t="shared" si="11"/>
        <v>467.6069117647059</v>
      </c>
      <c r="J189" s="109" t="s">
        <v>1</v>
      </c>
      <c r="L189" s="109" t="s">
        <v>1</v>
      </c>
      <c r="R189" s="5"/>
      <c r="S189" s="5"/>
      <c r="T189" s="5"/>
      <c r="U189" s="5"/>
    </row>
    <row r="190" spans="1:22">
      <c r="A190" s="110"/>
      <c r="B190" s="110" t="s">
        <v>494</v>
      </c>
      <c r="C190" s="6">
        <v>15</v>
      </c>
      <c r="D190" s="11">
        <v>54</v>
      </c>
      <c r="E190" s="11">
        <v>51089.3</v>
      </c>
      <c r="F190" s="110">
        <f t="shared" si="11"/>
        <v>946.0981481481482</v>
      </c>
      <c r="J190" s="109" t="s">
        <v>1</v>
      </c>
      <c r="L190" s="109" t="s">
        <v>1</v>
      </c>
      <c r="R190" s="5"/>
      <c r="S190" s="5"/>
      <c r="T190" s="5"/>
      <c r="U190" s="5"/>
      <c r="V190" s="5"/>
    </row>
    <row r="191" spans="1:22">
      <c r="A191" s="110"/>
      <c r="B191" s="110" t="s">
        <v>490</v>
      </c>
      <c r="C191" s="6">
        <v>25</v>
      </c>
      <c r="D191" s="11">
        <v>8401</v>
      </c>
      <c r="E191" s="68">
        <v>4674805.9800000004</v>
      </c>
      <c r="F191" s="110">
        <f t="shared" si="11"/>
        <v>556.45827639566721</v>
      </c>
      <c r="L191" s="110"/>
      <c r="R191" s="5"/>
      <c r="S191" s="5"/>
      <c r="T191" s="5"/>
      <c r="U191" s="5"/>
      <c r="V191" s="5"/>
    </row>
    <row r="192" spans="1:22">
      <c r="A192" s="110"/>
      <c r="B192" s="110" t="s">
        <v>481</v>
      </c>
      <c r="C192" s="6">
        <v>25</v>
      </c>
      <c r="D192" s="11">
        <v>663</v>
      </c>
      <c r="E192" s="68">
        <v>323009.42</v>
      </c>
      <c r="F192" s="110">
        <f t="shared" si="11"/>
        <v>487.19369532428351</v>
      </c>
      <c r="L192" s="110"/>
      <c r="M192" s="11">
        <f>(F210)</f>
        <v>2809.7786956521741</v>
      </c>
      <c r="R192" s="5"/>
      <c r="S192" s="5"/>
      <c r="T192" s="5"/>
      <c r="U192" s="5"/>
    </row>
    <row r="193" spans="1:21">
      <c r="A193" s="110"/>
      <c r="B193" s="110" t="s">
        <v>491</v>
      </c>
      <c r="C193" s="6">
        <v>37.5</v>
      </c>
      <c r="D193" s="11">
        <v>1506</v>
      </c>
      <c r="E193" s="68">
        <v>1192754.93</v>
      </c>
      <c r="F193" s="110">
        <f t="shared" si="11"/>
        <v>792.00194555112876</v>
      </c>
      <c r="L193" s="110"/>
      <c r="R193" s="5"/>
      <c r="S193" s="5"/>
      <c r="T193" s="5"/>
      <c r="U193" s="5"/>
    </row>
    <row r="194" spans="1:21">
      <c r="A194" s="110"/>
      <c r="B194" s="110" t="s">
        <v>482</v>
      </c>
      <c r="C194" s="6">
        <v>37.5</v>
      </c>
      <c r="D194" s="11">
        <v>354</v>
      </c>
      <c r="E194" s="68">
        <v>174380.55</v>
      </c>
      <c r="F194" s="110">
        <f t="shared" si="11"/>
        <v>492.60042372881355</v>
      </c>
      <c r="L194" s="110"/>
      <c r="R194" s="5"/>
      <c r="S194" s="5"/>
      <c r="T194" s="5"/>
      <c r="U194" s="5"/>
    </row>
    <row r="195" spans="1:21">
      <c r="A195" s="110"/>
      <c r="B195" s="110" t="s">
        <v>363</v>
      </c>
      <c r="C195" s="6">
        <v>25</v>
      </c>
      <c r="D195" s="11">
        <v>1063</v>
      </c>
      <c r="E195" s="68">
        <v>1146116.27</v>
      </c>
      <c r="F195" s="110">
        <f t="shared" si="11"/>
        <v>1078.1902822201316</v>
      </c>
      <c r="L195" s="110"/>
      <c r="R195" s="5"/>
      <c r="S195" s="5"/>
      <c r="T195" s="5"/>
      <c r="U195" s="5"/>
    </row>
    <row r="196" spans="1:21">
      <c r="A196" s="110"/>
      <c r="B196" s="110" t="s">
        <v>493</v>
      </c>
      <c r="C196" s="6">
        <v>37.5</v>
      </c>
      <c r="D196" s="11">
        <v>233</v>
      </c>
      <c r="E196" s="68">
        <v>259625.65</v>
      </c>
      <c r="F196" s="110">
        <f t="shared" si="11"/>
        <v>1114.2731759656651</v>
      </c>
      <c r="L196" s="110"/>
      <c r="R196" s="5"/>
      <c r="S196" s="5"/>
      <c r="T196" s="5"/>
      <c r="U196" s="5"/>
    </row>
    <row r="197" spans="1:21">
      <c r="A197" s="110"/>
      <c r="B197" s="110" t="s">
        <v>500</v>
      </c>
      <c r="C197" s="6">
        <v>45</v>
      </c>
      <c r="D197" s="11">
        <v>1</v>
      </c>
      <c r="E197" s="68">
        <v>4223.38</v>
      </c>
      <c r="F197" s="110">
        <f t="shared" si="11"/>
        <v>4223.38</v>
      </c>
      <c r="L197" s="110"/>
      <c r="R197" s="5"/>
      <c r="S197" s="5"/>
      <c r="T197" s="5"/>
      <c r="U197" s="5"/>
    </row>
    <row r="198" spans="1:21">
      <c r="A198" s="110"/>
      <c r="B198" s="110" t="s">
        <v>492</v>
      </c>
      <c r="C198" s="6">
        <v>50</v>
      </c>
      <c r="D198" s="11">
        <v>237</v>
      </c>
      <c r="E198" s="68">
        <v>227534.89</v>
      </c>
      <c r="F198" s="110">
        <f t="shared" si="11"/>
        <v>960.06282700421946</v>
      </c>
      <c r="L198" s="110"/>
      <c r="R198" s="5"/>
      <c r="S198" s="5"/>
      <c r="T198" s="5"/>
      <c r="U198" s="5"/>
    </row>
    <row r="199" spans="1:21">
      <c r="A199" s="110"/>
      <c r="B199" s="110" t="s">
        <v>483</v>
      </c>
      <c r="C199" s="6">
        <v>50</v>
      </c>
      <c r="D199" s="11">
        <v>485</v>
      </c>
      <c r="E199" s="68">
        <v>365958.45</v>
      </c>
      <c r="F199" s="110">
        <f t="shared" si="11"/>
        <v>754.5535051546392</v>
      </c>
      <c r="L199" s="110"/>
      <c r="R199" s="5"/>
      <c r="S199" s="5"/>
      <c r="T199" s="5"/>
      <c r="U199" s="5"/>
    </row>
    <row r="200" spans="1:21">
      <c r="A200" s="110"/>
      <c r="B200" s="110" t="s">
        <v>364</v>
      </c>
      <c r="C200" s="6">
        <v>50</v>
      </c>
      <c r="D200" s="11">
        <v>121</v>
      </c>
      <c r="E200" s="68">
        <v>169302.24</v>
      </c>
      <c r="F200" s="110">
        <f t="shared" si="11"/>
        <v>1399.1920661157023</v>
      </c>
      <c r="L200" s="110"/>
      <c r="R200" s="5"/>
      <c r="S200" s="5"/>
      <c r="T200" s="5"/>
      <c r="U200" s="5"/>
    </row>
    <row r="201" spans="1:21">
      <c r="A201" s="110"/>
      <c r="B201" s="110" t="s">
        <v>484</v>
      </c>
      <c r="C201" s="6">
        <v>75</v>
      </c>
      <c r="D201" s="11">
        <v>172</v>
      </c>
      <c r="E201" s="68">
        <v>196977.52</v>
      </c>
      <c r="F201" s="110">
        <f t="shared" si="11"/>
        <v>1145.2181395348837</v>
      </c>
      <c r="L201" s="110"/>
      <c r="R201" s="5"/>
      <c r="S201" s="5"/>
      <c r="T201" s="5"/>
      <c r="U201" s="5"/>
    </row>
    <row r="202" spans="1:21">
      <c r="A202" s="110"/>
      <c r="B202" s="110" t="s">
        <v>528</v>
      </c>
      <c r="C202" s="6">
        <v>75</v>
      </c>
      <c r="D202" s="11">
        <v>18</v>
      </c>
      <c r="E202" s="68">
        <v>20777.849999999999</v>
      </c>
      <c r="F202" s="110">
        <f t="shared" si="11"/>
        <v>1154.3249999999998</v>
      </c>
      <c r="L202" s="110"/>
      <c r="R202" s="5"/>
      <c r="S202" s="5"/>
      <c r="T202" s="5"/>
      <c r="U202" s="5"/>
    </row>
    <row r="203" spans="1:21">
      <c r="A203" s="110"/>
      <c r="B203" s="110" t="s">
        <v>365</v>
      </c>
      <c r="C203" s="6">
        <v>75</v>
      </c>
      <c r="D203" s="7">
        <v>63</v>
      </c>
      <c r="E203" s="7">
        <v>147252.6</v>
      </c>
      <c r="F203" s="110">
        <f t="shared" si="11"/>
        <v>2337.3428571428572</v>
      </c>
      <c r="L203" s="110"/>
      <c r="R203" s="5"/>
      <c r="S203" s="5"/>
      <c r="T203" s="68"/>
      <c r="U203" s="5"/>
    </row>
    <row r="204" spans="1:21">
      <c r="A204" s="110"/>
      <c r="B204" s="110" t="s">
        <v>485</v>
      </c>
      <c r="C204" s="6">
        <v>100</v>
      </c>
      <c r="D204" s="7">
        <v>72</v>
      </c>
      <c r="E204" s="7">
        <v>121690.91</v>
      </c>
      <c r="F204" s="110">
        <f t="shared" si="11"/>
        <v>1690.1515277777778</v>
      </c>
      <c r="L204" s="110"/>
      <c r="R204" s="5"/>
      <c r="S204" s="5"/>
      <c r="T204" s="68"/>
      <c r="U204" s="5"/>
    </row>
    <row r="205" spans="1:21">
      <c r="A205" s="110"/>
      <c r="B205" s="110" t="s">
        <v>366</v>
      </c>
      <c r="C205" s="6">
        <v>100</v>
      </c>
      <c r="D205" s="7">
        <v>37</v>
      </c>
      <c r="E205" s="7">
        <v>78840.7</v>
      </c>
      <c r="F205" s="110">
        <f t="shared" si="11"/>
        <v>2130.8297297297295</v>
      </c>
      <c r="L205" s="110"/>
      <c r="R205" s="5"/>
      <c r="S205" s="5"/>
      <c r="T205" s="68"/>
      <c r="U205" s="5"/>
    </row>
    <row r="206" spans="1:21">
      <c r="A206" s="110"/>
      <c r="B206" s="110" t="s">
        <v>501</v>
      </c>
      <c r="C206" s="6">
        <v>112</v>
      </c>
      <c r="D206" s="7">
        <v>1</v>
      </c>
      <c r="E206" s="7">
        <v>3714.42</v>
      </c>
      <c r="F206" s="110">
        <f t="shared" si="11"/>
        <v>3714.42</v>
      </c>
      <c r="L206" s="110"/>
      <c r="S206" s="110"/>
    </row>
    <row r="207" spans="1:21">
      <c r="A207" s="110"/>
      <c r="B207" s="110" t="s">
        <v>499</v>
      </c>
      <c r="C207" s="6">
        <v>112</v>
      </c>
      <c r="D207" s="7">
        <v>30</v>
      </c>
      <c r="E207" s="7">
        <v>112041.74</v>
      </c>
      <c r="F207" s="110">
        <f t="shared" si="11"/>
        <v>3734.724666666667</v>
      </c>
      <c r="L207" s="110"/>
      <c r="S207" s="110"/>
    </row>
    <row r="208" spans="1:21">
      <c r="A208" s="110"/>
      <c r="B208" s="110" t="s">
        <v>367</v>
      </c>
      <c r="C208" s="6">
        <v>150</v>
      </c>
      <c r="D208" s="7">
        <v>9</v>
      </c>
      <c r="E208" s="7">
        <v>50224.83</v>
      </c>
      <c r="F208" s="110">
        <f t="shared" si="11"/>
        <v>5580.5366666666669</v>
      </c>
      <c r="L208" s="110"/>
      <c r="S208" s="110"/>
    </row>
    <row r="209" spans="1:20">
      <c r="A209" s="110"/>
      <c r="B209" s="110" t="s">
        <v>486</v>
      </c>
      <c r="C209" s="6">
        <v>167</v>
      </c>
      <c r="D209" s="7">
        <v>58</v>
      </c>
      <c r="E209" s="7">
        <v>128576</v>
      </c>
      <c r="F209" s="110">
        <f t="shared" si="11"/>
        <v>2216.8275862068967</v>
      </c>
      <c r="L209" s="110"/>
      <c r="S209" s="110"/>
    </row>
    <row r="210" spans="1:20">
      <c r="A210" s="110"/>
      <c r="B210" s="110" t="s">
        <v>368</v>
      </c>
      <c r="C210" s="6">
        <v>167</v>
      </c>
      <c r="D210" s="7">
        <v>23</v>
      </c>
      <c r="E210" s="7">
        <v>64624.91</v>
      </c>
      <c r="F210" s="110">
        <f t="shared" si="11"/>
        <v>2809.7786956521741</v>
      </c>
      <c r="L210" s="110"/>
      <c r="S210" s="110"/>
    </row>
    <row r="211" spans="1:20">
      <c r="A211" s="110"/>
      <c r="B211" s="110" t="s">
        <v>369</v>
      </c>
      <c r="C211" s="6">
        <v>225</v>
      </c>
      <c r="D211" s="7">
        <v>7</v>
      </c>
      <c r="E211" s="7">
        <v>40529.06</v>
      </c>
      <c r="F211" s="110">
        <f t="shared" si="11"/>
        <v>5789.8657142857137</v>
      </c>
      <c r="L211" s="110"/>
      <c r="S211" s="110"/>
    </row>
    <row r="212" spans="1:20">
      <c r="A212" s="110"/>
      <c r="B212" s="110" t="s">
        <v>370</v>
      </c>
      <c r="C212" s="6">
        <v>300</v>
      </c>
      <c r="D212" s="7">
        <v>32</v>
      </c>
      <c r="E212" s="68">
        <v>173938.12</v>
      </c>
      <c r="F212" s="110">
        <f t="shared" si="11"/>
        <v>5435.5662499999999</v>
      </c>
      <c r="L212" s="110"/>
      <c r="S212" s="110"/>
    </row>
    <row r="213" spans="1:20">
      <c r="A213" s="110"/>
      <c r="B213" s="110" t="s">
        <v>487</v>
      </c>
      <c r="C213" s="6">
        <v>333</v>
      </c>
      <c r="D213" s="7">
        <v>20</v>
      </c>
      <c r="E213" s="11">
        <v>105290.9</v>
      </c>
      <c r="F213" s="110">
        <f t="shared" si="11"/>
        <v>5264.5450000000001</v>
      </c>
      <c r="L213" s="110"/>
      <c r="S213" s="110"/>
    </row>
    <row r="214" spans="1:20">
      <c r="A214" s="110"/>
      <c r="B214" s="110" t="s">
        <v>371</v>
      </c>
      <c r="C214" s="6">
        <v>500</v>
      </c>
      <c r="D214" s="11">
        <v>40</v>
      </c>
      <c r="E214" s="68">
        <v>242277.57</v>
      </c>
      <c r="F214" s="110">
        <f t="shared" si="11"/>
        <v>6056.9392500000004</v>
      </c>
      <c r="L214" s="110"/>
      <c r="S214" s="110"/>
    </row>
    <row r="215" spans="1:20">
      <c r="A215" s="110"/>
      <c r="B215" s="100" t="s">
        <v>372</v>
      </c>
      <c r="C215" s="6">
        <v>750</v>
      </c>
      <c r="D215" s="11">
        <v>18</v>
      </c>
      <c r="E215" s="68">
        <v>160390.15</v>
      </c>
      <c r="F215" s="110">
        <f t="shared" si="11"/>
        <v>8910.563888888888</v>
      </c>
      <c r="L215" s="110"/>
      <c r="S215" s="110"/>
    </row>
    <row r="216" spans="1:20">
      <c r="A216" s="110"/>
      <c r="B216" s="100" t="s">
        <v>373</v>
      </c>
      <c r="C216" s="6">
        <v>1000</v>
      </c>
      <c r="D216" s="11">
        <v>20</v>
      </c>
      <c r="E216" s="11">
        <v>209139.11</v>
      </c>
      <c r="F216" s="110">
        <f t="shared" si="11"/>
        <v>10456.9555</v>
      </c>
      <c r="L216" s="110"/>
      <c r="S216" s="110"/>
    </row>
    <row r="217" spans="1:20">
      <c r="A217" s="110"/>
      <c r="B217" s="110" t="s">
        <v>496</v>
      </c>
      <c r="C217" s="6">
        <v>1500</v>
      </c>
      <c r="D217" s="11">
        <v>7</v>
      </c>
      <c r="E217" s="11">
        <v>95099.17</v>
      </c>
      <c r="F217" s="110">
        <f>(E217/D217)</f>
        <v>13585.595714285713</v>
      </c>
      <c r="L217" s="110"/>
      <c r="S217" s="110"/>
    </row>
    <row r="218" spans="1:20">
      <c r="A218" s="110"/>
      <c r="B218" s="110" t="s">
        <v>497</v>
      </c>
      <c r="C218" s="6">
        <v>2000</v>
      </c>
      <c r="D218" s="11">
        <v>4</v>
      </c>
      <c r="E218" s="11">
        <v>73296.5</v>
      </c>
      <c r="F218" s="110">
        <f>(E218/D218)</f>
        <v>18324.125</v>
      </c>
      <c r="L218" s="110"/>
      <c r="S218" s="110"/>
    </row>
    <row r="219" spans="1:20">
      <c r="A219" s="110"/>
      <c r="B219" s="109" t="s">
        <v>495</v>
      </c>
      <c r="C219" s="6">
        <v>2500</v>
      </c>
      <c r="D219" s="11">
        <v>1</v>
      </c>
      <c r="E219" s="11">
        <v>18535.259999999998</v>
      </c>
      <c r="F219" s="110">
        <f>(E219/D219)</f>
        <v>18535.259999999998</v>
      </c>
      <c r="L219" s="110"/>
      <c r="S219" s="110"/>
    </row>
    <row r="220" spans="1:20">
      <c r="A220" s="110"/>
      <c r="B220" s="110"/>
      <c r="C220" s="6"/>
      <c r="D220" s="11"/>
      <c r="F220" s="110"/>
      <c r="L220" s="110"/>
      <c r="R220" s="3"/>
      <c r="S220" s="3"/>
    </row>
    <row r="221" spans="1:20" s="5" customFormat="1">
      <c r="A221" s="768" t="s">
        <v>334</v>
      </c>
      <c r="B221" s="768"/>
      <c r="C221" s="768"/>
      <c r="D221" s="768"/>
      <c r="E221" s="768"/>
      <c r="F221" s="768"/>
      <c r="H221" s="11"/>
      <c r="K221" s="11"/>
      <c r="N221" s="11"/>
      <c r="O221"/>
      <c r="P221"/>
      <c r="Q221"/>
      <c r="T221" s="68"/>
    </row>
    <row r="222" spans="1:20" s="5" customFormat="1">
      <c r="A222" s="110"/>
      <c r="B222" s="110"/>
      <c r="D222" s="11"/>
      <c r="E222" s="109"/>
      <c r="F222" s="110"/>
      <c r="H222" s="11"/>
      <c r="K222" s="11"/>
      <c r="N222" s="11"/>
      <c r="O222"/>
      <c r="P222"/>
      <c r="Q222"/>
      <c r="T222" s="68"/>
    </row>
    <row r="223" spans="1:20" s="5" customFormat="1">
      <c r="A223" s="110"/>
      <c r="B223" s="110"/>
      <c r="C223" s="231" t="s">
        <v>304</v>
      </c>
      <c r="D223" s="232" t="s">
        <v>121</v>
      </c>
      <c r="E223" s="231" t="s">
        <v>15</v>
      </c>
      <c r="F223" s="231" t="s">
        <v>290</v>
      </c>
      <c r="H223" s="11"/>
      <c r="K223" s="11"/>
      <c r="N223" s="11"/>
      <c r="O223"/>
      <c r="P223"/>
      <c r="Q223"/>
      <c r="T223" s="68"/>
    </row>
    <row r="224" spans="1:20" s="5" customFormat="1" ht="13.5" thickBot="1">
      <c r="A224" s="110"/>
      <c r="B224" s="106" t="s">
        <v>303</v>
      </c>
      <c r="C224" s="183" t="s">
        <v>305</v>
      </c>
      <c r="D224" s="185" t="s">
        <v>283</v>
      </c>
      <c r="E224" s="183" t="s">
        <v>216</v>
      </c>
      <c r="F224" s="183" t="s">
        <v>216</v>
      </c>
      <c r="H224" s="11"/>
      <c r="K224" s="11"/>
      <c r="N224" s="11"/>
      <c r="O224"/>
      <c r="P224"/>
      <c r="Q224"/>
      <c r="T224" s="68"/>
    </row>
    <row r="225" spans="1:20" s="5" customFormat="1">
      <c r="A225" s="110"/>
      <c r="B225" s="110" t="s">
        <v>498</v>
      </c>
      <c r="C225" s="6">
        <v>2500</v>
      </c>
      <c r="D225" s="11">
        <v>14</v>
      </c>
      <c r="E225" s="11">
        <v>303744.13</v>
      </c>
      <c r="F225" s="110">
        <f t="shared" ref="F225:F230" si="13">(E225/D225)</f>
        <v>21696.009285714284</v>
      </c>
      <c r="H225" s="11"/>
      <c r="K225" s="11"/>
      <c r="N225" s="11"/>
      <c r="O225"/>
      <c r="P225"/>
      <c r="Q225"/>
      <c r="T225" s="68"/>
    </row>
    <row r="226" spans="1:20" s="5" customFormat="1">
      <c r="A226" s="110"/>
      <c r="B226" s="110" t="s">
        <v>502</v>
      </c>
      <c r="C226" s="6">
        <v>15</v>
      </c>
      <c r="D226" s="11">
        <v>2246</v>
      </c>
      <c r="E226" s="11">
        <v>1641885.72</v>
      </c>
      <c r="F226" s="110">
        <f t="shared" si="13"/>
        <v>731.02658949243096</v>
      </c>
      <c r="H226" s="11"/>
      <c r="K226" s="11"/>
      <c r="N226" s="11"/>
      <c r="O226"/>
      <c r="P226"/>
      <c r="Q226"/>
      <c r="T226" s="68"/>
    </row>
    <row r="227" spans="1:20" s="5" customFormat="1">
      <c r="A227" s="110"/>
      <c r="B227" s="110" t="s">
        <v>503</v>
      </c>
      <c r="C227" s="6">
        <v>25</v>
      </c>
      <c r="D227" s="11">
        <v>1333</v>
      </c>
      <c r="E227" s="11">
        <v>1166902.03</v>
      </c>
      <c r="F227" s="110">
        <f t="shared" si="13"/>
        <v>875.39537134283569</v>
      </c>
      <c r="H227" s="11"/>
      <c r="K227" s="11"/>
      <c r="N227" s="11"/>
      <c r="O227"/>
      <c r="P227"/>
      <c r="Q227"/>
      <c r="T227" s="68"/>
    </row>
    <row r="228" spans="1:20" s="5" customFormat="1">
      <c r="A228" s="110"/>
      <c r="B228" s="110" t="s">
        <v>504</v>
      </c>
      <c r="C228" s="6">
        <v>37.5</v>
      </c>
      <c r="D228" s="11">
        <v>46</v>
      </c>
      <c r="E228" s="11">
        <v>46636.02</v>
      </c>
      <c r="F228" s="110">
        <f t="shared" si="13"/>
        <v>1013.8265217391304</v>
      </c>
      <c r="H228" s="11"/>
      <c r="K228" s="11"/>
      <c r="N228" s="11"/>
      <c r="O228"/>
      <c r="P228"/>
      <c r="Q228"/>
      <c r="T228" s="68"/>
    </row>
    <row r="229" spans="1:20" s="5" customFormat="1">
      <c r="A229" s="110"/>
      <c r="B229" s="110" t="s">
        <v>505</v>
      </c>
      <c r="C229" s="6">
        <v>50</v>
      </c>
      <c r="D229" s="11">
        <v>206</v>
      </c>
      <c r="E229" s="11">
        <v>268078.88</v>
      </c>
      <c r="F229" s="110">
        <f t="shared" si="13"/>
        <v>1301.3537864077671</v>
      </c>
      <c r="H229" s="11"/>
      <c r="K229" s="11"/>
      <c r="N229" s="11"/>
      <c r="O229"/>
      <c r="P229"/>
      <c r="Q229"/>
      <c r="T229" s="68"/>
    </row>
    <row r="230" spans="1:20" s="5" customFormat="1">
      <c r="A230" s="110"/>
      <c r="B230" s="110" t="s">
        <v>510</v>
      </c>
      <c r="C230" s="6">
        <v>10</v>
      </c>
      <c r="D230" s="11">
        <v>1056</v>
      </c>
      <c r="E230" s="11">
        <v>870040.12</v>
      </c>
      <c r="F230" s="110">
        <f t="shared" si="13"/>
        <v>823.90162878787874</v>
      </c>
      <c r="H230" s="11"/>
      <c r="K230" s="11"/>
      <c r="N230" s="11"/>
      <c r="O230"/>
      <c r="P230"/>
      <c r="Q230"/>
      <c r="T230" s="68"/>
    </row>
    <row r="231" spans="1:20" s="5" customFormat="1">
      <c r="A231" s="110"/>
      <c r="B231" s="110" t="s">
        <v>511</v>
      </c>
      <c r="C231" s="6">
        <v>15</v>
      </c>
      <c r="D231" s="11">
        <v>702</v>
      </c>
      <c r="E231" s="11">
        <v>649803.65</v>
      </c>
      <c r="F231" s="110">
        <f t="shared" ref="F231:F247" si="14">(E231/D231)</f>
        <v>925.6462250712251</v>
      </c>
      <c r="H231" s="11"/>
      <c r="K231" s="11"/>
      <c r="N231" s="11"/>
      <c r="O231"/>
      <c r="P231"/>
      <c r="Q231"/>
      <c r="T231" s="68"/>
    </row>
    <row r="232" spans="1:20" s="5" customFormat="1">
      <c r="A232" s="110"/>
      <c r="B232" s="110" t="s">
        <v>512</v>
      </c>
      <c r="C232" s="6">
        <v>50</v>
      </c>
      <c r="D232" s="11">
        <v>102</v>
      </c>
      <c r="E232" s="11">
        <v>188499.89</v>
      </c>
      <c r="F232" s="110">
        <f t="shared" si="14"/>
        <v>1848.038137254902</v>
      </c>
      <c r="H232" s="11"/>
      <c r="K232" s="11"/>
      <c r="N232" s="11"/>
      <c r="O232"/>
      <c r="P232"/>
      <c r="Q232"/>
      <c r="T232" s="68"/>
    </row>
    <row r="233" spans="1:20" s="5" customFormat="1">
      <c r="A233" s="110"/>
      <c r="B233" s="110" t="s">
        <v>510</v>
      </c>
      <c r="C233" s="6">
        <v>10</v>
      </c>
      <c r="D233" s="11">
        <v>17</v>
      </c>
      <c r="E233" s="11">
        <v>15221.71</v>
      </c>
      <c r="F233" s="110">
        <f t="shared" si="14"/>
        <v>895.39470588235292</v>
      </c>
      <c r="G233" s="319"/>
      <c r="H233" s="11"/>
      <c r="K233" s="11"/>
      <c r="N233" s="11"/>
      <c r="O233"/>
      <c r="P233"/>
      <c r="Q233"/>
      <c r="T233" s="68"/>
    </row>
    <row r="234" spans="1:20">
      <c r="A234" s="110"/>
      <c r="B234" s="110" t="s">
        <v>513</v>
      </c>
      <c r="C234" s="6">
        <v>15</v>
      </c>
      <c r="D234" s="11">
        <v>4</v>
      </c>
      <c r="E234" s="11">
        <v>44221.52</v>
      </c>
      <c r="F234" s="110">
        <f t="shared" si="14"/>
        <v>11055.38</v>
      </c>
    </row>
    <row r="235" spans="1:20">
      <c r="A235" s="110"/>
      <c r="B235" s="110" t="s">
        <v>514</v>
      </c>
      <c r="C235" s="6">
        <v>50</v>
      </c>
      <c r="D235" s="11">
        <v>2</v>
      </c>
      <c r="E235" s="11">
        <v>4195.4799999999996</v>
      </c>
      <c r="F235" s="110">
        <f t="shared" si="14"/>
        <v>2097.7399999999998</v>
      </c>
      <c r="G235"/>
      <c r="H235" s="17"/>
      <c r="I235"/>
      <c r="J235"/>
    </row>
    <row r="236" spans="1:20">
      <c r="A236" s="110"/>
      <c r="B236" s="110" t="s">
        <v>515</v>
      </c>
      <c r="C236" s="6">
        <v>75</v>
      </c>
      <c r="D236" s="11">
        <v>10</v>
      </c>
      <c r="E236" s="11">
        <v>30104.42</v>
      </c>
      <c r="F236" s="110">
        <f t="shared" si="14"/>
        <v>3010.442</v>
      </c>
      <c r="G236"/>
      <c r="H236" s="17"/>
      <c r="I236"/>
      <c r="J236"/>
    </row>
    <row r="237" spans="1:20">
      <c r="A237" s="110"/>
      <c r="B237" s="110" t="s">
        <v>516</v>
      </c>
      <c r="C237" s="6">
        <v>100</v>
      </c>
      <c r="D237" s="11">
        <v>9</v>
      </c>
      <c r="E237" s="11">
        <v>33006.300000000003</v>
      </c>
      <c r="F237" s="110">
        <f t="shared" si="14"/>
        <v>3667.3666666666668</v>
      </c>
      <c r="G237"/>
      <c r="H237" s="17"/>
      <c r="I237"/>
      <c r="J237"/>
    </row>
    <row r="238" spans="1:20">
      <c r="A238" s="110"/>
      <c r="B238" s="110" t="s">
        <v>517</v>
      </c>
      <c r="C238" s="6">
        <v>167</v>
      </c>
      <c r="D238" s="11">
        <v>8</v>
      </c>
      <c r="E238" s="11">
        <v>38899.519999999997</v>
      </c>
      <c r="F238" s="110">
        <f t="shared" si="14"/>
        <v>4862.4399999999996</v>
      </c>
      <c r="G238"/>
      <c r="H238" s="17"/>
      <c r="I238"/>
      <c r="J238"/>
    </row>
    <row r="239" spans="1:20">
      <c r="A239" s="110"/>
      <c r="B239" s="110" t="s">
        <v>518</v>
      </c>
      <c r="C239" s="6">
        <v>250</v>
      </c>
      <c r="D239" s="11">
        <v>3</v>
      </c>
      <c r="E239" s="11">
        <v>17200.32</v>
      </c>
      <c r="F239" s="110">
        <f t="shared" si="14"/>
        <v>5733.44</v>
      </c>
      <c r="G239"/>
      <c r="H239" s="17"/>
      <c r="I239"/>
      <c r="J239"/>
    </row>
    <row r="240" spans="1:20">
      <c r="A240" s="110"/>
      <c r="B240" s="110" t="s">
        <v>519</v>
      </c>
      <c r="C240" s="6">
        <v>15</v>
      </c>
      <c r="D240" s="11">
        <v>133</v>
      </c>
      <c r="E240" s="11">
        <v>205633.04</v>
      </c>
      <c r="F240" s="110">
        <f t="shared" si="14"/>
        <v>1546.113082706767</v>
      </c>
      <c r="G240"/>
      <c r="H240" s="17"/>
      <c r="I240"/>
      <c r="J240"/>
    </row>
    <row r="241" spans="1:20">
      <c r="A241" s="110"/>
      <c r="B241" s="110" t="s">
        <v>520</v>
      </c>
      <c r="C241" s="6">
        <v>50</v>
      </c>
      <c r="D241" s="11">
        <v>27</v>
      </c>
      <c r="E241" s="11">
        <v>58702</v>
      </c>
      <c r="F241" s="110">
        <f t="shared" si="14"/>
        <v>2174.1481481481483</v>
      </c>
      <c r="G241"/>
      <c r="H241" s="17"/>
      <c r="I241"/>
      <c r="J241"/>
    </row>
    <row r="242" spans="1:20">
      <c r="A242" s="110"/>
      <c r="B242" s="110" t="s">
        <v>521</v>
      </c>
      <c r="C242" s="6">
        <v>75</v>
      </c>
      <c r="D242" s="11">
        <v>3</v>
      </c>
      <c r="E242" s="11">
        <v>9734.19</v>
      </c>
      <c r="F242" s="110">
        <f t="shared" si="14"/>
        <v>3244.73</v>
      </c>
      <c r="G242"/>
      <c r="H242" s="17"/>
      <c r="I242"/>
      <c r="J242"/>
    </row>
    <row r="243" spans="1:20">
      <c r="A243" s="110"/>
      <c r="B243" s="110" t="s">
        <v>522</v>
      </c>
      <c r="C243" s="6">
        <v>25</v>
      </c>
      <c r="D243" s="11">
        <v>7</v>
      </c>
      <c r="E243" s="11">
        <v>11788.56</v>
      </c>
      <c r="F243" s="110">
        <f t="shared" si="14"/>
        <v>1684.08</v>
      </c>
      <c r="G243"/>
      <c r="H243" s="17"/>
      <c r="I243"/>
      <c r="J243"/>
    </row>
    <row r="244" spans="1:20">
      <c r="A244" s="110"/>
      <c r="B244" s="110" t="s">
        <v>523</v>
      </c>
      <c r="C244" s="6">
        <v>25</v>
      </c>
      <c r="D244" s="11">
        <v>10</v>
      </c>
      <c r="E244" s="11">
        <v>12532.7</v>
      </c>
      <c r="F244" s="110">
        <f t="shared" si="14"/>
        <v>1253.27</v>
      </c>
      <c r="G244"/>
      <c r="H244" s="17"/>
      <c r="I244"/>
      <c r="J244"/>
    </row>
    <row r="245" spans="1:20">
      <c r="A245" s="110"/>
      <c r="B245" s="110" t="s">
        <v>524</v>
      </c>
      <c r="C245" s="6">
        <v>100</v>
      </c>
      <c r="D245" s="11">
        <v>2</v>
      </c>
      <c r="E245" s="11">
        <v>28911.62</v>
      </c>
      <c r="F245" s="110">
        <f t="shared" si="14"/>
        <v>14455.81</v>
      </c>
      <c r="G245"/>
      <c r="H245" s="17"/>
      <c r="I245"/>
      <c r="J245"/>
    </row>
    <row r="246" spans="1:20">
      <c r="A246" s="110"/>
      <c r="B246" s="110" t="s">
        <v>525</v>
      </c>
      <c r="C246" s="6">
        <v>1500</v>
      </c>
      <c r="D246" s="11">
        <v>2</v>
      </c>
      <c r="E246" s="11">
        <v>35866.400000000001</v>
      </c>
      <c r="F246" s="110">
        <f t="shared" si="14"/>
        <v>17933.2</v>
      </c>
      <c r="G246"/>
      <c r="H246" s="17"/>
      <c r="I246"/>
      <c r="J246"/>
    </row>
    <row r="247" spans="1:20">
      <c r="A247" s="110"/>
      <c r="B247" s="110" t="s">
        <v>526</v>
      </c>
      <c r="C247" s="6">
        <v>300</v>
      </c>
      <c r="D247" s="11">
        <v>2</v>
      </c>
      <c r="E247" s="11">
        <v>15950.88</v>
      </c>
      <c r="F247" s="110">
        <f t="shared" si="14"/>
        <v>7975.44</v>
      </c>
      <c r="G247"/>
      <c r="H247" s="17"/>
      <c r="I247"/>
      <c r="J247"/>
    </row>
    <row r="248" spans="1:20">
      <c r="A248" s="110"/>
      <c r="B248" s="110" t="s">
        <v>527</v>
      </c>
      <c r="C248" s="6">
        <v>500</v>
      </c>
      <c r="D248" s="11">
        <v>2</v>
      </c>
      <c r="E248" s="11">
        <v>19670.88</v>
      </c>
      <c r="F248" s="110">
        <f>(E248/D248)</f>
        <v>9835.44</v>
      </c>
      <c r="G248"/>
      <c r="H248" s="17"/>
      <c r="I248"/>
      <c r="J248"/>
    </row>
    <row r="249" spans="1:20">
      <c r="A249" s="110"/>
      <c r="B249" s="110"/>
      <c r="C249" s="5"/>
      <c r="D249" s="10"/>
      <c r="E249" s="136"/>
      <c r="F249" s="110"/>
      <c r="G249"/>
      <c r="H249" s="17"/>
      <c r="I249"/>
      <c r="J249"/>
    </row>
    <row r="250" spans="1:20" s="5" customFormat="1">
      <c r="A250" s="110"/>
      <c r="B250" s="5" t="s">
        <v>506</v>
      </c>
      <c r="C250" s="5" t="s">
        <v>1</v>
      </c>
      <c r="D250" s="11">
        <f>SUM(D182:D248)</f>
        <v>42096</v>
      </c>
      <c r="E250" s="11">
        <f>SUM(E182:E248)</f>
        <v>26029315.549999997</v>
      </c>
      <c r="F250" s="110" t="s">
        <v>1</v>
      </c>
      <c r="G250"/>
      <c r="H250" s="17"/>
      <c r="I250"/>
      <c r="J250"/>
      <c r="K250" s="11"/>
      <c r="N250" s="11"/>
      <c r="O250"/>
      <c r="P250"/>
      <c r="Q250"/>
      <c r="T250" s="68"/>
    </row>
    <row r="251" spans="1:20" s="5" customFormat="1">
      <c r="A251" s="110"/>
      <c r="B251" s="5" t="s">
        <v>507</v>
      </c>
      <c r="D251" s="333"/>
      <c r="E251" s="333">
        <f>E253-E250</f>
        <v>2440545.4100000039</v>
      </c>
      <c r="F251" s="68" t="s">
        <v>1</v>
      </c>
      <c r="G251"/>
      <c r="H251" s="17"/>
      <c r="I251"/>
      <c r="J251"/>
      <c r="K251" s="11"/>
      <c r="N251" s="11"/>
      <c r="O251"/>
      <c r="P251"/>
      <c r="Q251"/>
      <c r="T251" s="68"/>
    </row>
    <row r="252" spans="1:20" s="5" customFormat="1">
      <c r="A252" s="110"/>
      <c r="D252" s="221"/>
      <c r="E252" s="221"/>
      <c r="F252" s="68"/>
      <c r="G252"/>
      <c r="H252" s="17"/>
      <c r="I252"/>
      <c r="J252"/>
      <c r="K252" s="11"/>
      <c r="N252" s="11"/>
      <c r="O252"/>
      <c r="P252"/>
      <c r="Q252"/>
      <c r="T252" s="68"/>
    </row>
    <row r="253" spans="1:20" s="5" customFormat="1">
      <c r="A253" s="110"/>
      <c r="B253" s="5" t="s">
        <v>15</v>
      </c>
      <c r="D253" s="221"/>
      <c r="E253" s="221">
        <v>28469860.960000001</v>
      </c>
      <c r="F253" s="68"/>
      <c r="G253"/>
      <c r="H253" s="17"/>
      <c r="I253"/>
      <c r="J253"/>
      <c r="K253" s="11"/>
      <c r="N253" s="11"/>
      <c r="O253"/>
      <c r="P253"/>
      <c r="Q253"/>
      <c r="T253" s="68"/>
    </row>
    <row r="254" spans="1:20" s="5" customFormat="1">
      <c r="A254" s="110"/>
      <c r="B254" s="110" t="s">
        <v>1</v>
      </c>
      <c r="C254" s="5" t="s">
        <v>1</v>
      </c>
      <c r="D254" s="7" t="s">
        <v>1</v>
      </c>
      <c r="E254" s="3" t="s">
        <v>1</v>
      </c>
      <c r="F254" s="110" t="s">
        <v>1</v>
      </c>
      <c r="H254" s="11"/>
      <c r="K254" s="11"/>
      <c r="N254" s="11"/>
      <c r="O254"/>
      <c r="P254"/>
      <c r="Q254"/>
      <c r="T254" s="68"/>
    </row>
    <row r="255" spans="1:20" s="5" customFormat="1">
      <c r="B255" s="137" t="s">
        <v>201</v>
      </c>
      <c r="D255" s="68"/>
      <c r="E255" s="68"/>
      <c r="H255" s="11"/>
      <c r="K255" s="11"/>
      <c r="N255" s="11"/>
      <c r="O255"/>
      <c r="P255"/>
      <c r="Q255"/>
      <c r="T255" s="68"/>
    </row>
    <row r="256" spans="1:20" s="5" customFormat="1" ht="13.5" thickBot="1">
      <c r="D256" s="68"/>
      <c r="E256" s="68"/>
      <c r="H256" s="11"/>
      <c r="K256" s="11"/>
      <c r="N256" s="11"/>
      <c r="O256"/>
      <c r="P256"/>
      <c r="Q256"/>
      <c r="T256" s="68"/>
    </row>
    <row r="257" spans="1:20" s="5" customFormat="1">
      <c r="B257" s="222" t="s">
        <v>431</v>
      </c>
      <c r="C257" s="139" t="s">
        <v>508</v>
      </c>
      <c r="D257" s="223"/>
      <c r="E257" s="223"/>
      <c r="F257" s="210"/>
      <c r="H257" s="11"/>
      <c r="K257" s="11"/>
      <c r="N257" s="11"/>
      <c r="O257"/>
      <c r="P257"/>
      <c r="Q257"/>
      <c r="T257" s="68"/>
    </row>
    <row r="258" spans="1:20" s="5" customFormat="1">
      <c r="B258" s="291" t="s">
        <v>340</v>
      </c>
      <c r="C258" s="98">
        <f>INDEX(LOGEST(D272:D279,C272:C279),2)</f>
        <v>142.7763730095831</v>
      </c>
      <c r="D258" s="221"/>
      <c r="E258" s="221"/>
      <c r="F258" s="307">
        <f>C258</f>
        <v>142.7763730095831</v>
      </c>
      <c r="H258" s="11"/>
      <c r="K258" s="11"/>
      <c r="N258" s="11"/>
      <c r="O258"/>
      <c r="P258"/>
      <c r="Q258"/>
      <c r="T258" s="68"/>
    </row>
    <row r="259" spans="1:20" s="5" customFormat="1" ht="13.5" thickBot="1">
      <c r="B259" s="334" t="s">
        <v>509</v>
      </c>
      <c r="C259" s="233">
        <f>INDEX(LOGEST(D272:D279,C272:C279),1)</f>
        <v>1.0435935144603559</v>
      </c>
      <c r="D259" s="160"/>
      <c r="E259" s="160"/>
      <c r="F259" s="308">
        <f>C259</f>
        <v>1.0435935144603559</v>
      </c>
      <c r="H259" s="11"/>
      <c r="K259" s="11"/>
      <c r="N259" s="11"/>
      <c r="O259"/>
      <c r="P259"/>
      <c r="Q259"/>
      <c r="T259" s="68"/>
    </row>
    <row r="260" spans="1:20" s="5" customFormat="1">
      <c r="B260" s="117" t="s">
        <v>1</v>
      </c>
      <c r="C260" s="110"/>
      <c r="D260" s="110"/>
      <c r="E260" s="7"/>
      <c r="F260" s="119"/>
      <c r="H260" s="11"/>
      <c r="K260" s="11"/>
      <c r="N260" s="11"/>
      <c r="O260"/>
      <c r="P260"/>
      <c r="Q260"/>
      <c r="T260" s="68"/>
    </row>
    <row r="261" spans="1:20" s="5" customFormat="1">
      <c r="B261" s="117" t="s">
        <v>265</v>
      </c>
      <c r="C261" s="110"/>
      <c r="D261" s="110"/>
      <c r="E261" s="7"/>
      <c r="F261" s="224">
        <f>(F258)</f>
        <v>142.7763730095831</v>
      </c>
      <c r="H261" s="11"/>
      <c r="K261" s="11"/>
      <c r="N261" s="11"/>
      <c r="O261"/>
      <c r="P261"/>
      <c r="Q261"/>
      <c r="T261" s="68"/>
    </row>
    <row r="262" spans="1:20" s="5" customFormat="1">
      <c r="B262" s="117" t="s">
        <v>281</v>
      </c>
      <c r="C262" s="110"/>
      <c r="D262" s="110"/>
      <c r="E262" s="7"/>
      <c r="F262" s="145">
        <f>D250</f>
        <v>42096</v>
      </c>
      <c r="H262" s="11"/>
      <c r="K262" s="11"/>
      <c r="N262" s="11"/>
      <c r="O262"/>
      <c r="P262"/>
      <c r="Q262"/>
      <c r="T262" s="68"/>
    </row>
    <row r="263" spans="1:20" s="5" customFormat="1">
      <c r="B263" s="117" t="s">
        <v>138</v>
      </c>
      <c r="C263" s="110"/>
      <c r="D263" s="110"/>
      <c r="E263" s="7"/>
      <c r="F263" s="145">
        <f>(F261*F262)</f>
        <v>6010314.1982114101</v>
      </c>
      <c r="H263" s="11"/>
      <c r="K263" s="11"/>
      <c r="N263" s="11"/>
      <c r="O263"/>
      <c r="P263"/>
      <c r="Q263"/>
      <c r="T263" s="68"/>
    </row>
    <row r="264" spans="1:20" s="5" customFormat="1">
      <c r="B264" s="117" t="s">
        <v>326</v>
      </c>
      <c r="C264" s="110"/>
      <c r="D264" s="110"/>
      <c r="E264" s="7"/>
      <c r="F264" s="225">
        <f>E253</f>
        <v>28469860.960000001</v>
      </c>
      <c r="H264" s="11"/>
      <c r="K264" s="11"/>
      <c r="N264" s="11"/>
      <c r="O264"/>
      <c r="P264"/>
      <c r="Q264"/>
      <c r="T264" s="68"/>
    </row>
    <row r="265" spans="1:20" s="5" customFormat="1">
      <c r="B265" s="125" t="s">
        <v>139</v>
      </c>
      <c r="C265" s="111"/>
      <c r="D265" s="111"/>
      <c r="E265" s="147"/>
      <c r="F265" s="148">
        <f>(F263/F264)</f>
        <v>0.21111147000878819</v>
      </c>
      <c r="H265" s="11"/>
      <c r="K265" s="11"/>
      <c r="N265" s="11"/>
      <c r="O265"/>
      <c r="P265"/>
      <c r="Q265"/>
      <c r="T265" s="68"/>
    </row>
    <row r="266" spans="1:20" s="5" customFormat="1" ht="13.5" thickBot="1">
      <c r="B266" s="149" t="s">
        <v>140</v>
      </c>
      <c r="C266" s="150"/>
      <c r="D266" s="150"/>
      <c r="E266" s="151"/>
      <c r="F266" s="152">
        <f>(1-F265)</f>
        <v>0.78888852999121184</v>
      </c>
      <c r="H266" s="11"/>
      <c r="K266" s="11"/>
      <c r="N266" s="11"/>
      <c r="O266"/>
      <c r="P266"/>
      <c r="Q266"/>
      <c r="T266" s="68"/>
    </row>
    <row r="267" spans="1:20" s="5" customFormat="1">
      <c r="D267" s="68"/>
      <c r="E267" s="68"/>
      <c r="H267" s="11"/>
      <c r="K267" s="11"/>
      <c r="N267" s="11"/>
      <c r="O267"/>
      <c r="P267"/>
      <c r="Q267"/>
      <c r="T267" s="68"/>
    </row>
    <row r="268" spans="1:20" s="5" customFormat="1">
      <c r="A268" s="769" t="s">
        <v>302</v>
      </c>
      <c r="B268" s="769"/>
      <c r="C268" s="769"/>
      <c r="D268" s="769"/>
      <c r="E268" s="769"/>
      <c r="F268" s="769"/>
      <c r="H268" s="11"/>
      <c r="K268" s="11"/>
      <c r="N268" s="11"/>
      <c r="O268"/>
      <c r="P268"/>
      <c r="Q268"/>
      <c r="T268" s="68"/>
    </row>
    <row r="269" spans="1:20" s="5" customFormat="1" ht="13.5" thickBot="1">
      <c r="H269" s="11"/>
      <c r="K269" s="11"/>
      <c r="N269" s="11"/>
      <c r="O269"/>
      <c r="P269"/>
      <c r="Q269"/>
      <c r="T269" s="68"/>
    </row>
    <row r="270" spans="1:20" s="5" customFormat="1">
      <c r="A270" s="109"/>
      <c r="B270" s="138" t="s">
        <v>430</v>
      </c>
      <c r="C270" s="139"/>
      <c r="D270" s="139"/>
      <c r="E270" s="139"/>
      <c r="F270" s="155"/>
      <c r="H270" s="11"/>
      <c r="K270" s="11"/>
      <c r="N270" s="11"/>
      <c r="O270"/>
      <c r="P270"/>
      <c r="Q270"/>
      <c r="T270" s="68"/>
    </row>
    <row r="271" spans="1:20" s="5" customFormat="1">
      <c r="A271" s="109"/>
      <c r="B271" s="117"/>
      <c r="C271" s="110" t="s">
        <v>427</v>
      </c>
      <c r="D271" s="18" t="s">
        <v>428</v>
      </c>
      <c r="E271" s="18" t="s">
        <v>429</v>
      </c>
      <c r="F271" s="200"/>
      <c r="H271" s="11"/>
      <c r="K271" s="11"/>
      <c r="N271" s="11"/>
      <c r="O271"/>
      <c r="P271"/>
      <c r="Q271"/>
      <c r="T271" s="68"/>
    </row>
    <row r="272" spans="1:20" s="5" customFormat="1">
      <c r="A272" s="109"/>
      <c r="B272" s="117"/>
      <c r="C272" s="110">
        <v>1.5</v>
      </c>
      <c r="D272" s="309">
        <f>(E182+E183)/(D182+D183)</f>
        <v>115.22562499999999</v>
      </c>
      <c r="E272" s="248">
        <f t="shared" ref="E272:E279" si="15">$C$258*$C$259^C272</f>
        <v>152.21358067973711</v>
      </c>
      <c r="F272" s="200"/>
      <c r="H272" s="11"/>
      <c r="K272" s="11"/>
      <c r="N272" s="11"/>
      <c r="O272"/>
      <c r="P272"/>
      <c r="Q272"/>
      <c r="T272" s="68"/>
    </row>
    <row r="273" spans="1:20" s="5" customFormat="1">
      <c r="A273" s="109"/>
      <c r="B273" s="117"/>
      <c r="C273" s="110">
        <v>3</v>
      </c>
      <c r="D273" s="309">
        <f>(E184)/D184</f>
        <v>112.81611111111111</v>
      </c>
      <c r="E273" s="248">
        <f t="shared" si="15"/>
        <v>162.27456724784389</v>
      </c>
      <c r="F273" s="200"/>
      <c r="H273" s="11"/>
      <c r="K273" s="11"/>
      <c r="N273" s="11"/>
      <c r="O273"/>
      <c r="P273"/>
      <c r="Q273"/>
      <c r="T273" s="68"/>
    </row>
    <row r="274" spans="1:20" s="5" customFormat="1">
      <c r="A274" s="109"/>
      <c r="B274" s="117"/>
      <c r="C274" s="110">
        <v>5</v>
      </c>
      <c r="D274" s="309">
        <f>(E185)/D185</f>
        <v>116.82496969696969</v>
      </c>
      <c r="E274" s="248">
        <f t="shared" si="15"/>
        <v>176.73119033115296</v>
      </c>
      <c r="F274" s="200"/>
      <c r="H274" s="11"/>
      <c r="K274" s="11"/>
      <c r="N274" s="11"/>
      <c r="O274"/>
      <c r="P274"/>
      <c r="Q274"/>
      <c r="T274" s="68"/>
    </row>
    <row r="275" spans="1:20" s="5" customFormat="1">
      <c r="A275" s="109"/>
      <c r="B275" s="117"/>
      <c r="C275" s="110">
        <v>10</v>
      </c>
      <c r="D275" s="309">
        <f>(E186+E187)/(D186+D187)</f>
        <v>367.85383004369447</v>
      </c>
      <c r="E275" s="248">
        <f t="shared" si="15"/>
        <v>218.76108054495688</v>
      </c>
      <c r="F275" s="200"/>
      <c r="H275" s="11"/>
      <c r="K275" s="11"/>
      <c r="N275" s="11"/>
      <c r="O275"/>
      <c r="P275"/>
      <c r="Q275"/>
      <c r="T275" s="68"/>
    </row>
    <row r="276" spans="1:20" s="5" customFormat="1">
      <c r="A276" s="109"/>
      <c r="B276" s="117"/>
      <c r="C276" s="110">
        <v>15</v>
      </c>
      <c r="D276" s="309">
        <f>(E188+E189+E190+E226)/(D188+D189+D190+D226)</f>
        <v>499.8514233576642</v>
      </c>
      <c r="E276" s="248">
        <f t="shared" si="15"/>
        <v>270.78644279781838</v>
      </c>
      <c r="F276" s="200"/>
      <c r="H276" s="11"/>
      <c r="K276" s="11"/>
      <c r="N276" s="11"/>
      <c r="O276"/>
      <c r="P276"/>
      <c r="Q276"/>
      <c r="T276" s="68"/>
    </row>
    <row r="277" spans="1:20" s="5" customFormat="1">
      <c r="A277" s="109"/>
      <c r="B277" s="117"/>
      <c r="C277" s="110">
        <v>25</v>
      </c>
      <c r="D277" s="309">
        <f>(E191+E192+E195+E227)/(D191+D192+D195+D227)</f>
        <v>637.94360383944161</v>
      </c>
      <c r="E277" s="248">
        <f t="shared" si="15"/>
        <v>414.89732211785429</v>
      </c>
      <c r="F277" s="200"/>
      <c r="H277" s="11"/>
      <c r="K277" s="11"/>
      <c r="N277" s="11"/>
      <c r="O277"/>
      <c r="P277"/>
      <c r="Q277"/>
      <c r="T277" s="68"/>
    </row>
    <row r="278" spans="1:20" s="5" customFormat="1">
      <c r="A278" s="109"/>
      <c r="B278" s="117"/>
      <c r="C278" s="110">
        <v>37.5</v>
      </c>
      <c r="D278" s="309">
        <f>(E193+E194+E196+E228)/(D193+D194+D195+D196+D228)</f>
        <v>522.60997813866334</v>
      </c>
      <c r="E278" s="248">
        <f t="shared" si="15"/>
        <v>707.26599026848737</v>
      </c>
      <c r="F278" s="200"/>
      <c r="H278" s="11"/>
      <c r="K278" s="11"/>
      <c r="N278" s="11"/>
      <c r="O278"/>
      <c r="P278"/>
      <c r="Q278"/>
      <c r="T278" s="68"/>
    </row>
    <row r="279" spans="1:20" s="5" customFormat="1">
      <c r="A279" s="109"/>
      <c r="B279" s="117"/>
      <c r="C279" s="110">
        <v>50</v>
      </c>
      <c r="D279" s="309">
        <f>(E198+E199+E200+E229)/(D229+D198+D199+D200)</f>
        <v>982.72112488083894</v>
      </c>
      <c r="E279" s="248">
        <f t="shared" si="15"/>
        <v>1205.6601822278578</v>
      </c>
      <c r="F279" s="200"/>
      <c r="H279" s="11"/>
      <c r="K279" s="11"/>
      <c r="N279" s="11"/>
      <c r="O279"/>
      <c r="P279"/>
      <c r="Q279"/>
      <c r="T279" s="68"/>
    </row>
    <row r="280" spans="1:20" s="5" customFormat="1">
      <c r="A280" s="109"/>
      <c r="B280" s="117"/>
      <c r="C280" s="110"/>
      <c r="D280" s="309"/>
      <c r="E280" s="248"/>
      <c r="F280" s="200"/>
      <c r="H280" s="11"/>
      <c r="K280" s="11"/>
      <c r="N280" s="11"/>
      <c r="O280"/>
      <c r="P280"/>
      <c r="Q280"/>
      <c r="T280" s="68"/>
    </row>
    <row r="281" spans="1:20" s="5" customFormat="1" ht="13.5" thickBot="1">
      <c r="A281" s="109"/>
      <c r="B281" s="158"/>
      <c r="C281" s="159"/>
      <c r="D281" s="310"/>
      <c r="E281" s="315"/>
      <c r="F281" s="201"/>
      <c r="H281" s="11"/>
      <c r="K281" s="11"/>
      <c r="N281" s="11"/>
      <c r="O281"/>
      <c r="P281"/>
      <c r="Q281"/>
      <c r="T281" s="68"/>
    </row>
    <row r="282" spans="1:20" s="5" customFormat="1">
      <c r="A282" s="109"/>
      <c r="B282" s="109"/>
      <c r="C282" s="109" t="s">
        <v>1</v>
      </c>
      <c r="D282"/>
      <c r="E282"/>
      <c r="F282"/>
      <c r="H282" s="11"/>
      <c r="K282" s="11"/>
      <c r="N282" s="11"/>
      <c r="O282"/>
      <c r="P282"/>
      <c r="Q282"/>
      <c r="T282" s="68"/>
    </row>
    <row r="283" spans="1:20" s="5" customFormat="1">
      <c r="A283" s="109"/>
      <c r="B283" s="109"/>
      <c r="C283" s="109"/>
      <c r="D283"/>
      <c r="E283"/>
      <c r="F283"/>
      <c r="H283" s="11"/>
      <c r="K283" s="11"/>
      <c r="N283" s="11"/>
      <c r="O283"/>
      <c r="P283"/>
      <c r="Q283"/>
      <c r="T283" s="68"/>
    </row>
    <row r="284" spans="1:20" s="5" customFormat="1">
      <c r="A284" s="109"/>
      <c r="B284" s="109"/>
      <c r="C284" s="109"/>
      <c r="D284"/>
      <c r="E284"/>
      <c r="F284"/>
      <c r="H284" s="11"/>
      <c r="K284" s="11"/>
      <c r="N284" s="11"/>
      <c r="O284"/>
      <c r="P284"/>
      <c r="Q284"/>
      <c r="T284" s="68"/>
    </row>
    <row r="285" spans="1:20" s="5" customFormat="1">
      <c r="A285" s="109"/>
      <c r="B285" s="109"/>
      <c r="C285" s="109"/>
      <c r="D285"/>
      <c r="E285"/>
      <c r="F285"/>
      <c r="H285" s="11"/>
      <c r="K285" s="11"/>
      <c r="N285" s="11"/>
      <c r="O285"/>
      <c r="P285"/>
      <c r="Q285"/>
      <c r="T285" s="68"/>
    </row>
    <row r="286" spans="1:20" s="5" customFormat="1">
      <c r="A286" s="109"/>
      <c r="B286" s="109"/>
      <c r="C286" s="109"/>
      <c r="D286"/>
      <c r="E286"/>
      <c r="F286"/>
      <c r="H286" s="11"/>
      <c r="K286" s="11"/>
      <c r="N286" s="11"/>
      <c r="O286"/>
      <c r="P286"/>
      <c r="Q286"/>
      <c r="T286" s="68"/>
    </row>
    <row r="287" spans="1:20" s="5" customFormat="1">
      <c r="A287" s="109"/>
      <c r="B287" s="109"/>
      <c r="C287" s="109"/>
      <c r="D287"/>
      <c r="E287"/>
      <c r="F287"/>
      <c r="H287" s="11"/>
      <c r="K287" s="11"/>
      <c r="N287" s="11"/>
      <c r="O287"/>
      <c r="P287"/>
      <c r="Q287"/>
      <c r="T287" s="68"/>
    </row>
    <row r="288" spans="1:20" s="5" customFormat="1">
      <c r="D288"/>
      <c r="E288"/>
      <c r="F288"/>
      <c r="H288" s="11"/>
      <c r="K288" s="11"/>
      <c r="N288" s="11"/>
      <c r="O288"/>
      <c r="P288"/>
      <c r="Q288"/>
      <c r="T288" s="68"/>
    </row>
    <row r="289" spans="1:20" s="5" customFormat="1">
      <c r="D289"/>
      <c r="E289"/>
      <c r="F289"/>
      <c r="H289" s="11"/>
      <c r="K289" s="11"/>
      <c r="N289" s="11"/>
      <c r="O289"/>
      <c r="P289"/>
      <c r="Q289"/>
      <c r="T289" s="68"/>
    </row>
    <row r="290" spans="1:20" s="5" customFormat="1">
      <c r="D290"/>
      <c r="E290"/>
      <c r="F290"/>
      <c r="H290" s="17"/>
      <c r="K290" s="11"/>
      <c r="N290" s="11"/>
      <c r="O290"/>
      <c r="P290"/>
      <c r="Q290"/>
      <c r="T290" s="68"/>
    </row>
    <row r="291" spans="1:20" s="5" customFormat="1">
      <c r="D291"/>
      <c r="E291"/>
      <c r="F291"/>
      <c r="H291" s="17"/>
      <c r="K291" s="11"/>
      <c r="N291" s="11"/>
      <c r="O291"/>
      <c r="P291"/>
      <c r="Q291"/>
      <c r="T291" s="68"/>
    </row>
    <row r="292" spans="1:20" s="5" customFormat="1">
      <c r="H292" s="11"/>
      <c r="K292" s="11"/>
      <c r="N292" s="11"/>
      <c r="O292"/>
      <c r="P292"/>
      <c r="Q292"/>
      <c r="T292" s="68"/>
    </row>
    <row r="293" spans="1:20" s="5" customFormat="1">
      <c r="H293" s="11"/>
      <c r="K293" s="11"/>
      <c r="N293" s="11"/>
      <c r="O293"/>
      <c r="P293"/>
      <c r="Q293"/>
      <c r="T293" s="68"/>
    </row>
    <row r="294" spans="1:20" s="5" customFormat="1">
      <c r="H294" s="11"/>
      <c r="K294" s="11"/>
      <c r="N294" s="11"/>
      <c r="O294"/>
      <c r="P294"/>
      <c r="Q294"/>
      <c r="T294" s="68"/>
    </row>
    <row r="295" spans="1:20" s="5" customFormat="1">
      <c r="H295" s="11"/>
      <c r="K295" s="11"/>
      <c r="N295" s="11"/>
      <c r="O295"/>
      <c r="P295"/>
      <c r="Q295"/>
      <c r="T295" s="68"/>
    </row>
    <row r="296" spans="1:20" s="5" customFormat="1">
      <c r="H296" s="11"/>
      <c r="K296" s="11"/>
      <c r="N296" s="11"/>
      <c r="O296"/>
      <c r="P296"/>
      <c r="Q296"/>
      <c r="T296" s="68"/>
    </row>
    <row r="297" spans="1:20" s="5" customFormat="1">
      <c r="H297" s="11"/>
      <c r="K297" s="11"/>
      <c r="L297" s="109"/>
      <c r="M297" s="109"/>
      <c r="N297" s="11"/>
      <c r="O297"/>
      <c r="P297"/>
      <c r="Q297"/>
      <c r="T297" s="68"/>
    </row>
    <row r="298" spans="1:20" s="5" customFormat="1">
      <c r="H298" s="11"/>
      <c r="K298" s="11"/>
      <c r="L298" s="109"/>
      <c r="M298" s="109"/>
      <c r="N298" s="11"/>
      <c r="O298"/>
      <c r="P298"/>
      <c r="Q298"/>
      <c r="T298" s="68"/>
    </row>
    <row r="299" spans="1:20" s="5" customFormat="1" ht="3.75" customHeight="1">
      <c r="H299" s="11"/>
      <c r="K299" s="11"/>
      <c r="N299" s="11"/>
      <c r="O299"/>
      <c r="P299"/>
      <c r="Q299"/>
      <c r="T299" s="68"/>
    </row>
    <row r="300" spans="1:20" s="5" customFormat="1">
      <c r="H300" s="11"/>
      <c r="K300" s="11"/>
      <c r="N300" s="11"/>
      <c r="O300"/>
      <c r="P300"/>
      <c r="Q300"/>
      <c r="T300" s="68"/>
    </row>
    <row r="301" spans="1:20">
      <c r="A301" s="5"/>
      <c r="B301" s="5"/>
      <c r="C301" s="5"/>
      <c r="D301" s="5"/>
      <c r="E301" s="5"/>
      <c r="F301" s="5"/>
      <c r="G301" s="3"/>
      <c r="H301" s="7"/>
      <c r="I301" s="3"/>
      <c r="J301" s="3"/>
      <c r="K301" s="7"/>
      <c r="L301" s="110"/>
      <c r="M301" s="110"/>
      <c r="N301" s="7"/>
      <c r="R301" s="110"/>
      <c r="S301" s="110"/>
    </row>
    <row r="302" spans="1:20">
      <c r="A302" s="5"/>
      <c r="B302" s="5"/>
      <c r="C302" s="5"/>
      <c r="D302" s="5"/>
      <c r="E302" s="5"/>
      <c r="F302" s="5"/>
      <c r="G302" s="3"/>
      <c r="H302" s="7"/>
      <c r="I302" s="3"/>
      <c r="J302" s="3"/>
      <c r="K302" s="7"/>
      <c r="L302" s="110"/>
      <c r="M302" s="110"/>
      <c r="N302" s="7"/>
      <c r="R302" s="110"/>
      <c r="S302" s="110"/>
    </row>
    <row r="303" spans="1:20">
      <c r="A303" s="5"/>
      <c r="B303" s="5"/>
      <c r="C303" s="5"/>
      <c r="D303" s="5"/>
      <c r="E303" s="5"/>
      <c r="F303" s="5"/>
      <c r="G303" s="3"/>
      <c r="H303" s="7"/>
      <c r="I303" s="3"/>
      <c r="J303" s="3"/>
      <c r="K303" s="7"/>
      <c r="L303" s="110"/>
      <c r="M303" s="110"/>
      <c r="N303" s="7"/>
      <c r="R303" s="110"/>
      <c r="S303" s="110"/>
    </row>
    <row r="304" spans="1:20">
      <c r="A304" s="5"/>
      <c r="B304" s="5"/>
      <c r="C304" s="5"/>
      <c r="D304" s="5"/>
      <c r="E304" s="5"/>
      <c r="F304" s="5"/>
      <c r="G304" s="3"/>
      <c r="H304" s="7"/>
      <c r="I304" s="3"/>
      <c r="J304" s="3"/>
      <c r="K304" s="7"/>
      <c r="L304" s="110"/>
      <c r="M304" s="110"/>
      <c r="N304" s="7"/>
      <c r="R304" s="110"/>
      <c r="S304" s="110"/>
    </row>
    <row r="305" spans="1:19">
      <c r="A305" s="5"/>
      <c r="B305" s="5"/>
      <c r="C305" s="5"/>
      <c r="D305" s="5"/>
      <c r="E305" s="5"/>
      <c r="F305" s="5"/>
      <c r="G305" s="3"/>
      <c r="H305" s="7"/>
      <c r="I305" s="3"/>
      <c r="J305" s="3"/>
      <c r="K305" s="7"/>
      <c r="L305" s="110"/>
      <c r="M305" s="110"/>
      <c r="N305" s="7"/>
      <c r="R305" s="110"/>
      <c r="S305" s="110"/>
    </row>
    <row r="306" spans="1:19">
      <c r="A306" s="5"/>
      <c r="B306" s="5"/>
      <c r="C306" s="5"/>
      <c r="D306" s="5"/>
      <c r="E306" s="5"/>
      <c r="F306" s="5"/>
      <c r="G306" s="3"/>
      <c r="H306" s="7"/>
      <c r="I306" s="3"/>
      <c r="J306" s="3"/>
      <c r="K306" s="7"/>
      <c r="L306" s="110"/>
      <c r="M306" s="110"/>
      <c r="N306" s="7"/>
      <c r="R306" s="110"/>
      <c r="S306" s="110"/>
    </row>
    <row r="307" spans="1:19">
      <c r="A307" s="5"/>
      <c r="B307" s="5"/>
      <c r="C307" s="5"/>
      <c r="D307" s="5"/>
      <c r="E307" s="5"/>
      <c r="F307" s="5"/>
      <c r="G307" s="3"/>
      <c r="H307" s="7"/>
      <c r="I307" s="3"/>
      <c r="J307" s="3"/>
      <c r="K307" s="7"/>
      <c r="L307" s="110"/>
      <c r="M307" s="110"/>
      <c r="N307" s="7"/>
      <c r="R307" s="110"/>
      <c r="S307" s="110"/>
    </row>
    <row r="308" spans="1:19">
      <c r="A308" s="5"/>
      <c r="B308" s="5"/>
      <c r="C308" s="5"/>
      <c r="D308" s="5"/>
      <c r="E308" s="5"/>
      <c r="F308" s="5"/>
      <c r="G308" s="3"/>
      <c r="H308" s="7"/>
      <c r="I308" s="3"/>
      <c r="J308" s="3"/>
      <c r="K308" s="7"/>
      <c r="L308" s="7">
        <v>24</v>
      </c>
      <c r="M308" s="110"/>
      <c r="N308" s="7"/>
      <c r="R308" s="110"/>
      <c r="S308" s="110"/>
    </row>
    <row r="309" spans="1:19">
      <c r="A309" s="5"/>
      <c r="B309" s="5"/>
      <c r="C309" s="5"/>
      <c r="D309" s="5"/>
      <c r="E309" s="5"/>
      <c r="F309" s="5"/>
      <c r="G309" s="3"/>
      <c r="H309" s="7"/>
      <c r="I309" s="3"/>
      <c r="J309" s="3"/>
      <c r="K309" s="7"/>
      <c r="L309" s="110"/>
      <c r="M309" s="110"/>
      <c r="N309" s="7"/>
      <c r="R309" s="110"/>
      <c r="S309" s="110"/>
    </row>
    <row r="310" spans="1:19">
      <c r="A310" s="5"/>
      <c r="B310" s="5"/>
      <c r="C310" s="5"/>
      <c r="D310" s="5"/>
      <c r="E310" s="5"/>
      <c r="F310" s="5"/>
      <c r="G310" s="3"/>
      <c r="H310" s="7"/>
      <c r="I310" s="3"/>
      <c r="J310" s="3"/>
      <c r="K310" s="7"/>
      <c r="L310" s="110"/>
      <c r="M310" s="110"/>
      <c r="N310" s="7"/>
      <c r="R310" s="110"/>
      <c r="S310" s="110"/>
    </row>
    <row r="311" spans="1:19">
      <c r="A311" s="5"/>
      <c r="B311" s="5"/>
      <c r="C311" s="5"/>
      <c r="D311" s="5"/>
      <c r="E311" s="5"/>
      <c r="F311" s="5"/>
      <c r="G311" s="3"/>
      <c r="H311" s="7"/>
      <c r="I311" s="3"/>
      <c r="J311" s="3"/>
      <c r="K311" s="7"/>
      <c r="L311" s="110"/>
      <c r="M311" s="110"/>
      <c r="N311" s="7"/>
      <c r="R311" s="110"/>
      <c r="S311" s="110"/>
    </row>
    <row r="312" spans="1:19">
      <c r="A312" s="5"/>
      <c r="B312" s="5"/>
      <c r="C312" s="5"/>
      <c r="D312" s="5"/>
      <c r="E312" s="5"/>
      <c r="F312" s="5"/>
      <c r="G312" s="3"/>
      <c r="H312" s="7"/>
      <c r="I312" s="3"/>
      <c r="J312" s="3"/>
      <c r="K312" s="7"/>
      <c r="L312" s="110"/>
      <c r="M312" s="110"/>
      <c r="N312" s="7"/>
      <c r="R312" s="110"/>
      <c r="S312" s="110"/>
    </row>
    <row r="313" spans="1:19">
      <c r="A313" s="5"/>
      <c r="B313" s="5"/>
      <c r="C313" s="5"/>
      <c r="D313" s="5"/>
      <c r="E313" s="5"/>
      <c r="F313" s="5"/>
      <c r="G313" s="3"/>
      <c r="H313" s="7"/>
      <c r="I313" s="3"/>
      <c r="J313" s="3"/>
      <c r="K313" s="7"/>
      <c r="L313" s="110"/>
      <c r="M313" s="110"/>
      <c r="N313" s="7"/>
      <c r="R313" s="110"/>
      <c r="S313" s="110"/>
    </row>
    <row r="314" spans="1:19">
      <c r="A314" s="5"/>
      <c r="B314" s="5"/>
      <c r="C314" s="5"/>
      <c r="D314" s="5"/>
      <c r="E314" s="5"/>
      <c r="F314" s="5"/>
      <c r="G314" s="3"/>
      <c r="H314" s="7"/>
      <c r="I314" s="3"/>
      <c r="J314" s="3"/>
      <c r="K314" s="7"/>
      <c r="L314" s="110"/>
      <c r="M314" s="110"/>
      <c r="N314" s="7"/>
      <c r="R314" s="110"/>
      <c r="S314" s="110"/>
    </row>
    <row r="315" spans="1:19">
      <c r="A315" s="5"/>
      <c r="B315" s="5"/>
      <c r="C315" s="5"/>
      <c r="D315" s="5"/>
      <c r="E315" s="5"/>
      <c r="F315" s="5"/>
      <c r="G315" s="3"/>
      <c r="H315" s="7"/>
      <c r="I315" s="3"/>
      <c r="J315" s="3"/>
      <c r="K315" s="7"/>
      <c r="L315" s="110"/>
      <c r="M315" s="110"/>
      <c r="N315" s="7"/>
      <c r="R315" s="110"/>
      <c r="S315" s="110"/>
    </row>
    <row r="316" spans="1:19">
      <c r="A316" s="5"/>
      <c r="B316" s="5"/>
      <c r="C316" s="5"/>
      <c r="D316" s="5"/>
      <c r="E316" s="5"/>
      <c r="F316" s="5"/>
      <c r="G316" s="3"/>
      <c r="H316" s="7"/>
      <c r="I316" s="3"/>
      <c r="J316" s="3"/>
      <c r="K316" s="7"/>
      <c r="L316" s="110"/>
      <c r="M316" s="110"/>
      <c r="N316" s="7"/>
      <c r="R316" s="110"/>
      <c r="S316" s="110"/>
    </row>
    <row r="317" spans="1:19">
      <c r="A317" s="5"/>
      <c r="B317" s="5"/>
      <c r="C317" s="5"/>
      <c r="D317" s="5"/>
      <c r="E317" s="5"/>
      <c r="F317" s="5"/>
      <c r="G317" s="3"/>
      <c r="H317" s="7"/>
      <c r="I317" s="3"/>
      <c r="J317" s="3"/>
      <c r="K317" s="7"/>
      <c r="L317" s="110"/>
      <c r="M317" s="110"/>
      <c r="N317" s="7"/>
      <c r="R317" s="110"/>
      <c r="S317" s="110"/>
    </row>
    <row r="318" spans="1:19">
      <c r="A318" s="5"/>
      <c r="B318" s="5"/>
      <c r="C318" s="5"/>
      <c r="D318" s="5"/>
      <c r="E318" s="5"/>
      <c r="F318" s="5"/>
      <c r="G318" s="3"/>
      <c r="H318" s="7"/>
      <c r="I318" s="3"/>
      <c r="J318" s="3"/>
      <c r="K318" s="7"/>
      <c r="L318" s="110"/>
      <c r="M318" s="110"/>
      <c r="N318" s="7"/>
      <c r="R318" s="110"/>
      <c r="S318" s="110"/>
    </row>
    <row r="319" spans="1:19">
      <c r="A319" s="5"/>
      <c r="B319" s="5"/>
      <c r="C319" s="5"/>
      <c r="D319" s="5"/>
      <c r="E319" s="5"/>
      <c r="F319" s="5"/>
      <c r="G319" s="3"/>
      <c r="H319" s="7"/>
      <c r="I319" s="3"/>
      <c r="J319" s="3"/>
      <c r="K319" s="7"/>
      <c r="L319" s="110"/>
      <c r="M319" s="110"/>
      <c r="N319" s="7"/>
      <c r="R319" s="110"/>
      <c r="S319" s="110"/>
    </row>
    <row r="320" spans="1:19">
      <c r="A320" s="5"/>
      <c r="B320" s="5"/>
      <c r="C320" s="5"/>
      <c r="D320" s="5"/>
      <c r="E320" s="5"/>
      <c r="F320" s="5"/>
      <c r="G320" s="3"/>
      <c r="H320" s="7"/>
      <c r="I320" s="3"/>
      <c r="J320" s="3"/>
      <c r="K320" s="7"/>
      <c r="L320" s="110"/>
      <c r="M320" s="110"/>
      <c r="N320" s="7"/>
      <c r="R320" s="110"/>
      <c r="S320" s="110"/>
    </row>
    <row r="321" spans="1:19">
      <c r="A321" s="5"/>
      <c r="B321" s="5"/>
      <c r="C321" s="5"/>
      <c r="D321" s="5"/>
      <c r="E321" s="5"/>
      <c r="F321" s="5"/>
      <c r="G321" s="3"/>
      <c r="H321" s="7"/>
      <c r="I321" s="3"/>
      <c r="J321" s="3"/>
      <c r="K321" s="7"/>
      <c r="L321" s="110"/>
      <c r="M321" s="110"/>
      <c r="N321" s="7"/>
      <c r="R321" s="110"/>
      <c r="S321" s="110"/>
    </row>
    <row r="322" spans="1:19">
      <c r="A322" s="5"/>
      <c r="B322" s="5"/>
      <c r="C322" s="5"/>
      <c r="D322" s="5"/>
      <c r="E322" s="5"/>
      <c r="F322" s="5"/>
      <c r="G322" s="3"/>
      <c r="H322" s="7"/>
      <c r="I322" s="3"/>
      <c r="J322" s="3"/>
      <c r="K322" s="7"/>
      <c r="L322" s="110"/>
      <c r="M322" s="110"/>
      <c r="N322" s="7"/>
      <c r="R322" s="110"/>
      <c r="S322" s="110"/>
    </row>
    <row r="323" spans="1:19">
      <c r="A323" s="5"/>
      <c r="B323" s="5"/>
      <c r="C323" s="5"/>
      <c r="D323" s="5"/>
      <c r="E323" s="5"/>
      <c r="F323" s="5"/>
      <c r="G323" s="3"/>
      <c r="H323" s="7"/>
      <c r="I323" s="3"/>
      <c r="J323" s="3"/>
      <c r="K323" s="7"/>
      <c r="L323" s="110"/>
      <c r="M323" s="110"/>
      <c r="N323" s="7"/>
      <c r="R323" s="110"/>
      <c r="S323" s="110"/>
    </row>
    <row r="324" spans="1:19">
      <c r="A324" s="5"/>
      <c r="B324" s="5"/>
      <c r="C324" s="5"/>
      <c r="D324" s="5"/>
      <c r="E324" s="5"/>
      <c r="F324" s="5"/>
      <c r="G324" s="3"/>
      <c r="H324" s="7"/>
      <c r="I324" s="3"/>
      <c r="J324" s="3"/>
      <c r="K324" s="7"/>
      <c r="L324" s="110"/>
      <c r="M324" s="110"/>
      <c r="N324" s="7"/>
      <c r="R324" s="110"/>
      <c r="S324" s="110"/>
    </row>
    <row r="325" spans="1:19">
      <c r="A325" s="5"/>
      <c r="B325" s="5"/>
      <c r="C325" s="5"/>
      <c r="D325" s="5"/>
      <c r="E325" s="5"/>
      <c r="F325" s="5"/>
      <c r="G325" s="3"/>
      <c r="H325" s="7"/>
      <c r="I325" s="3"/>
      <c r="J325" s="3"/>
      <c r="K325" s="7"/>
      <c r="L325" s="110"/>
      <c r="M325" s="110"/>
      <c r="N325" s="7"/>
      <c r="R325" s="110"/>
      <c r="S325" s="110"/>
    </row>
    <row r="326" spans="1:19">
      <c r="A326" s="5"/>
      <c r="B326" s="5"/>
      <c r="C326" s="5"/>
      <c r="D326" s="5"/>
      <c r="E326" s="5"/>
      <c r="F326" s="5"/>
      <c r="G326" s="3"/>
      <c r="H326" s="7"/>
      <c r="I326" s="3"/>
      <c r="J326" s="3"/>
      <c r="K326" s="7"/>
      <c r="L326" s="110"/>
      <c r="M326" s="110"/>
      <c r="N326" s="7"/>
      <c r="R326" s="110"/>
      <c r="S326" s="110"/>
    </row>
    <row r="327" spans="1:19">
      <c r="A327" s="5"/>
      <c r="B327" s="5"/>
      <c r="C327" s="5"/>
      <c r="D327" s="5"/>
      <c r="E327" s="5"/>
      <c r="F327" s="5"/>
      <c r="G327" s="3"/>
      <c r="H327" s="7"/>
      <c r="I327" s="3"/>
      <c r="J327" s="3"/>
      <c r="K327" s="7"/>
      <c r="L327" s="110"/>
      <c r="M327" s="110"/>
      <c r="N327" s="7"/>
      <c r="R327" s="110"/>
      <c r="S327" s="110"/>
    </row>
    <row r="328" spans="1:19">
      <c r="A328" s="5"/>
      <c r="B328" s="5"/>
      <c r="C328" s="5"/>
      <c r="D328" s="5"/>
      <c r="E328" s="5"/>
      <c r="F328" s="5"/>
      <c r="G328" s="3"/>
      <c r="H328" s="7"/>
      <c r="I328" s="3"/>
      <c r="J328" s="3"/>
      <c r="K328" s="7"/>
      <c r="L328" s="110"/>
      <c r="M328" s="110"/>
      <c r="N328" s="7"/>
      <c r="R328" s="110"/>
      <c r="S328" s="110"/>
    </row>
    <row r="329" spans="1:19">
      <c r="A329" s="5"/>
      <c r="B329" s="5"/>
      <c r="C329" s="5"/>
      <c r="D329" s="5"/>
      <c r="E329" s="5"/>
      <c r="F329" s="5"/>
      <c r="G329" s="3"/>
      <c r="H329" s="7"/>
      <c r="I329" s="3"/>
      <c r="J329" s="3"/>
      <c r="K329" s="7"/>
      <c r="L329" s="110"/>
      <c r="M329" s="110"/>
      <c r="N329" s="7"/>
      <c r="R329" s="110"/>
      <c r="S329" s="110"/>
    </row>
    <row r="330" spans="1:19">
      <c r="A330" s="5"/>
      <c r="B330" s="5"/>
      <c r="C330" s="5"/>
      <c r="D330" s="5"/>
      <c r="E330" s="5"/>
      <c r="F330" s="5"/>
      <c r="G330" s="3"/>
      <c r="H330" s="7"/>
      <c r="I330" s="3"/>
      <c r="J330" s="3"/>
      <c r="K330" s="7"/>
      <c r="L330" s="110"/>
      <c r="M330" s="110"/>
      <c r="N330" s="7"/>
      <c r="R330" s="110"/>
      <c r="S330" s="110"/>
    </row>
    <row r="331" spans="1:19">
      <c r="A331" s="5"/>
      <c r="B331" s="5"/>
      <c r="C331" s="5"/>
      <c r="D331" s="5"/>
      <c r="E331" s="5"/>
      <c r="F331" s="5"/>
      <c r="G331" s="3"/>
      <c r="H331" s="7"/>
      <c r="I331" s="3"/>
      <c r="J331" s="3"/>
      <c r="K331" s="7"/>
      <c r="L331" s="110"/>
      <c r="M331" s="110"/>
      <c r="N331" s="7"/>
      <c r="R331" s="110"/>
      <c r="S331" s="110"/>
    </row>
    <row r="332" spans="1:19">
      <c r="A332" s="5"/>
      <c r="B332" s="5"/>
      <c r="C332" s="5"/>
      <c r="D332" s="5"/>
      <c r="E332" s="5"/>
      <c r="F332" s="5"/>
      <c r="G332" s="3"/>
      <c r="H332" s="7"/>
      <c r="I332" s="3"/>
      <c r="J332" s="3"/>
      <c r="K332" s="7"/>
      <c r="L332" s="110"/>
      <c r="M332" s="110"/>
      <c r="N332" s="7"/>
      <c r="R332" s="110"/>
      <c r="S332" s="110"/>
    </row>
    <row r="333" spans="1:19">
      <c r="A333" s="5"/>
      <c r="B333" s="5"/>
      <c r="C333" s="5"/>
      <c r="D333" s="5"/>
      <c r="E333" s="5"/>
      <c r="F333" s="5"/>
      <c r="G333" s="110"/>
      <c r="H333" s="7"/>
      <c r="I333" s="110"/>
      <c r="J333" s="110"/>
      <c r="K333" s="7"/>
      <c r="L333" s="110"/>
      <c r="M333" s="110"/>
      <c r="N333" s="7"/>
      <c r="R333" s="110"/>
      <c r="S333" s="110"/>
    </row>
    <row r="334" spans="1:19">
      <c r="A334" s="5"/>
      <c r="B334" s="5"/>
      <c r="C334" s="5"/>
      <c r="D334" s="5"/>
      <c r="E334" s="5"/>
      <c r="F334" s="5"/>
      <c r="G334" s="110"/>
      <c r="H334" s="7"/>
      <c r="I334" s="110"/>
      <c r="J334" s="110"/>
      <c r="K334" s="7"/>
      <c r="L334" s="110"/>
      <c r="M334" s="110"/>
      <c r="N334" s="7"/>
      <c r="R334" s="110"/>
      <c r="S334" s="110"/>
    </row>
    <row r="335" spans="1:19">
      <c r="A335" s="5"/>
      <c r="B335" s="5"/>
      <c r="C335" s="5"/>
      <c r="D335" s="5"/>
      <c r="E335" s="5"/>
      <c r="F335" s="5"/>
      <c r="G335" s="110"/>
      <c r="H335" s="7"/>
      <c r="I335" s="110"/>
      <c r="J335" s="110"/>
      <c r="K335" s="7"/>
      <c r="L335" s="110"/>
      <c r="M335" s="110"/>
      <c r="N335" s="7"/>
      <c r="R335" s="110"/>
      <c r="S335" s="110"/>
    </row>
    <row r="336" spans="1:19">
      <c r="A336" s="5"/>
      <c r="B336" s="5"/>
      <c r="C336" s="5"/>
      <c r="D336" s="5"/>
      <c r="E336" s="5"/>
      <c r="F336" s="5"/>
      <c r="G336" s="110"/>
      <c r="H336" s="7"/>
      <c r="I336" s="110"/>
      <c r="J336" s="110"/>
      <c r="K336" s="7"/>
      <c r="L336" s="110"/>
      <c r="M336" s="110"/>
      <c r="N336" s="7"/>
      <c r="R336" s="110"/>
      <c r="S336" s="110"/>
    </row>
    <row r="337" spans="1:19">
      <c r="A337" s="5"/>
      <c r="B337" s="5"/>
      <c r="C337" s="5"/>
      <c r="D337" s="5"/>
      <c r="E337" s="5"/>
      <c r="F337" s="5"/>
      <c r="G337" s="110"/>
      <c r="H337" s="7"/>
      <c r="I337" s="110"/>
      <c r="J337" s="110"/>
      <c r="K337" s="7"/>
      <c r="L337" s="110"/>
      <c r="M337" s="110"/>
      <c r="N337" s="7"/>
      <c r="R337" s="110"/>
      <c r="S337" s="110"/>
    </row>
    <row r="338" spans="1:19">
      <c r="A338" s="5"/>
      <c r="B338" s="5"/>
      <c r="C338" s="5"/>
      <c r="D338" s="5"/>
      <c r="E338" s="5"/>
      <c r="F338" s="5"/>
      <c r="G338" s="110"/>
      <c r="H338" s="7"/>
      <c r="I338" s="110"/>
      <c r="J338" s="110"/>
      <c r="K338" s="7"/>
      <c r="L338" s="110"/>
      <c r="M338" s="110"/>
      <c r="N338" s="7"/>
      <c r="R338" s="110"/>
      <c r="S338" s="110"/>
    </row>
    <row r="339" spans="1:19">
      <c r="B339" s="3"/>
      <c r="C339" s="3"/>
      <c r="D339" s="3"/>
      <c r="E339" s="3"/>
      <c r="F339" s="3"/>
      <c r="G339" s="110"/>
      <c r="H339" s="7"/>
      <c r="I339" s="110"/>
      <c r="J339" s="110"/>
      <c r="K339" s="7"/>
      <c r="L339" s="110"/>
      <c r="M339" s="110"/>
      <c r="N339" s="7"/>
      <c r="R339" s="110"/>
      <c r="S339" s="110"/>
    </row>
    <row r="340" spans="1:19">
      <c r="B340" s="3"/>
      <c r="C340" s="3"/>
      <c r="D340" s="3"/>
      <c r="E340" s="3"/>
      <c r="F340" s="3"/>
      <c r="G340" s="110"/>
      <c r="H340" s="7"/>
      <c r="I340" s="110"/>
      <c r="J340" s="110"/>
      <c r="K340" s="7"/>
      <c r="L340" s="110"/>
      <c r="M340" s="110"/>
      <c r="N340" s="7"/>
      <c r="R340" s="110"/>
      <c r="S340" s="110"/>
    </row>
    <row r="341" spans="1:19">
      <c r="B341" s="3"/>
      <c r="C341" s="3"/>
      <c r="D341" s="3"/>
      <c r="E341" s="3"/>
      <c r="F341" s="3"/>
      <c r="G341" s="110"/>
      <c r="H341" s="7"/>
      <c r="I341" s="110"/>
      <c r="J341" s="110"/>
      <c r="K341" s="7"/>
      <c r="L341" s="110"/>
      <c r="M341" s="110"/>
      <c r="N341" s="7"/>
      <c r="R341" s="110"/>
      <c r="S341" s="110"/>
    </row>
    <row r="342" spans="1:19">
      <c r="B342" s="3"/>
      <c r="C342" s="3"/>
      <c r="D342" s="3"/>
      <c r="E342" s="3"/>
      <c r="F342" s="3"/>
      <c r="G342" s="110"/>
      <c r="H342" s="7"/>
      <c r="I342" s="110"/>
      <c r="J342" s="110"/>
      <c r="K342" s="7"/>
      <c r="L342" s="110"/>
      <c r="M342" s="110"/>
      <c r="N342" s="7"/>
      <c r="R342" s="110"/>
      <c r="S342" s="110"/>
    </row>
    <row r="343" spans="1:19">
      <c r="B343" s="3"/>
      <c r="C343" s="3"/>
      <c r="D343" s="3"/>
      <c r="E343" s="3"/>
      <c r="F343" s="3"/>
      <c r="G343" s="110"/>
      <c r="H343" s="7"/>
      <c r="I343" s="110"/>
      <c r="J343" s="110"/>
      <c r="K343" s="7"/>
      <c r="L343" s="110"/>
      <c r="M343" s="110"/>
      <c r="N343" s="7"/>
      <c r="R343" s="110"/>
      <c r="S343" s="110"/>
    </row>
    <row r="344" spans="1:19">
      <c r="B344" s="3"/>
      <c r="C344" s="3"/>
      <c r="D344" s="3"/>
      <c r="E344" s="3"/>
      <c r="F344" s="3"/>
      <c r="G344" s="110"/>
      <c r="H344" s="7"/>
      <c r="I344" s="110"/>
      <c r="J344" s="110"/>
      <c r="K344" s="7"/>
      <c r="L344" s="110"/>
      <c r="M344" s="110"/>
      <c r="N344" s="7"/>
      <c r="R344" s="110"/>
      <c r="S344" s="110"/>
    </row>
    <row r="345" spans="1:19">
      <c r="B345" s="3"/>
      <c r="C345" s="3"/>
      <c r="D345" s="3"/>
      <c r="E345" s="3"/>
      <c r="F345" s="3"/>
      <c r="G345" s="110"/>
      <c r="H345" s="7"/>
      <c r="I345" s="110"/>
      <c r="J345" s="110"/>
      <c r="K345" s="7"/>
      <c r="L345" s="110"/>
      <c r="M345" s="110"/>
      <c r="N345" s="7"/>
      <c r="R345" s="110"/>
      <c r="S345" s="110"/>
    </row>
    <row r="346" spans="1:19">
      <c r="B346" s="3"/>
      <c r="C346" s="3"/>
      <c r="D346" s="3"/>
      <c r="E346" s="3"/>
      <c r="F346" s="3"/>
      <c r="G346" s="110"/>
      <c r="H346" s="7"/>
      <c r="I346" s="110"/>
      <c r="J346" s="110"/>
      <c r="K346" s="7"/>
      <c r="L346" s="110"/>
      <c r="M346" s="110"/>
      <c r="N346" s="7"/>
      <c r="R346" s="110"/>
      <c r="S346" s="110"/>
    </row>
    <row r="347" spans="1:19">
      <c r="B347" s="3"/>
      <c r="C347" s="3"/>
      <c r="D347" s="3"/>
      <c r="E347" s="3"/>
      <c r="F347" s="3"/>
      <c r="G347" s="110"/>
      <c r="H347" s="7"/>
      <c r="I347" s="110"/>
      <c r="J347" s="110"/>
      <c r="K347" s="7"/>
      <c r="L347" s="110"/>
      <c r="M347" s="110"/>
      <c r="N347" s="7"/>
      <c r="R347" s="110"/>
      <c r="S347" s="110"/>
    </row>
    <row r="348" spans="1:19">
      <c r="B348" s="3"/>
      <c r="C348" s="3"/>
      <c r="D348" s="3"/>
      <c r="E348" s="3"/>
      <c r="F348" s="3"/>
      <c r="G348" s="110"/>
      <c r="H348" s="7"/>
      <c r="I348" s="110"/>
      <c r="J348" s="110"/>
      <c r="K348" s="7"/>
      <c r="L348" s="110"/>
      <c r="M348" s="110"/>
      <c r="N348" s="7"/>
      <c r="R348" s="110"/>
      <c r="S348" s="110"/>
    </row>
    <row r="349" spans="1:19">
      <c r="B349" s="3"/>
      <c r="C349" s="3"/>
      <c r="D349" s="3"/>
      <c r="E349" s="3"/>
      <c r="F349" s="3"/>
      <c r="G349" s="110"/>
      <c r="H349" s="7"/>
      <c r="I349" s="110"/>
      <c r="J349" s="110"/>
      <c r="K349" s="7"/>
      <c r="L349" s="110"/>
      <c r="M349" s="110"/>
      <c r="N349" s="7"/>
      <c r="R349" s="110"/>
      <c r="S349" s="110"/>
    </row>
    <row r="350" spans="1:19">
      <c r="B350" s="3"/>
      <c r="C350" s="3"/>
      <c r="D350" s="3"/>
      <c r="E350" s="3"/>
      <c r="F350" s="3"/>
      <c r="G350" s="110"/>
      <c r="H350" s="7"/>
      <c r="I350" s="110"/>
      <c r="J350" s="110"/>
      <c r="K350" s="7"/>
      <c r="L350" s="110"/>
      <c r="M350" s="110"/>
      <c r="N350" s="7"/>
      <c r="R350" s="110"/>
      <c r="S350" s="110"/>
    </row>
    <row r="351" spans="1:19">
      <c r="B351" s="3"/>
      <c r="C351" s="3"/>
      <c r="D351" s="3"/>
      <c r="E351" s="3"/>
      <c r="F351" s="3"/>
      <c r="G351" s="110"/>
      <c r="H351" s="7"/>
      <c r="I351" s="110"/>
      <c r="J351" s="110"/>
      <c r="K351" s="7"/>
      <c r="L351" s="110"/>
      <c r="M351" s="110"/>
      <c r="N351" s="7"/>
      <c r="R351" s="110"/>
      <c r="S351" s="110"/>
    </row>
    <row r="352" spans="1:19">
      <c r="B352" s="3"/>
      <c r="C352" s="3"/>
      <c r="D352" s="3"/>
      <c r="E352" s="3"/>
      <c r="F352" s="3"/>
      <c r="G352" s="110"/>
      <c r="H352" s="7"/>
      <c r="I352" s="110"/>
      <c r="J352" s="110"/>
      <c r="K352" s="7"/>
      <c r="L352" s="110"/>
      <c r="M352" s="110"/>
      <c r="N352" s="7"/>
      <c r="R352" s="110"/>
      <c r="S352" s="110"/>
    </row>
    <row r="353" spans="2:19">
      <c r="B353" s="3"/>
      <c r="C353" s="3"/>
      <c r="D353" s="3"/>
      <c r="E353" s="3"/>
      <c r="F353" s="3"/>
      <c r="G353" s="110"/>
      <c r="H353" s="7"/>
      <c r="I353" s="110"/>
      <c r="J353" s="110"/>
      <c r="K353" s="7"/>
      <c r="L353" s="110"/>
      <c r="M353" s="110"/>
      <c r="N353" s="7"/>
      <c r="R353" s="110"/>
      <c r="S353" s="110"/>
    </row>
    <row r="354" spans="2:19">
      <c r="B354" s="3"/>
      <c r="C354" s="3"/>
      <c r="D354" s="3"/>
      <c r="E354" s="3"/>
      <c r="F354" s="3"/>
      <c r="G354" s="110"/>
      <c r="H354" s="7"/>
      <c r="I354" s="110"/>
      <c r="J354" s="110"/>
      <c r="K354" s="7"/>
      <c r="L354" s="110"/>
      <c r="M354" s="110"/>
      <c r="N354" s="7"/>
      <c r="R354" s="110"/>
      <c r="S354" s="110"/>
    </row>
    <row r="355" spans="2:19">
      <c r="B355" s="3"/>
      <c r="C355" s="3"/>
      <c r="D355" s="3"/>
      <c r="E355" s="3"/>
      <c r="F355" s="3"/>
      <c r="G355" s="110"/>
      <c r="H355" s="7"/>
      <c r="I355" s="110"/>
      <c r="J355" s="110"/>
      <c r="K355" s="7"/>
      <c r="L355" s="110"/>
      <c r="M355" s="110"/>
      <c r="N355" s="7"/>
      <c r="R355" s="110"/>
      <c r="S355" s="110"/>
    </row>
    <row r="356" spans="2:19">
      <c r="B356" s="3"/>
      <c r="C356" s="3"/>
      <c r="D356" s="3"/>
      <c r="E356" s="3"/>
      <c r="F356" s="3"/>
      <c r="G356" s="110"/>
      <c r="H356" s="7"/>
      <c r="I356" s="110"/>
      <c r="J356" s="110"/>
      <c r="K356" s="7"/>
      <c r="L356" s="110"/>
      <c r="M356" s="110"/>
      <c r="N356" s="7"/>
      <c r="R356" s="110"/>
      <c r="S356" s="110"/>
    </row>
    <row r="357" spans="2:19">
      <c r="B357" s="3"/>
      <c r="C357" s="3"/>
      <c r="D357" s="3"/>
      <c r="E357" s="3"/>
      <c r="F357" s="3"/>
      <c r="G357" s="110"/>
      <c r="H357" s="7"/>
      <c r="I357" s="110"/>
      <c r="J357" s="110"/>
      <c r="K357" s="7"/>
      <c r="L357" s="110"/>
      <c r="M357" s="110"/>
      <c r="N357" s="7"/>
      <c r="R357" s="110"/>
      <c r="S357" s="110"/>
    </row>
    <row r="358" spans="2:19">
      <c r="B358" s="3"/>
      <c r="C358" s="3"/>
      <c r="D358" s="3"/>
      <c r="E358" s="3"/>
      <c r="F358" s="3"/>
      <c r="G358" s="110"/>
      <c r="H358" s="7"/>
      <c r="I358" s="110"/>
      <c r="J358" s="110"/>
      <c r="K358" s="7"/>
      <c r="L358" s="110"/>
      <c r="M358" s="110"/>
      <c r="N358" s="7"/>
      <c r="R358" s="110"/>
      <c r="S358" s="110"/>
    </row>
    <row r="359" spans="2:19">
      <c r="B359" s="3"/>
      <c r="C359" s="3"/>
      <c r="D359" s="3"/>
      <c r="E359" s="3"/>
      <c r="F359" s="3"/>
      <c r="G359" s="110"/>
      <c r="H359" s="7"/>
      <c r="I359" s="110"/>
      <c r="J359" s="110"/>
      <c r="K359" s="7"/>
      <c r="L359" s="110"/>
      <c r="M359" s="110"/>
      <c r="N359" s="7"/>
      <c r="R359" s="110"/>
      <c r="S359" s="110"/>
    </row>
    <row r="360" spans="2:19">
      <c r="B360" s="3"/>
      <c r="C360" s="3"/>
      <c r="D360" s="3"/>
      <c r="E360" s="3"/>
      <c r="F360" s="3"/>
      <c r="G360" s="110"/>
      <c r="H360" s="7"/>
      <c r="I360" s="110"/>
      <c r="J360" s="110"/>
      <c r="K360" s="7"/>
      <c r="L360" s="110"/>
      <c r="M360" s="110"/>
      <c r="N360" s="7"/>
      <c r="R360" s="110"/>
      <c r="S360" s="110"/>
    </row>
    <row r="361" spans="2:19">
      <c r="B361" s="3"/>
      <c r="C361" s="3"/>
      <c r="D361" s="3"/>
      <c r="E361" s="3"/>
      <c r="F361" s="3"/>
      <c r="G361" s="110"/>
      <c r="H361" s="7"/>
      <c r="I361" s="110"/>
      <c r="J361" s="110"/>
      <c r="K361" s="7"/>
      <c r="L361" s="110"/>
      <c r="M361" s="110"/>
      <c r="N361" s="7"/>
      <c r="R361" s="110"/>
      <c r="S361" s="110"/>
    </row>
    <row r="362" spans="2:19">
      <c r="B362" s="3"/>
      <c r="C362" s="3"/>
      <c r="D362" s="3"/>
      <c r="E362" s="3"/>
      <c r="F362" s="3"/>
      <c r="G362" s="110"/>
      <c r="H362" s="7"/>
      <c r="I362" s="110"/>
      <c r="J362" s="110"/>
      <c r="K362" s="7"/>
      <c r="L362" s="110"/>
      <c r="M362" s="110"/>
      <c r="N362" s="7"/>
      <c r="R362" s="110"/>
      <c r="S362" s="110"/>
    </row>
    <row r="363" spans="2:19">
      <c r="B363" s="3"/>
      <c r="C363" s="3"/>
      <c r="D363" s="3"/>
      <c r="E363" s="3"/>
      <c r="F363" s="3"/>
      <c r="G363" s="110"/>
      <c r="I363" s="110"/>
      <c r="J363" s="110"/>
      <c r="K363" s="7"/>
      <c r="L363" s="110"/>
      <c r="M363" s="110"/>
      <c r="N363" s="7"/>
      <c r="R363" s="110"/>
      <c r="S363" s="110"/>
    </row>
    <row r="364" spans="2:19">
      <c r="B364" s="3"/>
      <c r="C364" s="3"/>
      <c r="D364" s="3"/>
      <c r="E364" s="3"/>
      <c r="F364" s="3"/>
      <c r="G364" s="110"/>
      <c r="I364" s="110"/>
      <c r="J364" s="110"/>
      <c r="K364" s="7"/>
      <c r="L364" s="110"/>
      <c r="M364" s="110"/>
      <c r="N364" s="7"/>
      <c r="R364" s="110"/>
      <c r="S364" s="110"/>
    </row>
    <row r="365" spans="2:19">
      <c r="B365" s="3"/>
      <c r="C365" s="3"/>
      <c r="D365" s="3"/>
      <c r="E365" s="3"/>
      <c r="F365" s="3"/>
    </row>
    <row r="366" spans="2:19">
      <c r="B366" s="3"/>
      <c r="C366" s="3"/>
      <c r="D366" s="3"/>
      <c r="E366" s="3"/>
      <c r="F366" s="3"/>
    </row>
    <row r="367" spans="2:19">
      <c r="B367" s="3"/>
      <c r="C367" s="3"/>
      <c r="D367" s="3"/>
      <c r="E367" s="3"/>
      <c r="F367" s="3"/>
    </row>
    <row r="368" spans="2:19">
      <c r="B368" s="3"/>
      <c r="C368" s="3"/>
      <c r="D368" s="3"/>
      <c r="E368" s="3"/>
      <c r="F368" s="3"/>
    </row>
    <row r="369" spans="2:6">
      <c r="B369" s="3"/>
      <c r="C369" s="3"/>
      <c r="D369" s="3"/>
      <c r="E369" s="3"/>
      <c r="F369" s="3"/>
    </row>
    <row r="370" spans="2:6">
      <c r="B370" s="3"/>
      <c r="C370" s="3"/>
      <c r="D370" s="3"/>
      <c r="E370" s="3"/>
      <c r="F370" s="3"/>
    </row>
    <row r="371" spans="2:6">
      <c r="B371" s="110"/>
      <c r="C371" s="110"/>
      <c r="D371" s="110"/>
      <c r="E371" s="110"/>
      <c r="F371" s="110"/>
    </row>
    <row r="372" spans="2:6">
      <c r="B372" s="110"/>
      <c r="C372" s="110"/>
      <c r="D372" s="110"/>
      <c r="E372" s="110"/>
      <c r="F372" s="110"/>
    </row>
    <row r="373" spans="2:6">
      <c r="B373" s="110"/>
      <c r="C373" s="110"/>
      <c r="D373" s="110"/>
      <c r="E373" s="110"/>
      <c r="F373" s="110"/>
    </row>
    <row r="374" spans="2:6">
      <c r="B374" s="110"/>
      <c r="C374" s="110"/>
      <c r="D374" s="110"/>
      <c r="E374" s="110"/>
      <c r="F374" s="110"/>
    </row>
    <row r="375" spans="2:6">
      <c r="B375" s="110"/>
      <c r="C375" s="110"/>
      <c r="D375" s="110"/>
      <c r="E375" s="110"/>
      <c r="F375" s="110"/>
    </row>
    <row r="376" spans="2:6">
      <c r="B376" s="110"/>
      <c r="C376" s="110"/>
      <c r="D376" s="110"/>
      <c r="E376" s="110"/>
      <c r="F376" s="110"/>
    </row>
    <row r="377" spans="2:6">
      <c r="B377" s="110"/>
      <c r="C377" s="110"/>
      <c r="D377" s="110"/>
      <c r="E377" s="110"/>
      <c r="F377" s="110"/>
    </row>
    <row r="378" spans="2:6">
      <c r="B378" s="110"/>
      <c r="C378" s="110"/>
      <c r="D378" s="110"/>
      <c r="E378" s="110"/>
      <c r="F378" s="110"/>
    </row>
    <row r="379" spans="2:6">
      <c r="B379" s="110"/>
      <c r="C379" s="110"/>
      <c r="D379" s="110"/>
      <c r="E379" s="110"/>
      <c r="F379" s="110"/>
    </row>
    <row r="380" spans="2:6">
      <c r="B380" s="110"/>
      <c r="C380" s="110"/>
      <c r="D380" s="110"/>
      <c r="E380" s="110"/>
      <c r="F380" s="110"/>
    </row>
    <row r="381" spans="2:6">
      <c r="B381" s="110"/>
      <c r="C381" s="110"/>
      <c r="D381" s="110"/>
      <c r="E381" s="110"/>
      <c r="F381" s="110"/>
    </row>
    <row r="382" spans="2:6">
      <c r="B382" s="110"/>
      <c r="C382" s="110"/>
      <c r="D382" s="110"/>
      <c r="E382" s="110"/>
      <c r="F382" s="110"/>
    </row>
    <row r="383" spans="2:6">
      <c r="B383" s="110"/>
      <c r="C383" s="110"/>
      <c r="D383" s="110"/>
      <c r="E383" s="110"/>
      <c r="F383" s="110"/>
    </row>
    <row r="384" spans="2:6">
      <c r="B384" s="110"/>
      <c r="C384" s="110"/>
      <c r="D384" s="110"/>
      <c r="E384" s="110"/>
      <c r="F384" s="110"/>
    </row>
    <row r="385" spans="2:6">
      <c r="B385" s="110"/>
      <c r="C385" s="110"/>
      <c r="D385" s="110"/>
      <c r="E385" s="110"/>
      <c r="F385" s="110"/>
    </row>
    <row r="386" spans="2:6">
      <c r="B386" s="110"/>
      <c r="C386" s="110"/>
      <c r="D386" s="110"/>
      <c r="E386" s="110"/>
      <c r="F386" s="110"/>
    </row>
    <row r="387" spans="2:6">
      <c r="B387" s="110"/>
      <c r="C387" s="110"/>
      <c r="D387" s="110"/>
      <c r="E387" s="110"/>
      <c r="F387" s="110"/>
    </row>
    <row r="388" spans="2:6">
      <c r="B388" s="110"/>
      <c r="C388" s="110"/>
      <c r="D388" s="110"/>
      <c r="E388" s="110"/>
      <c r="F388" s="110"/>
    </row>
    <row r="389" spans="2:6">
      <c r="B389" s="110"/>
      <c r="C389" s="110"/>
      <c r="D389" s="110"/>
      <c r="E389" s="110"/>
      <c r="F389" s="110"/>
    </row>
    <row r="390" spans="2:6">
      <c r="B390" s="110"/>
      <c r="C390" s="110"/>
      <c r="D390" s="110"/>
      <c r="E390" s="110"/>
      <c r="F390" s="110"/>
    </row>
    <row r="391" spans="2:6">
      <c r="B391" s="110"/>
      <c r="C391" s="110"/>
      <c r="D391" s="110"/>
      <c r="E391" s="110"/>
      <c r="F391" s="110"/>
    </row>
    <row r="392" spans="2:6">
      <c r="B392" s="110"/>
      <c r="C392" s="110"/>
      <c r="D392" s="110"/>
      <c r="E392" s="110"/>
      <c r="F392" s="110"/>
    </row>
    <row r="393" spans="2:6">
      <c r="B393" s="110"/>
      <c r="C393" s="110"/>
      <c r="D393" s="110"/>
      <c r="E393" s="110"/>
      <c r="F393" s="110"/>
    </row>
    <row r="394" spans="2:6">
      <c r="B394" s="110"/>
      <c r="C394" s="110"/>
      <c r="D394" s="110"/>
      <c r="E394" s="110"/>
      <c r="F394" s="110"/>
    </row>
    <row r="395" spans="2:6">
      <c r="B395" s="110"/>
      <c r="C395" s="110"/>
      <c r="D395" s="110"/>
      <c r="E395" s="110"/>
      <c r="F395" s="110"/>
    </row>
    <row r="396" spans="2:6">
      <c r="B396" s="110"/>
      <c r="C396" s="110"/>
      <c r="D396" s="110"/>
      <c r="E396" s="110"/>
      <c r="F396" s="110"/>
    </row>
    <row r="397" spans="2:6">
      <c r="B397" s="110"/>
      <c r="C397" s="110"/>
      <c r="D397" s="110"/>
      <c r="E397" s="110"/>
      <c r="F397" s="110"/>
    </row>
    <row r="398" spans="2:6">
      <c r="B398" s="110"/>
      <c r="C398" s="110"/>
      <c r="D398" s="110"/>
      <c r="E398" s="110"/>
      <c r="F398" s="110"/>
    </row>
    <row r="399" spans="2:6">
      <c r="B399" s="110"/>
      <c r="C399" s="110"/>
      <c r="D399" s="110"/>
      <c r="E399" s="110"/>
      <c r="F399" s="110"/>
    </row>
    <row r="400" spans="2:6">
      <c r="B400" s="110"/>
      <c r="C400" s="110"/>
      <c r="D400" s="110"/>
      <c r="E400" s="110"/>
      <c r="F400" s="110"/>
    </row>
    <row r="401" spans="2:6">
      <c r="B401" s="110"/>
      <c r="C401" s="110"/>
      <c r="D401" s="110"/>
      <c r="E401" s="110"/>
      <c r="F401" s="110"/>
    </row>
    <row r="402" spans="2:6">
      <c r="B402" s="110"/>
      <c r="C402" s="110"/>
      <c r="D402" s="110"/>
      <c r="E402" s="110"/>
      <c r="F402" s="110"/>
    </row>
  </sheetData>
  <customSheetViews>
    <customSheetView guid="{18050E3F-BBF0-4BF6-9B33-B0817BE1B1C5}" scale="60" showPageBreaks="1" printArea="1" view="pageBreakPreview" showRuler="0">
      <selection activeCell="D290" sqref="D290"/>
      <rowBreaks count="8" manualBreakCount="8">
        <brk id="34" max="5" man="1"/>
        <brk id="76" max="5" man="1"/>
        <brk id="99" max="5" man="1"/>
        <brk id="139" max="5" man="1"/>
        <brk id="170" max="5" man="1"/>
        <brk id="209" max="5" man="1"/>
        <brk id="243" max="5" man="1"/>
        <brk id="297" max="5" man="1"/>
      </rowBreaks>
      <pageMargins left="0.75" right="0.75" top="1" bottom="1" header="0.5" footer="0.5"/>
      <printOptions horizontalCentered="1" verticalCentered="1" gridLines="1"/>
      <pageSetup scale="70" pageOrder="overThenDown" orientation="landscape" horizontalDpi="4294967293" r:id="rId1"/>
      <headerFooter alignWithMargins="0">
        <oddHeader>&amp;C&amp;"Arial,Bold"&amp;12MEADE COUNTY RECC
CASE NO. 2010-00222
DEMAND AND CONSUMER RELATED INVESTMENTS&amp;R&amp;11Exhibit R 
Schedule 3.1
Page ____ of ____
Witness:  Jim Adkins</oddHeader>
      </headerFooter>
    </customSheetView>
  </customSheetViews>
  <mergeCells count="9">
    <mergeCell ref="A178:F178"/>
    <mergeCell ref="A221:F221"/>
    <mergeCell ref="A268:F268"/>
    <mergeCell ref="A41:F41"/>
    <mergeCell ref="A1:F1"/>
    <mergeCell ref="D65:F65"/>
    <mergeCell ref="C168:D168"/>
    <mergeCell ref="A122:F122"/>
    <mergeCell ref="A81:F81"/>
  </mergeCells>
  <phoneticPr fontId="3" type="noConversion"/>
  <printOptions horizontalCentered="1" verticalCentered="1" gridLines="1"/>
  <pageMargins left="0.75" right="0.75" top="1" bottom="1" header="0.5" footer="0.5"/>
  <pageSetup scale="73" pageOrder="overThenDown" orientation="landscape" horizontalDpi="4294967293" r:id="rId2"/>
  <headerFooter alignWithMargins="0">
    <oddHeader>&amp;C&amp;"Arial,Bold"&amp;12JACKSON ENERGY COOPERATIVE
CASE NO. 2013-00219
DEMAND AND CONSUMER RELATED INVESTMENTS&amp;R&amp;11Revised Exhibit R 
Schedule 3.1
Page ____ of ____
Witness:  Jim Adkins</oddHeader>
  </headerFooter>
  <rowBreaks count="8" manualBreakCount="8">
    <brk id="38" max="5" man="1"/>
    <brk id="79" max="5" man="1"/>
    <brk id="106" max="5" man="1"/>
    <brk id="146" max="5" man="1"/>
    <brk id="176" max="5" man="1"/>
    <brk id="219" max="5" man="1"/>
    <brk id="266" max="5" man="1"/>
    <brk id="322" max="5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3:W84"/>
  <sheetViews>
    <sheetView view="pageBreakPreview" zoomScale="60" zoomScaleNormal="100" workbookViewId="0">
      <pane xSplit="3" topLeftCell="E1" activePane="topRight" state="frozen"/>
      <selection pane="topRight" activeCell="E8" sqref="E8"/>
    </sheetView>
  </sheetViews>
  <sheetFormatPr defaultColWidth="13" defaultRowHeight="14.25"/>
  <cols>
    <col min="1" max="1" width="23" style="549" customWidth="1"/>
    <col min="2" max="2" width="12.42578125" style="549" customWidth="1"/>
    <col min="3" max="3" width="14.28515625" style="549" customWidth="1"/>
    <col min="4" max="4" width="10" style="549" customWidth="1"/>
    <col min="5" max="5" width="15.28515625" style="549" customWidth="1"/>
    <col min="6" max="6" width="21.140625" style="549" bestFit="1" customWidth="1"/>
    <col min="7" max="7" width="12.85546875" style="549" customWidth="1"/>
    <col min="8" max="8" width="14.140625" style="549" customWidth="1"/>
    <col min="9" max="9" width="13" style="549" customWidth="1"/>
    <col min="10" max="10" width="14.28515625" style="549" customWidth="1"/>
    <col min="11" max="14" width="13" style="549" customWidth="1"/>
    <col min="15" max="15" width="15.140625" style="549" customWidth="1"/>
    <col min="16" max="16" width="13" style="549" customWidth="1"/>
    <col min="17" max="17" width="13.85546875" style="549" customWidth="1"/>
    <col min="18" max="19" width="13" style="549" customWidth="1"/>
    <col min="20" max="20" width="14.140625" style="549" bestFit="1" customWidth="1"/>
    <col min="21" max="16384" width="13" style="549"/>
  </cols>
  <sheetData>
    <row r="3" spans="1:23" ht="19.5">
      <c r="C3" s="775" t="s">
        <v>329</v>
      </c>
      <c r="D3" s="775"/>
      <c r="E3" s="775"/>
      <c r="F3" s="775"/>
      <c r="G3" s="775"/>
      <c r="H3" s="775"/>
      <c r="I3" s="775"/>
      <c r="J3" s="775"/>
      <c r="K3" s="775" t="s">
        <v>329</v>
      </c>
      <c r="L3" s="775"/>
      <c r="M3" s="775"/>
      <c r="N3" s="775"/>
      <c r="O3" s="775"/>
      <c r="P3" s="775"/>
      <c r="Q3" s="775"/>
      <c r="R3" s="775"/>
      <c r="S3" s="775"/>
      <c r="T3" s="775"/>
    </row>
    <row r="5" spans="1:23">
      <c r="A5" s="565"/>
      <c r="B5" s="565"/>
      <c r="C5" s="566"/>
      <c r="D5" s="566"/>
      <c r="E5" s="567">
        <v>10</v>
      </c>
      <c r="F5" s="568">
        <v>11</v>
      </c>
      <c r="G5" s="433">
        <v>20</v>
      </c>
      <c r="H5" s="433">
        <v>22</v>
      </c>
      <c r="I5" s="433">
        <v>40</v>
      </c>
      <c r="J5" s="568">
        <v>46</v>
      </c>
      <c r="K5" s="568">
        <v>47</v>
      </c>
      <c r="L5" s="433">
        <v>50</v>
      </c>
      <c r="M5" s="433">
        <v>52</v>
      </c>
      <c r="N5" s="433">
        <f>('[5]11-Consumer Allocations'!C26)</f>
        <v>0</v>
      </c>
      <c r="O5" s="569" t="s">
        <v>15</v>
      </c>
      <c r="P5" s="506"/>
      <c r="Q5" s="524">
        <v>46</v>
      </c>
      <c r="R5" s="524">
        <v>47</v>
      </c>
      <c r="S5" s="524"/>
      <c r="T5" s="506"/>
    </row>
    <row r="6" spans="1:23">
      <c r="A6" s="570"/>
      <c r="B6" s="571" t="s">
        <v>204</v>
      </c>
      <c r="C6" s="572"/>
      <c r="D6" s="573" t="s">
        <v>245</v>
      </c>
      <c r="E6" s="433" t="s">
        <v>269</v>
      </c>
      <c r="F6" s="479" t="s">
        <v>269</v>
      </c>
      <c r="G6" s="433" t="s">
        <v>529</v>
      </c>
      <c r="H6" s="433" t="s">
        <v>530</v>
      </c>
      <c r="I6" s="433" t="s">
        <v>342</v>
      </c>
      <c r="J6" s="433" t="s">
        <v>342</v>
      </c>
      <c r="K6" s="433" t="s">
        <v>342</v>
      </c>
      <c r="L6" s="568" t="s">
        <v>531</v>
      </c>
      <c r="M6" s="569" t="s">
        <v>375</v>
      </c>
      <c r="N6" s="569" t="s">
        <v>228</v>
      </c>
      <c r="O6" s="569" t="s">
        <v>532</v>
      </c>
      <c r="P6" s="506"/>
      <c r="Q6" s="569" t="s">
        <v>533</v>
      </c>
      <c r="R6" s="569" t="s">
        <v>534</v>
      </c>
      <c r="S6" s="569"/>
      <c r="T6" s="524" t="s">
        <v>15</v>
      </c>
    </row>
    <row r="7" spans="1:23" ht="16.5">
      <c r="A7" s="574" t="s">
        <v>206</v>
      </c>
      <c r="B7" s="575" t="s">
        <v>205</v>
      </c>
      <c r="C7" s="576" t="s">
        <v>116</v>
      </c>
      <c r="D7" s="577" t="s">
        <v>4</v>
      </c>
      <c r="E7" s="578" t="s">
        <v>535</v>
      </c>
      <c r="F7" s="579" t="s">
        <v>374</v>
      </c>
      <c r="G7" s="578" t="s">
        <v>536</v>
      </c>
      <c r="H7" s="578" t="s">
        <v>374</v>
      </c>
      <c r="I7" s="578" t="s">
        <v>537</v>
      </c>
      <c r="J7" s="578" t="s">
        <v>541</v>
      </c>
      <c r="K7" s="435" t="s">
        <v>542</v>
      </c>
      <c r="L7" s="486" t="s">
        <v>538</v>
      </c>
      <c r="M7" s="578" t="s">
        <v>376</v>
      </c>
      <c r="N7" s="579" t="s">
        <v>539</v>
      </c>
      <c r="O7" s="579" t="s">
        <v>380</v>
      </c>
      <c r="P7" s="580" t="s">
        <v>422</v>
      </c>
      <c r="Q7" s="579" t="s">
        <v>543</v>
      </c>
      <c r="R7" s="579" t="s">
        <v>540</v>
      </c>
      <c r="S7" s="579" t="s">
        <v>555</v>
      </c>
      <c r="T7" s="579" t="s">
        <v>416</v>
      </c>
    </row>
    <row r="8" spans="1:23">
      <c r="A8" s="570" t="s">
        <v>19</v>
      </c>
      <c r="B8" s="570" t="s">
        <v>133</v>
      </c>
      <c r="C8" s="581">
        <f>('2 Functionalization2'!G7)</f>
        <v>13020019</v>
      </c>
      <c r="E8" s="570">
        <f>($O$8*'4.1 kW &amp; kWh'!C53)</f>
        <v>9979771.6974939406</v>
      </c>
      <c r="F8" s="570">
        <f>($O$8*'4.1 kW &amp; kWh'!D53)</f>
        <v>0</v>
      </c>
      <c r="G8" s="570">
        <f>($O$8*'4.1 kW &amp; kWh'!E53)</f>
        <v>758287.20342388772</v>
      </c>
      <c r="H8" s="570">
        <f>($O$8*'4.1 kW &amp; kWh'!F53)</f>
        <v>0</v>
      </c>
      <c r="I8" s="570">
        <f>($O$8*'4.1 kW &amp; kWh'!G53)</f>
        <v>1001913.7959940932</v>
      </c>
      <c r="J8" s="570">
        <f>Q8</f>
        <v>276998</v>
      </c>
      <c r="K8" s="570">
        <f>R8</f>
        <v>487557</v>
      </c>
      <c r="L8" s="570">
        <f>($O$8*'4.1 kW &amp; kWh'!K53)</f>
        <v>253832.7277325138</v>
      </c>
      <c r="M8" s="570">
        <f>($O$8*'4.1 kW &amp; kWh'!L53)</f>
        <v>126656.1976158812</v>
      </c>
      <c r="N8" s="570">
        <f>($O$8*'4.1 kW &amp; kWh'!M53)</f>
        <v>135002.37773968326</v>
      </c>
      <c r="O8" s="549">
        <f>(C8-Q8-R8)</f>
        <v>12255464</v>
      </c>
      <c r="Q8" s="549">
        <f>[1]Sheet1!$E$99</f>
        <v>276998</v>
      </c>
      <c r="R8" s="549">
        <f>[1]Sheet1!$C$99+[1]Sheet1!$D$99</f>
        <v>487557</v>
      </c>
      <c r="S8" s="549">
        <f>[1]Sheet1!$G$99</f>
        <v>0</v>
      </c>
      <c r="T8" s="549">
        <f>SUM(O8:S8)</f>
        <v>13020019</v>
      </c>
      <c r="U8" s="549">
        <f>SUM(E8:I8,L8:N8)</f>
        <v>12255463.999999998</v>
      </c>
      <c r="W8" s="549">
        <f>SUM(E8:N8)</f>
        <v>13020018.999999998</v>
      </c>
    </row>
    <row r="9" spans="1:23">
      <c r="A9" s="570" t="s">
        <v>19</v>
      </c>
      <c r="B9" s="570" t="s">
        <v>179</v>
      </c>
      <c r="C9" s="581">
        <f>('3Classific. Summary'!F9)</f>
        <v>44410807.200000003</v>
      </c>
      <c r="D9" s="581">
        <f>P9</f>
        <v>4430</v>
      </c>
      <c r="E9" s="570">
        <f>(($O$9)*'4.1 kW &amp; kWh'!C24)</f>
        <v>31414933.63875109</v>
      </c>
      <c r="F9" s="570">
        <f>(($O$9)*'4.1 kW &amp; kWh'!D24)</f>
        <v>289631.61728032283</v>
      </c>
      <c r="G9" s="570">
        <f>(($O$9)*'4.1 kW &amp; kWh'!E24)</f>
        <v>3109069.7201767755</v>
      </c>
      <c r="H9" s="570">
        <f>(($O$9)*'4.1 kW &amp; kWh'!F24)</f>
        <v>4374.6352270729121</v>
      </c>
      <c r="I9" s="570">
        <f>(($O$9)*'4.1 kW &amp; kWh'!G24)</f>
        <v>4015657.7213162272</v>
      </c>
      <c r="J9" s="570">
        <f>Q9</f>
        <v>902134.34065555921</v>
      </c>
      <c r="K9" s="570">
        <f>R9</f>
        <v>1705424.6593444408</v>
      </c>
      <c r="L9" s="570">
        <f>(($O$9)*'4.1 kW &amp; kWh'!K24)</f>
        <v>1365424.06265381</v>
      </c>
      <c r="M9" s="570">
        <f>(($O$9)*'4.1 kW &amp; kWh'!L24)</f>
        <v>572652.13844848331</v>
      </c>
      <c r="N9" s="570">
        <f>(($O$9)*'4.1 kW &amp; kWh'!M24)</f>
        <v>1027074.666146222</v>
      </c>
      <c r="O9" s="549">
        <f>(C9-Q9-R9-P9)</f>
        <v>41798818.200000003</v>
      </c>
      <c r="P9" s="549">
        <f>[1]Sheet1!$R$99</f>
        <v>4430</v>
      </c>
      <c r="Q9" s="549">
        <f>([6]Sheet1!$I$102)</f>
        <v>902134.34065555921</v>
      </c>
      <c r="R9" s="549">
        <f>([6]Sheet1!$I$101)</f>
        <v>1705424.6593444408</v>
      </c>
      <c r="S9" s="549">
        <v>0</v>
      </c>
      <c r="T9" s="549">
        <f>SUM(O9:S9)</f>
        <v>44410807.200000003</v>
      </c>
      <c r="U9" s="549">
        <f>SUM(E9:I9,L9:N9)</f>
        <v>41798818.199999996</v>
      </c>
      <c r="W9" s="549">
        <f>SUM(E9:N9)</f>
        <v>44406377.199999996</v>
      </c>
    </row>
    <row r="10" spans="1:23">
      <c r="A10" s="570" t="s">
        <v>413</v>
      </c>
      <c r="B10" s="570" t="s">
        <v>133</v>
      </c>
      <c r="C10" s="581">
        <f>('2 Functionalization2'!G8)</f>
        <v>1321044</v>
      </c>
      <c r="D10" s="581"/>
      <c r="E10" s="570">
        <f>($C$10*'4.1 kW &amp; kWh'!C55)</f>
        <v>1028515.5153679053</v>
      </c>
      <c r="F10" s="570">
        <f>($C$10*'4.1 kW &amp; kWh'!D55)</f>
        <v>0</v>
      </c>
      <c r="G10" s="570">
        <f>($C$10*'4.1 kW &amp; kWh'!E55)</f>
        <v>78149.097741610036</v>
      </c>
      <c r="H10" s="570">
        <f>($C$10*'4.1 kW &amp; kWh'!F55)</f>
        <v>0</v>
      </c>
      <c r="I10" s="570">
        <f>($C$10*'4.1 kW &amp; kWh'!G55)</f>
        <v>103257.26033390602</v>
      </c>
      <c r="J10" s="570">
        <f>($C$10*'4.1 kW &amp; kWh'!H55)</f>
        <v>19552.2506958269</v>
      </c>
      <c r="K10" s="570">
        <f>($C$10*'4.1 kW &amp; kWh'!I55)</f>
        <v>38443.329549432114</v>
      </c>
      <c r="L10" s="570">
        <f>($C$10*'4.1 kW &amp; kWh'!K55)</f>
        <v>26160.007131887207</v>
      </c>
      <c r="M10" s="570">
        <f>($C$10*'4.1 kW &amp; kWh'!L55)</f>
        <v>13053.190825813119</v>
      </c>
      <c r="N10" s="570">
        <f>($C$10*'4.1 kW &amp; kWh'!M55)</f>
        <v>13913.348353619214</v>
      </c>
      <c r="O10" s="570">
        <f>SUM(D10:I10,L10:N10)</f>
        <v>1263048.4197547408</v>
      </c>
      <c r="P10" s="570">
        <f t="shared" ref="P10:P17" si="0">D10</f>
        <v>0</v>
      </c>
      <c r="Q10" s="570">
        <f t="shared" ref="Q10:R17" si="1">J10</f>
        <v>19552.2506958269</v>
      </c>
      <c r="R10" s="570">
        <f t="shared" si="1"/>
        <v>38443.329549432114</v>
      </c>
      <c r="S10" s="533"/>
      <c r="T10" s="549">
        <f t="shared" ref="T10:T17" si="2">SUM(O10:R10)</f>
        <v>1321043.9999999998</v>
      </c>
      <c r="W10" s="549" t="s">
        <v>1</v>
      </c>
    </row>
    <row r="11" spans="1:23">
      <c r="A11" s="570" t="s">
        <v>247</v>
      </c>
      <c r="B11" s="570" t="s">
        <v>133</v>
      </c>
      <c r="C11" s="581">
        <f>('3Classific. Summary'!E10)</f>
        <v>188665.16292309886</v>
      </c>
      <c r="D11" s="581"/>
      <c r="E11" s="570">
        <f>($C$11*'4.1 kW &amp; kWh'!C84)</f>
        <v>138288.83058719174</v>
      </c>
      <c r="F11" s="570">
        <f>($C$11*'4.1 kW &amp; kWh'!D84)</f>
        <v>0</v>
      </c>
      <c r="G11" s="570">
        <f>($C$11*'4.1 kW &amp; kWh'!E84)</f>
        <v>13565.158783114217</v>
      </c>
      <c r="H11" s="570">
        <f>($C$11*'4.1 kW &amp; kWh'!F84)</f>
        <v>0</v>
      </c>
      <c r="I11" s="570">
        <f>($C$11*'4.1 kW &amp; kWh'!G84)</f>
        <v>15706.311387810791</v>
      </c>
      <c r="J11" s="570">
        <f>($C$11*'4.1 kW &amp; kWh'!H84)</f>
        <v>2804.883037143305</v>
      </c>
      <c r="K11" s="570">
        <f>($C$11*'4.1 kW &amp; kWh'!I84)</f>
        <v>5728.8057178109484</v>
      </c>
      <c r="L11" s="570">
        <f>($C$11*'4.1 kW &amp; kWh'!K84)</f>
        <v>5158.6270336624011</v>
      </c>
      <c r="M11" s="570">
        <f>($C$11*'4.1 kW &amp; kWh'!L84)</f>
        <v>4206.1134009113148</v>
      </c>
      <c r="N11" s="570">
        <f>($C$11*'4.1 kW &amp; kWh'!M84)</f>
        <v>3206.43297545416</v>
      </c>
      <c r="O11" s="570">
        <f t="shared" ref="O11:O17" si="3">SUM(D11:I11,L11:N11)</f>
        <v>180131.47416814463</v>
      </c>
      <c r="P11" s="570">
        <f t="shared" si="0"/>
        <v>0</v>
      </c>
      <c r="Q11" s="570">
        <f t="shared" si="1"/>
        <v>2804.883037143305</v>
      </c>
      <c r="R11" s="570">
        <f t="shared" si="1"/>
        <v>5728.8057178109484</v>
      </c>
      <c r="S11" s="533"/>
      <c r="T11" s="549">
        <f t="shared" si="2"/>
        <v>188665.16292309889</v>
      </c>
      <c r="U11" s="533"/>
      <c r="W11" s="549" t="s">
        <v>1</v>
      </c>
    </row>
    <row r="12" spans="1:23">
      <c r="A12" s="570" t="s">
        <v>182</v>
      </c>
      <c r="B12" s="570" t="s">
        <v>10</v>
      </c>
      <c r="C12" s="581">
        <f>('3Classific. Summary'!D11)</f>
        <v>5642107.0955975112</v>
      </c>
      <c r="D12" s="581"/>
      <c r="E12" s="570">
        <f>($C$12*'4.2 Consumer Alloc.'!I4)</f>
        <v>5074201.1824956965</v>
      </c>
      <c r="F12" s="570">
        <f>($C$12*'4.2 Consumer Alloc.'!I5)</f>
        <v>0</v>
      </c>
      <c r="G12" s="570">
        <f>($C$12*'4.2 Consumer Alloc.'!I6)</f>
        <v>379766.64131415018</v>
      </c>
      <c r="H12" s="570">
        <f>($C$12*'4.2 Consumer Alloc.'!I7)</f>
        <v>0</v>
      </c>
      <c r="I12" s="570">
        <f>($C$12*'4.2 Consumer Alloc.'!I8)</f>
        <v>17440.488694105636</v>
      </c>
      <c r="J12" s="570">
        <f>($C$12*'4.2 Consumer Alloc.'!$I$9)</f>
        <v>218.00610867632045</v>
      </c>
      <c r="K12" s="570">
        <f>($C$12*'4.2 Consumer Alloc.'!$I$10)</f>
        <v>327.00916301448063</v>
      </c>
      <c r="L12" s="570">
        <f>($C$12*'4.2 Consumer Alloc.'!$I$11)</f>
        <v>110747.10320757078</v>
      </c>
      <c r="M12" s="570">
        <f>($C$12*'4.2 Consumer Alloc.'!$I$12)</f>
        <v>2616.0733041158451</v>
      </c>
      <c r="N12" s="570">
        <f>($C$12*'4.2 Consumer Alloc.'!$I$13)</f>
        <v>56790.591310181473</v>
      </c>
      <c r="O12" s="570">
        <f>SUM(D12:I12,L12:N12)</f>
        <v>5641562.0803258196</v>
      </c>
      <c r="P12" s="570">
        <f t="shared" si="0"/>
        <v>0</v>
      </c>
      <c r="Q12" s="570">
        <f t="shared" si="1"/>
        <v>218.00610867632045</v>
      </c>
      <c r="R12" s="570">
        <f t="shared" si="1"/>
        <v>327.00916301448063</v>
      </c>
      <c r="S12" s="533"/>
      <c r="T12" s="549">
        <f>SUM(O12:R12)</f>
        <v>5642107.0955975102</v>
      </c>
    </row>
    <row r="13" spans="1:23">
      <c r="A13" s="570" t="s">
        <v>182</v>
      </c>
      <c r="B13" s="570" t="s">
        <v>133</v>
      </c>
      <c r="C13" s="581">
        <f>('3Classific. Summary'!E11)</f>
        <v>15393084.099855222</v>
      </c>
      <c r="D13" s="581"/>
      <c r="E13" s="570">
        <f>($C$13*'4.1 kW &amp; kWh'!C84)</f>
        <v>11282907.593104202</v>
      </c>
      <c r="F13" s="570">
        <f>($C$13*'4.1 kW &amp; kWh'!D84)</f>
        <v>0</v>
      </c>
      <c r="G13" s="570">
        <f>($C$13*'4.1 kW &amp; kWh'!E84)</f>
        <v>1106773.644594254</v>
      </c>
      <c r="H13" s="570">
        <f>($C$13*'4.1 kW &amp; kWh'!F84)</f>
        <v>0</v>
      </c>
      <c r="I13" s="570">
        <f>($C$13*'4.1 kW &amp; kWh'!G84)</f>
        <v>1281469.0764591855</v>
      </c>
      <c r="J13" s="570">
        <f>($C$13*'4.1 kW &amp; kWh'!H84)</f>
        <v>228848.823026236</v>
      </c>
      <c r="K13" s="570">
        <f>($C$13*'4.1 kW &amp; kWh'!I84)</f>
        <v>467410.02334352396</v>
      </c>
      <c r="L13" s="570">
        <f>($C$13*'4.1 kW &amp; kWh'!K84)</f>
        <v>420889.46649530041</v>
      </c>
      <c r="M13" s="570">
        <f>($C$13*'4.1 kW &amp; kWh'!L84)</f>
        <v>343174.41710288846</v>
      </c>
      <c r="N13" s="570">
        <f>($C$13*'4.1 kW &amp; kWh'!M84)</f>
        <v>261611.05572963189</v>
      </c>
      <c r="O13" s="570">
        <f t="shared" si="3"/>
        <v>14696825.253485462</v>
      </c>
      <c r="P13" s="570">
        <f t="shared" si="0"/>
        <v>0</v>
      </c>
      <c r="Q13" s="570">
        <f t="shared" si="1"/>
        <v>228848.823026236</v>
      </c>
      <c r="R13" s="570">
        <f t="shared" si="1"/>
        <v>467410.02334352396</v>
      </c>
      <c r="S13" s="533"/>
      <c r="T13" s="549">
        <f t="shared" si="2"/>
        <v>15393084.099855222</v>
      </c>
    </row>
    <row r="14" spans="1:23">
      <c r="A14" s="570" t="s">
        <v>95</v>
      </c>
      <c r="B14" s="570" t="s">
        <v>10</v>
      </c>
      <c r="C14" s="581">
        <f>('3Classific. Summary'!D12)</f>
        <v>510265.76273499068</v>
      </c>
      <c r="D14" s="581"/>
      <c r="E14" s="570">
        <f>($C$14*'4.2 Consumer Alloc.'!I25)</f>
        <v>438039.6492546323</v>
      </c>
      <c r="F14" s="570">
        <f>($C$14*'4.2 Consumer Alloc.'!I26)</f>
        <v>0</v>
      </c>
      <c r="G14" s="570">
        <f>($C$14*'4.2 Consumer Alloc.'!I27)</f>
        <v>45647.8803813708</v>
      </c>
      <c r="H14" s="570">
        <f>($C$14*'4.2 Consumer Alloc.'!I28)</f>
        <v>0</v>
      </c>
      <c r="I14" s="570">
        <f>($C$14*'4.2 Consumer Alloc.'!$I$29)</f>
        <v>8936.5577654519948</v>
      </c>
      <c r="J14" s="570">
        <f>($C$14*'4.2 Consumer Alloc.'!$I$30)</f>
        <v>0</v>
      </c>
      <c r="K14" s="570">
        <f>($C$14*'4.2 Consumer Alloc.'!$I$31)</f>
        <v>0</v>
      </c>
      <c r="L14" s="570">
        <f>($C$14*'4.2 Consumer Alloc.'!$I$32)</f>
        <v>13311.781420055318</v>
      </c>
      <c r="M14" s="570">
        <f>($C$14*'4.2 Consumer Alloc.'!$I$33)</f>
        <v>2789.1681119023351</v>
      </c>
      <c r="N14" s="570">
        <f>($C$14*'4.2 Consumer Alloc.'!$I$34)</f>
        <v>1540.7258015778823</v>
      </c>
      <c r="O14" s="570">
        <f t="shared" si="3"/>
        <v>510265.76273499063</v>
      </c>
      <c r="P14" s="570">
        <f t="shared" si="0"/>
        <v>0</v>
      </c>
      <c r="Q14" s="570">
        <f t="shared" si="1"/>
        <v>0</v>
      </c>
      <c r="R14" s="570">
        <f t="shared" si="1"/>
        <v>0</v>
      </c>
      <c r="S14" s="533"/>
      <c r="T14" s="549">
        <f>SUM(O14:R14)</f>
        <v>510265.76273499063</v>
      </c>
    </row>
    <row r="15" spans="1:23">
      <c r="A15" s="570" t="s">
        <v>95</v>
      </c>
      <c r="B15" s="570" t="s">
        <v>133</v>
      </c>
      <c r="C15" s="581">
        <f>('3Classific. Summary'!E12)</f>
        <v>1906778.4779865071</v>
      </c>
      <c r="D15" s="581"/>
      <c r="E15" s="570">
        <f>($C15*'4.1 kW &amp; kWh'!C110)</f>
        <v>1635642.4065276675</v>
      </c>
      <c r="F15" s="570">
        <f>($C15*'4.1 kW &amp; kWh'!D110)</f>
        <v>0</v>
      </c>
      <c r="G15" s="570">
        <f>($C15*'4.1 kW &amp; kWh'!E110)</f>
        <v>103038.66724161549</v>
      </c>
      <c r="H15" s="570">
        <f>($C15*'4.1 kW &amp; kWh'!F110)</f>
        <v>0</v>
      </c>
      <c r="I15" s="570">
        <f>($C15*'4.1 kW &amp; kWh'!G110)</f>
        <v>78724.812879440869</v>
      </c>
      <c r="J15" s="570">
        <f>($C15*'4.1 kW &amp; kWh'!H110)</f>
        <v>0</v>
      </c>
      <c r="K15" s="570">
        <f>($C15*'4.1 kW &amp; kWh'!I110)</f>
        <v>0</v>
      </c>
      <c r="L15" s="570">
        <f>($C15*'4.1 kW &amp; kWh'!K110)</f>
        <v>49196.053202516676</v>
      </c>
      <c r="M15" s="570">
        <f>($C15*'4.1 kW &amp; kWh'!L110)</f>
        <v>27366.610482490738</v>
      </c>
      <c r="N15" s="570">
        <f>($C15*'4.1 kW &amp; kWh'!M110)</f>
        <v>12809.927652775739</v>
      </c>
      <c r="O15" s="570">
        <f>SUM(D15:I15,L15:N15)</f>
        <v>1906778.4779865071</v>
      </c>
      <c r="P15" s="570">
        <f t="shared" si="0"/>
        <v>0</v>
      </c>
      <c r="Q15" s="570">
        <f>J15</f>
        <v>0</v>
      </c>
      <c r="R15" s="570">
        <f t="shared" si="1"/>
        <v>0</v>
      </c>
      <c r="S15" s="533"/>
      <c r="T15" s="549">
        <f>SUM(O15:R15)</f>
        <v>1906778.4779865071</v>
      </c>
      <c r="U15" s="570">
        <f>($C15*'4.1 kW &amp; kWh'!R113)</f>
        <v>0</v>
      </c>
    </row>
    <row r="16" spans="1:23">
      <c r="A16" s="570" t="s">
        <v>8</v>
      </c>
      <c r="B16" s="570" t="s">
        <v>10</v>
      </c>
      <c r="C16" s="581">
        <f>('3Classific. Summary'!D13)</f>
        <v>3326373.7582465187</v>
      </c>
      <c r="D16" s="581"/>
      <c r="E16" s="570">
        <f>($C$16*'4.2 Consumer Alloc.'!J47)</f>
        <v>2735898.0302477172</v>
      </c>
      <c r="F16" s="570">
        <f>($C$16*'4.2 Consumer Alloc.'!J48)</f>
        <v>6406.1542243346266</v>
      </c>
      <c r="G16" s="570">
        <f>($C$16*'4.2 Consumer Alloc.'!J49)</f>
        <v>460714.15563815716</v>
      </c>
      <c r="H16" s="570">
        <f>($C$16*'4.2 Consumer Alloc.'!J50)</f>
        <v>528.94851393588658</v>
      </c>
      <c r="I16" s="570">
        <f>($C$16*'4.2 Consumer Alloc.'!$J$51)</f>
        <v>9403.5291366379824</v>
      </c>
      <c r="J16" s="570">
        <f>($C$16*'4.2 Consumer Alloc.'!$J$52)</f>
        <v>0</v>
      </c>
      <c r="K16" s="570">
        <f>($C$16*'4.2 Consumer Alloc.'!$J$53)</f>
        <v>0</v>
      </c>
      <c r="L16" s="570">
        <f>($C$16*'4.2 Consumer Alloc.'!$J$54)</f>
        <v>59712.4100176512</v>
      </c>
      <c r="M16" s="570">
        <f>($C$16*'4.2 Consumer Alloc.'!$J$55)</f>
        <v>5918.1534551023378</v>
      </c>
      <c r="N16" s="570">
        <f>($C$16*'4.2 Consumer Alloc.'!$J$56)</f>
        <v>47792.377012981997</v>
      </c>
      <c r="O16" s="570">
        <f t="shared" si="3"/>
        <v>3326373.7582465182</v>
      </c>
      <c r="P16" s="570">
        <f t="shared" si="0"/>
        <v>0</v>
      </c>
      <c r="Q16" s="570">
        <f t="shared" si="1"/>
        <v>0</v>
      </c>
      <c r="R16" s="570">
        <f t="shared" si="1"/>
        <v>0</v>
      </c>
      <c r="S16" s="533"/>
      <c r="T16" s="549">
        <f t="shared" si="2"/>
        <v>3326373.7582465182</v>
      </c>
    </row>
    <row r="17" spans="1:20">
      <c r="A17" s="570" t="s">
        <v>9</v>
      </c>
      <c r="B17" s="570" t="s">
        <v>10</v>
      </c>
      <c r="C17" s="581">
        <f>('3Classific. Summary'!D14)</f>
        <v>3953844.3945358121</v>
      </c>
      <c r="D17" s="581"/>
      <c r="E17" s="570">
        <f>($C$17*'4.2 Consumer Alloc.'!I68)</f>
        <v>3494881.6234871997</v>
      </c>
      <c r="F17" s="570">
        <f>($C$17*'4.2 Consumer Alloc.'!I69)</f>
        <v>81833.278975769528</v>
      </c>
      <c r="G17" s="570">
        <f>($C$17*'4.2 Consumer Alloc.'!I70)</f>
        <v>261566.18711154227</v>
      </c>
      <c r="H17" s="570">
        <f>($C$17*'4.2 Consumer Alloc.'!I71)</f>
        <v>1201.2224436810206</v>
      </c>
      <c r="I17" s="570">
        <f>($C$17*'4.2 Consumer Alloc.'!$I$72)</f>
        <v>35183.150233554232</v>
      </c>
      <c r="J17" s="570">
        <f>($C$17*'4.2 Consumer Alloc.'!$I$73)</f>
        <v>439.78937791942792</v>
      </c>
      <c r="K17" s="570">
        <f>($C$17*'4.2 Consumer Alloc.'!$I$74)</f>
        <v>659.68406687914194</v>
      </c>
      <c r="L17" s="570">
        <f>($C$17*'4.2 Consumer Alloc.'!$I$75)</f>
        <v>76277.625173744818</v>
      </c>
      <c r="M17" s="570">
        <f>($C$17*'4.2 Consumer Alloc.'!$I$76)</f>
        <v>1801.8336655215312</v>
      </c>
      <c r="N17" s="570">
        <f>($C$17*'4.2 Consumer Alloc.'!$I$77)</f>
        <v>0</v>
      </c>
      <c r="O17" s="570">
        <f t="shared" si="3"/>
        <v>3952744.9210910127</v>
      </c>
      <c r="P17" s="570">
        <f t="shared" si="0"/>
        <v>0</v>
      </c>
      <c r="Q17" s="570">
        <f t="shared" si="1"/>
        <v>439.78937791942792</v>
      </c>
      <c r="R17" s="570">
        <f t="shared" si="1"/>
        <v>659.68406687914194</v>
      </c>
      <c r="S17" s="533"/>
      <c r="T17" s="549">
        <f t="shared" si="2"/>
        <v>3953844.3945358112</v>
      </c>
    </row>
    <row r="18" spans="1:20">
      <c r="A18" s="570" t="s">
        <v>183</v>
      </c>
      <c r="B18" s="570"/>
      <c r="C18" s="581"/>
      <c r="D18" s="581"/>
      <c r="E18" s="570"/>
      <c r="F18" s="570"/>
      <c r="G18" s="570"/>
      <c r="I18" s="570"/>
      <c r="J18" s="549">
        <f>SUM(D18:I18)</f>
        <v>0</v>
      </c>
    </row>
    <row r="19" spans="1:20">
      <c r="A19" s="570" t="s">
        <v>184</v>
      </c>
      <c r="B19" s="570" t="s">
        <v>10</v>
      </c>
      <c r="C19" s="581">
        <f>('3Classific. Summary'!D16)</f>
        <v>5581349.6412854465</v>
      </c>
      <c r="D19" s="581"/>
      <c r="E19" s="570">
        <f>($C$19*'4.2 Consumer Alloc.'!I89)</f>
        <v>4626900.9803164657</v>
      </c>
      <c r="F19" s="570">
        <f>($C$19*'4.2 Consumer Alloc.'!I90)</f>
        <v>40627.393089393467</v>
      </c>
      <c r="G19" s="570">
        <f>($C$19*'4.2 Consumer Alloc.'!I91)</f>
        <v>519434.26614108932</v>
      </c>
      <c r="H19" s="570">
        <f>($C$19*'4.2 Consumer Alloc.'!I92)</f>
        <v>596.36540314706008</v>
      </c>
      <c r="I19" s="570">
        <f>($C$19*'4.2 Consumer Alloc.'!I93)</f>
        <v>35781.924188823599</v>
      </c>
      <c r="J19" s="570">
        <f>($C$19*'4.2 Consumer Alloc.'!$I$94)</f>
        <v>795.15387086274666</v>
      </c>
      <c r="K19" s="570">
        <f>($C$19*'4.2 Consumer Alloc.'!$I$95)</f>
        <v>1192.7308062941202</v>
      </c>
      <c r="L19" s="570">
        <f>($C$19*'4.2 Consumer Alloc.'!$I$96)</f>
        <v>151476.81239935325</v>
      </c>
      <c r="M19" s="570">
        <f>($C$19*'4.2 Consumer Alloc.'!$I$97)</f>
        <v>3578.19241888236</v>
      </c>
      <c r="N19" s="570">
        <f>($C$19*'4.2 Consumer Alloc.'!$I$98)</f>
        <v>200965.82265113507</v>
      </c>
      <c r="O19" s="570">
        <f>SUM(D19:I19,L19:N19)</f>
        <v>5579361.7566082897</v>
      </c>
      <c r="P19" s="570">
        <f>D19</f>
        <v>0</v>
      </c>
      <c r="Q19" s="570">
        <f>J19</f>
        <v>795.15387086274666</v>
      </c>
      <c r="R19" s="570">
        <f>K19</f>
        <v>1192.7308062941202</v>
      </c>
      <c r="S19" s="533"/>
      <c r="T19" s="549">
        <f>SUM(O19:R19)</f>
        <v>5581349.6412854465</v>
      </c>
    </row>
    <row r="20" spans="1:20">
      <c r="A20" s="570" t="s">
        <v>13</v>
      </c>
      <c r="B20" s="570" t="s">
        <v>13</v>
      </c>
      <c r="C20" s="581">
        <f>('3Classific. Summary'!I17)</f>
        <v>827723.32683489169</v>
      </c>
      <c r="D20" s="581"/>
      <c r="E20" s="570"/>
      <c r="F20" s="570"/>
      <c r="G20" s="570"/>
      <c r="H20" s="570"/>
      <c r="I20" s="570" t="s">
        <v>1</v>
      </c>
      <c r="J20" s="549" t="s">
        <v>1</v>
      </c>
      <c r="K20" s="581"/>
      <c r="N20" s="549">
        <f>C20</f>
        <v>827723.32683489169</v>
      </c>
      <c r="O20" s="570">
        <f>SUM(D20:I20,L20:N20)</f>
        <v>827723.32683489169</v>
      </c>
      <c r="P20" s="570">
        <f>D20</f>
        <v>0</v>
      </c>
      <c r="Q20" s="570" t="str">
        <f>J20</f>
        <v xml:space="preserve"> </v>
      </c>
      <c r="R20" s="570">
        <f>K20</f>
        <v>0</v>
      </c>
      <c r="S20" s="533"/>
      <c r="T20" s="549">
        <f>SUM(O20:R20)</f>
        <v>827723.32683489169</v>
      </c>
    </row>
    <row r="21" spans="1:20">
      <c r="A21" s="574" t="s">
        <v>170</v>
      </c>
      <c r="B21" s="574"/>
      <c r="C21" s="582">
        <f>SUM(C8:C20)</f>
        <v>96082061.919999987</v>
      </c>
      <c r="D21" s="582">
        <f>SUM(D8:D20)</f>
        <v>4430</v>
      </c>
      <c r="E21" s="583">
        <f t="shared" ref="E21:J21" si="4">SUM(E8:E20)</f>
        <v>71849981.147633716</v>
      </c>
      <c r="F21" s="583">
        <f t="shared" si="4"/>
        <v>418498.44356982043</v>
      </c>
      <c r="G21" s="583">
        <f t="shared" si="4"/>
        <v>6836012.6225475669</v>
      </c>
      <c r="H21" s="583">
        <f t="shared" si="4"/>
        <v>6701.1715878368796</v>
      </c>
      <c r="I21" s="583">
        <f t="shared" si="4"/>
        <v>6603474.6283892374</v>
      </c>
      <c r="J21" s="583">
        <f t="shared" si="4"/>
        <v>1431791.2467722239</v>
      </c>
      <c r="K21" s="583">
        <f>SUM(K8:K20)</f>
        <v>2706743.2419913956</v>
      </c>
      <c r="L21" s="583">
        <f t="shared" ref="L21:S21" si="5">SUM(L8:L20)</f>
        <v>2532186.6764680659</v>
      </c>
      <c r="M21" s="583">
        <f t="shared" si="5"/>
        <v>1103812.0888319928</v>
      </c>
      <c r="N21" s="583">
        <f>SUM(N8:N20)</f>
        <v>2588430.6522081541</v>
      </c>
      <c r="O21" s="583">
        <f>SUM(O8:O20)</f>
        <v>91939097.431236371</v>
      </c>
      <c r="P21" s="583">
        <f t="shared" si="5"/>
        <v>4430</v>
      </c>
      <c r="Q21" s="583">
        <f t="shared" si="5"/>
        <v>1431791.2467722239</v>
      </c>
      <c r="R21" s="583">
        <f t="shared" si="5"/>
        <v>2706743.2419913956</v>
      </c>
      <c r="S21" s="583">
        <f t="shared" si="5"/>
        <v>0</v>
      </c>
      <c r="T21" s="583">
        <f>SUM(T8:T20)</f>
        <v>96082061.919999987</v>
      </c>
    </row>
    <row r="22" spans="1:20">
      <c r="A22" s="533"/>
      <c r="B22" s="533"/>
      <c r="C22" s="533"/>
      <c r="D22" s="533"/>
      <c r="E22" s="533"/>
      <c r="F22" s="533"/>
      <c r="G22" s="533"/>
      <c r="H22" s="533"/>
      <c r="I22" s="533"/>
    </row>
    <row r="23" spans="1:20" ht="15">
      <c r="A23" s="533"/>
      <c r="B23" s="533"/>
      <c r="C23" s="533"/>
      <c r="D23" s="776" t="s">
        <v>231</v>
      </c>
      <c r="E23" s="776"/>
      <c r="F23" s="776"/>
      <c r="G23" s="776"/>
      <c r="H23" s="776" t="s">
        <v>231</v>
      </c>
      <c r="I23" s="776"/>
    </row>
    <row r="24" spans="1:20">
      <c r="A24" s="584"/>
      <c r="B24" s="585"/>
      <c r="C24" s="566"/>
      <c r="D24" s="586">
        <f t="shared" ref="D24:T24" si="6">D5</f>
        <v>0</v>
      </c>
      <c r="E24" s="586">
        <f t="shared" si="6"/>
        <v>10</v>
      </c>
      <c r="F24" s="586">
        <f t="shared" si="6"/>
        <v>11</v>
      </c>
      <c r="G24" s="586">
        <f t="shared" si="6"/>
        <v>20</v>
      </c>
      <c r="H24" s="586">
        <f t="shared" si="6"/>
        <v>22</v>
      </c>
      <c r="I24" s="586">
        <f t="shared" si="6"/>
        <v>40</v>
      </c>
      <c r="J24" s="586">
        <f t="shared" si="6"/>
        <v>46</v>
      </c>
      <c r="K24" s="586">
        <f t="shared" si="6"/>
        <v>47</v>
      </c>
      <c r="L24" s="586">
        <f t="shared" si="6"/>
        <v>50</v>
      </c>
      <c r="M24" s="586">
        <f t="shared" si="6"/>
        <v>52</v>
      </c>
      <c r="N24" s="586">
        <f t="shared" si="6"/>
        <v>0</v>
      </c>
      <c r="O24" s="586" t="str">
        <f t="shared" si="6"/>
        <v>Total</v>
      </c>
      <c r="P24" s="586">
        <f t="shared" si="6"/>
        <v>0</v>
      </c>
      <c r="Q24" s="586">
        <f t="shared" si="6"/>
        <v>46</v>
      </c>
      <c r="R24" s="586">
        <f t="shared" si="6"/>
        <v>47</v>
      </c>
      <c r="S24" s="586">
        <f t="shared" si="6"/>
        <v>0</v>
      </c>
      <c r="T24" s="586">
        <f t="shared" si="6"/>
        <v>0</v>
      </c>
    </row>
    <row r="25" spans="1:20">
      <c r="A25" s="581"/>
      <c r="B25" s="534"/>
      <c r="C25" s="572"/>
      <c r="D25" s="586" t="str">
        <f t="shared" ref="D25" si="7">D6</f>
        <v>Green</v>
      </c>
      <c r="E25" s="586" t="str">
        <f t="shared" ref="E25:E26" si="8">E6</f>
        <v>Residential</v>
      </c>
      <c r="F25" s="586" t="str">
        <f t="shared" ref="F25:T25" si="9">F6</f>
        <v>Residential</v>
      </c>
      <c r="G25" s="586" t="str">
        <f t="shared" si="9"/>
        <v>Comm. Sml Pow</v>
      </c>
      <c r="H25" s="586" t="str">
        <f t="shared" si="9"/>
        <v>Comm &amp; Sml Pow</v>
      </c>
      <c r="I25" s="586" t="str">
        <f t="shared" si="9"/>
        <v>Large Power</v>
      </c>
      <c r="J25" s="586" t="str">
        <f t="shared" si="9"/>
        <v>Large Power</v>
      </c>
      <c r="K25" s="586" t="str">
        <f t="shared" si="9"/>
        <v>Large Power</v>
      </c>
      <c r="L25" s="586" t="str">
        <f t="shared" si="9"/>
        <v>Schl. Community</v>
      </c>
      <c r="M25" s="586" t="str">
        <f t="shared" si="9"/>
        <v>All Electric</v>
      </c>
      <c r="N25" s="586" t="str">
        <f t="shared" si="9"/>
        <v>Outdoor</v>
      </c>
      <c r="O25" s="586" t="str">
        <f t="shared" si="9"/>
        <v>Energy for</v>
      </c>
      <c r="P25" s="586">
        <f t="shared" si="9"/>
        <v>0</v>
      </c>
      <c r="Q25" s="586" t="str">
        <f t="shared" si="9"/>
        <v>500 kW &amp;</v>
      </c>
      <c r="R25" s="586" t="str">
        <f t="shared" si="9"/>
        <v>500-4,999 kW</v>
      </c>
      <c r="S25" s="586">
        <f t="shared" si="9"/>
        <v>0</v>
      </c>
      <c r="T25" s="586" t="str">
        <f t="shared" si="9"/>
        <v>Total</v>
      </c>
    </row>
    <row r="26" spans="1:20">
      <c r="A26" s="581"/>
      <c r="B26" s="534"/>
      <c r="C26" s="572" t="s">
        <v>116</v>
      </c>
      <c r="D26" s="586" t="str">
        <f t="shared" ref="D26" si="10">D7</f>
        <v>Power</v>
      </c>
      <c r="E26" s="586" t="str">
        <f t="shared" si="8"/>
        <v>Farm &amp; Non Farm</v>
      </c>
      <c r="F26" s="586" t="str">
        <f t="shared" ref="F26:T26" si="11">F7</f>
        <v>ETS</v>
      </c>
      <c r="G26" s="586" t="str">
        <f t="shared" si="11"/>
        <v>&amp; 3 Phase Farm</v>
      </c>
      <c r="H26" s="586" t="str">
        <f t="shared" si="11"/>
        <v>ETS</v>
      </c>
      <c r="I26" s="586" t="str">
        <f t="shared" si="11"/>
        <v>&lt; Than 50 kW</v>
      </c>
      <c r="J26" s="586" t="str">
        <f t="shared" si="11"/>
        <v>&gt;500 kW</v>
      </c>
      <c r="K26" s="586" t="str">
        <f t="shared" si="11"/>
        <v>500-4999 KW</v>
      </c>
      <c r="L26" s="586" t="str">
        <f t="shared" si="11"/>
        <v>Halls &amp; Parks</v>
      </c>
      <c r="M26" s="586" t="str">
        <f t="shared" si="11"/>
        <v>Schools</v>
      </c>
      <c r="N26" s="586" t="str">
        <f t="shared" si="11"/>
        <v>Lights</v>
      </c>
      <c r="O26" s="586" t="str">
        <f t="shared" si="11"/>
        <v>Sched E</v>
      </c>
      <c r="P26" s="586" t="str">
        <f t="shared" si="11"/>
        <v>Envirowatts</v>
      </c>
      <c r="Q26" s="586" t="str">
        <f t="shared" si="11"/>
        <v>Over (C)</v>
      </c>
      <c r="R26" s="586" t="str">
        <f t="shared" si="11"/>
        <v>(B)</v>
      </c>
      <c r="S26" s="586" t="str">
        <f t="shared" si="11"/>
        <v>Wellhead</v>
      </c>
      <c r="T26" s="586" t="str">
        <f t="shared" si="11"/>
        <v>Energy kWh</v>
      </c>
    </row>
    <row r="27" spans="1:20">
      <c r="A27" s="581" t="s">
        <v>185</v>
      </c>
      <c r="B27" s="534"/>
      <c r="C27" s="565">
        <f>SUM(C12,C14,C16,C17,C19)</f>
        <v>19013940.652400278</v>
      </c>
      <c r="D27" s="565">
        <f t="shared" ref="D27:I27" si="12">SUM(D12,D14,D16,D17,D19)</f>
        <v>0</v>
      </c>
      <c r="E27" s="565">
        <f>SUM(E12,E14,E16,E17,E19)</f>
        <v>16369921.46580171</v>
      </c>
      <c r="F27" s="565">
        <f t="shared" si="12"/>
        <v>128866.82628949764</v>
      </c>
      <c r="G27" s="565">
        <f t="shared" si="12"/>
        <v>1667129.1305863098</v>
      </c>
      <c r="H27" s="565">
        <f t="shared" si="12"/>
        <v>2326.5363607639674</v>
      </c>
      <c r="I27" s="565">
        <f t="shared" si="12"/>
        <v>106745.65001857345</v>
      </c>
      <c r="J27" s="565">
        <f t="shared" ref="J27:R27" si="13">SUM(J12,J14,J16,J17,J19)</f>
        <v>1452.9493574584949</v>
      </c>
      <c r="K27" s="565">
        <f t="shared" si="13"/>
        <v>2179.4240361877428</v>
      </c>
      <c r="L27" s="565">
        <f t="shared" si="13"/>
        <v>411525.73221837537</v>
      </c>
      <c r="M27" s="565">
        <f t="shared" si="13"/>
        <v>16703.420955524409</v>
      </c>
      <c r="N27" s="565">
        <f t="shared" si="13"/>
        <v>307089.5167758764</v>
      </c>
      <c r="O27" s="565">
        <f t="shared" si="13"/>
        <v>19010308.27900663</v>
      </c>
      <c r="P27" s="565">
        <f t="shared" si="13"/>
        <v>0</v>
      </c>
      <c r="Q27" s="565">
        <f t="shared" si="13"/>
        <v>1452.9493574584949</v>
      </c>
      <c r="R27" s="565">
        <f t="shared" si="13"/>
        <v>2179.4240361877428</v>
      </c>
      <c r="S27" s="565">
        <f t="shared" ref="S27" si="14">SUM(S12,S14,S16,S17,S19)</f>
        <v>0</v>
      </c>
      <c r="T27" s="549">
        <f>SUM(O27:S27)</f>
        <v>19013940.652400274</v>
      </c>
    </row>
    <row r="28" spans="1:20">
      <c r="A28" s="581" t="s">
        <v>143</v>
      </c>
      <c r="B28" s="534"/>
      <c r="C28" s="570">
        <f>SUM(C8,C10,C13,C15,C11)</f>
        <v>31829590.740764827</v>
      </c>
      <c r="D28" s="565">
        <f>SUM(D13,D15,D17,D18,D20)</f>
        <v>0</v>
      </c>
      <c r="E28" s="570">
        <f>SUM(E8,E13,E15,E11,E10)</f>
        <v>24065126.043080911</v>
      </c>
      <c r="F28" s="570">
        <f t="shared" ref="F28:R28" si="15">SUM(F8,F13,F15,F11,F10)</f>
        <v>0</v>
      </c>
      <c r="G28" s="570">
        <f t="shared" si="15"/>
        <v>2059813.7717844816</v>
      </c>
      <c r="H28" s="570">
        <f t="shared" si="15"/>
        <v>0</v>
      </c>
      <c r="I28" s="570">
        <f t="shared" si="15"/>
        <v>2481071.2570544365</v>
      </c>
      <c r="J28" s="570">
        <f t="shared" si="15"/>
        <v>528203.95675920625</v>
      </c>
      <c r="K28" s="570">
        <f t="shared" si="15"/>
        <v>999139.1586107671</v>
      </c>
      <c r="L28" s="570">
        <f t="shared" si="15"/>
        <v>755236.88159588049</v>
      </c>
      <c r="M28" s="570">
        <f t="shared" si="15"/>
        <v>514456.52942798485</v>
      </c>
      <c r="N28" s="570">
        <f t="shared" si="15"/>
        <v>426543.14245116425</v>
      </c>
      <c r="O28" s="570">
        <f t="shared" si="15"/>
        <v>30302247.625394855</v>
      </c>
      <c r="P28" s="570">
        <f t="shared" si="15"/>
        <v>0</v>
      </c>
      <c r="Q28" s="570">
        <f t="shared" si="15"/>
        <v>528203.95675920625</v>
      </c>
      <c r="R28" s="570">
        <f t="shared" si="15"/>
        <v>999139.1586107671</v>
      </c>
      <c r="S28" s="570">
        <f t="shared" ref="S28" si="16">SUM(S8,S13,S15,S11,S10)</f>
        <v>0</v>
      </c>
      <c r="T28" s="549">
        <f>SUM(O28:S28)</f>
        <v>31829590.74076483</v>
      </c>
    </row>
    <row r="29" spans="1:20">
      <c r="A29" s="581" t="s">
        <v>178</v>
      </c>
      <c r="B29" s="534"/>
      <c r="C29" s="570">
        <f>(C9)</f>
        <v>44410807.200000003</v>
      </c>
      <c r="D29" s="565">
        <f>D9</f>
        <v>4430</v>
      </c>
      <c r="E29" s="570">
        <f>(E9)</f>
        <v>31414933.63875109</v>
      </c>
      <c r="F29" s="570">
        <f>(F9)</f>
        <v>289631.61728032283</v>
      </c>
      <c r="G29" s="570">
        <f>(G9)</f>
        <v>3109069.7201767755</v>
      </c>
      <c r="H29" s="570">
        <f>(H9)</f>
        <v>4374.6352270729121</v>
      </c>
      <c r="I29" s="570">
        <f>(I9)</f>
        <v>4015657.7213162272</v>
      </c>
      <c r="J29" s="570">
        <f t="shared" ref="J29:R29" si="17">(J9)</f>
        <v>902134.34065555921</v>
      </c>
      <c r="K29" s="570">
        <f t="shared" si="17"/>
        <v>1705424.6593444408</v>
      </c>
      <c r="L29" s="570">
        <f t="shared" si="17"/>
        <v>1365424.06265381</v>
      </c>
      <c r="M29" s="570">
        <f t="shared" si="17"/>
        <v>572652.13844848331</v>
      </c>
      <c r="N29" s="570">
        <f t="shared" si="17"/>
        <v>1027074.666146222</v>
      </c>
      <c r="O29" s="570">
        <f t="shared" si="17"/>
        <v>41798818.200000003</v>
      </c>
      <c r="P29" s="570">
        <f t="shared" si="17"/>
        <v>4430</v>
      </c>
      <c r="Q29" s="570">
        <f t="shared" si="17"/>
        <v>902134.34065555921</v>
      </c>
      <c r="R29" s="570">
        <f t="shared" si="17"/>
        <v>1705424.6593444408</v>
      </c>
      <c r="S29" s="570">
        <f t="shared" ref="S29" si="18">(S9)</f>
        <v>0</v>
      </c>
      <c r="T29" s="549">
        <f>SUM(O29:S29)</f>
        <v>44410807.200000003</v>
      </c>
    </row>
    <row r="30" spans="1:20">
      <c r="A30" s="581" t="s">
        <v>13</v>
      </c>
      <c r="B30" s="534"/>
      <c r="C30" s="570">
        <f>(C20)</f>
        <v>827723.32683489169</v>
      </c>
      <c r="D30" s="570"/>
      <c r="E30" s="570"/>
      <c r="F30" s="570"/>
      <c r="G30" s="570"/>
      <c r="H30" s="570"/>
      <c r="I30" s="570" t="str">
        <f>(I20)</f>
        <v xml:space="preserve"> </v>
      </c>
      <c r="J30" s="570" t="str">
        <f t="shared" ref="J30:R30" si="19">(J20)</f>
        <v xml:space="preserve"> </v>
      </c>
      <c r="K30" s="570">
        <f t="shared" si="19"/>
        <v>0</v>
      </c>
      <c r="L30" s="570">
        <f t="shared" si="19"/>
        <v>0</v>
      </c>
      <c r="M30" s="570">
        <f t="shared" si="19"/>
        <v>0</v>
      </c>
      <c r="N30" s="570">
        <f t="shared" si="19"/>
        <v>827723.32683489169</v>
      </c>
      <c r="O30" s="570">
        <f t="shared" si="19"/>
        <v>827723.32683489169</v>
      </c>
      <c r="P30" s="570">
        <f t="shared" si="19"/>
        <v>0</v>
      </c>
      <c r="Q30" s="570" t="str">
        <f t="shared" si="19"/>
        <v xml:space="preserve"> </v>
      </c>
      <c r="R30" s="570">
        <f t="shared" si="19"/>
        <v>0</v>
      </c>
      <c r="S30" s="570">
        <f t="shared" ref="S30" si="20">(S20)</f>
        <v>0</v>
      </c>
      <c r="T30" s="549">
        <f>SUM(O30:S30)</f>
        <v>827723.32683489169</v>
      </c>
    </row>
    <row r="31" spans="1:20">
      <c r="A31" s="587" t="str">
        <f>(A21)</f>
        <v>Revenue Requirements</v>
      </c>
      <c r="B31" s="540"/>
      <c r="C31" s="583">
        <f>SUM(C27:C30)</f>
        <v>96082061.919999987</v>
      </c>
      <c r="D31" s="583">
        <f t="shared" ref="D31:I31" si="21">SUM(D27:D30)</f>
        <v>4430</v>
      </c>
      <c r="E31" s="583">
        <f t="shared" si="21"/>
        <v>71849981.147633702</v>
      </c>
      <c r="F31" s="583">
        <f t="shared" si="21"/>
        <v>418498.44356982049</v>
      </c>
      <c r="G31" s="583">
        <f t="shared" si="21"/>
        <v>6836012.6225475669</v>
      </c>
      <c r="H31" s="583">
        <f t="shared" si="21"/>
        <v>6701.1715878368796</v>
      </c>
      <c r="I31" s="583">
        <f t="shared" si="21"/>
        <v>6603474.6283892374</v>
      </c>
      <c r="J31" s="583">
        <f t="shared" ref="J31:T31" si="22">SUM(J27:J30)</f>
        <v>1431791.2467722241</v>
      </c>
      <c r="K31" s="583">
        <f t="shared" si="22"/>
        <v>2706743.2419913956</v>
      </c>
      <c r="L31" s="583">
        <f t="shared" si="22"/>
        <v>2532186.6764680659</v>
      </c>
      <c r="M31" s="583">
        <f t="shared" si="22"/>
        <v>1103812.0888319926</v>
      </c>
      <c r="N31" s="583">
        <f t="shared" si="22"/>
        <v>2588430.6522081541</v>
      </c>
      <c r="O31" s="583">
        <f t="shared" si="22"/>
        <v>91939097.431236371</v>
      </c>
      <c r="P31" s="583">
        <f t="shared" si="22"/>
        <v>4430</v>
      </c>
      <c r="Q31" s="583">
        <f t="shared" si="22"/>
        <v>1431791.2467722241</v>
      </c>
      <c r="R31" s="583">
        <f t="shared" si="22"/>
        <v>2706743.2419913956</v>
      </c>
      <c r="S31" s="583">
        <f t="shared" ref="S31" si="23">SUM(S27:S30)</f>
        <v>0</v>
      </c>
      <c r="T31" s="583">
        <f t="shared" si="22"/>
        <v>96082061.919999987</v>
      </c>
    </row>
    <row r="32" spans="1:20">
      <c r="A32" s="533"/>
      <c r="B32" s="533"/>
      <c r="C32" s="533"/>
      <c r="D32" s="533"/>
      <c r="E32" s="533"/>
      <c r="F32" s="533"/>
      <c r="G32" s="533"/>
      <c r="H32" s="533"/>
      <c r="I32" s="533"/>
    </row>
    <row r="33" spans="1:19" s="386" customFormat="1" ht="12.75"/>
    <row r="34" spans="1:19" s="386" customFormat="1" ht="12.75"/>
    <row r="35" spans="1:19" s="386" customFormat="1">
      <c r="A35" s="549"/>
      <c r="B35" s="549"/>
      <c r="C35" s="549"/>
      <c r="D35" s="549"/>
      <c r="E35" s="549"/>
      <c r="F35" s="549"/>
      <c r="G35" s="549"/>
      <c r="H35" s="549"/>
      <c r="I35" s="549"/>
    </row>
    <row r="36" spans="1:19" s="386" customFormat="1">
      <c r="A36" s="549"/>
      <c r="B36" s="549"/>
      <c r="C36" s="549"/>
      <c r="D36" s="549"/>
      <c r="E36" s="549"/>
      <c r="F36" s="549"/>
      <c r="G36" s="549"/>
      <c r="H36" s="549"/>
      <c r="I36" s="549"/>
    </row>
    <row r="37" spans="1:19" s="386" customFormat="1">
      <c r="A37" s="549"/>
      <c r="B37" s="549"/>
      <c r="C37" s="549"/>
      <c r="D37" s="549"/>
      <c r="E37" s="549"/>
      <c r="F37" s="549"/>
      <c r="G37" s="549"/>
      <c r="H37" s="549"/>
      <c r="I37" s="549"/>
    </row>
    <row r="38" spans="1:19" s="386" customFormat="1">
      <c r="A38" s="549"/>
      <c r="B38" s="549"/>
      <c r="C38" s="549"/>
      <c r="D38" s="549"/>
      <c r="E38" s="549"/>
      <c r="F38" s="549"/>
      <c r="G38" s="549"/>
      <c r="H38" s="549"/>
      <c r="I38" s="549"/>
    </row>
    <row r="39" spans="1:19" s="386" customFormat="1">
      <c r="A39" s="549"/>
      <c r="B39" s="549"/>
      <c r="C39" s="549"/>
      <c r="D39" s="549"/>
      <c r="E39" s="549"/>
      <c r="F39" s="549"/>
      <c r="G39" s="549"/>
      <c r="H39" s="549"/>
      <c r="I39" s="549"/>
      <c r="R39" s="493">
        <f>(C31-T31)</f>
        <v>0</v>
      </c>
      <c r="S39" s="493"/>
    </row>
    <row r="40" spans="1:19" s="386" customFormat="1">
      <c r="A40" s="549"/>
      <c r="B40" s="549"/>
      <c r="C40" s="549"/>
      <c r="D40" s="549"/>
      <c r="E40" s="549"/>
      <c r="F40" s="549"/>
      <c r="G40" s="549"/>
      <c r="H40" s="549"/>
      <c r="I40" s="549"/>
    </row>
    <row r="41" spans="1:19" s="386" customFormat="1">
      <c r="A41" s="549"/>
      <c r="B41" s="549"/>
      <c r="C41" s="549"/>
      <c r="D41" s="549"/>
      <c r="E41" s="549"/>
      <c r="F41" s="549"/>
      <c r="G41" s="549"/>
      <c r="H41" s="549"/>
      <c r="I41" s="549"/>
      <c r="K41" s="493">
        <f>SUM('2.22Rate Base'!K80:N80)</f>
        <v>0</v>
      </c>
    </row>
    <row r="42" spans="1:19" s="386" customFormat="1">
      <c r="A42" s="549"/>
      <c r="B42" s="549"/>
      <c r="C42" s="549"/>
      <c r="D42" s="549"/>
      <c r="E42" s="549"/>
      <c r="F42" s="549"/>
      <c r="G42" s="549"/>
      <c r="H42" s="549"/>
      <c r="I42" s="549"/>
      <c r="K42" s="493">
        <f>SUM('2.22Rate Base'!K81:N81)</f>
        <v>20123969.734136879</v>
      </c>
    </row>
    <row r="43" spans="1:19" s="386" customFormat="1">
      <c r="A43" s="549"/>
      <c r="B43" s="549"/>
      <c r="C43" s="549"/>
      <c r="D43" s="549"/>
      <c r="E43" s="549"/>
      <c r="F43" s="549"/>
      <c r="G43" s="549"/>
      <c r="H43" s="549"/>
      <c r="I43" s="549"/>
      <c r="K43" s="493">
        <f>SUM('2.22Rate Base'!H82:L82)</f>
        <v>0</v>
      </c>
    </row>
    <row r="44" spans="1:19" s="386" customFormat="1">
      <c r="A44" s="549"/>
      <c r="B44" s="549"/>
      <c r="C44" s="549"/>
      <c r="D44" s="549"/>
      <c r="E44" s="549"/>
      <c r="F44" s="549"/>
      <c r="G44" s="549"/>
      <c r="H44" s="549"/>
      <c r="I44" s="549"/>
      <c r="K44" s="493">
        <f>SUM('2.22Rate Base'!H83:L83)</f>
        <v>0.8565240348294032</v>
      </c>
    </row>
    <row r="45" spans="1:19" s="386" customFormat="1">
      <c r="A45" s="549"/>
      <c r="B45" s="549"/>
      <c r="C45" s="549"/>
      <c r="D45" s="549"/>
      <c r="E45" s="549"/>
      <c r="F45" s="549"/>
      <c r="G45" s="549"/>
      <c r="H45" s="549"/>
      <c r="I45" s="549"/>
      <c r="K45" s="493">
        <f>SUM('2.22Rate Base'!H84:L84)</f>
        <v>0</v>
      </c>
    </row>
    <row r="46" spans="1:19" s="386" customFormat="1">
      <c r="A46" s="549"/>
      <c r="B46" s="549"/>
      <c r="C46" s="549"/>
      <c r="D46" s="549"/>
      <c r="E46" s="549"/>
      <c r="F46" s="549"/>
      <c r="G46" s="549"/>
      <c r="H46" s="549"/>
      <c r="I46" s="549"/>
      <c r="K46" s="493">
        <f>SUM('2.22Rate Base'!H85:L85)</f>
        <v>0</v>
      </c>
    </row>
    <row r="47" spans="1:19" s="386" customFormat="1">
      <c r="A47" s="549"/>
      <c r="B47" s="549"/>
      <c r="C47" s="549"/>
      <c r="D47" s="549"/>
      <c r="E47" s="549"/>
      <c r="F47" s="549"/>
      <c r="G47" s="549"/>
      <c r="H47" s="549"/>
      <c r="I47" s="549"/>
      <c r="K47" s="493">
        <f>SUM('2.22Rate Base'!H86:L86)</f>
        <v>0</v>
      </c>
    </row>
    <row r="48" spans="1:19" s="386" customFormat="1">
      <c r="A48" s="549"/>
      <c r="B48" s="549"/>
      <c r="C48" s="549"/>
      <c r="D48" s="549"/>
      <c r="E48" s="549"/>
      <c r="F48" s="549"/>
      <c r="G48" s="549"/>
      <c r="H48" s="549"/>
      <c r="I48" s="549"/>
      <c r="K48" s="493">
        <f>SUM('2.22Rate Base'!H87:L87)</f>
        <v>0</v>
      </c>
    </row>
    <row r="49" spans="1:11" s="386" customFormat="1">
      <c r="A49" s="549"/>
      <c r="B49" s="549"/>
      <c r="C49" s="549"/>
      <c r="D49" s="549"/>
      <c r="E49" s="549"/>
      <c r="F49" s="549"/>
      <c r="G49" s="549"/>
      <c r="H49" s="549"/>
      <c r="I49" s="549"/>
      <c r="K49" s="493">
        <f>SUM('2.22Rate Base'!H88:L88)</f>
        <v>0</v>
      </c>
    </row>
    <row r="50" spans="1:11" s="386" customFormat="1">
      <c r="A50" s="549"/>
      <c r="B50" s="549"/>
      <c r="C50" s="549"/>
      <c r="D50" s="549"/>
      <c r="E50" s="549"/>
      <c r="F50" s="549"/>
      <c r="G50" s="549"/>
      <c r="H50" s="549"/>
      <c r="I50" s="549"/>
      <c r="K50" s="493">
        <f>SUM('2.22Rate Base'!H89:H89)</f>
        <v>0</v>
      </c>
    </row>
    <row r="51" spans="1:11" s="386" customFormat="1">
      <c r="A51" s="549"/>
      <c r="B51" s="549"/>
      <c r="C51" s="549"/>
      <c r="D51" s="549"/>
      <c r="E51" s="549"/>
      <c r="F51" s="549"/>
      <c r="G51" s="549"/>
      <c r="H51" s="549"/>
      <c r="I51" s="549"/>
      <c r="K51" s="493">
        <f>SUM('2.22Rate Base'!H90:H90)</f>
        <v>0</v>
      </c>
    </row>
    <row r="52" spans="1:11" s="525" customFormat="1"/>
    <row r="53" spans="1:11" s="525" customFormat="1">
      <c r="A53" s="530"/>
      <c r="B53" s="533"/>
    </row>
    <row r="54" spans="1:11" s="525" customFormat="1">
      <c r="A54" s="530"/>
      <c r="B54" s="530"/>
    </row>
    <row r="55" spans="1:11" s="525" customFormat="1"/>
    <row r="56" spans="1:11" s="525" customFormat="1">
      <c r="E56" s="538">
        <f>(E27)</f>
        <v>16369921.46580171</v>
      </c>
      <c r="F56" s="538">
        <f>(F27)</f>
        <v>128866.82628949764</v>
      </c>
      <c r="G56" s="538">
        <f>(G27)</f>
        <v>1667129.1305863098</v>
      </c>
      <c r="H56" s="538">
        <f>(H27)</f>
        <v>2326.5363607639674</v>
      </c>
      <c r="I56" s="538" t="s">
        <v>1</v>
      </c>
    </row>
    <row r="57" spans="1:11" s="525" customFormat="1"/>
    <row r="58" spans="1:11" s="525" customFormat="1">
      <c r="E58" s="588">
        <f>([7]monthly!$AL$14)</f>
        <v>311873</v>
      </c>
      <c r="F58" s="588">
        <f>([7]monthly!$AL$44)</f>
        <v>20425</v>
      </c>
      <c r="G58" s="588">
        <f>([7]monthly!$AL$75)</f>
        <v>4153</v>
      </c>
      <c r="K58" s="525">
        <v>311873</v>
      </c>
    </row>
    <row r="59" spans="1:11" s="525" customFormat="1">
      <c r="K59" s="525">
        <f>(E27/K58)</f>
        <v>52.489062746059169</v>
      </c>
    </row>
    <row r="60" spans="1:11" s="525" customFormat="1">
      <c r="E60" s="589">
        <f>(E56/E58)</f>
        <v>52.489062746059169</v>
      </c>
      <c r="F60" s="589">
        <f>(F56/F58)</f>
        <v>6.3092693409790765</v>
      </c>
      <c r="G60" s="589">
        <f>(G56/G58)</f>
        <v>401.42767411180108</v>
      </c>
    </row>
    <row r="61" spans="1:11" s="525" customFormat="1"/>
    <row r="62" spans="1:11" s="525" customFormat="1"/>
    <row r="63" spans="1:11" s="525" customFormat="1"/>
    <row r="64" spans="1:11" s="525" customFormat="1"/>
    <row r="65" s="525" customFormat="1"/>
    <row r="66" s="525" customFormat="1"/>
    <row r="67" s="525" customFormat="1"/>
    <row r="68" s="525" customFormat="1"/>
    <row r="69" s="525" customFormat="1"/>
    <row r="70" s="525" customFormat="1"/>
    <row r="71" s="525" customFormat="1"/>
    <row r="72" s="525" customFormat="1"/>
    <row r="73" s="525" customFormat="1"/>
    <row r="74" s="525" customFormat="1"/>
    <row r="75" s="525" customFormat="1"/>
    <row r="76" s="525" customFormat="1"/>
    <row r="77" s="525" customFormat="1"/>
    <row r="78" s="525" customFormat="1"/>
    <row r="79" s="525" customFormat="1"/>
    <row r="80" s="525" customFormat="1"/>
    <row r="81" s="525" customFormat="1"/>
    <row r="82" s="525" customFormat="1"/>
    <row r="83" s="525" customFormat="1"/>
    <row r="84" s="525" customFormat="1"/>
  </sheetData>
  <customSheetViews>
    <customSheetView guid="{18050E3F-BBF0-4BF6-9B33-B0817BE1B1C5}" showRuler="0">
      <pane xSplit="3" topLeftCell="D1" activePane="topRight" state="frozen"/>
      <selection pane="topRight" activeCell="Q12" sqref="Q12"/>
      <rowBreaks count="1" manualBreakCount="1">
        <brk id="31" max="8" man="1"/>
      </rowBreaks>
      <pageMargins left="0.75" right="0.75" top="1" bottom="1" header="0.5" footer="0.5"/>
      <printOptions horizontalCentered="1" verticalCentered="1" gridLines="1"/>
      <pageSetup scale="90" orientation="landscape" horizontalDpi="4294967293" r:id="rId1"/>
      <headerFooter alignWithMargins="0">
        <oddHeader>&amp;C&amp;"Arial,Bold"&amp;12MEADE COUNTY RECC
CASE NO. 2010-222
&amp;R&amp;11Exhibit R
Schedule 4
Page ____ of ____
Witness:  Jim Adkins</oddHeader>
      </headerFooter>
    </customSheetView>
  </customSheetViews>
  <mergeCells count="4">
    <mergeCell ref="K3:T3"/>
    <mergeCell ref="D23:G23"/>
    <mergeCell ref="H23:I23"/>
    <mergeCell ref="C3:J3"/>
  </mergeCells>
  <phoneticPr fontId="3" type="noConversion"/>
  <printOptions horizontalCentered="1" verticalCentered="1" gridLines="1"/>
  <pageMargins left="0.75" right="0.75" top="1" bottom="1" header="0.5" footer="0.5"/>
  <pageSetup scale="72" orientation="landscape" horizontalDpi="4294967293" r:id="rId2"/>
  <headerFooter alignWithMargins="0">
    <oddHeader>&amp;C&amp;"Arial,Bold"&amp;12JACKSON ENERGY COOPERATIVE
CASE NO. 2013-00219
&amp;R&amp;11Revised Exhibit R
Schedule 4
Page ____ of ____
Witness:  Jim Adkins</oddHeader>
  </headerFooter>
  <rowBreaks count="1" manualBreakCount="1">
    <brk id="32" max="18" man="1"/>
  </rowBreaks>
  <colBreaks count="1" manualBreakCount="1">
    <brk id="10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4:W122"/>
  <sheetViews>
    <sheetView view="pageBreakPreview" topLeftCell="A58" zoomScale="60" zoomScaleNormal="130" workbookViewId="0">
      <selection activeCell="E47" sqref="E47"/>
    </sheetView>
  </sheetViews>
  <sheetFormatPr defaultRowHeight="12.75"/>
  <cols>
    <col min="1" max="1" width="13.85546875" style="1" customWidth="1"/>
    <col min="2" max="2" width="15.5703125" style="1" customWidth="1"/>
    <col min="3" max="3" width="14" style="1" customWidth="1"/>
    <col min="4" max="5" width="14.42578125" style="1" customWidth="1"/>
    <col min="6" max="6" width="14.5703125" style="1" customWidth="1"/>
    <col min="7" max="7" width="14.42578125" style="1" bestFit="1" customWidth="1"/>
    <col min="8" max="8" width="13.7109375" style="1" bestFit="1" customWidth="1"/>
    <col min="9" max="9" width="13" style="1" customWidth="1"/>
    <col min="10" max="10" width="15.85546875" style="1" customWidth="1"/>
    <col min="11" max="11" width="13.85546875" style="20" customWidth="1"/>
    <col min="12" max="12" width="13.7109375" style="75" customWidth="1"/>
    <col min="13" max="13" width="15.140625" style="1" customWidth="1"/>
    <col min="14" max="14" width="16.42578125" style="1" bestFit="1" customWidth="1"/>
    <col min="15" max="15" width="12.28515625" style="1" customWidth="1"/>
    <col min="16" max="16" width="13" style="1" bestFit="1" customWidth="1"/>
    <col min="17" max="17" width="15.5703125" style="1" bestFit="1" customWidth="1"/>
    <col min="18" max="18" width="11.140625" bestFit="1" customWidth="1"/>
    <col min="19" max="19" width="14.85546875" customWidth="1"/>
    <col min="20" max="20" width="11.85546875" bestFit="1" customWidth="1"/>
    <col min="21" max="21" width="15.140625" bestFit="1" customWidth="1"/>
    <col min="22" max="22" width="13.42578125" bestFit="1" customWidth="1"/>
    <col min="23" max="23" width="11.28515625" bestFit="1" customWidth="1"/>
    <col min="24" max="16384" width="9.140625" style="1"/>
  </cols>
  <sheetData>
    <row r="4" spans="1:23" s="5" customFormat="1">
      <c r="K4" s="777" t="s">
        <v>244</v>
      </c>
      <c r="L4" s="778"/>
      <c r="M4" s="778"/>
      <c r="N4" s="778"/>
      <c r="O4" s="778"/>
      <c r="P4" s="778"/>
      <c r="Q4" s="778"/>
      <c r="R4" s="778"/>
      <c r="S4" s="779"/>
      <c r="T4" s="5" t="s">
        <v>556</v>
      </c>
      <c r="U4" s="250"/>
      <c r="V4" s="250"/>
      <c r="W4" s="250"/>
    </row>
    <row r="5" spans="1:23" ht="13.5" thickBot="1">
      <c r="G5" s="20"/>
      <c r="P5" s="246" t="s">
        <v>1</v>
      </c>
    </row>
    <row r="6" spans="1:23">
      <c r="A6" s="91"/>
      <c r="B6" s="56">
        <f>'4 Allocation'!D5</f>
        <v>0</v>
      </c>
      <c r="C6" s="56">
        <f>'4 Allocation'!E5</f>
        <v>10</v>
      </c>
      <c r="D6" s="56">
        <f>'4 Allocation'!F5</f>
        <v>11</v>
      </c>
      <c r="E6" s="56">
        <f>'4 Allocation'!G5</f>
        <v>20</v>
      </c>
      <c r="F6" s="56">
        <f>'4 Allocation'!H5</f>
        <v>22</v>
      </c>
      <c r="G6" s="56">
        <f>'4 Allocation'!I5</f>
        <v>40</v>
      </c>
      <c r="H6" s="56">
        <f>'4 Allocation'!J5</f>
        <v>46</v>
      </c>
      <c r="I6" s="56">
        <f>'4 Allocation'!K5</f>
        <v>47</v>
      </c>
      <c r="J6" s="56"/>
      <c r="K6" s="56">
        <f>'4 Allocation'!L5</f>
        <v>50</v>
      </c>
      <c r="L6" s="56">
        <f>'4 Allocation'!M5</f>
        <v>52</v>
      </c>
      <c r="M6" s="56">
        <f>'4 Allocation'!N5</f>
        <v>0</v>
      </c>
      <c r="N6" s="56" t="str">
        <f>'4 Allocation'!O5</f>
        <v>Total</v>
      </c>
      <c r="O6" s="56">
        <f>'4 Allocation'!P5</f>
        <v>0</v>
      </c>
      <c r="P6" s="56">
        <v>46</v>
      </c>
      <c r="Q6" s="56">
        <v>47</v>
      </c>
    </row>
    <row r="7" spans="1:23">
      <c r="A7" s="87"/>
      <c r="B7" s="56" t="str">
        <f>'4 Allocation'!D6</f>
        <v>Green</v>
      </c>
      <c r="C7" s="56" t="str">
        <f>'4 Allocation'!E6</f>
        <v>Residential</v>
      </c>
      <c r="D7" s="56" t="str">
        <f>'4 Allocation'!F6</f>
        <v>Residential</v>
      </c>
      <c r="E7" s="56" t="str">
        <f>'4 Allocation'!G6</f>
        <v>Comm. Sml Pow</v>
      </c>
      <c r="F7" s="56" t="str">
        <f>'4 Allocation'!H6</f>
        <v>Comm &amp; Sml Pow</v>
      </c>
      <c r="G7" s="56" t="str">
        <f>'4 Allocation'!I6</f>
        <v>Large Power</v>
      </c>
      <c r="H7" s="56" t="str">
        <f>'4 Allocation'!J6</f>
        <v>Large Power</v>
      </c>
      <c r="I7" s="56" t="str">
        <f>'4 Allocation'!K6</f>
        <v>Large Power</v>
      </c>
      <c r="J7" s="56"/>
      <c r="K7" s="56" t="str">
        <f>'4 Allocation'!L6</f>
        <v>Schl. Community</v>
      </c>
      <c r="L7" s="56" t="str">
        <f>'4 Allocation'!M6</f>
        <v>All Electric</v>
      </c>
      <c r="M7" s="56" t="str">
        <f>'4 Allocation'!N6</f>
        <v>Outdoor</v>
      </c>
      <c r="N7" s="56" t="str">
        <f>'4 Allocation'!O6</f>
        <v>Energy for</v>
      </c>
      <c r="O7" s="56">
        <f>'4 Allocation'!P6</f>
        <v>0</v>
      </c>
      <c r="P7" s="56" t="str">
        <f>'4 Allocation'!Q6</f>
        <v>500 kW &amp;</v>
      </c>
      <c r="Q7" s="56" t="str">
        <f>'4 Allocation'!R6</f>
        <v>500-4,999 kW</v>
      </c>
    </row>
    <row r="8" spans="1:23">
      <c r="A8" s="87" t="s">
        <v>150</v>
      </c>
      <c r="B8" s="56" t="str">
        <f>'4 Allocation'!D7</f>
        <v>Power</v>
      </c>
      <c r="C8" s="56" t="str">
        <f>'4 Allocation'!E7</f>
        <v>Farm &amp; Non Farm</v>
      </c>
      <c r="D8" s="56" t="str">
        <f>'4 Allocation'!F7</f>
        <v>ETS</v>
      </c>
      <c r="E8" s="56" t="str">
        <f>'4 Allocation'!G7</f>
        <v>&amp; 3 Phase Farm</v>
      </c>
      <c r="F8" s="56" t="str">
        <f>'4 Allocation'!H7</f>
        <v>ETS</v>
      </c>
      <c r="G8" s="56" t="str">
        <f>'4 Allocation'!I7</f>
        <v>&lt; Than 50 kW</v>
      </c>
      <c r="H8" s="56" t="str">
        <f>'4 Allocation'!J7</f>
        <v>&gt;500 kW</v>
      </c>
      <c r="I8" s="56" t="str">
        <f>'4 Allocation'!K7</f>
        <v>500-4999 KW</v>
      </c>
      <c r="J8" s="56" t="str">
        <f>(A8)</f>
        <v>Month</v>
      </c>
      <c r="K8" s="56" t="str">
        <f>'4 Allocation'!L7</f>
        <v>Halls &amp; Parks</v>
      </c>
      <c r="L8" s="56" t="str">
        <f>'4 Allocation'!M7</f>
        <v>Schools</v>
      </c>
      <c r="M8" s="56" t="str">
        <f>'4 Allocation'!N7</f>
        <v>Lights</v>
      </c>
      <c r="N8" s="56" t="str">
        <f>'4 Allocation'!O7</f>
        <v>Sched E</v>
      </c>
      <c r="O8" s="56" t="str">
        <f>'4 Allocation'!P7</f>
        <v>Envirowatts</v>
      </c>
      <c r="P8" s="56" t="str">
        <f>'4 Allocation'!Q7</f>
        <v>Over (C)</v>
      </c>
      <c r="Q8" s="56" t="str">
        <f>'4 Allocation'!R7</f>
        <v>(B)</v>
      </c>
      <c r="R8" s="1" t="s">
        <v>544</v>
      </c>
      <c r="S8" s="16" t="s">
        <v>15</v>
      </c>
      <c r="T8" s="1" t="s">
        <v>546</v>
      </c>
      <c r="U8" s="1" t="s">
        <v>547</v>
      </c>
      <c r="V8" s="3"/>
    </row>
    <row r="9" spans="1:23">
      <c r="A9" s="87"/>
      <c r="B9" s="61"/>
      <c r="C9" s="61"/>
      <c r="D9" s="61"/>
      <c r="E9" s="61"/>
      <c r="F9" s="61"/>
      <c r="G9" s="61"/>
      <c r="H9" s="75"/>
      <c r="K9" s="61"/>
      <c r="L9" s="20" t="s">
        <v>1</v>
      </c>
      <c r="M9" s="20"/>
    </row>
    <row r="10" spans="1:23">
      <c r="A10" s="87" t="s">
        <v>155</v>
      </c>
      <c r="B10" s="94">
        <f>[1]Sheet1!$N7</f>
        <v>16000</v>
      </c>
      <c r="C10" s="94">
        <v>67209679</v>
      </c>
      <c r="D10" s="94">
        <v>1307628</v>
      </c>
      <c r="E10" s="94">
        <v>5439330</v>
      </c>
      <c r="F10" s="94">
        <v>19147</v>
      </c>
      <c r="G10" s="94">
        <v>6034811</v>
      </c>
      <c r="H10" s="94">
        <v>1623520</v>
      </c>
      <c r="I10" s="94">
        <v>3248480</v>
      </c>
      <c r="J10" s="286" t="str">
        <f>A10</f>
        <v>January</v>
      </c>
      <c r="K10" s="94">
        <v>2598373</v>
      </c>
      <c r="L10" s="94">
        <v>1061917</v>
      </c>
      <c r="M10" s="94">
        <v>1643219</v>
      </c>
      <c r="N10" s="8">
        <f t="shared" ref="N10:N21" si="0">SUM(C10:G10,K10:M10)</f>
        <v>85314104</v>
      </c>
      <c r="O10" s="8">
        <f>B10</f>
        <v>16000</v>
      </c>
      <c r="P10" s="103">
        <f>H10</f>
        <v>1623520</v>
      </c>
      <c r="Q10" s="103">
        <f>I10</f>
        <v>3248480</v>
      </c>
      <c r="R10" s="337">
        <f>[1]Sheet1!$Q7</f>
        <v>221120</v>
      </c>
      <c r="S10" s="238">
        <f t="shared" ref="S10:S22" si="1">SUM(N10:R10)</f>
        <v>90423224</v>
      </c>
      <c r="T10" s="237">
        <f>Q10+P10</f>
        <v>4872000</v>
      </c>
      <c r="U10" s="237">
        <f>[1]Sheet1!$N66</f>
        <v>94514868</v>
      </c>
      <c r="V10" s="237">
        <f>[1]Sheet1!$N66</f>
        <v>94514868</v>
      </c>
      <c r="W10" s="237">
        <f>V10-U10</f>
        <v>0</v>
      </c>
    </row>
    <row r="11" spans="1:23">
      <c r="A11" s="87" t="s">
        <v>156</v>
      </c>
      <c r="B11" s="94">
        <f>[1]Sheet1!$N8</f>
        <v>16000</v>
      </c>
      <c r="C11" s="94">
        <v>52950192</v>
      </c>
      <c r="D11" s="94">
        <v>923724</v>
      </c>
      <c r="E11" s="94">
        <v>4748723</v>
      </c>
      <c r="F11" s="94">
        <v>12230</v>
      </c>
      <c r="G11" s="94">
        <v>5664956</v>
      </c>
      <c r="H11" s="94">
        <v>1535040</v>
      </c>
      <c r="I11" s="94">
        <v>3041280</v>
      </c>
      <c r="J11" s="286" t="str">
        <f t="shared" ref="J11:J21" si="2">A11</f>
        <v>February</v>
      </c>
      <c r="K11" s="94">
        <v>2172396</v>
      </c>
      <c r="L11" s="94">
        <v>873381</v>
      </c>
      <c r="M11" s="94">
        <v>1643556</v>
      </c>
      <c r="N11" s="8">
        <f t="shared" si="0"/>
        <v>68989158</v>
      </c>
      <c r="O11" s="8">
        <f t="shared" ref="O11:O21" si="3">B11</f>
        <v>16000</v>
      </c>
      <c r="P11" s="103">
        <f t="shared" ref="P11:P21" si="4">H11</f>
        <v>1535040</v>
      </c>
      <c r="Q11" s="103">
        <f t="shared" ref="Q11:Q21" si="5">I11</f>
        <v>3041280</v>
      </c>
      <c r="R11" s="337">
        <f>[1]Sheet1!$Q8</f>
        <v>244320</v>
      </c>
      <c r="S11" s="238">
        <f t="shared" si="1"/>
        <v>73825798</v>
      </c>
      <c r="T11" s="237">
        <f t="shared" ref="T11:T20" si="6">Q11+P11</f>
        <v>4576320</v>
      </c>
      <c r="U11" s="237">
        <f>[1]Sheet1!$N67</f>
        <v>81779427</v>
      </c>
      <c r="V11" s="237">
        <f>[1]Sheet1!$N67</f>
        <v>81779427</v>
      </c>
      <c r="W11" s="237">
        <f t="shared" ref="W11:W22" si="7">V11-U11</f>
        <v>0</v>
      </c>
    </row>
    <row r="12" spans="1:23">
      <c r="A12" s="87" t="s">
        <v>157</v>
      </c>
      <c r="B12" s="94">
        <f>[1]Sheet1!$N9</f>
        <v>16000</v>
      </c>
      <c r="C12" s="94">
        <v>38083977</v>
      </c>
      <c r="D12" s="94">
        <v>341718</v>
      </c>
      <c r="E12" s="94">
        <v>4486575</v>
      </c>
      <c r="F12" s="94">
        <v>4683</v>
      </c>
      <c r="G12" s="94">
        <v>5742128</v>
      </c>
      <c r="H12" s="94">
        <v>1715680</v>
      </c>
      <c r="I12" s="94">
        <v>3533840</v>
      </c>
      <c r="J12" s="286" t="str">
        <f t="shared" si="2"/>
        <v>March</v>
      </c>
      <c r="K12" s="94">
        <v>1838523</v>
      </c>
      <c r="L12" s="94">
        <v>866149</v>
      </c>
      <c r="M12" s="94">
        <v>1644603</v>
      </c>
      <c r="N12" s="8">
        <f t="shared" si="0"/>
        <v>53008356</v>
      </c>
      <c r="O12" s="8">
        <f t="shared" si="3"/>
        <v>16000</v>
      </c>
      <c r="P12" s="103">
        <f t="shared" si="4"/>
        <v>1715680</v>
      </c>
      <c r="Q12" s="103">
        <f t="shared" si="5"/>
        <v>3533840</v>
      </c>
      <c r="R12" s="337">
        <f>[1]Sheet1!$Q9</f>
        <v>237760</v>
      </c>
      <c r="S12" s="238">
        <f t="shared" si="1"/>
        <v>58511636</v>
      </c>
      <c r="T12" s="237">
        <f t="shared" si="6"/>
        <v>5249520</v>
      </c>
      <c r="U12" s="237">
        <f>[1]Sheet1!$N68</f>
        <v>60520347</v>
      </c>
      <c r="V12" s="237">
        <f>[1]Sheet1!$N68</f>
        <v>60520347</v>
      </c>
      <c r="W12" s="237">
        <f t="shared" si="7"/>
        <v>0</v>
      </c>
    </row>
    <row r="13" spans="1:23">
      <c r="A13" s="87" t="s">
        <v>158</v>
      </c>
      <c r="B13" s="94">
        <f>[1]Sheet1!$N10</f>
        <v>16000</v>
      </c>
      <c r="C13" s="94">
        <v>38221366</v>
      </c>
      <c r="D13" s="94">
        <v>195393</v>
      </c>
      <c r="E13" s="94">
        <v>4589150</v>
      </c>
      <c r="F13" s="94">
        <v>2581</v>
      </c>
      <c r="G13" s="94">
        <v>6083030</v>
      </c>
      <c r="H13" s="94">
        <v>1630880</v>
      </c>
      <c r="I13" s="94">
        <v>3199760</v>
      </c>
      <c r="J13" s="286" t="str">
        <f t="shared" si="2"/>
        <v>April</v>
      </c>
      <c r="K13" s="94">
        <v>1874671</v>
      </c>
      <c r="L13" s="94">
        <v>830461</v>
      </c>
      <c r="M13" s="94">
        <v>1643564</v>
      </c>
      <c r="N13" s="8">
        <f t="shared" si="0"/>
        <v>53440216</v>
      </c>
      <c r="O13" s="8">
        <f t="shared" si="3"/>
        <v>16000</v>
      </c>
      <c r="P13" s="103">
        <f t="shared" si="4"/>
        <v>1630880</v>
      </c>
      <c r="Q13" s="103">
        <f t="shared" si="5"/>
        <v>3199760</v>
      </c>
      <c r="R13" s="337">
        <f>[1]Sheet1!$Q10</f>
        <v>211840</v>
      </c>
      <c r="S13" s="238">
        <f t="shared" si="1"/>
        <v>58498696</v>
      </c>
      <c r="T13" s="237">
        <f t="shared" si="6"/>
        <v>4830640</v>
      </c>
      <c r="U13" s="237">
        <f>[1]Sheet1!$N69</f>
        <v>55638962</v>
      </c>
      <c r="V13" s="237">
        <f>[1]Sheet1!$N69</f>
        <v>55638962</v>
      </c>
      <c r="W13" s="237">
        <f t="shared" si="7"/>
        <v>0</v>
      </c>
    </row>
    <row r="14" spans="1:23">
      <c r="A14" s="87" t="s">
        <v>159</v>
      </c>
      <c r="B14" s="94">
        <f>[1]Sheet1!$N11</f>
        <v>16000</v>
      </c>
      <c r="C14" s="94">
        <v>42478022</v>
      </c>
      <c r="D14" s="94">
        <v>25281</v>
      </c>
      <c r="E14" s="94">
        <v>4953216</v>
      </c>
      <c r="F14" s="94">
        <v>157</v>
      </c>
      <c r="G14" s="94">
        <v>6595882</v>
      </c>
      <c r="H14" s="94">
        <v>1861920</v>
      </c>
      <c r="I14" s="94">
        <v>3454400</v>
      </c>
      <c r="J14" s="286" t="str">
        <f t="shared" si="2"/>
        <v>May</v>
      </c>
      <c r="K14" s="94">
        <v>1844693</v>
      </c>
      <c r="L14" s="94">
        <v>694636</v>
      </c>
      <c r="M14" s="94">
        <v>1644984</v>
      </c>
      <c r="N14" s="8">
        <f t="shared" si="0"/>
        <v>58236871</v>
      </c>
      <c r="O14" s="8">
        <f t="shared" si="3"/>
        <v>16000</v>
      </c>
      <c r="P14" s="103">
        <f t="shared" si="4"/>
        <v>1861920</v>
      </c>
      <c r="Q14" s="103">
        <f t="shared" si="5"/>
        <v>3454400</v>
      </c>
      <c r="R14" s="337">
        <f>[1]Sheet1!$Q11</f>
        <v>130240</v>
      </c>
      <c r="S14" s="238">
        <f t="shared" si="1"/>
        <v>63699431</v>
      </c>
      <c r="T14" s="237">
        <f t="shared" si="6"/>
        <v>5316320</v>
      </c>
      <c r="U14" s="237">
        <f>[1]Sheet1!$N70</f>
        <v>60705707</v>
      </c>
      <c r="V14" s="237">
        <f>[1]Sheet1!$N70</f>
        <v>60705707</v>
      </c>
      <c r="W14" s="237">
        <f t="shared" si="7"/>
        <v>0</v>
      </c>
    </row>
    <row r="15" spans="1:23">
      <c r="A15" s="87" t="s">
        <v>160</v>
      </c>
      <c r="B15" s="94">
        <f>[1]Sheet1!$N12</f>
        <v>16000</v>
      </c>
      <c r="C15" s="94">
        <v>52559267</v>
      </c>
      <c r="D15" s="94">
        <v>9475</v>
      </c>
      <c r="E15" s="94">
        <v>5399589</v>
      </c>
      <c r="F15" s="94">
        <v>15</v>
      </c>
      <c r="G15" s="355">
        <v>6942867</v>
      </c>
      <c r="H15" s="94">
        <v>1878020</v>
      </c>
      <c r="I15" s="94">
        <v>3429920</v>
      </c>
      <c r="J15" s="286" t="str">
        <f t="shared" si="2"/>
        <v>June</v>
      </c>
      <c r="K15" s="94">
        <v>2296541</v>
      </c>
      <c r="L15" s="94">
        <v>687424</v>
      </c>
      <c r="M15" s="94">
        <v>1646394</v>
      </c>
      <c r="N15" s="8">
        <f t="shared" si="0"/>
        <v>69541572</v>
      </c>
      <c r="O15" s="8">
        <f t="shared" si="3"/>
        <v>16000</v>
      </c>
      <c r="P15" s="103">
        <f t="shared" si="4"/>
        <v>1878020</v>
      </c>
      <c r="Q15" s="103">
        <f t="shared" si="5"/>
        <v>3429920</v>
      </c>
      <c r="R15" s="337">
        <f>[1]Sheet1!$Q12</f>
        <v>32640</v>
      </c>
      <c r="S15" s="238">
        <f t="shared" si="1"/>
        <v>74898152</v>
      </c>
      <c r="T15" s="237">
        <f t="shared" si="6"/>
        <v>5307940</v>
      </c>
      <c r="U15" s="237">
        <f>[1]Sheet1!$N71</f>
        <v>65833074</v>
      </c>
      <c r="V15" s="237">
        <f>[1]Sheet1!$N71</f>
        <v>65833074</v>
      </c>
      <c r="W15" s="237">
        <f t="shared" si="7"/>
        <v>0</v>
      </c>
    </row>
    <row r="16" spans="1:23">
      <c r="A16" s="87" t="s">
        <v>161</v>
      </c>
      <c r="B16" s="94">
        <f>[1]Sheet1!$N13</f>
        <v>16000</v>
      </c>
      <c r="C16" s="94">
        <v>53884857</v>
      </c>
      <c r="D16" s="94">
        <v>10935</v>
      </c>
      <c r="E16" s="94">
        <v>5577524</v>
      </c>
      <c r="F16" s="94">
        <v>12</v>
      </c>
      <c r="G16" s="94">
        <v>7224239</v>
      </c>
      <c r="H16" s="94">
        <v>2083520</v>
      </c>
      <c r="I16" s="94">
        <v>3593040</v>
      </c>
      <c r="J16" s="286" t="str">
        <f t="shared" si="2"/>
        <v>July</v>
      </c>
      <c r="K16" s="94">
        <v>2580875</v>
      </c>
      <c r="L16" s="94">
        <v>916052</v>
      </c>
      <c r="M16" s="94">
        <v>1647241</v>
      </c>
      <c r="N16" s="8">
        <f t="shared" si="0"/>
        <v>71841735</v>
      </c>
      <c r="O16" s="8">
        <f t="shared" si="3"/>
        <v>16000</v>
      </c>
      <c r="P16" s="103">
        <f t="shared" si="4"/>
        <v>2083520</v>
      </c>
      <c r="Q16" s="103">
        <f t="shared" si="5"/>
        <v>3593040</v>
      </c>
      <c r="R16" s="337">
        <f>[1]Sheet1!$Q13</f>
        <v>0</v>
      </c>
      <c r="S16" s="238">
        <f t="shared" si="1"/>
        <v>77534295</v>
      </c>
      <c r="T16" s="237">
        <f t="shared" si="6"/>
        <v>5676560</v>
      </c>
      <c r="U16" s="237">
        <f>[1]Sheet1!$N72</f>
        <v>79500125</v>
      </c>
      <c r="V16" s="237">
        <f>[1]Sheet1!$N72</f>
        <v>79500125</v>
      </c>
      <c r="W16" s="237">
        <f t="shared" si="7"/>
        <v>0</v>
      </c>
    </row>
    <row r="17" spans="1:23">
      <c r="A17" s="87" t="s">
        <v>162</v>
      </c>
      <c r="B17" s="94">
        <f>[1]Sheet1!$N14</f>
        <v>16000</v>
      </c>
      <c r="C17" s="94">
        <v>46208018</v>
      </c>
      <c r="D17" s="94">
        <v>12830</v>
      </c>
      <c r="E17" s="94">
        <v>5221168</v>
      </c>
      <c r="F17" s="94">
        <v>179</v>
      </c>
      <c r="G17" s="94">
        <v>7259696</v>
      </c>
      <c r="H17" s="94">
        <v>2039360</v>
      </c>
      <c r="I17" s="94">
        <v>3715600</v>
      </c>
      <c r="J17" s="286" t="str">
        <f t="shared" si="2"/>
        <v>August</v>
      </c>
      <c r="K17" s="94">
        <v>2434447</v>
      </c>
      <c r="L17" s="94">
        <v>1076700</v>
      </c>
      <c r="M17" s="94">
        <v>1646791</v>
      </c>
      <c r="N17" s="8">
        <f t="shared" si="0"/>
        <v>63859829</v>
      </c>
      <c r="O17" s="8">
        <f t="shared" si="3"/>
        <v>16000</v>
      </c>
      <c r="P17" s="103">
        <f t="shared" si="4"/>
        <v>2039360</v>
      </c>
      <c r="Q17" s="103">
        <f t="shared" si="5"/>
        <v>3715600</v>
      </c>
      <c r="R17" s="337">
        <f>[1]Sheet1!$Q14</f>
        <v>140480</v>
      </c>
      <c r="S17" s="238">
        <f t="shared" si="1"/>
        <v>69771269</v>
      </c>
      <c r="T17" s="237">
        <f t="shared" si="6"/>
        <v>5754960</v>
      </c>
      <c r="U17" s="237">
        <f>[1]Sheet1!$N73</f>
        <v>69748600</v>
      </c>
      <c r="V17" s="237">
        <f>[1]Sheet1!$N73</f>
        <v>69748600</v>
      </c>
      <c r="W17" s="237">
        <f t="shared" si="7"/>
        <v>0</v>
      </c>
    </row>
    <row r="18" spans="1:23">
      <c r="A18" s="87" t="s">
        <v>151</v>
      </c>
      <c r="B18" s="94">
        <f>[1]Sheet1!$N15</f>
        <v>14700</v>
      </c>
      <c r="C18" s="94">
        <v>36107461</v>
      </c>
      <c r="D18" s="94">
        <v>162054</v>
      </c>
      <c r="E18" s="94">
        <v>4437433</v>
      </c>
      <c r="F18" s="94">
        <v>1458</v>
      </c>
      <c r="G18" s="94">
        <v>5682296</v>
      </c>
      <c r="H18" s="94">
        <v>1840960</v>
      </c>
      <c r="I18" s="94">
        <v>3334880</v>
      </c>
      <c r="J18" s="286" t="str">
        <f t="shared" si="2"/>
        <v>September</v>
      </c>
      <c r="K18" s="94">
        <v>1856120</v>
      </c>
      <c r="L18" s="94">
        <v>892771</v>
      </c>
      <c r="M18" s="94">
        <v>1647188</v>
      </c>
      <c r="N18" s="8">
        <f t="shared" si="0"/>
        <v>50786781</v>
      </c>
      <c r="O18" s="8">
        <f t="shared" si="3"/>
        <v>14700</v>
      </c>
      <c r="P18" s="103">
        <f t="shared" si="4"/>
        <v>1840960</v>
      </c>
      <c r="Q18" s="103">
        <f t="shared" si="5"/>
        <v>3334880</v>
      </c>
      <c r="R18" s="337">
        <f>[1]Sheet1!$Q15</f>
        <v>256320</v>
      </c>
      <c r="S18" s="238">
        <f t="shared" si="1"/>
        <v>56233641</v>
      </c>
      <c r="T18" s="237">
        <f t="shared" si="6"/>
        <v>5175840</v>
      </c>
      <c r="U18" s="237">
        <f>[1]Sheet1!$N74</f>
        <v>56525122</v>
      </c>
      <c r="V18" s="237">
        <f>[1]Sheet1!$N74</f>
        <v>56525122</v>
      </c>
      <c r="W18" s="237">
        <f t="shared" si="7"/>
        <v>0</v>
      </c>
    </row>
    <row r="19" spans="1:23">
      <c r="A19" s="4" t="s">
        <v>152</v>
      </c>
      <c r="B19" s="94">
        <f>[1]Sheet1!$N16</f>
        <v>14600</v>
      </c>
      <c r="C19" s="94">
        <v>48953341</v>
      </c>
      <c r="D19" s="94">
        <v>666437</v>
      </c>
      <c r="E19" s="94">
        <v>4739368</v>
      </c>
      <c r="F19" s="94">
        <v>8159</v>
      </c>
      <c r="G19" s="94">
        <v>7243872</v>
      </c>
      <c r="H19" s="94">
        <v>1618080</v>
      </c>
      <c r="I19" s="94">
        <v>3399680</v>
      </c>
      <c r="J19" s="286" t="str">
        <f t="shared" si="2"/>
        <v>October</v>
      </c>
      <c r="K19" s="94">
        <v>1991121</v>
      </c>
      <c r="L19" s="94">
        <v>969062</v>
      </c>
      <c r="M19" s="94">
        <v>1647315</v>
      </c>
      <c r="N19" s="8">
        <f t="shared" si="0"/>
        <v>66218675</v>
      </c>
      <c r="O19" s="8">
        <f t="shared" si="3"/>
        <v>14600</v>
      </c>
      <c r="P19" s="103">
        <f t="shared" si="4"/>
        <v>1618080</v>
      </c>
      <c r="Q19" s="103">
        <f t="shared" si="5"/>
        <v>3399680</v>
      </c>
      <c r="R19" s="337">
        <f>[1]Sheet1!$Q16</f>
        <v>271040</v>
      </c>
      <c r="S19" s="238">
        <f t="shared" si="1"/>
        <v>71522075</v>
      </c>
      <c r="T19" s="237">
        <f t="shared" si="6"/>
        <v>5017760</v>
      </c>
      <c r="U19" s="237">
        <f>[1]Sheet1!$N75</f>
        <v>60523791</v>
      </c>
      <c r="V19" s="237">
        <f>[1]Sheet1!$N75</f>
        <v>60523791</v>
      </c>
      <c r="W19" s="237">
        <f t="shared" si="7"/>
        <v>0</v>
      </c>
    </row>
    <row r="20" spans="1:23">
      <c r="A20" s="4" t="s">
        <v>153</v>
      </c>
      <c r="B20" s="94">
        <f>[1]Sheet1!$N17</f>
        <v>14600</v>
      </c>
      <c r="C20" s="94">
        <v>57023397</v>
      </c>
      <c r="D20" s="94">
        <v>639012</v>
      </c>
      <c r="E20" s="94">
        <v>4766159</v>
      </c>
      <c r="F20" s="94">
        <v>13892</v>
      </c>
      <c r="G20" s="94">
        <v>6042925</v>
      </c>
      <c r="H20" s="94">
        <v>1609760</v>
      </c>
      <c r="I20" s="94">
        <v>2893680</v>
      </c>
      <c r="J20" s="286" t="str">
        <f t="shared" si="2"/>
        <v>November</v>
      </c>
      <c r="K20" s="94">
        <v>2231729</v>
      </c>
      <c r="L20" s="94">
        <v>1038324</v>
      </c>
      <c r="M20" s="94">
        <v>1647505</v>
      </c>
      <c r="N20" s="8">
        <f>SUM(C20:G20,K20:M20)</f>
        <v>73402943</v>
      </c>
      <c r="O20" s="8">
        <f t="shared" si="3"/>
        <v>14600</v>
      </c>
      <c r="P20" s="103">
        <f t="shared" si="4"/>
        <v>1609760</v>
      </c>
      <c r="Q20" s="103">
        <f t="shared" si="5"/>
        <v>2893680</v>
      </c>
      <c r="R20" s="337">
        <f>[1]Sheet1!$Q17</f>
        <v>263680</v>
      </c>
      <c r="S20" s="238">
        <f t="shared" si="1"/>
        <v>78184663</v>
      </c>
      <c r="T20" s="237">
        <f t="shared" si="6"/>
        <v>4503440</v>
      </c>
      <c r="U20" s="237">
        <f>[1]Sheet1!$N76</f>
        <v>78306950</v>
      </c>
      <c r="V20" s="237">
        <f>[1]Sheet1!$N76</f>
        <v>78306950</v>
      </c>
      <c r="W20" s="237">
        <f t="shared" si="7"/>
        <v>0</v>
      </c>
    </row>
    <row r="21" spans="1:23">
      <c r="A21" s="4" t="s">
        <v>154</v>
      </c>
      <c r="B21" s="94">
        <f>[1]Sheet1!$N18</f>
        <v>14600</v>
      </c>
      <c r="C21" s="94">
        <v>70413544</v>
      </c>
      <c r="D21" s="94">
        <v>1274981</v>
      </c>
      <c r="E21" s="94">
        <v>5427587</v>
      </c>
      <c r="F21" s="94">
        <v>21609</v>
      </c>
      <c r="G21" s="94">
        <v>6702344</v>
      </c>
      <c r="H21" s="94">
        <v>1555360</v>
      </c>
      <c r="I21" s="94">
        <v>2840320</v>
      </c>
      <c r="J21" s="287" t="str">
        <f t="shared" si="2"/>
        <v>December</v>
      </c>
      <c r="K21" s="94">
        <v>2536918</v>
      </c>
      <c r="L21" s="94">
        <v>1104931</v>
      </c>
      <c r="M21" s="94">
        <v>1647761</v>
      </c>
      <c r="N21" s="8">
        <f t="shared" si="0"/>
        <v>89129675</v>
      </c>
      <c r="O21" s="8">
        <f t="shared" si="3"/>
        <v>14600</v>
      </c>
      <c r="P21" s="103">
        <f t="shared" si="4"/>
        <v>1555360</v>
      </c>
      <c r="Q21" s="103">
        <f t="shared" si="5"/>
        <v>2840320</v>
      </c>
      <c r="R21" s="337">
        <f>[1]Sheet1!$Q18</f>
        <v>288320</v>
      </c>
      <c r="S21" s="238">
        <f t="shared" si="1"/>
        <v>93828275</v>
      </c>
      <c r="T21" s="237">
        <f>Q21+P21</f>
        <v>4395680</v>
      </c>
      <c r="U21" s="237">
        <f>[1]Sheet1!$N77</f>
        <v>85942099</v>
      </c>
      <c r="V21" s="237">
        <f>[1]Sheet1!$N77</f>
        <v>85942099</v>
      </c>
      <c r="W21" s="237">
        <f t="shared" si="7"/>
        <v>0</v>
      </c>
    </row>
    <row r="22" spans="1:23" ht="13.5" thickBot="1">
      <c r="A22" s="87"/>
      <c r="B22" s="76">
        <f t="shared" ref="B22:I22" si="8">SUM(B10:B21)</f>
        <v>186500</v>
      </c>
      <c r="C22" s="76">
        <f t="shared" si="8"/>
        <v>604093121</v>
      </c>
      <c r="D22" s="76">
        <f t="shared" si="8"/>
        <v>5569468</v>
      </c>
      <c r="E22" s="76">
        <f t="shared" si="8"/>
        <v>59785822</v>
      </c>
      <c r="F22" s="76">
        <v>84122</v>
      </c>
      <c r="G22" s="76">
        <f t="shared" si="8"/>
        <v>77219046</v>
      </c>
      <c r="H22" s="76">
        <f t="shared" si="8"/>
        <v>20992100</v>
      </c>
      <c r="I22" s="76">
        <f t="shared" si="8"/>
        <v>39684880</v>
      </c>
      <c r="J22" s="76"/>
      <c r="K22" s="76">
        <f t="shared" ref="K22:R22" si="9">SUM(K10:K21)</f>
        <v>26256407</v>
      </c>
      <c r="L22" s="76">
        <f t="shared" si="9"/>
        <v>11011808</v>
      </c>
      <c r="M22" s="76">
        <f t="shared" si="9"/>
        <v>19750121</v>
      </c>
      <c r="N22" s="277">
        <f t="shared" si="9"/>
        <v>803769915</v>
      </c>
      <c r="O22" s="338">
        <f t="shared" si="9"/>
        <v>186500</v>
      </c>
      <c r="P22" s="338">
        <f t="shared" si="9"/>
        <v>20992100</v>
      </c>
      <c r="Q22" s="338">
        <f t="shared" si="9"/>
        <v>39684880</v>
      </c>
      <c r="R22" s="338">
        <f t="shared" si="9"/>
        <v>2297760</v>
      </c>
      <c r="S22" s="238">
        <f t="shared" si="1"/>
        <v>866931155</v>
      </c>
      <c r="T22" s="237">
        <f>SUM(T10:T21)</f>
        <v>60676980</v>
      </c>
      <c r="U22" s="237">
        <f>SUM(U10:U21)</f>
        <v>849539072</v>
      </c>
      <c r="V22" s="237">
        <f>SUM(V10:V21)</f>
        <v>849539072</v>
      </c>
      <c r="W22" s="237">
        <f t="shared" si="7"/>
        <v>0</v>
      </c>
    </row>
    <row r="23" spans="1:23" ht="13.5" thickTop="1">
      <c r="A23" s="87"/>
      <c r="B23" s="95"/>
      <c r="C23" s="61"/>
      <c r="D23" s="61"/>
      <c r="E23" s="61"/>
      <c r="F23" s="61"/>
      <c r="G23" s="95"/>
      <c r="H23" s="75"/>
      <c r="K23" s="63"/>
      <c r="L23" s="280" t="s">
        <v>1</v>
      </c>
      <c r="M23" s="20"/>
      <c r="S23" s="337">
        <f>[1]Sheet1!$M$79</f>
        <v>912831100</v>
      </c>
      <c r="T23" s="322">
        <f>[1]Sheet1!$I$79</f>
        <v>60807768</v>
      </c>
      <c r="U23" s="337">
        <f>[1]Sheet1!$N$79</f>
        <v>849539072</v>
      </c>
      <c r="V23" s="337"/>
    </row>
    <row r="24" spans="1:23">
      <c r="A24" s="4" t="s">
        <v>112</v>
      </c>
      <c r="B24" s="83"/>
      <c r="C24" s="83">
        <f>C22/($N$22)</f>
        <v>0.7515746853998635</v>
      </c>
      <c r="D24" s="83">
        <f>D22/($N$22)</f>
        <v>6.92918196620982E-3</v>
      </c>
      <c r="E24" s="83">
        <f>E22/($N$22)</f>
        <v>7.4381761352687606E-2</v>
      </c>
      <c r="F24" s="83">
        <f>F22/($N$22)</f>
        <v>1.0465930414924774E-4</v>
      </c>
      <c r="G24" s="83">
        <f>G22/($N$22)</f>
        <v>9.6071082730186538E-2</v>
      </c>
      <c r="H24" s="83"/>
      <c r="I24" s="83"/>
      <c r="J24" s="80" t="str">
        <f>(A24)</f>
        <v>Percentage</v>
      </c>
      <c r="K24" s="83">
        <f>K22/($N$22)</f>
        <v>3.2666571004962286E-2</v>
      </c>
      <c r="L24" s="83">
        <f>L22/($N$22)</f>
        <v>1.3700199266602309E-2</v>
      </c>
      <c r="M24" s="83">
        <f>M22/($N$22)</f>
        <v>2.4571858975338732E-2</v>
      </c>
      <c r="N24" s="239">
        <f>SUM(B24:M24)</f>
        <v>1</v>
      </c>
      <c r="S24" s="337">
        <f>S23-S22</f>
        <v>45899945</v>
      </c>
      <c r="T24" s="237">
        <f>T23-T22</f>
        <v>130788</v>
      </c>
      <c r="U24" s="237">
        <f>N22-U22</f>
        <v>-45769157</v>
      </c>
      <c r="V24" s="337"/>
    </row>
    <row r="25" spans="1:23">
      <c r="A25" s="92" t="s">
        <v>1</v>
      </c>
      <c r="B25" s="58" t="s">
        <v>1</v>
      </c>
      <c r="C25" s="58" t="s">
        <v>1</v>
      </c>
      <c r="D25" s="356">
        <f>(D10/1200)</f>
        <v>1089.69</v>
      </c>
      <c r="E25" s="58" t="s">
        <v>1</v>
      </c>
      <c r="F25" s="356">
        <f>(F10/1200)</f>
        <v>15.955833333333333</v>
      </c>
      <c r="G25" s="78" t="s">
        <v>1</v>
      </c>
      <c r="H25" s="316"/>
      <c r="I25" s="317"/>
      <c r="J25" s="318"/>
      <c r="K25" s="279" t="s">
        <v>1</v>
      </c>
      <c r="L25" s="14">
        <f>SUM(B25:H25)</f>
        <v>1105.6458333333335</v>
      </c>
      <c r="M25" s="20"/>
      <c r="T25" s="1" t="s">
        <v>545</v>
      </c>
    </row>
    <row r="26" spans="1:23">
      <c r="B26" s="13">
        <f t="shared" ref="B26:I26" si="10">B22/SUM($N$22:$Q$22)</f>
        <v>2.1569835386707448E-4</v>
      </c>
      <c r="C26" s="13">
        <f t="shared" si="10"/>
        <v>0.6986696610301526</v>
      </c>
      <c r="D26" s="13">
        <f t="shared" si="10"/>
        <v>6.4414213378839015E-3</v>
      </c>
      <c r="E26" s="13">
        <f t="shared" si="10"/>
        <v>6.9145862680911135E-2</v>
      </c>
      <c r="F26" s="13">
        <f t="shared" si="10"/>
        <v>9.729210146920129E-5</v>
      </c>
      <c r="G26" s="13">
        <f t="shared" si="10"/>
        <v>8.9308424179012885E-2</v>
      </c>
      <c r="H26" s="13">
        <f t="shared" si="10"/>
        <v>2.4278613481034932E-2</v>
      </c>
      <c r="I26" s="13">
        <f t="shared" si="10"/>
        <v>4.5897926484784919E-2</v>
      </c>
      <c r="J26" s="13"/>
      <c r="K26" s="13">
        <f>K22/SUM($N$22:$Q$22)</f>
        <v>3.0367097953694005E-2</v>
      </c>
      <c r="L26" s="13">
        <f>L22/SUM($N$22:$Q$22)</f>
        <v>1.273581157480044E-2</v>
      </c>
      <c r="M26" s="13">
        <f>M22/SUM($N$22:$Q$22)</f>
        <v>2.284219082238895E-2</v>
      </c>
      <c r="N26" s="239">
        <f>SUM(B26:M26)</f>
        <v>1</v>
      </c>
    </row>
    <row r="27" spans="1:23">
      <c r="A27" s="87"/>
      <c r="B27" s="61"/>
      <c r="C27"/>
      <c r="D27"/>
      <c r="E27"/>
      <c r="F27"/>
      <c r="G27"/>
      <c r="H27"/>
      <c r="I27" s="88"/>
      <c r="J27" s="20"/>
    </row>
    <row r="28" spans="1:23">
      <c r="A28" s="4" t="s">
        <v>1</v>
      </c>
      <c r="B28" s="61"/>
      <c r="C28" s="61"/>
      <c r="D28" s="61"/>
      <c r="E28" s="61"/>
      <c r="F28" s="61" t="s">
        <v>1</v>
      </c>
      <c r="G28" s="61"/>
      <c r="H28" s="61"/>
      <c r="I28" s="88"/>
      <c r="J28" s="20"/>
      <c r="M28" s="264"/>
    </row>
    <row r="29" spans="1:23">
      <c r="A29" s="20" t="s">
        <v>1</v>
      </c>
      <c r="B29" s="99"/>
      <c r="C29" s="61"/>
      <c r="D29" s="61"/>
      <c r="E29" s="61"/>
      <c r="F29" s="95" t="s">
        <v>1</v>
      </c>
      <c r="G29" s="95" t="s">
        <v>1</v>
      </c>
      <c r="H29" s="61"/>
      <c r="I29" s="89" t="s">
        <v>1</v>
      </c>
      <c r="J29" s="14"/>
    </row>
    <row r="30" spans="1:23" ht="13.5" thickBot="1">
      <c r="A30" s="93" t="s">
        <v>1</v>
      </c>
      <c r="B30" s="62"/>
      <c r="C30" s="62"/>
      <c r="D30" s="62"/>
      <c r="E30" s="62"/>
      <c r="F30" s="78" t="s">
        <v>1</v>
      </c>
      <c r="G30" s="78" t="s">
        <v>1</v>
      </c>
      <c r="H30" s="78"/>
      <c r="I30" s="90" t="s">
        <v>1</v>
      </c>
      <c r="J30" s="72"/>
    </row>
    <row r="33" spans="1:20">
      <c r="A33" s="777" t="s">
        <v>347</v>
      </c>
      <c r="B33" s="778"/>
      <c r="C33" s="778"/>
      <c r="D33" s="778"/>
      <c r="E33" s="778"/>
      <c r="F33" s="778"/>
      <c r="G33" s="778"/>
      <c r="H33" s="778"/>
      <c r="I33" s="779"/>
      <c r="J33" s="352"/>
      <c r="K33" s="777" t="s">
        <v>347</v>
      </c>
      <c r="L33" s="778"/>
      <c r="M33" s="778"/>
      <c r="N33" s="778"/>
      <c r="O33" s="778"/>
      <c r="P33" s="778"/>
      <c r="Q33" s="778"/>
      <c r="R33" s="778"/>
      <c r="S33" s="779"/>
      <c r="T33" s="1"/>
    </row>
    <row r="35" spans="1:20">
      <c r="A35" s="65"/>
      <c r="B35" s="336">
        <f t="shared" ref="B35:F36" si="11">(B6)</f>
        <v>0</v>
      </c>
      <c r="C35" s="336">
        <f t="shared" si="11"/>
        <v>10</v>
      </c>
      <c r="D35" s="336">
        <f t="shared" si="11"/>
        <v>11</v>
      </c>
      <c r="E35" s="336">
        <f>(E6)</f>
        <v>20</v>
      </c>
      <c r="F35" s="336">
        <f t="shared" si="11"/>
        <v>22</v>
      </c>
      <c r="G35" s="336">
        <f t="shared" ref="G35:H37" si="12">(G6)</f>
        <v>40</v>
      </c>
      <c r="H35" s="71">
        <f t="shared" si="12"/>
        <v>46</v>
      </c>
      <c r="I35" s="71">
        <f>(I6)</f>
        <v>47</v>
      </c>
      <c r="J35" s="71"/>
      <c r="K35" s="71">
        <f t="shared" ref="K35:M37" si="13">(K6)</f>
        <v>50</v>
      </c>
      <c r="L35" s="71">
        <f t="shared" si="13"/>
        <v>52</v>
      </c>
      <c r="M35" s="71">
        <f t="shared" si="13"/>
        <v>0</v>
      </c>
      <c r="N35" s="71" t="str">
        <f t="shared" ref="N35:O37" si="14">(N6)</f>
        <v>Total</v>
      </c>
      <c r="O35" s="71">
        <f t="shared" si="14"/>
        <v>0</v>
      </c>
      <c r="P35" s="71">
        <f t="shared" ref="P35:Q37" si="15">(P6)</f>
        <v>46</v>
      </c>
      <c r="Q35" s="71">
        <f t="shared" si="15"/>
        <v>47</v>
      </c>
    </row>
    <row r="36" spans="1:20">
      <c r="A36" s="63"/>
      <c r="B36" s="60" t="str">
        <f t="shared" si="11"/>
        <v>Green</v>
      </c>
      <c r="C36" s="60" t="str">
        <f t="shared" si="11"/>
        <v>Residential</v>
      </c>
      <c r="D36" s="60" t="str">
        <f t="shared" si="11"/>
        <v>Residential</v>
      </c>
      <c r="E36" s="60" t="str">
        <f>(E7)</f>
        <v>Comm. Sml Pow</v>
      </c>
      <c r="F36" s="60" t="str">
        <f t="shared" si="11"/>
        <v>Comm &amp; Sml Pow</v>
      </c>
      <c r="G36" s="60" t="str">
        <f t="shared" si="12"/>
        <v>Large Power</v>
      </c>
      <c r="H36" s="60" t="str">
        <f t="shared" si="12"/>
        <v>Large Power</v>
      </c>
      <c r="I36" s="60" t="str">
        <f>(I7)</f>
        <v>Large Power</v>
      </c>
      <c r="J36" s="60"/>
      <c r="K36" s="60" t="str">
        <f t="shared" si="13"/>
        <v>Schl. Community</v>
      </c>
      <c r="L36" s="60" t="str">
        <f t="shared" si="13"/>
        <v>All Electric</v>
      </c>
      <c r="M36" s="60" t="str">
        <f t="shared" si="13"/>
        <v>Outdoor</v>
      </c>
      <c r="N36" s="60" t="str">
        <f t="shared" si="14"/>
        <v>Energy for</v>
      </c>
      <c r="O36" s="60">
        <f t="shared" si="14"/>
        <v>0</v>
      </c>
      <c r="P36" s="60" t="str">
        <f t="shared" si="15"/>
        <v>500 kW &amp;</v>
      </c>
      <c r="Q36" s="60" t="str">
        <f t="shared" si="15"/>
        <v>500-4,999 kW</v>
      </c>
    </row>
    <row r="37" spans="1:20">
      <c r="A37" s="63" t="str">
        <f>(A8)</f>
        <v>Month</v>
      </c>
      <c r="B37" s="80" t="str">
        <f>(B8)</f>
        <v>Power</v>
      </c>
      <c r="C37" s="80" t="str">
        <f>(C8)</f>
        <v>Farm &amp; Non Farm</v>
      </c>
      <c r="D37" s="80" t="str">
        <f>(D8)</f>
        <v>ETS</v>
      </c>
      <c r="E37" s="80" t="str">
        <f>(E8)</f>
        <v>&amp; 3 Phase Farm</v>
      </c>
      <c r="F37" s="80" t="str">
        <f>(F8)</f>
        <v>ETS</v>
      </c>
      <c r="G37" s="80" t="str">
        <f t="shared" si="12"/>
        <v>&lt; Than 50 kW</v>
      </c>
      <c r="H37" s="80" t="str">
        <f t="shared" si="12"/>
        <v>&gt;500 kW</v>
      </c>
      <c r="I37" s="80" t="str">
        <f>(I8)</f>
        <v>500-4999 KW</v>
      </c>
      <c r="J37" s="80" t="str">
        <f>(A37)</f>
        <v>Month</v>
      </c>
      <c r="K37" s="80" t="str">
        <f t="shared" si="13"/>
        <v>Halls &amp; Parks</v>
      </c>
      <c r="L37" s="80" t="str">
        <f t="shared" si="13"/>
        <v>Schools</v>
      </c>
      <c r="M37" s="80" t="str">
        <f t="shared" si="13"/>
        <v>Lights</v>
      </c>
      <c r="N37" s="80" t="str">
        <f t="shared" si="14"/>
        <v>Sched E</v>
      </c>
      <c r="O37" s="80" t="str">
        <f t="shared" si="14"/>
        <v>Envirowatts</v>
      </c>
      <c r="P37" s="80" t="str">
        <f t="shared" si="15"/>
        <v>Over (C)</v>
      </c>
      <c r="Q37" s="80" t="str">
        <f t="shared" si="15"/>
        <v>(B)</v>
      </c>
      <c r="R37" s="80"/>
      <c r="S37" s="80" t="str">
        <f>(S8)</f>
        <v>Total</v>
      </c>
    </row>
    <row r="38" spans="1:20">
      <c r="A38" s="63" t="s">
        <v>1</v>
      </c>
      <c r="B38" s="61"/>
      <c r="C38" s="61"/>
      <c r="D38" s="61"/>
      <c r="E38" s="61"/>
      <c r="F38" s="61"/>
      <c r="G38" s="61"/>
      <c r="H38" s="75"/>
      <c r="K38" s="61"/>
      <c r="L38" s="61"/>
      <c r="M38" s="20"/>
    </row>
    <row r="39" spans="1:20">
      <c r="A39" s="63" t="str">
        <f>A10</f>
        <v>January</v>
      </c>
      <c r="B39" s="255">
        <v>0</v>
      </c>
      <c r="C39" s="17">
        <f>[8]CP!$B$11</f>
        <v>131330.32072030951</v>
      </c>
      <c r="D39" s="17">
        <f>[8]CP!$B$18</f>
        <v>0</v>
      </c>
      <c r="E39" s="17">
        <f>[8]CP!$B$12</f>
        <v>10128.979036405397</v>
      </c>
      <c r="F39" s="17">
        <f>[8]CP!$B$19</f>
        <v>0</v>
      </c>
      <c r="G39" s="17">
        <f>[8]CP!$B$13</f>
        <v>14307.588321563095</v>
      </c>
      <c r="H39" s="17">
        <f>[8]CP!$B$14</f>
        <v>2374.27</v>
      </c>
      <c r="I39" s="17">
        <f>[8]CP!$B$15</f>
        <v>5189.8099999999995</v>
      </c>
      <c r="J39" s="71" t="str">
        <f>(A39)</f>
        <v>January</v>
      </c>
      <c r="K39" s="17">
        <f>[8]CP!$B$16</f>
        <v>3464.2042691142728</v>
      </c>
      <c r="L39" s="17">
        <f>[8]CP!$B$17</f>
        <v>2130.9849526077364</v>
      </c>
      <c r="M39" s="17">
        <f>[8]CP!$B$20</f>
        <v>3578.2</v>
      </c>
      <c r="N39" s="247">
        <f>SUM(C39:G39,K39:M39)</f>
        <v>164940.27730000002</v>
      </c>
      <c r="O39" s="238">
        <f>B39</f>
        <v>0</v>
      </c>
      <c r="P39" s="12">
        <f>H39</f>
        <v>2374.27</v>
      </c>
      <c r="Q39" s="12">
        <f>I39</f>
        <v>5189.8099999999995</v>
      </c>
      <c r="S39" s="238">
        <f>SUM(N39:Q39)</f>
        <v>172504.3573</v>
      </c>
    </row>
    <row r="40" spans="1:20">
      <c r="A40" s="63" t="str">
        <f t="shared" ref="A40:A50" si="16">A11</f>
        <v>February</v>
      </c>
      <c r="B40" s="255">
        <v>0</v>
      </c>
      <c r="C40" s="17">
        <f>[8]CP!$C$11</f>
        <v>164949.62800791999</v>
      </c>
      <c r="D40" s="17">
        <f>[8]CP!$C$18</f>
        <v>0</v>
      </c>
      <c r="E40" s="17">
        <f>[8]CP!$C$12</f>
        <v>13551.03057977386</v>
      </c>
      <c r="F40" s="17">
        <f>[8]CP!$C$19</f>
        <v>0</v>
      </c>
      <c r="G40" s="17">
        <f>[8]CP!$C$13</f>
        <v>15813.351161677683</v>
      </c>
      <c r="H40" s="17">
        <f>[8]CP!$C$14</f>
        <v>2402.14</v>
      </c>
      <c r="I40" s="17">
        <f>[8]CP!$C$15</f>
        <v>4699.3600000000006</v>
      </c>
      <c r="J40" s="60" t="str">
        <f t="shared" ref="J40:J50" si="17">(A40)</f>
        <v>February</v>
      </c>
      <c r="K40" s="17">
        <f>[8]CP!$C$16</f>
        <v>4122.0199999999995</v>
      </c>
      <c r="L40" s="17">
        <f>[8]CP!$C$17</f>
        <v>2088.576</v>
      </c>
      <c r="M40" s="17">
        <f>[8]CP!$C$20</f>
        <v>3577.0249999999996</v>
      </c>
      <c r="N40" s="247">
        <f t="shared" ref="N40:N50" si="18">SUM(C40:G40,K40:M40)</f>
        <v>204101.63074937151</v>
      </c>
      <c r="O40" s="238">
        <f t="shared" ref="O40:O50" si="19">B40</f>
        <v>0</v>
      </c>
      <c r="P40" s="12">
        <f t="shared" ref="P40:P49" si="20">H40</f>
        <v>2402.14</v>
      </c>
      <c r="Q40" s="12">
        <f t="shared" ref="Q40:Q49" si="21">I40</f>
        <v>4699.3600000000006</v>
      </c>
      <c r="S40" s="238">
        <f t="shared" ref="S40:S51" si="22">SUM(N40:Q40)</f>
        <v>211203.13074937154</v>
      </c>
    </row>
    <row r="41" spans="1:20">
      <c r="A41" s="63" t="str">
        <f t="shared" si="16"/>
        <v>March</v>
      </c>
      <c r="B41" s="255">
        <v>0</v>
      </c>
      <c r="C41" s="17">
        <f>[8]CP!$D$11</f>
        <v>132308.25279378245</v>
      </c>
      <c r="D41" s="17">
        <f>[8]CP!$D$18</f>
        <v>0</v>
      </c>
      <c r="E41" s="17">
        <f>[8]CP!$D$12</f>
        <v>10995.412838790271</v>
      </c>
      <c r="F41" s="17">
        <f>[8]CP!$D$19</f>
        <v>0</v>
      </c>
      <c r="G41" s="17">
        <f>[8]CP!$D$13</f>
        <v>13511.369701423686</v>
      </c>
      <c r="H41" s="17">
        <f>[8]CP!$D$14</f>
        <v>2328.38</v>
      </c>
      <c r="I41" s="17">
        <f>[8]CP!$D$15</f>
        <v>4627.84</v>
      </c>
      <c r="J41" s="60" t="str">
        <f t="shared" si="17"/>
        <v>March</v>
      </c>
      <c r="K41" s="17">
        <f>[8]CP!$D$16</f>
        <v>3755.88</v>
      </c>
      <c r="L41" s="17">
        <f>[8]CP!$D$17</f>
        <v>2052.424</v>
      </c>
      <c r="M41" s="17">
        <f>[8]CP!$D$20</f>
        <v>3575.7249999999999</v>
      </c>
      <c r="N41" s="247">
        <f t="shared" si="18"/>
        <v>166199.06433399642</v>
      </c>
      <c r="O41" s="238">
        <f t="shared" si="19"/>
        <v>0</v>
      </c>
      <c r="P41" s="12">
        <f t="shared" si="20"/>
        <v>2328.38</v>
      </c>
      <c r="Q41" s="12">
        <f t="shared" si="21"/>
        <v>4627.84</v>
      </c>
      <c r="S41" s="238">
        <f t="shared" si="22"/>
        <v>173155.28433399642</v>
      </c>
    </row>
    <row r="42" spans="1:20">
      <c r="A42" s="63" t="str">
        <f t="shared" si="16"/>
        <v>April</v>
      </c>
      <c r="B42" s="255">
        <v>0</v>
      </c>
      <c r="C42" s="17">
        <f>[8]CP!$E$11</f>
        <v>104789.50642181507</v>
      </c>
      <c r="D42" s="17">
        <f>[8]CP!$E$18</f>
        <v>0</v>
      </c>
      <c r="E42" s="17">
        <f>[8]CP!$E$12</f>
        <v>11111.889766182947</v>
      </c>
      <c r="F42" s="17">
        <f>[8]CP!$E$19</f>
        <v>0</v>
      </c>
      <c r="G42" s="17">
        <f>[8]CP!$E$13</f>
        <v>16589.685314214516</v>
      </c>
      <c r="H42" s="17">
        <f>[8]CP!$E$14</f>
        <v>1930.56</v>
      </c>
      <c r="I42" s="17">
        <f>[8]CP!$E$15</f>
        <v>4954.22</v>
      </c>
      <c r="J42" s="60" t="str">
        <f t="shared" si="17"/>
        <v>April</v>
      </c>
      <c r="K42" s="17">
        <f>[8]CP!$E$16</f>
        <v>2847.62</v>
      </c>
      <c r="L42" s="17">
        <f>[8]CP!$E$17</f>
        <v>1644.7919999999999</v>
      </c>
      <c r="M42" s="17">
        <v>0</v>
      </c>
      <c r="N42" s="247">
        <f t="shared" si="18"/>
        <v>136983.49350221251</v>
      </c>
      <c r="O42" s="238">
        <f t="shared" si="19"/>
        <v>0</v>
      </c>
      <c r="P42" s="12">
        <f t="shared" si="20"/>
        <v>1930.56</v>
      </c>
      <c r="Q42" s="12">
        <f t="shared" si="21"/>
        <v>4954.22</v>
      </c>
      <c r="S42" s="238">
        <f t="shared" si="22"/>
        <v>143868.27350221251</v>
      </c>
    </row>
    <row r="43" spans="1:20">
      <c r="A43" s="63" t="str">
        <f t="shared" si="16"/>
        <v>May</v>
      </c>
      <c r="B43" s="255">
        <v>0</v>
      </c>
      <c r="C43" s="17">
        <f>[8]CP!$F$11</f>
        <v>124897.02158804837</v>
      </c>
      <c r="D43" s="17">
        <f>[8]CP!$F$18</f>
        <v>0</v>
      </c>
      <c r="E43" s="17">
        <f>[8]CP!$F$12</f>
        <v>8855.7838276634884</v>
      </c>
      <c r="F43" s="17">
        <f>[8]CP!$F$19</f>
        <v>0</v>
      </c>
      <c r="G43" s="17">
        <f>[8]CP!$F$13</f>
        <v>11056.069108548354</v>
      </c>
      <c r="H43" s="17">
        <f>[8]CP!$F$14</f>
        <v>2875.0699999999997</v>
      </c>
      <c r="I43" s="17">
        <f>[8]CP!$F$15</f>
        <v>3801.54</v>
      </c>
      <c r="J43" s="60" t="str">
        <f t="shared" si="17"/>
        <v>May</v>
      </c>
      <c r="K43" s="17">
        <f>[8]CP!$F$16</f>
        <v>3060.54</v>
      </c>
      <c r="L43" s="17">
        <f>[8]CP!$F$17</f>
        <v>1164.056</v>
      </c>
      <c r="M43" s="17">
        <f>[8]CP!$F$20</f>
        <v>0</v>
      </c>
      <c r="N43" s="247">
        <f t="shared" si="18"/>
        <v>149033.47052426022</v>
      </c>
      <c r="O43" s="238">
        <f t="shared" si="19"/>
        <v>0</v>
      </c>
      <c r="P43" s="12">
        <f t="shared" si="20"/>
        <v>2875.0699999999997</v>
      </c>
      <c r="Q43" s="12">
        <f t="shared" si="21"/>
        <v>3801.54</v>
      </c>
      <c r="S43" s="238">
        <f t="shared" si="22"/>
        <v>155710.08052426024</v>
      </c>
    </row>
    <row r="44" spans="1:20">
      <c r="A44" s="63" t="str">
        <f t="shared" si="16"/>
        <v>June</v>
      </c>
      <c r="B44" s="255">
        <v>0</v>
      </c>
      <c r="C44" s="17">
        <f>[8]CP!$G$11</f>
        <v>145912.4290315425</v>
      </c>
      <c r="D44" s="17">
        <f>[8]CP!$G$18</f>
        <v>0</v>
      </c>
      <c r="E44" s="17">
        <f>[8]CP!$G$12</f>
        <v>11739.564624223372</v>
      </c>
      <c r="F44" s="17">
        <f>[8]CP!$G$19</f>
        <v>0</v>
      </c>
      <c r="G44" s="17">
        <f>[8]CP!$G$13</f>
        <v>11073.202865327898</v>
      </c>
      <c r="H44" s="17">
        <f>[8]CP!$G$14</f>
        <v>2789.2799999999997</v>
      </c>
      <c r="I44" s="17">
        <f>[8]CP!$G$15</f>
        <v>5306.8</v>
      </c>
      <c r="J44" s="60" t="str">
        <f t="shared" si="17"/>
        <v>June</v>
      </c>
      <c r="K44" s="17">
        <f>[8]CP!$G$16</f>
        <v>4160.0599999999995</v>
      </c>
      <c r="L44" s="17">
        <f>[8]CP!$G$17</f>
        <v>1417.5039999999999</v>
      </c>
      <c r="M44" s="17">
        <f>[8]CP!$G$20</f>
        <v>0</v>
      </c>
      <c r="N44" s="247">
        <f t="shared" si="18"/>
        <v>174302.76052109376</v>
      </c>
      <c r="O44" s="238">
        <f t="shared" si="19"/>
        <v>0</v>
      </c>
      <c r="P44" s="12">
        <f t="shared" si="20"/>
        <v>2789.2799999999997</v>
      </c>
      <c r="Q44" s="12">
        <f t="shared" si="21"/>
        <v>5306.8</v>
      </c>
      <c r="S44" s="238">
        <f t="shared" si="22"/>
        <v>182398.84052109375</v>
      </c>
    </row>
    <row r="45" spans="1:20">
      <c r="A45" s="63" t="str">
        <f t="shared" si="16"/>
        <v>July</v>
      </c>
      <c r="B45" s="255">
        <v>0</v>
      </c>
      <c r="C45" s="17">
        <f>[8]CP!$H$11</f>
        <v>145612.91362824891</v>
      </c>
      <c r="D45" s="17">
        <f>[8]CP!$H$18</f>
        <v>0</v>
      </c>
      <c r="E45" s="17">
        <f>[8]CP!$H$12</f>
        <v>12006.685393403541</v>
      </c>
      <c r="F45" s="17">
        <f>[8]CP!$H$19</f>
        <v>0</v>
      </c>
      <c r="G45" s="17">
        <f>[8]CP!$H$13</f>
        <v>10479.391980328121</v>
      </c>
      <c r="H45" s="17">
        <f>[8]CP!$H$14</f>
        <v>2661.79</v>
      </c>
      <c r="I45" s="17">
        <f>[8]CP!$H$15</f>
        <v>4013.1800000000003</v>
      </c>
      <c r="J45" s="60" t="str">
        <f t="shared" si="17"/>
        <v>July</v>
      </c>
      <c r="K45" s="17">
        <f>[8]CP!$H$16</f>
        <v>4233.0599999999995</v>
      </c>
      <c r="L45" s="17">
        <f>[8]CP!$H$17</f>
        <v>1310.8240000000001</v>
      </c>
      <c r="M45" s="17">
        <f>[8]CP!$H$20</f>
        <v>0</v>
      </c>
      <c r="N45" s="247">
        <f t="shared" si="18"/>
        <v>173642.87500198057</v>
      </c>
      <c r="O45" s="238">
        <f t="shared" si="19"/>
        <v>0</v>
      </c>
      <c r="P45" s="12">
        <f t="shared" si="20"/>
        <v>2661.79</v>
      </c>
      <c r="Q45" s="12">
        <f t="shared" si="21"/>
        <v>4013.1800000000003</v>
      </c>
      <c r="S45" s="238">
        <f t="shared" si="22"/>
        <v>180317.84500198058</v>
      </c>
    </row>
    <row r="46" spans="1:20">
      <c r="A46" s="63" t="str">
        <f t="shared" si="16"/>
        <v>August</v>
      </c>
      <c r="B46" s="255">
        <v>0</v>
      </c>
      <c r="C46" s="17">
        <f>[8]CP!$I$11</f>
        <v>128570.19746162699</v>
      </c>
      <c r="D46" s="17">
        <f>[8]CP!$I$18</f>
        <v>0</v>
      </c>
      <c r="E46" s="17">
        <f>[8]CP!$I$12</f>
        <v>8206.8983162039713</v>
      </c>
      <c r="F46" s="17">
        <f>[8]CP!$I$19</f>
        <v>0</v>
      </c>
      <c r="G46" s="17">
        <f>[8]CP!$I$13</f>
        <v>10639.290184656928</v>
      </c>
      <c r="H46" s="17">
        <f>[8]CP!$I$14</f>
        <v>3092.61</v>
      </c>
      <c r="I46" s="17">
        <f>[8]CP!$I$15</f>
        <v>5854.94</v>
      </c>
      <c r="J46" s="60" t="str">
        <f t="shared" si="17"/>
        <v>August</v>
      </c>
      <c r="K46" s="17">
        <f>[8]CP!$I$16</f>
        <v>3211.22</v>
      </c>
      <c r="L46" s="17">
        <f>[8]CP!$I$17</f>
        <v>1568.7359999999999</v>
      </c>
      <c r="M46" s="17">
        <f>[8]CP!$I$20</f>
        <v>0</v>
      </c>
      <c r="N46" s="247">
        <f t="shared" si="18"/>
        <v>152196.34196248787</v>
      </c>
      <c r="O46" s="238">
        <f t="shared" si="19"/>
        <v>0</v>
      </c>
      <c r="P46" s="12">
        <f t="shared" si="20"/>
        <v>3092.61</v>
      </c>
      <c r="Q46" s="12">
        <f t="shared" si="21"/>
        <v>5854.94</v>
      </c>
      <c r="S46" s="238">
        <f t="shared" si="22"/>
        <v>161143.89196248786</v>
      </c>
    </row>
    <row r="47" spans="1:20">
      <c r="A47" s="63" t="str">
        <f t="shared" si="16"/>
        <v>September</v>
      </c>
      <c r="B47" s="255">
        <v>0</v>
      </c>
      <c r="C47" s="17">
        <f>[8]CP!$J$11</f>
        <v>119872.99737298704</v>
      </c>
      <c r="D47" s="17">
        <f>[8]CP!$J$18</f>
        <v>0</v>
      </c>
      <c r="E47" s="17">
        <f>[8]CP!$J$12</f>
        <v>9598.8782145525729</v>
      </c>
      <c r="F47" s="17">
        <f>[8]CP!$J$19</f>
        <v>0</v>
      </c>
      <c r="G47" s="17">
        <f>[8]CP!$J$13</f>
        <v>11355.949669134989</v>
      </c>
      <c r="H47" s="17">
        <f>[8]CP!$J$14</f>
        <v>2562.59</v>
      </c>
      <c r="I47" s="17">
        <f>[8]CP!$J$15</f>
        <v>5790.14</v>
      </c>
      <c r="J47" s="60" t="str">
        <f t="shared" si="17"/>
        <v>September</v>
      </c>
      <c r="K47" s="17">
        <f>[8]CP!$J$16</f>
        <v>3765.08</v>
      </c>
      <c r="L47" s="17">
        <f>[8]CP!$J$17</f>
        <v>1645.7760000000001</v>
      </c>
      <c r="M47" s="17">
        <f>[8]CP!$J$20</f>
        <v>0</v>
      </c>
      <c r="N47" s="247">
        <f t="shared" si="18"/>
        <v>146238.68125667461</v>
      </c>
      <c r="O47" s="238">
        <f t="shared" si="19"/>
        <v>0</v>
      </c>
      <c r="P47" s="12">
        <f t="shared" si="20"/>
        <v>2562.59</v>
      </c>
      <c r="Q47" s="12">
        <f t="shared" si="21"/>
        <v>5790.14</v>
      </c>
      <c r="S47" s="238">
        <f t="shared" si="22"/>
        <v>154591.41125667462</v>
      </c>
    </row>
    <row r="48" spans="1:20">
      <c r="A48" s="63" t="str">
        <f t="shared" si="16"/>
        <v>October</v>
      </c>
      <c r="B48" s="255">
        <v>0</v>
      </c>
      <c r="C48" s="17">
        <f>[8]CP!$K$11</f>
        <v>112271.61141454581</v>
      </c>
      <c r="D48" s="17">
        <f>[8]CP!$K$18</f>
        <v>0</v>
      </c>
      <c r="E48" s="17">
        <f>[8]CP!$K$12</f>
        <v>7216.8817156828209</v>
      </c>
      <c r="F48" s="17">
        <f>[8]CP!$K$19</f>
        <v>0</v>
      </c>
      <c r="G48" s="17">
        <f>[8]CP!$K$13</f>
        <v>11111.585421100499</v>
      </c>
      <c r="H48" s="17">
        <f>[8]CP!$K$14</f>
        <v>2481.6</v>
      </c>
      <c r="I48" s="17">
        <f>[8]CP!$K$15</f>
        <v>4870.51</v>
      </c>
      <c r="J48" s="60" t="str">
        <f t="shared" si="17"/>
        <v>October</v>
      </c>
      <c r="K48" s="17">
        <f>[8]CP!$K$16</f>
        <v>2254.92</v>
      </c>
      <c r="L48" s="17">
        <f>[8]CP!$K$17</f>
        <v>1310.096</v>
      </c>
      <c r="M48" s="17">
        <f>[8]CP!$K$20</f>
        <v>3551.2750000000001</v>
      </c>
      <c r="N48" s="247">
        <f t="shared" si="18"/>
        <v>137716.36955132912</v>
      </c>
      <c r="O48" s="238">
        <f t="shared" si="19"/>
        <v>0</v>
      </c>
      <c r="P48" s="12">
        <f t="shared" si="20"/>
        <v>2481.6</v>
      </c>
      <c r="Q48" s="12">
        <f t="shared" si="21"/>
        <v>4870.51</v>
      </c>
      <c r="S48" s="238">
        <f t="shared" si="22"/>
        <v>145068.47955132913</v>
      </c>
    </row>
    <row r="49" spans="1:23">
      <c r="A49" s="63" t="str">
        <f t="shared" si="16"/>
        <v>November</v>
      </c>
      <c r="B49" s="255">
        <v>0</v>
      </c>
      <c r="C49" s="17">
        <f>[8]CP!$L$11</f>
        <v>143012.38915127996</v>
      </c>
      <c r="D49" s="17">
        <f>[8]CP!$L$18</f>
        <v>0</v>
      </c>
      <c r="E49" s="17">
        <f>[8]CP!$L$12</f>
        <v>7946.5516129164916</v>
      </c>
      <c r="F49" s="17">
        <f>[8]CP!$L$19</f>
        <v>0</v>
      </c>
      <c r="G49" s="17">
        <f>[8]CP!$L$13</f>
        <v>17516.191987221348</v>
      </c>
      <c r="H49" s="17">
        <f>[8]CP!$L$14</f>
        <v>2309.8900000000003</v>
      </c>
      <c r="I49" s="17">
        <f>[8]CP!$L$15</f>
        <v>5028.05</v>
      </c>
      <c r="J49" s="60" t="str">
        <f t="shared" si="17"/>
        <v>November</v>
      </c>
      <c r="K49" s="17">
        <f>[8]CP!$L$16</f>
        <v>2383.7200000000003</v>
      </c>
      <c r="L49" s="17">
        <f>[8]CP!$L$17</f>
        <v>1797.1759999999999</v>
      </c>
      <c r="M49" s="17">
        <f>[8]CP!$L$20</f>
        <v>3546.125</v>
      </c>
      <c r="N49" s="247">
        <f t="shared" si="18"/>
        <v>176202.15375141782</v>
      </c>
      <c r="O49" s="238">
        <f t="shared" si="19"/>
        <v>0</v>
      </c>
      <c r="P49" s="12">
        <f t="shared" si="20"/>
        <v>2309.8900000000003</v>
      </c>
      <c r="Q49" s="12">
        <f t="shared" si="21"/>
        <v>5028.05</v>
      </c>
      <c r="S49" s="238">
        <f t="shared" si="22"/>
        <v>183540.09375141782</v>
      </c>
    </row>
    <row r="50" spans="1:23">
      <c r="A50" s="63" t="str">
        <f t="shared" si="16"/>
        <v>December</v>
      </c>
      <c r="B50" s="255">
        <v>0</v>
      </c>
      <c r="C50" s="17">
        <f>[8]CP!$M$11</f>
        <v>126303.75423034668</v>
      </c>
      <c r="D50" s="17">
        <f>[8]CP!$M$18</f>
        <v>0</v>
      </c>
      <c r="E50" s="17">
        <f>[8]CP!$M$12</f>
        <v>8680.8281135051893</v>
      </c>
      <c r="F50" s="17">
        <f>[8]CP!$M$19</f>
        <v>0</v>
      </c>
      <c r="G50" s="17">
        <f>[8]CP!$M$13</f>
        <v>15152.607482727959</v>
      </c>
      <c r="H50" s="17">
        <f>[8]CP!$M$14</f>
        <v>2224.67</v>
      </c>
      <c r="I50" s="17">
        <f>[8]CP!$M$15</f>
        <v>4913.7299999999996</v>
      </c>
      <c r="J50" s="288" t="str">
        <f t="shared" si="17"/>
        <v>December</v>
      </c>
      <c r="K50" s="17">
        <f>[8]CP!$M$16</f>
        <v>2924.24</v>
      </c>
      <c r="L50" s="17">
        <f>[8]CP!$M$17</f>
        <v>1919.152</v>
      </c>
      <c r="M50" s="17">
        <f>[8]CP!$M$20</f>
        <v>3542.9749999999995</v>
      </c>
      <c r="N50" s="247">
        <f t="shared" si="18"/>
        <v>158523.55682657982</v>
      </c>
      <c r="O50" s="238">
        <f t="shared" si="19"/>
        <v>0</v>
      </c>
      <c r="P50" s="12">
        <f>H50</f>
        <v>2224.67</v>
      </c>
      <c r="Q50" s="12">
        <f>I50</f>
        <v>4913.7299999999996</v>
      </c>
      <c r="S50" s="238">
        <f t="shared" si="22"/>
        <v>165661.95682657984</v>
      </c>
    </row>
    <row r="51" spans="1:23" ht="13.5" thickBot="1">
      <c r="A51" s="63"/>
      <c r="B51" s="281">
        <f t="shared" ref="B51:G51" si="23">SUM(B39:B50)</f>
        <v>0</v>
      </c>
      <c r="C51" s="281">
        <f t="shared" si="23"/>
        <v>1579831.0218224535</v>
      </c>
      <c r="D51" s="281">
        <f>SUM(D39:D50)</f>
        <v>0</v>
      </c>
      <c r="E51" s="281">
        <f t="shared" si="23"/>
        <v>120039.38403930393</v>
      </c>
      <c r="F51" s="281">
        <f t="shared" si="23"/>
        <v>0</v>
      </c>
      <c r="G51" s="76">
        <f t="shared" si="23"/>
        <v>158606.28319792508</v>
      </c>
      <c r="H51" s="282">
        <f t="shared" ref="H51:O51" si="24">SUM(H39:H50)</f>
        <v>30032.85</v>
      </c>
      <c r="I51" s="282">
        <f t="shared" si="24"/>
        <v>59050.12000000001</v>
      </c>
      <c r="J51" s="278"/>
      <c r="K51" s="76">
        <f t="shared" si="24"/>
        <v>40182.564269114271</v>
      </c>
      <c r="L51" s="76">
        <f t="shared" si="24"/>
        <v>20050.096952607739</v>
      </c>
      <c r="M51" s="76">
        <f t="shared" si="24"/>
        <v>21371.324999999997</v>
      </c>
      <c r="N51" s="76">
        <f t="shared" si="24"/>
        <v>1940080.6752814045</v>
      </c>
      <c r="O51" s="282">
        <f t="shared" si="24"/>
        <v>0</v>
      </c>
      <c r="P51" s="282">
        <f>SUM(P39:P50)</f>
        <v>30032.85</v>
      </c>
      <c r="Q51" s="282">
        <f>SUM(Q39:Q50)</f>
        <v>59050.12000000001</v>
      </c>
      <c r="R51" s="285"/>
      <c r="S51" s="238">
        <f t="shared" si="22"/>
        <v>2029163.6452814047</v>
      </c>
    </row>
    <row r="52" spans="1:23" ht="13.5" thickTop="1">
      <c r="F52" s="81"/>
      <c r="G52" s="81"/>
      <c r="H52" s="75"/>
      <c r="K52" s="81"/>
      <c r="L52" s="57">
        <f>SUM(L39:L50)</f>
        <v>20050.096952607739</v>
      </c>
      <c r="M52" s="14">
        <f>SUM(B51:L51)</f>
        <v>2007792.320281405</v>
      </c>
    </row>
    <row r="53" spans="1:23">
      <c r="A53" s="64" t="s">
        <v>203</v>
      </c>
      <c r="B53" s="78"/>
      <c r="C53" s="78">
        <f>C51/$N$51</f>
        <v>0.81431202421172633</v>
      </c>
      <c r="D53" s="78">
        <f>D51/$N$51</f>
        <v>0</v>
      </c>
      <c r="E53" s="78">
        <f>E51/$N$51</f>
        <v>6.1873398136854531E-2</v>
      </c>
      <c r="F53" s="78">
        <f>F51/$N$51</f>
        <v>0</v>
      </c>
      <c r="G53" s="78">
        <f>G51/$N$51</f>
        <v>8.1752416391096511E-2</v>
      </c>
      <c r="H53" s="78"/>
      <c r="I53" s="78"/>
      <c r="J53" s="64" t="s">
        <v>203</v>
      </c>
      <c r="K53" s="78">
        <f>K51/$N$51</f>
        <v>2.0711800690085158E-2</v>
      </c>
      <c r="L53" s="78">
        <f>L51/$N$51</f>
        <v>1.033467175260612E-2</v>
      </c>
      <c r="M53" s="78">
        <f>M51/$N$51</f>
        <v>1.1015688817631325E-2</v>
      </c>
      <c r="N53" s="357" t="s">
        <v>588</v>
      </c>
      <c r="P53" s="13">
        <f>P51/($P$51+$Q$51)</f>
        <v>0.33713346108689457</v>
      </c>
      <c r="Q53" s="13">
        <f>Q51/($P$51+$Q$51)</f>
        <v>0.66286653891310554</v>
      </c>
    </row>
    <row r="54" spans="1:23">
      <c r="I54" s="20"/>
      <c r="J54" s="20"/>
      <c r="K54" s="72" t="s">
        <v>1</v>
      </c>
      <c r="L54" s="240"/>
      <c r="M54" s="335">
        <f>SUM(B53:M53)</f>
        <v>1</v>
      </c>
    </row>
    <row r="55" spans="1:23">
      <c r="A55" s="48" t="s">
        <v>1</v>
      </c>
      <c r="B55" s="83">
        <f>(B51/$S$51)</f>
        <v>0</v>
      </c>
      <c r="C55" s="83">
        <f>(C51/$S$51)</f>
        <v>0.77856264845675482</v>
      </c>
      <c r="D55" s="83">
        <f t="shared" ref="D55:Q55" si="25">(D51/$S$51)</f>
        <v>0</v>
      </c>
      <c r="E55" s="83">
        <f t="shared" si="25"/>
        <v>5.9157074057798256E-2</v>
      </c>
      <c r="F55" s="83">
        <f t="shared" si="25"/>
        <v>0</v>
      </c>
      <c r="G55" s="83">
        <f t="shared" si="25"/>
        <v>7.8163377097133793E-2</v>
      </c>
      <c r="H55" s="83">
        <f t="shared" si="25"/>
        <v>1.4800605199998563E-2</v>
      </c>
      <c r="I55" s="83">
        <f t="shared" si="25"/>
        <v>2.9100718484344288E-2</v>
      </c>
      <c r="J55" s="83"/>
      <c r="K55" s="83">
        <f t="shared" si="25"/>
        <v>1.9802525223904129E-2</v>
      </c>
      <c r="L55" s="83">
        <f t="shared" si="25"/>
        <v>9.8809659828235242E-3</v>
      </c>
      <c r="M55" s="83">
        <f>(M51/$S$51)</f>
        <v>1.0532085497242496E-2</v>
      </c>
      <c r="N55" s="83">
        <f t="shared" si="25"/>
        <v>0.95609867631565704</v>
      </c>
      <c r="O55" s="83">
        <f t="shared" si="25"/>
        <v>0</v>
      </c>
      <c r="P55" s="83">
        <f t="shared" si="25"/>
        <v>1.4800605199998563E-2</v>
      </c>
      <c r="Q55" s="83">
        <f t="shared" si="25"/>
        <v>2.9100718484344288E-2</v>
      </c>
      <c r="S55" s="263">
        <f>SUM(B55:M55)</f>
        <v>0.99999999999999989</v>
      </c>
    </row>
    <row r="56" spans="1:23" s="75" customFormat="1">
      <c r="A56" s="1"/>
      <c r="B56" s="96"/>
      <c r="C56" s="96"/>
      <c r="D56" s="96"/>
      <c r="E56" s="96"/>
      <c r="F56" s="96"/>
      <c r="G56" s="96"/>
      <c r="H56" s="96"/>
      <c r="I56" s="96"/>
      <c r="J56" s="82"/>
      <c r="K56" s="82"/>
      <c r="M56" s="339">
        <f>SUM(B55:M55)</f>
        <v>0.99999999999999989</v>
      </c>
      <c r="R56"/>
      <c r="S56"/>
      <c r="T56"/>
      <c r="U56"/>
      <c r="V56"/>
      <c r="W56"/>
    </row>
    <row r="57" spans="1:23" s="75" customFormat="1">
      <c r="A57" s="3" t="s">
        <v>1</v>
      </c>
      <c r="B57" s="96"/>
      <c r="C57" s="96"/>
      <c r="D57" s="96" t="s">
        <v>1</v>
      </c>
      <c r="E57" s="96"/>
      <c r="F57" s="96"/>
      <c r="G57" s="96"/>
      <c r="H57" s="96"/>
      <c r="I57"/>
      <c r="J57"/>
      <c r="K57" s="82"/>
      <c r="R57"/>
      <c r="S57"/>
      <c r="T57"/>
      <c r="U57"/>
      <c r="V57"/>
      <c r="W57"/>
    </row>
    <row r="58" spans="1:23">
      <c r="A58" s="20" t="s">
        <v>1</v>
      </c>
      <c r="B58" s="20"/>
      <c r="C58" s="20"/>
      <c r="D58" s="20"/>
      <c r="E58" s="20"/>
      <c r="F58" s="353" t="s">
        <v>1</v>
      </c>
      <c r="G58" s="353" t="s">
        <v>1</v>
      </c>
      <c r="H58" s="82"/>
      <c r="I58"/>
      <c r="J58"/>
      <c r="M58" s="103">
        <f>(L51-L52)/12</f>
        <v>0</v>
      </c>
    </row>
    <row r="59" spans="1:23">
      <c r="A59" s="48" t="s">
        <v>1</v>
      </c>
      <c r="B59" s="20"/>
      <c r="C59" s="20"/>
      <c r="D59" s="20"/>
      <c r="E59" s="20"/>
      <c r="F59" s="72" t="s">
        <v>1</v>
      </c>
      <c r="G59" s="72" t="s">
        <v>1</v>
      </c>
      <c r="H59" s="1" t="s">
        <v>1</v>
      </c>
      <c r="I59"/>
      <c r="J59"/>
    </row>
    <row r="62" spans="1:23" s="5" customFormat="1">
      <c r="A62" s="780" t="s">
        <v>348</v>
      </c>
      <c r="B62" s="780"/>
      <c r="C62" s="780"/>
      <c r="D62" s="780"/>
      <c r="E62" s="780"/>
      <c r="F62" s="780"/>
      <c r="G62" s="780"/>
      <c r="H62" s="780"/>
      <c r="I62" s="780"/>
      <c r="J62" s="354"/>
      <c r="K62" s="780" t="s">
        <v>348</v>
      </c>
      <c r="L62" s="780"/>
      <c r="M62" s="780"/>
      <c r="N62" s="780"/>
      <c r="O62" s="780"/>
      <c r="P62" s="780"/>
      <c r="Q62" s="780"/>
      <c r="R62" s="780"/>
      <c r="S62" s="780"/>
      <c r="U62" s="250"/>
      <c r="V62" s="250"/>
      <c r="W62" s="250"/>
    </row>
    <row r="64" spans="1:23">
      <c r="B64" s="2">
        <f t="shared" ref="B64:H64" si="26">(B35)</f>
        <v>0</v>
      </c>
      <c r="C64" s="2">
        <f t="shared" si="26"/>
        <v>10</v>
      </c>
      <c r="D64" s="2">
        <f t="shared" si="26"/>
        <v>11</v>
      </c>
      <c r="E64" s="2">
        <f t="shared" si="26"/>
        <v>20</v>
      </c>
      <c r="F64" s="2">
        <f t="shared" si="26"/>
        <v>22</v>
      </c>
      <c r="G64" s="2">
        <f t="shared" si="26"/>
        <v>40</v>
      </c>
      <c r="H64" s="2">
        <f t="shared" si="26"/>
        <v>46</v>
      </c>
      <c r="I64" s="2">
        <f>(I35)</f>
        <v>47</v>
      </c>
      <c r="J64" s="2"/>
      <c r="K64" s="2">
        <f t="shared" ref="K64:M66" si="27">(K35)</f>
        <v>50</v>
      </c>
      <c r="L64" s="2">
        <f t="shared" si="27"/>
        <v>52</v>
      </c>
      <c r="M64" s="2">
        <f t="shared" si="27"/>
        <v>0</v>
      </c>
      <c r="N64" s="2" t="str">
        <f t="shared" ref="N64:O66" si="28">(N35)</f>
        <v>Total</v>
      </c>
      <c r="O64" s="2">
        <f t="shared" si="28"/>
        <v>0</v>
      </c>
      <c r="P64" s="2">
        <f t="shared" ref="P64:Q66" si="29">(P35)</f>
        <v>46</v>
      </c>
      <c r="Q64" s="2">
        <f t="shared" si="29"/>
        <v>47</v>
      </c>
    </row>
    <row r="65" spans="1:19">
      <c r="B65" s="2" t="str">
        <f t="shared" ref="B65:G66" si="30">(B36)</f>
        <v>Green</v>
      </c>
      <c r="C65" s="2" t="str">
        <f t="shared" si="30"/>
        <v>Residential</v>
      </c>
      <c r="D65" s="2" t="str">
        <f t="shared" si="30"/>
        <v>Residential</v>
      </c>
      <c r="E65" s="2" t="str">
        <f t="shared" si="30"/>
        <v>Comm. Sml Pow</v>
      </c>
      <c r="F65" s="2" t="str">
        <f t="shared" si="30"/>
        <v>Comm &amp; Sml Pow</v>
      </c>
      <c r="G65" s="2" t="str">
        <f t="shared" si="30"/>
        <v>Large Power</v>
      </c>
      <c r="H65" s="2" t="str">
        <f>(H36)</f>
        <v>Large Power</v>
      </c>
      <c r="I65" s="2" t="str">
        <f>(I36)</f>
        <v>Large Power</v>
      </c>
      <c r="J65" s="2"/>
      <c r="K65" s="2" t="str">
        <f t="shared" si="27"/>
        <v>Schl. Community</v>
      </c>
      <c r="L65" s="2" t="str">
        <f t="shared" si="27"/>
        <v>All Electric</v>
      </c>
      <c r="M65" s="2" t="str">
        <f t="shared" si="27"/>
        <v>Outdoor</v>
      </c>
      <c r="N65" s="2" t="str">
        <f t="shared" si="28"/>
        <v>Energy for</v>
      </c>
      <c r="O65" s="2">
        <f t="shared" si="28"/>
        <v>0</v>
      </c>
      <c r="P65" s="2" t="str">
        <f t="shared" si="29"/>
        <v>500 kW &amp;</v>
      </c>
      <c r="Q65" s="2" t="str">
        <f t="shared" si="29"/>
        <v>500-4,999 kW</v>
      </c>
    </row>
    <row r="66" spans="1:19">
      <c r="A66" s="1" t="str">
        <f>(A37)</f>
        <v>Month</v>
      </c>
      <c r="B66" s="2" t="str">
        <f t="shared" si="30"/>
        <v>Power</v>
      </c>
      <c r="C66" s="2" t="str">
        <f t="shared" si="30"/>
        <v>Farm &amp; Non Farm</v>
      </c>
      <c r="D66" s="2" t="str">
        <f t="shared" si="30"/>
        <v>ETS</v>
      </c>
      <c r="E66" s="2" t="str">
        <f t="shared" si="30"/>
        <v>&amp; 3 Phase Farm</v>
      </c>
      <c r="F66" s="2" t="str">
        <f t="shared" si="30"/>
        <v>ETS</v>
      </c>
      <c r="G66" s="2" t="str">
        <f t="shared" si="30"/>
        <v>&lt; Than 50 kW</v>
      </c>
      <c r="H66" s="2" t="str">
        <f>(H37)</f>
        <v>&gt;500 kW</v>
      </c>
      <c r="I66" s="2" t="str">
        <f>(I37)</f>
        <v>500-4999 KW</v>
      </c>
      <c r="J66" s="2"/>
      <c r="K66" s="2" t="str">
        <f t="shared" si="27"/>
        <v>Halls &amp; Parks</v>
      </c>
      <c r="L66" s="2" t="str">
        <f t="shared" si="27"/>
        <v>Schools</v>
      </c>
      <c r="M66" s="2" t="str">
        <f t="shared" si="27"/>
        <v>Lights</v>
      </c>
      <c r="N66" s="2" t="str">
        <f t="shared" si="28"/>
        <v>Sched E</v>
      </c>
      <c r="O66" s="2" t="str">
        <f t="shared" si="28"/>
        <v>Envirowatts</v>
      </c>
      <c r="P66" s="2" t="str">
        <f t="shared" si="29"/>
        <v>Over (C)</v>
      </c>
      <c r="Q66" s="2" t="str">
        <f t="shared" si="29"/>
        <v>(B)</v>
      </c>
      <c r="R66" s="2"/>
      <c r="S66" s="2" t="str">
        <f>(S37)</f>
        <v>Total</v>
      </c>
    </row>
    <row r="67" spans="1:19">
      <c r="A67" s="1" t="str">
        <f t="shared" ref="A67:A79" si="31">(A38)</f>
        <v xml:space="preserve"> </v>
      </c>
      <c r="H67" s="75"/>
      <c r="K67" s="1"/>
      <c r="L67" s="1"/>
      <c r="M67" s="20"/>
    </row>
    <row r="68" spans="1:19">
      <c r="A68" s="1" t="str">
        <f t="shared" si="31"/>
        <v>January</v>
      </c>
      <c r="B68" s="8">
        <v>0</v>
      </c>
      <c r="C68" s="8">
        <f>'[8]Class Peak'!$B$9</f>
        <v>169053</v>
      </c>
      <c r="D68" s="8">
        <v>0</v>
      </c>
      <c r="E68" s="8">
        <f>'[8]Class Peak'!$B$10</f>
        <v>16862</v>
      </c>
      <c r="F68" s="8">
        <v>0</v>
      </c>
      <c r="G68" s="8">
        <f>'[8]Class Peak'!$B$11</f>
        <v>15926.3</v>
      </c>
      <c r="H68" s="8">
        <f>'[8]Class Peak'!$B$12</f>
        <v>2897.95</v>
      </c>
      <c r="I68" s="8">
        <f>'[8]Class Peak'!$B$13</f>
        <v>6092.93</v>
      </c>
      <c r="J68" s="71" t="str">
        <f>(A68)</f>
        <v>January</v>
      </c>
      <c r="K68" s="8">
        <f>'[8]Class Peak'!$B$14</f>
        <v>7325.7</v>
      </c>
      <c r="L68" s="8">
        <f>'[8]Class Peak'!$B$15</f>
        <v>6124.48</v>
      </c>
      <c r="M68" s="8">
        <f>'[8]Class Peak'!$B$18</f>
        <v>3578.2</v>
      </c>
      <c r="N68" s="247">
        <f>SUM(C68:G68,K68:M68)</f>
        <v>218869.68000000002</v>
      </c>
      <c r="O68" s="238">
        <f>B68</f>
        <v>0</v>
      </c>
      <c r="P68" s="12">
        <f>H68</f>
        <v>2897.95</v>
      </c>
      <c r="Q68" s="12">
        <f>I68</f>
        <v>6092.93</v>
      </c>
      <c r="S68" s="238">
        <f>SUM(N68:Q68)</f>
        <v>227860.56000000003</v>
      </c>
    </row>
    <row r="69" spans="1:19">
      <c r="A69" s="1" t="str">
        <f t="shared" si="31"/>
        <v>February</v>
      </c>
      <c r="B69" s="8">
        <v>0</v>
      </c>
      <c r="C69" s="8">
        <f>'[8]Class Peak'!$C$9</f>
        <v>196462</v>
      </c>
      <c r="D69" s="8">
        <v>0</v>
      </c>
      <c r="E69" s="8">
        <f>'[8]Class Peak'!$C$10</f>
        <v>16742</v>
      </c>
      <c r="F69" s="8">
        <v>0</v>
      </c>
      <c r="G69" s="8">
        <f>'[8]Class Peak'!$C$11</f>
        <v>16465.939999999999</v>
      </c>
      <c r="H69" s="8">
        <f>'[8]Class Peak'!$C$12</f>
        <v>2930.98</v>
      </c>
      <c r="I69" s="8">
        <f>'[8]Class Peak'!$C$13</f>
        <v>5979.2199999999993</v>
      </c>
      <c r="J69" s="60" t="str">
        <f t="shared" ref="J69:J79" si="32">(A69)</f>
        <v>February</v>
      </c>
      <c r="K69" s="8">
        <f>'[8]Class Peak'!$C$14</f>
        <v>7334.24</v>
      </c>
      <c r="L69" s="8">
        <f>'[8]Class Peak'!$C$15</f>
        <v>6090.12</v>
      </c>
      <c r="M69" s="8">
        <f>'[8]Class Peak'!$C$18</f>
        <v>3577.0249999999996</v>
      </c>
      <c r="N69" s="247">
        <f t="shared" ref="N69:N79" si="33">SUM(C69:G69,K69:M69)</f>
        <v>246671.32499999998</v>
      </c>
      <c r="O69" s="238">
        <f t="shared" ref="O69:O79" si="34">B69</f>
        <v>0</v>
      </c>
      <c r="P69" s="12">
        <f t="shared" ref="P69:P78" si="35">H69</f>
        <v>2930.98</v>
      </c>
      <c r="Q69" s="12">
        <f t="shared" ref="Q69:Q78" si="36">I69</f>
        <v>5979.2199999999993</v>
      </c>
      <c r="S69" s="238">
        <f t="shared" ref="S69:S80" si="37">SUM(N69:Q69)</f>
        <v>255581.52499999999</v>
      </c>
    </row>
    <row r="70" spans="1:19">
      <c r="A70" s="1" t="str">
        <f t="shared" si="31"/>
        <v>March</v>
      </c>
      <c r="B70" s="8">
        <v>0</v>
      </c>
      <c r="C70" s="8">
        <f>'[8]Class Peak'!$D$9</f>
        <v>146642</v>
      </c>
      <c r="D70" s="8">
        <v>0</v>
      </c>
      <c r="E70" s="8">
        <f>'[8]Class Peak'!$D$10</f>
        <v>13936</v>
      </c>
      <c r="F70" s="8">
        <v>0</v>
      </c>
      <c r="G70" s="8">
        <f>'[8]Class Peak'!$D$11</f>
        <v>16446.98</v>
      </c>
      <c r="H70" s="8">
        <f>'[8]Class Peak'!$D$12</f>
        <v>2929.6600000000003</v>
      </c>
      <c r="I70" s="8">
        <f>'[8]Class Peak'!$D$13</f>
        <v>6437.8899999999994</v>
      </c>
      <c r="J70" s="60" t="str">
        <f t="shared" si="32"/>
        <v>March</v>
      </c>
      <c r="K70" s="8">
        <f>'[8]Class Peak'!$D$14</f>
        <v>6554.4</v>
      </c>
      <c r="L70" s="8">
        <f>'[8]Class Peak'!$D$15</f>
        <v>5106.4799999999996</v>
      </c>
      <c r="M70" s="8">
        <f>'[8]Class Peak'!$D$18</f>
        <v>3575.7249999999999</v>
      </c>
      <c r="N70" s="247">
        <f t="shared" si="33"/>
        <v>192261.58500000002</v>
      </c>
      <c r="O70" s="238">
        <f t="shared" si="34"/>
        <v>0</v>
      </c>
      <c r="P70" s="12">
        <f t="shared" si="35"/>
        <v>2929.6600000000003</v>
      </c>
      <c r="Q70" s="12">
        <f t="shared" si="36"/>
        <v>6437.8899999999994</v>
      </c>
      <c r="S70" s="238">
        <f t="shared" si="37"/>
        <v>201629.13500000001</v>
      </c>
    </row>
    <row r="71" spans="1:19">
      <c r="A71" s="1" t="str">
        <f t="shared" si="31"/>
        <v>April</v>
      </c>
      <c r="B71" s="8">
        <v>0</v>
      </c>
      <c r="C71" s="8">
        <f>'[8]Class Peak'!$E$9</f>
        <v>109911</v>
      </c>
      <c r="D71" s="8">
        <v>0</v>
      </c>
      <c r="E71" s="8">
        <f>'[8]Class Peak'!$E$10</f>
        <v>13019</v>
      </c>
      <c r="F71" s="8">
        <v>0</v>
      </c>
      <c r="G71" s="8">
        <f>'[8]Class Peak'!$E$11</f>
        <v>16589.685314214516</v>
      </c>
      <c r="H71" s="8">
        <f>'[8]Class Peak'!$E$12</f>
        <v>3138.69</v>
      </c>
      <c r="I71" s="8">
        <f>'[8]Class Peak'!$E$13</f>
        <v>6268.0599999999995</v>
      </c>
      <c r="J71" s="60" t="str">
        <f t="shared" si="32"/>
        <v>April</v>
      </c>
      <c r="K71" s="8">
        <f>'[8]Class Peak'!$E$14</f>
        <v>4806.2</v>
      </c>
      <c r="L71" s="8">
        <f>'[8]Class Peak'!$E$15</f>
        <v>4421.6000000000004</v>
      </c>
      <c r="M71" s="8">
        <f>'[8]Class Peak'!$E$18</f>
        <v>3569.3999999999996</v>
      </c>
      <c r="N71" s="247">
        <f t="shared" si="33"/>
        <v>152316.88531421454</v>
      </c>
      <c r="O71" s="238">
        <f t="shared" si="34"/>
        <v>0</v>
      </c>
      <c r="P71" s="12">
        <f t="shared" si="35"/>
        <v>3138.69</v>
      </c>
      <c r="Q71" s="12">
        <f t="shared" si="36"/>
        <v>6268.0599999999995</v>
      </c>
      <c r="S71" s="238">
        <f t="shared" si="37"/>
        <v>161723.63531421454</v>
      </c>
    </row>
    <row r="72" spans="1:19">
      <c r="A72" s="1" t="str">
        <f t="shared" si="31"/>
        <v>May</v>
      </c>
      <c r="B72" s="8">
        <v>0</v>
      </c>
      <c r="C72" s="8">
        <f>'[8]Class Peak'!$F$9</f>
        <v>141868</v>
      </c>
      <c r="D72" s="8">
        <v>0</v>
      </c>
      <c r="E72" s="8">
        <f>'[8]Class Peak'!$F$10</f>
        <v>13601</v>
      </c>
      <c r="F72" s="8">
        <v>0</v>
      </c>
      <c r="G72" s="8">
        <f>'[8]Class Peak'!$F$11</f>
        <v>17732.2</v>
      </c>
      <c r="H72" s="8">
        <f>'[8]Class Peak'!$F$12</f>
        <v>3268.1600000000003</v>
      </c>
      <c r="I72" s="8">
        <f>'[8]Class Peak'!$F$13</f>
        <v>6351.5700000000006</v>
      </c>
      <c r="J72" s="60" t="str">
        <f t="shared" si="32"/>
        <v>May</v>
      </c>
      <c r="K72" s="8">
        <f>'[8]Class Peak'!$F$14</f>
        <v>4608.74</v>
      </c>
      <c r="L72" s="8">
        <f>'[8]Class Peak'!$F$15</f>
        <v>4233.12</v>
      </c>
      <c r="M72" s="8">
        <f>'[8]Class Peak'!$F$18</f>
        <v>3569.7750000000001</v>
      </c>
      <c r="N72" s="247">
        <f t="shared" si="33"/>
        <v>185612.83499999999</v>
      </c>
      <c r="O72" s="238">
        <f t="shared" si="34"/>
        <v>0</v>
      </c>
      <c r="P72" s="12">
        <f t="shared" si="35"/>
        <v>3268.1600000000003</v>
      </c>
      <c r="Q72" s="12">
        <f t="shared" si="36"/>
        <v>6351.5700000000006</v>
      </c>
      <c r="S72" s="238">
        <f t="shared" si="37"/>
        <v>195232.565</v>
      </c>
    </row>
    <row r="73" spans="1:19">
      <c r="A73" s="1" t="str">
        <f t="shared" si="31"/>
        <v>June</v>
      </c>
      <c r="B73" s="8">
        <v>0</v>
      </c>
      <c r="C73" s="8">
        <f>'[8]Class Peak'!$G$9</f>
        <v>180812</v>
      </c>
      <c r="D73" s="8">
        <v>0</v>
      </c>
      <c r="E73" s="8">
        <f>'[8]Class Peak'!$G$10</f>
        <v>16717</v>
      </c>
      <c r="F73" s="8">
        <v>0</v>
      </c>
      <c r="G73" s="8">
        <f>'[8]Class Peak'!$G$11</f>
        <v>16337.220000000001</v>
      </c>
      <c r="H73" s="8">
        <f>'[8]Class Peak'!$G$12</f>
        <v>3312.1</v>
      </c>
      <c r="I73" s="8">
        <f>'[8]Class Peak'!$G$13</f>
        <v>6588.66</v>
      </c>
      <c r="J73" s="60" t="str">
        <f t="shared" si="32"/>
        <v>June</v>
      </c>
      <c r="K73" s="8">
        <f>'[8]Class Peak'!$G$14</f>
        <v>4845.22</v>
      </c>
      <c r="L73" s="8">
        <f>'[8]Class Peak'!$G$15</f>
        <v>3462.76</v>
      </c>
      <c r="M73" s="8">
        <f>'[8]Class Peak'!$G$18</f>
        <v>3567.15</v>
      </c>
      <c r="N73" s="247">
        <f t="shared" si="33"/>
        <v>225741.35</v>
      </c>
      <c r="O73" s="238">
        <f t="shared" si="34"/>
        <v>0</v>
      </c>
      <c r="P73" s="12">
        <f t="shared" si="35"/>
        <v>3312.1</v>
      </c>
      <c r="Q73" s="12">
        <f t="shared" si="36"/>
        <v>6588.66</v>
      </c>
      <c r="S73" s="238">
        <f t="shared" si="37"/>
        <v>235642.11000000002</v>
      </c>
    </row>
    <row r="74" spans="1:19">
      <c r="A74" s="1" t="str">
        <f t="shared" si="31"/>
        <v>July</v>
      </c>
      <c r="B74" s="8">
        <v>0</v>
      </c>
      <c r="C74" s="8">
        <f>'[8]Class Peak'!$H$9</f>
        <v>180870</v>
      </c>
      <c r="D74" s="8">
        <v>0</v>
      </c>
      <c r="E74" s="8">
        <f>'[8]Class Peak'!$H$10</f>
        <v>18579</v>
      </c>
      <c r="F74" s="8">
        <v>0</v>
      </c>
      <c r="G74" s="8">
        <f>'[8]Class Peak'!$H$11</f>
        <v>17912.2</v>
      </c>
      <c r="H74" s="8">
        <f>'[8]Class Peak'!$H$12</f>
        <v>3544.2200000000003</v>
      </c>
      <c r="I74" s="8">
        <f>'[8]Class Peak'!$H$13</f>
        <v>6825.2800000000007</v>
      </c>
      <c r="J74" s="60" t="str">
        <f t="shared" si="32"/>
        <v>July</v>
      </c>
      <c r="K74" s="8">
        <f>'[8]Class Peak'!$H$14</f>
        <v>5292.06</v>
      </c>
      <c r="L74" s="8">
        <f>'[8]Class Peak'!$H$15</f>
        <v>3691.92</v>
      </c>
      <c r="M74" s="8">
        <f>'[8]Class Peak'!$H$18</f>
        <v>3565.0499999999997</v>
      </c>
      <c r="N74" s="247">
        <f t="shared" si="33"/>
        <v>229910.23</v>
      </c>
      <c r="O74" s="238">
        <f t="shared" si="34"/>
        <v>0</v>
      </c>
      <c r="P74" s="12">
        <f t="shared" si="35"/>
        <v>3544.2200000000003</v>
      </c>
      <c r="Q74" s="12">
        <f t="shared" si="36"/>
        <v>6825.2800000000007</v>
      </c>
      <c r="S74" s="238">
        <f t="shared" si="37"/>
        <v>240279.73</v>
      </c>
    </row>
    <row r="75" spans="1:19">
      <c r="A75" s="1" t="str">
        <f t="shared" si="31"/>
        <v>August</v>
      </c>
      <c r="B75" s="8">
        <v>0</v>
      </c>
      <c r="C75" s="8">
        <f>'[8]Class Peak'!$I$9</f>
        <v>156480</v>
      </c>
      <c r="D75" s="8">
        <v>0</v>
      </c>
      <c r="E75" s="8">
        <f>'[8]Class Peak'!$I$10</f>
        <v>17111</v>
      </c>
      <c r="F75" s="8">
        <v>0</v>
      </c>
      <c r="G75" s="8">
        <f>'[8]Class Peak'!$I$11</f>
        <v>20084.66</v>
      </c>
      <c r="H75" s="8">
        <f>'[8]Class Peak'!$I$12</f>
        <v>3546.43</v>
      </c>
      <c r="I75" s="8">
        <f>'[8]Class Peak'!$I$13</f>
        <v>6816.2899999999991</v>
      </c>
      <c r="J75" s="60" t="str">
        <f t="shared" si="32"/>
        <v>August</v>
      </c>
      <c r="K75" s="8">
        <f>'[8]Class Peak'!$I$14</f>
        <v>5737.18</v>
      </c>
      <c r="L75" s="8">
        <f>'[8]Class Peak'!$I$15</f>
        <v>4012.6800000000003</v>
      </c>
      <c r="M75" s="8">
        <f>'[8]Class Peak'!$I$18</f>
        <v>3557.9749999999999</v>
      </c>
      <c r="N75" s="247">
        <f t="shared" si="33"/>
        <v>206983.495</v>
      </c>
      <c r="O75" s="238">
        <f t="shared" si="34"/>
        <v>0</v>
      </c>
      <c r="P75" s="12">
        <f t="shared" si="35"/>
        <v>3546.43</v>
      </c>
      <c r="Q75" s="12">
        <f t="shared" si="36"/>
        <v>6816.2899999999991</v>
      </c>
      <c r="S75" s="238">
        <f t="shared" si="37"/>
        <v>217346.215</v>
      </c>
    </row>
    <row r="76" spans="1:19">
      <c r="A76" s="1" t="str">
        <f t="shared" si="31"/>
        <v>September</v>
      </c>
      <c r="B76" s="8">
        <v>0</v>
      </c>
      <c r="C76" s="8">
        <f>'[8]Class Peak'!$J$9</f>
        <v>134748</v>
      </c>
      <c r="D76" s="8">
        <v>0</v>
      </c>
      <c r="E76" s="8">
        <f>'[8]Class Peak'!$J$10</f>
        <v>14384</v>
      </c>
      <c r="F76" s="8">
        <v>0</v>
      </c>
      <c r="G76" s="8">
        <f>'[8]Class Peak'!$J$11</f>
        <v>18840.34</v>
      </c>
      <c r="H76" s="8">
        <f>'[8]Class Peak'!$J$12</f>
        <v>3344.93</v>
      </c>
      <c r="I76" s="8">
        <f>'[8]Class Peak'!$J$13</f>
        <v>6778.619999999999</v>
      </c>
      <c r="J76" s="60" t="str">
        <f t="shared" si="32"/>
        <v>September</v>
      </c>
      <c r="K76" s="8">
        <f>'[8]Class Peak'!$J$14</f>
        <v>5305.4400000000005</v>
      </c>
      <c r="L76" s="8">
        <f>'[8]Class Peak'!$J$15</f>
        <v>4008.32</v>
      </c>
      <c r="M76" s="8">
        <f>'[8]Class Peak'!$J$18</f>
        <v>3555.1249999999995</v>
      </c>
      <c r="N76" s="247">
        <f t="shared" si="33"/>
        <v>180841.22500000001</v>
      </c>
      <c r="O76" s="238">
        <f t="shared" si="34"/>
        <v>0</v>
      </c>
      <c r="P76" s="12">
        <f t="shared" si="35"/>
        <v>3344.93</v>
      </c>
      <c r="Q76" s="12">
        <f t="shared" si="36"/>
        <v>6778.619999999999</v>
      </c>
      <c r="S76" s="238">
        <f t="shared" si="37"/>
        <v>190964.77499999999</v>
      </c>
    </row>
    <row r="77" spans="1:19">
      <c r="A77" s="1" t="str">
        <f t="shared" si="31"/>
        <v>October</v>
      </c>
      <c r="B77" s="8">
        <v>0</v>
      </c>
      <c r="C77" s="8">
        <f>'[8]Class Peak'!$K$9</f>
        <v>112271.61141454581</v>
      </c>
      <c r="D77" s="8">
        <v>0</v>
      </c>
      <c r="E77" s="8">
        <f>'[8]Class Peak'!$K$10</f>
        <v>12914</v>
      </c>
      <c r="F77" s="8">
        <v>0</v>
      </c>
      <c r="G77" s="8">
        <f>'[8]Class Peak'!$K$11</f>
        <v>17398.52</v>
      </c>
      <c r="H77" s="8">
        <f>'[8]Class Peak'!$K$12</f>
        <v>2920.74</v>
      </c>
      <c r="I77" s="8">
        <f>'[8]Class Peak'!$K$13</f>
        <v>6279.62</v>
      </c>
      <c r="J77" s="60" t="str">
        <f t="shared" si="32"/>
        <v>October</v>
      </c>
      <c r="K77" s="8">
        <f>'[8]Class Peak'!$K$14</f>
        <v>5278.8600000000006</v>
      </c>
      <c r="L77" s="8">
        <f>'[8]Class Peak'!$K$15</f>
        <v>4497.16</v>
      </c>
      <c r="M77" s="8">
        <f>'[8]Class Peak'!$K$18</f>
        <v>3551.2750000000001</v>
      </c>
      <c r="N77" s="247">
        <f t="shared" si="33"/>
        <v>155911.4264145458</v>
      </c>
      <c r="O77" s="238">
        <f t="shared" si="34"/>
        <v>0</v>
      </c>
      <c r="P77" s="12">
        <f t="shared" si="35"/>
        <v>2920.74</v>
      </c>
      <c r="Q77" s="12">
        <f t="shared" si="36"/>
        <v>6279.62</v>
      </c>
      <c r="S77" s="238">
        <f t="shared" si="37"/>
        <v>165111.78641454579</v>
      </c>
    </row>
    <row r="78" spans="1:19">
      <c r="A78" s="1" t="str">
        <f t="shared" si="31"/>
        <v>November</v>
      </c>
      <c r="B78" s="8">
        <v>0</v>
      </c>
      <c r="C78" s="8">
        <f>'[8]Class Peak'!$L$9</f>
        <v>143012.38915127996</v>
      </c>
      <c r="D78" s="8">
        <v>0</v>
      </c>
      <c r="E78" s="8">
        <f>'[8]Class Peak'!$L$10</f>
        <v>11720</v>
      </c>
      <c r="F78" s="8">
        <v>0</v>
      </c>
      <c r="G78" s="8">
        <f>'[8]Class Peak'!$L$11</f>
        <v>17744.02</v>
      </c>
      <c r="H78" s="8">
        <f>'[8]Class Peak'!$L$12</f>
        <v>2804.16</v>
      </c>
      <c r="I78" s="8">
        <f>'[8]Class Peak'!$L$13</f>
        <v>6166.72</v>
      </c>
      <c r="J78" s="60" t="str">
        <f t="shared" si="32"/>
        <v>November</v>
      </c>
      <c r="K78" s="8">
        <f>'[8]Class Peak'!$L$14</f>
        <v>5319.46</v>
      </c>
      <c r="L78" s="8">
        <f>'[8]Class Peak'!$L$15</f>
        <v>4751.76</v>
      </c>
      <c r="M78" s="8">
        <f>'[8]Class Peak'!$L$18</f>
        <v>3546.125</v>
      </c>
      <c r="N78" s="247">
        <f t="shared" si="33"/>
        <v>186093.75415127995</v>
      </c>
      <c r="O78" s="238">
        <f t="shared" si="34"/>
        <v>0</v>
      </c>
      <c r="P78" s="12">
        <f t="shared" si="35"/>
        <v>2804.16</v>
      </c>
      <c r="Q78" s="12">
        <f t="shared" si="36"/>
        <v>6166.72</v>
      </c>
      <c r="S78" s="238">
        <f t="shared" si="37"/>
        <v>195064.63415127996</v>
      </c>
    </row>
    <row r="79" spans="1:19">
      <c r="A79" s="1" t="str">
        <f t="shared" si="31"/>
        <v>December</v>
      </c>
      <c r="B79" s="8">
        <v>0</v>
      </c>
      <c r="C79" s="8">
        <f>'[8]Class Peak'!$M$9</f>
        <v>171866</v>
      </c>
      <c r="D79" s="8">
        <v>0</v>
      </c>
      <c r="E79" s="8">
        <f>'[8]Class Peak'!$M$10</f>
        <v>15298</v>
      </c>
      <c r="F79" s="8">
        <v>0</v>
      </c>
      <c r="G79" s="8">
        <f>'[8]Class Peak'!$M$11</f>
        <v>17955.879999999997</v>
      </c>
      <c r="H79" s="8">
        <f>'[8]Class Peak'!$M$12</f>
        <v>2763.36</v>
      </c>
      <c r="I79" s="8">
        <f>'[8]Class Peak'!$M$13</f>
        <v>5805.22</v>
      </c>
      <c r="J79" s="288" t="str">
        <f t="shared" si="32"/>
        <v>December</v>
      </c>
      <c r="K79" s="8">
        <f>'[8]Class Peak'!$M$14</f>
        <v>6379.6</v>
      </c>
      <c r="L79" s="8">
        <f>'[8]Class Peak'!$M$15</f>
        <v>5685.52</v>
      </c>
      <c r="M79" s="8">
        <f>'[8]Class Peak'!$M$18</f>
        <v>3542.9749999999995</v>
      </c>
      <c r="N79" s="247">
        <f t="shared" si="33"/>
        <v>220727.97500000001</v>
      </c>
      <c r="O79" s="238">
        <f t="shared" si="34"/>
        <v>0</v>
      </c>
      <c r="P79" s="12">
        <f>H79</f>
        <v>2763.36</v>
      </c>
      <c r="Q79" s="12">
        <f>I79</f>
        <v>5805.22</v>
      </c>
      <c r="S79" s="238">
        <f t="shared" si="37"/>
        <v>229296.55499999999</v>
      </c>
    </row>
    <row r="80" spans="1:19" ht="13.5" thickBot="1">
      <c r="A80" s="1" t="s">
        <v>1</v>
      </c>
      <c r="B80" s="283">
        <f t="shared" ref="B80:M80" si="38">SUM(B68:B79)</f>
        <v>0</v>
      </c>
      <c r="C80" s="283">
        <f t="shared" si="38"/>
        <v>1843996.000565826</v>
      </c>
      <c r="D80" s="283">
        <f t="shared" si="38"/>
        <v>0</v>
      </c>
      <c r="E80" s="283">
        <f t="shared" si="38"/>
        <v>180883</v>
      </c>
      <c r="F80" s="283">
        <f t="shared" si="38"/>
        <v>0</v>
      </c>
      <c r="G80" s="283">
        <f t="shared" si="38"/>
        <v>209433.94531421448</v>
      </c>
      <c r="H80" s="283">
        <f t="shared" si="38"/>
        <v>37401.380000000005</v>
      </c>
      <c r="I80" s="283">
        <f t="shared" si="38"/>
        <v>76390.080000000002</v>
      </c>
      <c r="J80" s="283"/>
      <c r="K80" s="283">
        <f t="shared" si="38"/>
        <v>68787.100000000006</v>
      </c>
      <c r="L80" s="283">
        <f t="shared" si="38"/>
        <v>56085.919999999998</v>
      </c>
      <c r="M80" s="283">
        <f t="shared" si="38"/>
        <v>42755.799999999996</v>
      </c>
      <c r="N80" s="76">
        <f t="shared" ref="N80:O80" si="39">SUM(N68:N79)</f>
        <v>2401941.7658800404</v>
      </c>
      <c r="O80" s="282">
        <f t="shared" si="39"/>
        <v>0</v>
      </c>
      <c r="P80" s="282">
        <f>SUM(P68:P79)</f>
        <v>37401.380000000005</v>
      </c>
      <c r="Q80" s="282">
        <f>SUM(Q68:Q79)</f>
        <v>76390.080000000002</v>
      </c>
      <c r="R80" s="285"/>
      <c r="S80" s="238">
        <f t="shared" si="37"/>
        <v>2515733.2258800403</v>
      </c>
    </row>
    <row r="81" spans="1:23" ht="13.5" thickTop="1"/>
    <row r="82" spans="1:23">
      <c r="B82" s="13"/>
      <c r="C82" s="13">
        <f>C80/$N$80</f>
        <v>0.76771053601718342</v>
      </c>
      <c r="D82" s="13">
        <f>D80/$N$80</f>
        <v>0</v>
      </c>
      <c r="E82" s="13">
        <f>E80/$N$80</f>
        <v>7.5306988108317777E-2</v>
      </c>
      <c r="F82" s="13">
        <f>F80/$N$80</f>
        <v>0</v>
      </c>
      <c r="G82" s="13">
        <f>G80/$N$80</f>
        <v>8.7193598233419531E-2</v>
      </c>
      <c r="H82" s="13"/>
      <c r="I82" s="13"/>
      <c r="J82" s="13"/>
      <c r="K82" s="13">
        <f>K80/$N$80</f>
        <v>2.8638121447044036E-2</v>
      </c>
      <c r="L82" s="13">
        <f>L80/$N$80</f>
        <v>2.3350241374170386E-2</v>
      </c>
      <c r="M82" s="13">
        <f>M80/$N$80</f>
        <v>1.7800514819864846E-2</v>
      </c>
      <c r="N82" s="264">
        <f>SUM(C82:M82)</f>
        <v>1</v>
      </c>
      <c r="P82" s="13">
        <f>P80/($P$51+$Q$51)</f>
        <v>0.41984882183429678</v>
      </c>
      <c r="Q82" s="13">
        <f>Q80/($P$51+$Q$51)</f>
        <v>0.85751608865308371</v>
      </c>
    </row>
    <row r="83" spans="1:23" ht="14.25">
      <c r="U83" s="251">
        <v>4.8358999999999999E-2</v>
      </c>
    </row>
    <row r="84" spans="1:23">
      <c r="B84" s="13"/>
      <c r="C84" s="13">
        <f t="shared" ref="C84:I84" si="40">C80/$S$80</f>
        <v>0.73298550959065589</v>
      </c>
      <c r="D84" s="13">
        <f t="shared" si="40"/>
        <v>0</v>
      </c>
      <c r="E84" s="13">
        <f t="shared" si="40"/>
        <v>7.1900707968240343E-2</v>
      </c>
      <c r="F84" s="13">
        <f t="shared" si="40"/>
        <v>0</v>
      </c>
      <c r="G84" s="13">
        <f t="shared" si="40"/>
        <v>8.3249663819561559E-2</v>
      </c>
      <c r="H84" s="13">
        <f t="shared" si="40"/>
        <v>1.4866989717050166E-2</v>
      </c>
      <c r="I84" s="13">
        <f t="shared" si="40"/>
        <v>3.0364936637221396E-2</v>
      </c>
      <c r="J84" s="13"/>
      <c r="K84" s="13">
        <f>K80/$S$80</f>
        <v>2.7342764046826656E-2</v>
      </c>
      <c r="L84" s="13">
        <f>L80/$S$80</f>
        <v>2.2294064975979449E-2</v>
      </c>
      <c r="M84" s="13">
        <f>M80/$S$80</f>
        <v>1.6995363244464601E-2</v>
      </c>
      <c r="N84" s="264">
        <f>SUM(C84:M84)</f>
        <v>1</v>
      </c>
      <c r="O84" s="13"/>
      <c r="P84" s="13"/>
      <c r="Q84" s="13"/>
      <c r="R84" s="13" t="s">
        <v>1</v>
      </c>
      <c r="S84" s="13">
        <f>SUM(B84:Q84)</f>
        <v>2</v>
      </c>
      <c r="U84" s="17">
        <f>(F22*($U$83/0.93))</f>
        <v>4374.2535462365586</v>
      </c>
      <c r="V84" s="17">
        <f>(G22*($U$83/0.93))</f>
        <v>4015307.3607677417</v>
      </c>
    </row>
    <row r="85" spans="1:23">
      <c r="S85" s="263"/>
    </row>
    <row r="90" spans="1:23" s="5" customFormat="1">
      <c r="A90" s="777" t="s">
        <v>306</v>
      </c>
      <c r="B90" s="778"/>
      <c r="C90" s="778"/>
      <c r="D90" s="778"/>
      <c r="E90" s="778"/>
      <c r="F90" s="778"/>
      <c r="G90" s="778"/>
      <c r="H90" s="778"/>
      <c r="I90" s="779"/>
      <c r="J90" s="352"/>
      <c r="K90" s="777" t="s">
        <v>306</v>
      </c>
      <c r="L90" s="778"/>
      <c r="M90" s="778"/>
      <c r="N90" s="778"/>
      <c r="O90" s="778"/>
      <c r="P90" s="778"/>
      <c r="Q90" s="778"/>
      <c r="R90" s="778"/>
      <c r="S90" s="779"/>
      <c r="U90" s="250"/>
      <c r="V90" s="250"/>
      <c r="W90" s="250"/>
    </row>
    <row r="91" spans="1:23" ht="3" customHeight="1">
      <c r="B91" s="20"/>
      <c r="K91" s="1"/>
      <c r="L91" s="1"/>
    </row>
    <row r="92" spans="1:23">
      <c r="A92" s="65"/>
      <c r="B92" s="71">
        <f t="shared" ref="B92:G94" si="41">(B35)</f>
        <v>0</v>
      </c>
      <c r="C92" s="71">
        <f t="shared" si="41"/>
        <v>10</v>
      </c>
      <c r="D92" s="71">
        <f t="shared" si="41"/>
        <v>11</v>
      </c>
      <c r="E92" s="71">
        <f t="shared" si="41"/>
        <v>20</v>
      </c>
      <c r="F92" s="71">
        <f t="shared" si="41"/>
        <v>22</v>
      </c>
      <c r="G92" s="71">
        <f t="shared" si="41"/>
        <v>40</v>
      </c>
      <c r="H92" s="71">
        <f t="shared" ref="H92:O92" si="42">(H35)</f>
        <v>46</v>
      </c>
      <c r="I92" s="71">
        <f t="shared" si="42"/>
        <v>47</v>
      </c>
      <c r="J92" s="71"/>
      <c r="K92" s="71" t="s">
        <v>1</v>
      </c>
      <c r="L92" s="71">
        <f t="shared" si="42"/>
        <v>52</v>
      </c>
      <c r="M92" s="71">
        <f t="shared" si="42"/>
        <v>0</v>
      </c>
      <c r="N92" s="71" t="str">
        <f t="shared" si="42"/>
        <v>Total</v>
      </c>
      <c r="O92" s="71">
        <f t="shared" si="42"/>
        <v>0</v>
      </c>
      <c r="P92" s="71">
        <f t="shared" ref="P92" si="43">(P35)</f>
        <v>46</v>
      </c>
      <c r="Q92" s="71">
        <f>(P35)</f>
        <v>46</v>
      </c>
      <c r="R92" s="79" t="s">
        <v>1</v>
      </c>
      <c r="S92" s="79">
        <f>(R35)</f>
        <v>0</v>
      </c>
    </row>
    <row r="93" spans="1:23">
      <c r="A93" s="63"/>
      <c r="B93" s="60" t="str">
        <f t="shared" si="41"/>
        <v>Green</v>
      </c>
      <c r="C93" s="60" t="str">
        <f t="shared" si="41"/>
        <v>Residential</v>
      </c>
      <c r="D93" s="60" t="str">
        <f t="shared" si="41"/>
        <v>Residential</v>
      </c>
      <c r="E93" s="60" t="str">
        <f t="shared" si="41"/>
        <v>Comm. Sml Pow</v>
      </c>
      <c r="F93" s="60" t="str">
        <f t="shared" si="41"/>
        <v>Comm &amp; Sml Pow</v>
      </c>
      <c r="G93" s="60" t="str">
        <f t="shared" si="41"/>
        <v>Large Power</v>
      </c>
      <c r="H93" s="60" t="str">
        <f t="shared" ref="H93:O93" si="44">(H36)</f>
        <v>Large Power</v>
      </c>
      <c r="I93" s="60" t="str">
        <f t="shared" si="44"/>
        <v>Large Power</v>
      </c>
      <c r="J93" s="60"/>
      <c r="K93" s="60" t="str">
        <f t="shared" si="44"/>
        <v>Schl. Community</v>
      </c>
      <c r="L93" s="60" t="str">
        <f t="shared" si="44"/>
        <v>All Electric</v>
      </c>
      <c r="M93" s="60" t="str">
        <f t="shared" si="44"/>
        <v>Outdoor</v>
      </c>
      <c r="N93" s="60" t="str">
        <f t="shared" si="44"/>
        <v>Energy for</v>
      </c>
      <c r="O93" s="60">
        <f t="shared" si="44"/>
        <v>0</v>
      </c>
      <c r="P93" s="60" t="str">
        <f t="shared" ref="P93" si="45">(P36)</f>
        <v>500 kW &amp;</v>
      </c>
      <c r="Q93" s="60" t="str">
        <f>(P36)</f>
        <v>500 kW &amp;</v>
      </c>
      <c r="R93" s="97" t="s">
        <v>1</v>
      </c>
      <c r="S93" s="97">
        <f>(R36)</f>
        <v>0</v>
      </c>
    </row>
    <row r="94" spans="1:23">
      <c r="A94" s="63" t="str">
        <f t="shared" ref="A94:A107" si="46">(A37)</f>
        <v>Month</v>
      </c>
      <c r="B94" s="80" t="str">
        <f t="shared" si="41"/>
        <v>Power</v>
      </c>
      <c r="C94" s="80" t="str">
        <f t="shared" si="41"/>
        <v>Farm &amp; Non Farm</v>
      </c>
      <c r="D94" s="80" t="str">
        <f t="shared" si="41"/>
        <v>ETS</v>
      </c>
      <c r="E94" s="80" t="str">
        <f t="shared" si="41"/>
        <v>&amp; 3 Phase Farm</v>
      </c>
      <c r="F94" s="80" t="str">
        <f t="shared" si="41"/>
        <v>ETS</v>
      </c>
      <c r="G94" s="80" t="str">
        <f t="shared" si="41"/>
        <v>&lt; Than 50 kW</v>
      </c>
      <c r="H94" s="80" t="str">
        <f t="shared" ref="H94:S94" si="47">(H37)</f>
        <v>&gt;500 kW</v>
      </c>
      <c r="I94" s="80" t="str">
        <f t="shared" si="47"/>
        <v>500-4999 KW</v>
      </c>
      <c r="J94" s="80"/>
      <c r="K94" s="80" t="str">
        <f t="shared" si="47"/>
        <v>Halls &amp; Parks</v>
      </c>
      <c r="L94" s="80" t="str">
        <f t="shared" si="47"/>
        <v>Schools</v>
      </c>
      <c r="M94" s="80" t="str">
        <f t="shared" si="47"/>
        <v>Lights</v>
      </c>
      <c r="N94" s="80" t="str">
        <f t="shared" si="47"/>
        <v>Sched E</v>
      </c>
      <c r="O94" s="80" t="str">
        <f t="shared" si="47"/>
        <v>Envirowatts</v>
      </c>
      <c r="P94" s="80" t="str">
        <f t="shared" ref="P94" si="48">(P37)</f>
        <v>Over (C)</v>
      </c>
      <c r="Q94" s="80" t="str">
        <f>(P37)</f>
        <v>Over (C)</v>
      </c>
      <c r="R94" s="80">
        <f t="shared" si="47"/>
        <v>0</v>
      </c>
      <c r="S94" s="80" t="str">
        <f t="shared" si="47"/>
        <v>Total</v>
      </c>
    </row>
    <row r="95" spans="1:23">
      <c r="A95" s="63" t="str">
        <f t="shared" si="46"/>
        <v xml:space="preserve"> </v>
      </c>
      <c r="B95" s="61"/>
      <c r="C95" s="61"/>
      <c r="D95" s="61"/>
      <c r="E95" s="61"/>
      <c r="F95" s="61"/>
      <c r="G95" s="61"/>
      <c r="H95" s="61"/>
      <c r="I95" s="61"/>
      <c r="J95" s="20"/>
      <c r="R95" t="s">
        <v>1</v>
      </c>
    </row>
    <row r="96" spans="1:23">
      <c r="A96" s="63" t="str">
        <f t="shared" si="46"/>
        <v>January</v>
      </c>
      <c r="B96" s="17">
        <v>0</v>
      </c>
      <c r="C96" s="17">
        <f>[8]NCP!$B$9</f>
        <v>492787</v>
      </c>
      <c r="D96" s="17">
        <v>0</v>
      </c>
      <c r="E96" s="17">
        <f>[8]NCP!$B$10</f>
        <v>26054</v>
      </c>
      <c r="F96" s="17">
        <v>0</v>
      </c>
      <c r="G96" s="17">
        <f>[8]NCP!$B$11</f>
        <v>20895.349999999999</v>
      </c>
      <c r="H96" s="17">
        <f>[8]NCP!$B$12</f>
        <v>2897.95</v>
      </c>
      <c r="I96" s="17">
        <f>[8]NCP!$B$13</f>
        <v>6092.93</v>
      </c>
      <c r="J96" s="71" t="s">
        <v>155</v>
      </c>
      <c r="K96" s="17">
        <f>[8]NCP!$B$14</f>
        <v>12878.78</v>
      </c>
      <c r="L96" s="17">
        <f>[8]NCP!$B$15</f>
        <v>8698.1949999999997</v>
      </c>
      <c r="M96" s="17">
        <f>[8]NCP!$B$18</f>
        <v>3578.2</v>
      </c>
      <c r="N96" s="247">
        <f>SUM(C96:G96,K96:M96)</f>
        <v>564891.52499999991</v>
      </c>
      <c r="O96" s="238">
        <f>B96</f>
        <v>0</v>
      </c>
      <c r="P96" s="12">
        <f>H96</f>
        <v>2897.95</v>
      </c>
      <c r="Q96" s="12">
        <f>I96</f>
        <v>6092.93</v>
      </c>
      <c r="S96" s="238">
        <f>SUM(N96:Q96)</f>
        <v>573882.40499999991</v>
      </c>
    </row>
    <row r="97" spans="1:19">
      <c r="A97" s="63" t="str">
        <f t="shared" si="46"/>
        <v>February</v>
      </c>
      <c r="B97" s="17">
        <v>0</v>
      </c>
      <c r="C97" s="17">
        <f>[8]NCP!$C$9</f>
        <v>481912</v>
      </c>
      <c r="D97" s="17">
        <v>0</v>
      </c>
      <c r="E97" s="17">
        <f>[8]NCP!$C$10</f>
        <v>28958</v>
      </c>
      <c r="F97" s="17">
        <v>0</v>
      </c>
      <c r="G97" s="17">
        <f>[8]NCP!$C$11</f>
        <v>21303.66</v>
      </c>
      <c r="H97" s="17">
        <f>[8]NCP!$C$12</f>
        <v>2930.98</v>
      </c>
      <c r="I97" s="17">
        <f>[8]NCP!$C$13</f>
        <v>5979.2199999999993</v>
      </c>
      <c r="J97" s="60" t="s">
        <v>156</v>
      </c>
      <c r="K97" s="17">
        <f>[8]NCP!$C$14</f>
        <v>13897.431999999999</v>
      </c>
      <c r="L97" s="17">
        <f>[8]NCP!$C$15</f>
        <v>9350.3360000000011</v>
      </c>
      <c r="M97" s="17">
        <f>[8]NCP!$C$18</f>
        <v>3577.0249999999996</v>
      </c>
      <c r="N97" s="247">
        <f t="shared" ref="N97:N107" si="49">SUM(C97:G97,K97:M97)</f>
        <v>558998.4530000001</v>
      </c>
      <c r="O97" s="238">
        <f t="shared" ref="O97:O107" si="50">B97</f>
        <v>0</v>
      </c>
      <c r="P97" s="12">
        <f t="shared" ref="P97:P106" si="51">H97</f>
        <v>2930.98</v>
      </c>
      <c r="Q97" s="12">
        <f t="shared" ref="Q97:Q106" si="52">I97</f>
        <v>5979.2199999999993</v>
      </c>
      <c r="S97" s="238">
        <f t="shared" ref="S97:S107" si="53">SUM(N97:Q97)</f>
        <v>567908.65300000005</v>
      </c>
    </row>
    <row r="98" spans="1:19">
      <c r="A98" s="63" t="str">
        <f t="shared" si="46"/>
        <v>March</v>
      </c>
      <c r="B98" s="17">
        <v>0</v>
      </c>
      <c r="C98" s="17">
        <f>[8]NCP!$D$9</f>
        <v>477587</v>
      </c>
      <c r="D98" s="17">
        <v>0</v>
      </c>
      <c r="E98" s="17">
        <f>[8]NCP!$D$10</f>
        <v>29424</v>
      </c>
      <c r="F98" s="17">
        <v>0</v>
      </c>
      <c r="G98" s="17">
        <f>[8]NCP!$D$11</f>
        <v>21138.17</v>
      </c>
      <c r="H98" s="17">
        <f>[8]NCP!$D$12</f>
        <v>2929.6600000000003</v>
      </c>
      <c r="I98" s="17">
        <f>[8]NCP!$D$13</f>
        <v>6437.8899999999994</v>
      </c>
      <c r="J98" s="60" t="s">
        <v>157</v>
      </c>
      <c r="K98" s="17">
        <f>[8]NCP!$D$14</f>
        <v>14130.984</v>
      </c>
      <c r="L98" s="17">
        <f>[8]NCP!$D$15</f>
        <v>9131.6369999999988</v>
      </c>
      <c r="M98" s="17">
        <f>[8]NCP!$D$18</f>
        <v>3575.7249999999999</v>
      </c>
      <c r="N98" s="247">
        <f t="shared" si="49"/>
        <v>554987.51600000006</v>
      </c>
      <c r="O98" s="238">
        <f t="shared" si="50"/>
        <v>0</v>
      </c>
      <c r="P98" s="12">
        <f t="shared" si="51"/>
        <v>2929.6600000000003</v>
      </c>
      <c r="Q98" s="12">
        <f t="shared" si="52"/>
        <v>6437.8899999999994</v>
      </c>
      <c r="S98" s="238">
        <f t="shared" si="53"/>
        <v>564355.06600000011</v>
      </c>
    </row>
    <row r="99" spans="1:19">
      <c r="A99" s="63" t="str">
        <f t="shared" si="46"/>
        <v>April</v>
      </c>
      <c r="B99" s="17">
        <v>0</v>
      </c>
      <c r="C99" s="17">
        <f>[8]NCP!$E$9</f>
        <v>469103</v>
      </c>
      <c r="D99" s="17">
        <v>0</v>
      </c>
      <c r="E99" s="17">
        <f>[8]NCP!$E$10</f>
        <v>25483</v>
      </c>
      <c r="F99" s="17">
        <v>0</v>
      </c>
      <c r="G99" s="17">
        <f>[8]NCP!$E$11</f>
        <v>20242.800000000003</v>
      </c>
      <c r="H99" s="17">
        <f>[8]NCP!$E$12</f>
        <v>3138.69</v>
      </c>
      <c r="I99" s="17">
        <f>[8]NCP!$E$13</f>
        <v>6268.0599999999995</v>
      </c>
      <c r="J99" s="60" t="s">
        <v>158</v>
      </c>
      <c r="K99" s="17">
        <f>[8]NCP!$E$14</f>
        <v>12414.063999999998</v>
      </c>
      <c r="L99" s="17">
        <f>[8]NCP!$E$15</f>
        <v>7289.8220000000001</v>
      </c>
      <c r="M99" s="17">
        <f>[8]NCP!$E$18</f>
        <v>3569.3999999999996</v>
      </c>
      <c r="N99" s="247">
        <f t="shared" si="49"/>
        <v>538102.08600000001</v>
      </c>
      <c r="O99" s="238">
        <f t="shared" si="50"/>
        <v>0</v>
      </c>
      <c r="P99" s="12">
        <f t="shared" si="51"/>
        <v>3138.69</v>
      </c>
      <c r="Q99" s="12">
        <f t="shared" si="52"/>
        <v>6268.0599999999995</v>
      </c>
      <c r="S99" s="238">
        <f t="shared" si="53"/>
        <v>547508.83600000001</v>
      </c>
    </row>
    <row r="100" spans="1:19">
      <c r="A100" s="63" t="str">
        <f t="shared" si="46"/>
        <v>May</v>
      </c>
      <c r="B100" s="17">
        <v>0</v>
      </c>
      <c r="C100" s="17">
        <f>[8]NCP!$F$9</f>
        <v>410240</v>
      </c>
      <c r="D100" s="17">
        <v>0</v>
      </c>
      <c r="E100" s="17">
        <f>[8]NCP!$F$10</f>
        <v>29098</v>
      </c>
      <c r="F100" s="17">
        <v>0</v>
      </c>
      <c r="G100" s="17">
        <f>[8]NCP!$F$11</f>
        <v>21600.190000000002</v>
      </c>
      <c r="H100" s="17">
        <f>[8]NCP!$F$12</f>
        <v>3268.1600000000003</v>
      </c>
      <c r="I100" s="17">
        <f>[8]NCP!$F$13</f>
        <v>6351.5700000000006</v>
      </c>
      <c r="J100" s="60" t="s">
        <v>159</v>
      </c>
      <c r="K100" s="17">
        <f>[8]NCP!$F$14</f>
        <v>13868.603999999999</v>
      </c>
      <c r="L100" s="17">
        <f>[8]NCP!$F$15</f>
        <v>7255.2169999999996</v>
      </c>
      <c r="M100" s="17">
        <f>[8]NCP!$F$18</f>
        <v>3569.7750000000001</v>
      </c>
      <c r="N100" s="247">
        <f t="shared" si="49"/>
        <v>485631.78600000002</v>
      </c>
      <c r="O100" s="238">
        <f t="shared" si="50"/>
        <v>0</v>
      </c>
      <c r="P100" s="12">
        <f t="shared" si="51"/>
        <v>3268.1600000000003</v>
      </c>
      <c r="Q100" s="12">
        <f t="shared" si="52"/>
        <v>6351.5700000000006</v>
      </c>
      <c r="S100" s="238">
        <f t="shared" si="53"/>
        <v>495251.516</v>
      </c>
    </row>
    <row r="101" spans="1:19">
      <c r="A101" s="63" t="str">
        <f t="shared" si="46"/>
        <v>June</v>
      </c>
      <c r="B101" s="17">
        <v>0</v>
      </c>
      <c r="C101" s="17">
        <f>[8]NCP!$G$9</f>
        <v>438110</v>
      </c>
      <c r="D101" s="17">
        <v>0</v>
      </c>
      <c r="E101" s="17">
        <f>[8]NCP!$G$10</f>
        <v>29883</v>
      </c>
      <c r="F101" s="17">
        <v>0</v>
      </c>
      <c r="G101" s="17">
        <f>[8]NCP!$G$11</f>
        <v>20064.77</v>
      </c>
      <c r="H101" s="17">
        <f>[8]NCP!$G$12</f>
        <v>3312.1</v>
      </c>
      <c r="I101" s="17">
        <f>[8]NCP!$G$13</f>
        <v>6588.66</v>
      </c>
      <c r="J101" s="60" t="s">
        <v>160</v>
      </c>
      <c r="K101" s="17">
        <f>[8]NCP!$G$14</f>
        <v>13347.699999999999</v>
      </c>
      <c r="L101" s="17">
        <f>[8]NCP!$G$15</f>
        <v>5434.9250000000002</v>
      </c>
      <c r="M101" s="17">
        <f>[8]NCP!$G$18</f>
        <v>3567.15</v>
      </c>
      <c r="N101" s="247">
        <f t="shared" si="49"/>
        <v>510407.54500000004</v>
      </c>
      <c r="O101" s="238">
        <f t="shared" si="50"/>
        <v>0</v>
      </c>
      <c r="P101" s="12">
        <f t="shared" si="51"/>
        <v>3312.1</v>
      </c>
      <c r="Q101" s="12">
        <f t="shared" si="52"/>
        <v>6588.66</v>
      </c>
      <c r="S101" s="238">
        <f t="shared" si="53"/>
        <v>520308.30499999999</v>
      </c>
    </row>
    <row r="102" spans="1:19">
      <c r="A102" s="63" t="str">
        <f t="shared" si="46"/>
        <v>July</v>
      </c>
      <c r="B102" s="17">
        <v>0</v>
      </c>
      <c r="C102" s="17">
        <f>[8]NCP!$H$9</f>
        <v>437568</v>
      </c>
      <c r="D102" s="17">
        <v>0</v>
      </c>
      <c r="E102" s="17">
        <f>[8]NCP!$H$10</f>
        <v>29341</v>
      </c>
      <c r="F102" s="17">
        <v>0</v>
      </c>
      <c r="G102" s="17">
        <f>[8]NCP!$H$11</f>
        <v>21592.29</v>
      </c>
      <c r="H102" s="17">
        <f>[8]NCP!$H$12</f>
        <v>3544.2200000000003</v>
      </c>
      <c r="I102" s="17">
        <f>[8]NCP!$H$13</f>
        <v>6825.2800000000007</v>
      </c>
      <c r="J102" s="60" t="s">
        <v>161</v>
      </c>
      <c r="K102" s="17">
        <f>[8]NCP!$H$14</f>
        <v>13463.483999999999</v>
      </c>
      <c r="L102" s="17">
        <f>[8]NCP!$H$15</f>
        <v>5192.6469999999999</v>
      </c>
      <c r="M102" s="17">
        <f>[8]NCP!$H$18</f>
        <v>3565.0499999999997</v>
      </c>
      <c r="N102" s="247">
        <f t="shared" si="49"/>
        <v>510722.47099999996</v>
      </c>
      <c r="O102" s="238">
        <f t="shared" si="50"/>
        <v>0</v>
      </c>
      <c r="P102" s="12">
        <f t="shared" si="51"/>
        <v>3544.2200000000003</v>
      </c>
      <c r="Q102" s="12">
        <f t="shared" si="52"/>
        <v>6825.2800000000007</v>
      </c>
      <c r="S102" s="238">
        <f t="shared" si="53"/>
        <v>521091.97099999996</v>
      </c>
    </row>
    <row r="103" spans="1:19">
      <c r="A103" s="63" t="str">
        <f t="shared" si="46"/>
        <v>August</v>
      </c>
      <c r="B103" s="17">
        <v>0</v>
      </c>
      <c r="C103" s="17">
        <f>[8]NCP!$I$9</f>
        <v>422679</v>
      </c>
      <c r="D103" s="17">
        <v>0</v>
      </c>
      <c r="E103" s="17">
        <f>[8]NCP!$I$10</f>
        <v>29264</v>
      </c>
      <c r="F103" s="17">
        <v>0</v>
      </c>
      <c r="G103" s="17">
        <f>[8]NCP!$I$11</f>
        <v>23378.17</v>
      </c>
      <c r="H103" s="17">
        <f>[8]NCP!$I$12</f>
        <v>3546.43</v>
      </c>
      <c r="I103" s="17">
        <f>[8]NCP!$I$13</f>
        <v>6816.2899999999991</v>
      </c>
      <c r="J103" s="60" t="s">
        <v>162</v>
      </c>
      <c r="K103" s="17">
        <f>[8]NCP!$I$14</f>
        <v>14165.516</v>
      </c>
      <c r="L103" s="17">
        <f>[8]NCP!$I$15</f>
        <v>5572.9330000000009</v>
      </c>
      <c r="M103" s="17">
        <f>[8]NCP!$I$18</f>
        <v>3557.9749999999999</v>
      </c>
      <c r="N103" s="247">
        <f t="shared" si="49"/>
        <v>498617.59399999998</v>
      </c>
      <c r="O103" s="238">
        <f t="shared" si="50"/>
        <v>0</v>
      </c>
      <c r="P103" s="12">
        <f t="shared" si="51"/>
        <v>3546.43</v>
      </c>
      <c r="Q103" s="12">
        <f t="shared" si="52"/>
        <v>6816.2899999999991</v>
      </c>
      <c r="S103" s="238">
        <f t="shared" si="53"/>
        <v>508980.31399999995</v>
      </c>
    </row>
    <row r="104" spans="1:19">
      <c r="A104" s="63" t="str">
        <f t="shared" si="46"/>
        <v>September</v>
      </c>
      <c r="B104" s="17">
        <v>0</v>
      </c>
      <c r="C104" s="17">
        <f>[8]NCP!$J$9</f>
        <v>431167</v>
      </c>
      <c r="D104" s="17">
        <v>0</v>
      </c>
      <c r="E104" s="17">
        <f>[8]NCP!$J$10</f>
        <v>29408</v>
      </c>
      <c r="F104" s="17">
        <v>0</v>
      </c>
      <c r="G104" s="17">
        <f>[8]NCP!$J$11</f>
        <v>22738.31</v>
      </c>
      <c r="H104" s="17">
        <f>[8]NCP!$J$12</f>
        <v>3344.93</v>
      </c>
      <c r="I104" s="17">
        <f>[8]NCP!$J$13</f>
        <v>6778.619999999999</v>
      </c>
      <c r="J104" s="60" t="s">
        <v>151</v>
      </c>
      <c r="K104" s="17">
        <f>[8]NCP!$J$14</f>
        <v>14154.432000000001</v>
      </c>
      <c r="L104" s="17">
        <f>[8]NCP!$J$15</f>
        <v>6282.3109999999997</v>
      </c>
      <c r="M104" s="17">
        <f>[8]NCP!$J$18</f>
        <v>3555.1249999999995</v>
      </c>
      <c r="N104" s="247">
        <f t="shared" si="49"/>
        <v>507305.17799999996</v>
      </c>
      <c r="O104" s="238">
        <f t="shared" si="50"/>
        <v>0</v>
      </c>
      <c r="P104" s="12">
        <f t="shared" si="51"/>
        <v>3344.93</v>
      </c>
      <c r="Q104" s="12">
        <f t="shared" si="52"/>
        <v>6778.619999999999</v>
      </c>
      <c r="S104" s="238">
        <f t="shared" si="53"/>
        <v>517428.72799999994</v>
      </c>
    </row>
    <row r="105" spans="1:19">
      <c r="A105" s="63" t="str">
        <f t="shared" si="46"/>
        <v>October</v>
      </c>
      <c r="B105" s="17">
        <v>0</v>
      </c>
      <c r="C105" s="17">
        <f>[8]NCP!$K$9</f>
        <v>476729</v>
      </c>
      <c r="D105" s="17">
        <v>0</v>
      </c>
      <c r="E105" s="17">
        <f>[8]NCP!$K$10</f>
        <v>32041</v>
      </c>
      <c r="F105" s="17">
        <v>0</v>
      </c>
      <c r="G105" s="17">
        <f>[8]NCP!$K$11</f>
        <v>22125.43</v>
      </c>
      <c r="H105" s="17">
        <f>[8]NCP!$K$12</f>
        <v>2920.74</v>
      </c>
      <c r="I105" s="17">
        <f>[8]NCP!$K$13</f>
        <v>6279.62</v>
      </c>
      <c r="J105" s="60" t="s">
        <v>152</v>
      </c>
      <c r="K105" s="17">
        <f>[8]NCP!$K$14</f>
        <v>14754.236000000001</v>
      </c>
      <c r="L105" s="17">
        <f>[8]NCP!$K$15</f>
        <v>8862.8330000000005</v>
      </c>
      <c r="M105" s="17">
        <f>[8]NCP!$K$18</f>
        <v>3551.2750000000001</v>
      </c>
      <c r="N105" s="247">
        <f t="shared" si="49"/>
        <v>558063.77400000009</v>
      </c>
      <c r="O105" s="238">
        <f t="shared" si="50"/>
        <v>0</v>
      </c>
      <c r="P105" s="12">
        <f t="shared" si="51"/>
        <v>2920.74</v>
      </c>
      <c r="Q105" s="12">
        <f t="shared" si="52"/>
        <v>6279.62</v>
      </c>
      <c r="S105" s="238">
        <f t="shared" si="53"/>
        <v>567264.13400000008</v>
      </c>
    </row>
    <row r="106" spans="1:19">
      <c r="A106" s="63" t="str">
        <f t="shared" si="46"/>
        <v>November</v>
      </c>
      <c r="B106" s="17">
        <v>0</v>
      </c>
      <c r="C106" s="17">
        <f>[8]NCP!$L$9</f>
        <v>425042</v>
      </c>
      <c r="D106" s="17">
        <v>0</v>
      </c>
      <c r="E106" s="17">
        <f>[8]NCP!$L$10</f>
        <v>26556</v>
      </c>
      <c r="F106" s="17">
        <v>0</v>
      </c>
      <c r="G106" s="17">
        <f>[8]NCP!$L$11</f>
        <v>24999.41</v>
      </c>
      <c r="H106" s="17">
        <f>[8]NCP!$L$12</f>
        <v>2804.16</v>
      </c>
      <c r="I106" s="17">
        <f>[8]NCP!$L$13</f>
        <v>6166.72</v>
      </c>
      <c r="J106" s="60" t="s">
        <v>153</v>
      </c>
      <c r="K106" s="17">
        <f>[8]NCP!$L$14</f>
        <v>13415.364000000001</v>
      </c>
      <c r="L106" s="17">
        <f>[8]NCP!$L$15</f>
        <v>8986.277</v>
      </c>
      <c r="M106" s="17">
        <f>[8]NCP!$L$18</f>
        <v>3546.125</v>
      </c>
      <c r="N106" s="247">
        <f t="shared" si="49"/>
        <v>502545.17599999998</v>
      </c>
      <c r="O106" s="238">
        <f t="shared" si="50"/>
        <v>0</v>
      </c>
      <c r="P106" s="12">
        <f t="shared" si="51"/>
        <v>2804.16</v>
      </c>
      <c r="Q106" s="12">
        <f t="shared" si="52"/>
        <v>6166.72</v>
      </c>
      <c r="S106" s="238">
        <f t="shared" si="53"/>
        <v>511516.05599999992</v>
      </c>
    </row>
    <row r="107" spans="1:19">
      <c r="A107" s="63" t="str">
        <f t="shared" si="46"/>
        <v>December</v>
      </c>
      <c r="B107" s="17">
        <v>0</v>
      </c>
      <c r="C107" s="17">
        <f>[8]NCP!$M$9</f>
        <v>496373</v>
      </c>
      <c r="D107" s="17">
        <v>0</v>
      </c>
      <c r="E107" s="17">
        <f>[8]NCP!$M$10</f>
        <v>28403</v>
      </c>
      <c r="F107" s="17">
        <v>0</v>
      </c>
      <c r="G107" s="17">
        <f>[8]NCP!$M$11</f>
        <v>22681.899999999998</v>
      </c>
      <c r="H107" s="17">
        <f>[8]NCP!$M$12</f>
        <v>2763.36</v>
      </c>
      <c r="I107" s="17">
        <f>[8]NCP!$M$13</f>
        <v>5805.22</v>
      </c>
      <c r="J107" s="288" t="s">
        <v>154</v>
      </c>
      <c r="K107" s="17">
        <f>[8]NCP!$M$14</f>
        <v>13711.472</v>
      </c>
      <c r="L107" s="17">
        <f>[8]NCP!$M$15</f>
        <v>9284.6260000000002</v>
      </c>
      <c r="M107" s="17">
        <f>[8]NCP!$M$18</f>
        <v>3542.9749999999995</v>
      </c>
      <c r="N107" s="247">
        <f t="shared" si="49"/>
        <v>573996.973</v>
      </c>
      <c r="O107" s="238">
        <f t="shared" si="50"/>
        <v>0</v>
      </c>
      <c r="P107" s="12">
        <f>H107</f>
        <v>2763.36</v>
      </c>
      <c r="Q107" s="12">
        <f>I107</f>
        <v>5805.22</v>
      </c>
      <c r="S107" s="238">
        <f t="shared" si="53"/>
        <v>582565.55299999996</v>
      </c>
    </row>
    <row r="108" spans="1:19" ht="13.5" thickBot="1">
      <c r="A108" s="63" t="s">
        <v>1</v>
      </c>
      <c r="B108" s="284">
        <f t="shared" ref="B108:M108" si="54">SUM(B96:B107)</f>
        <v>0</v>
      </c>
      <c r="C108" s="284">
        <f t="shared" si="54"/>
        <v>5459297</v>
      </c>
      <c r="D108" s="284">
        <f t="shared" si="54"/>
        <v>0</v>
      </c>
      <c r="E108" s="284">
        <f t="shared" si="54"/>
        <v>343913</v>
      </c>
      <c r="F108" s="284">
        <f t="shared" si="54"/>
        <v>0</v>
      </c>
      <c r="G108" s="284">
        <f t="shared" si="54"/>
        <v>262760.45</v>
      </c>
      <c r="H108" s="284">
        <f t="shared" si="54"/>
        <v>37401.380000000005</v>
      </c>
      <c r="I108" s="284">
        <f t="shared" si="54"/>
        <v>76390.080000000002</v>
      </c>
      <c r="J108" s="284"/>
      <c r="K108" s="284">
        <f t="shared" si="54"/>
        <v>164202.068</v>
      </c>
      <c r="L108" s="284">
        <f t="shared" si="54"/>
        <v>91341.759000000005</v>
      </c>
      <c r="M108" s="284">
        <f t="shared" si="54"/>
        <v>42755.799999999996</v>
      </c>
      <c r="N108" s="76">
        <f>SUM(N96:N107)</f>
        <v>6364270.0770000005</v>
      </c>
      <c r="O108" s="282">
        <f t="shared" ref="O108" si="55">SUM(O96:O107)</f>
        <v>0</v>
      </c>
      <c r="P108" s="282">
        <f>SUM(P96:P107)</f>
        <v>37401.380000000005</v>
      </c>
      <c r="Q108" s="282">
        <f>SUM(Q96:Q107)</f>
        <v>76390.080000000002</v>
      </c>
      <c r="R108" s="285"/>
      <c r="S108" s="238">
        <f>SUM(N108:Q108)</f>
        <v>6478061.5370000005</v>
      </c>
    </row>
    <row r="109" spans="1:19" ht="13.5" thickTop="1">
      <c r="A109" s="63" t="s">
        <v>1</v>
      </c>
      <c r="C109" s="84" t="s">
        <v>1</v>
      </c>
      <c r="D109" s="84" t="s">
        <v>1</v>
      </c>
      <c r="E109" s="84" t="s">
        <v>1</v>
      </c>
      <c r="F109" s="84" t="s">
        <v>1</v>
      </c>
      <c r="G109" s="61" t="s">
        <v>1</v>
      </c>
      <c r="H109" s="61"/>
      <c r="I109" s="61"/>
      <c r="J109" s="20"/>
    </row>
    <row r="110" spans="1:19">
      <c r="A110" s="63" t="s">
        <v>203</v>
      </c>
      <c r="B110" s="13"/>
      <c r="C110" s="13">
        <f>C108/$N$108</f>
        <v>0.85780410541178853</v>
      </c>
      <c r="D110" s="13">
        <f t="shared" ref="D110:M110" si="56">D108/$N$108</f>
        <v>0</v>
      </c>
      <c r="E110" s="13">
        <f t="shared" si="56"/>
        <v>5.4038090124879527E-2</v>
      </c>
      <c r="F110" s="13">
        <f t="shared" si="56"/>
        <v>0</v>
      </c>
      <c r="G110" s="13">
        <f t="shared" si="56"/>
        <v>4.1286816370285223E-2</v>
      </c>
      <c r="H110" s="13">
        <v>0</v>
      </c>
      <c r="I110" s="13">
        <v>0</v>
      </c>
      <c r="J110" s="13">
        <f t="shared" si="56"/>
        <v>0</v>
      </c>
      <c r="K110" s="13">
        <f t="shared" si="56"/>
        <v>2.580061279822396E-2</v>
      </c>
      <c r="L110" s="13">
        <f t="shared" si="56"/>
        <v>1.4352275735453519E-2</v>
      </c>
      <c r="M110" s="13">
        <f t="shared" si="56"/>
        <v>6.7180995593691542E-3</v>
      </c>
      <c r="N110" s="13">
        <f>SUM(C110:M110)</f>
        <v>0.99999999999999989</v>
      </c>
      <c r="O110" s="264">
        <f>SUM(L110)</f>
        <v>1.4352275735453519E-2</v>
      </c>
      <c r="P110" s="13">
        <f>P108/($P$51+$Q$51)</f>
        <v>0.41984882183429678</v>
      </c>
      <c r="Q110" s="13">
        <f>Q108/($P$51+$Q$51)</f>
        <v>0.85751608865308371</v>
      </c>
    </row>
    <row r="111" spans="1:19">
      <c r="A111" s="63"/>
    </row>
    <row r="112" spans="1:19">
      <c r="B112" s="13"/>
      <c r="C112" s="13">
        <f t="shared" ref="C112:I112" si="57">C108/$S$80</f>
        <v>2.1700619699412913</v>
      </c>
      <c r="D112" s="13">
        <f t="shared" si="57"/>
        <v>0</v>
      </c>
      <c r="E112" s="13">
        <f t="shared" si="57"/>
        <v>0.13670487651952612</v>
      </c>
      <c r="F112" s="13">
        <f t="shared" si="57"/>
        <v>0</v>
      </c>
      <c r="G112" s="13">
        <f t="shared" si="57"/>
        <v>0.10444686554874377</v>
      </c>
      <c r="H112" s="13">
        <f t="shared" si="57"/>
        <v>1.4866989717050166E-2</v>
      </c>
      <c r="I112" s="13">
        <f t="shared" si="57"/>
        <v>3.0364936637221396E-2</v>
      </c>
      <c r="J112" s="13"/>
      <c r="K112" s="13">
        <f>K108/$S$80</f>
        <v>6.5270063737604661E-2</v>
      </c>
      <c r="L112" s="13">
        <f>L108/$S$80</f>
        <v>3.6308205520498828E-2</v>
      </c>
      <c r="M112" s="13">
        <f>M108/$S$80</f>
        <v>1.6995363244464601E-2</v>
      </c>
      <c r="N112" s="264">
        <f>SUM(C112:M112)</f>
        <v>2.5750192708664006</v>
      </c>
      <c r="O112" s="13"/>
      <c r="P112" s="13"/>
      <c r="Q112" s="13"/>
      <c r="R112" s="13" t="s">
        <v>1</v>
      </c>
      <c r="S112" s="13">
        <f>SUM(B112:Q112)</f>
        <v>5.1500385417328012</v>
      </c>
    </row>
    <row r="113" spans="1:19">
      <c r="A113" s="64"/>
      <c r="B113" s="78"/>
      <c r="C113" s="78"/>
      <c r="D113" s="78"/>
      <c r="E113" s="78"/>
      <c r="F113" s="78"/>
      <c r="G113" s="78"/>
      <c r="H113" s="78"/>
      <c r="I113" s="78"/>
      <c r="J113" s="64"/>
      <c r="K113" s="78"/>
      <c r="L113" s="78"/>
      <c r="M113" s="78"/>
      <c r="N113" s="78"/>
      <c r="O113" s="78"/>
      <c r="P113" s="78"/>
      <c r="Q113" s="78"/>
      <c r="R113" s="78"/>
      <c r="S113" s="78"/>
    </row>
    <row r="114" spans="1:19">
      <c r="S114" s="263"/>
    </row>
    <row r="115" spans="1:19">
      <c r="B115" s="13" t="s">
        <v>1</v>
      </c>
      <c r="C115" s="13" t="s">
        <v>1</v>
      </c>
      <c r="D115" s="13" t="s">
        <v>1</v>
      </c>
      <c r="E115" s="13" t="s">
        <v>1</v>
      </c>
      <c r="F115" s="13" t="s">
        <v>1</v>
      </c>
    </row>
    <row r="116" spans="1:19">
      <c r="B116" s="13" t="s">
        <v>1</v>
      </c>
      <c r="C116" s="13" t="s">
        <v>1</v>
      </c>
      <c r="D116" s="13" t="s">
        <v>1</v>
      </c>
      <c r="E116" s="13" t="s">
        <v>1</v>
      </c>
      <c r="F116" s="13" t="s">
        <v>1</v>
      </c>
      <c r="N116" s="12">
        <f>SUM(C108:G108,K108:M108)</f>
        <v>6364270.0769999996</v>
      </c>
    </row>
    <row r="117" spans="1:19">
      <c r="B117" s="13" t="s">
        <v>1</v>
      </c>
      <c r="C117" s="13" t="s">
        <v>1</v>
      </c>
      <c r="D117" s="13" t="s">
        <v>1</v>
      </c>
      <c r="E117" s="13" t="s">
        <v>1</v>
      </c>
      <c r="F117" s="13" t="s">
        <v>1</v>
      </c>
    </row>
    <row r="118" spans="1:19">
      <c r="A118" s="1" t="s">
        <v>1</v>
      </c>
      <c r="B118" s="13" t="s">
        <v>1</v>
      </c>
      <c r="C118" s="13" t="s">
        <v>1</v>
      </c>
      <c r="D118" s="13" t="s">
        <v>1</v>
      </c>
      <c r="E118" s="13" t="s">
        <v>1</v>
      </c>
      <c r="F118" s="13" t="s">
        <v>1</v>
      </c>
    </row>
    <row r="119" spans="1:19">
      <c r="B119" s="13" t="s">
        <v>1</v>
      </c>
    </row>
    <row r="120" spans="1:19">
      <c r="B120" s="13" t="s">
        <v>1</v>
      </c>
    </row>
    <row r="121" spans="1:19">
      <c r="B121" s="13" t="s">
        <v>1</v>
      </c>
    </row>
    <row r="122" spans="1:19">
      <c r="B122" s="1" t="s">
        <v>1</v>
      </c>
    </row>
  </sheetData>
  <customSheetViews>
    <customSheetView guid="{18050E3F-BBF0-4BF6-9B33-B0817BE1B1C5}" scale="60" showPageBreaks="1" printArea="1" view="pageBreakPreview" showRuler="0" topLeftCell="A86">
      <selection activeCell="E120" sqref="E120"/>
      <rowBreaks count="3" manualBreakCount="3">
        <brk id="30" max="17" man="1"/>
        <brk id="57" max="17" man="1"/>
        <brk id="87" max="17" man="1"/>
      </rowBreaks>
      <colBreaks count="1" manualBreakCount="1">
        <brk id="9" max="114" man="1"/>
      </colBreaks>
      <pageMargins left="0.75" right="0.75" top="1" bottom="1" header="0.5" footer="0.5"/>
      <printOptions horizontalCentered="1" verticalCentered="1" gridLines="1"/>
      <pageSetup orientation="landscape" horizontalDpi="4294967293" r:id="rId1"/>
      <headerFooter alignWithMargins="0">
        <oddHeader>&amp;C&amp;"Arial,Bold"&amp;12 MEADE COUNTY RECC
CASE NO. 2010-00210
LOAD DATA USED IN THE ALLOCATION OF THE DEMAND RELATED AND ENERGY RELATED COSTS&amp;R&amp;11Exhibit R
Schedule 4.1
Page ____ of ____
Witness:  Jim Adkins</oddHeader>
      </headerFooter>
    </customSheetView>
  </customSheetViews>
  <mergeCells count="7">
    <mergeCell ref="K4:S4"/>
    <mergeCell ref="A33:I33"/>
    <mergeCell ref="A90:I90"/>
    <mergeCell ref="K33:S33"/>
    <mergeCell ref="A62:I62"/>
    <mergeCell ref="K62:S62"/>
    <mergeCell ref="K90:S90"/>
  </mergeCells>
  <phoneticPr fontId="3" type="noConversion"/>
  <printOptions horizontalCentered="1" verticalCentered="1" gridLines="1"/>
  <pageMargins left="0.75" right="0.75" top="1" bottom="1" header="0.5" footer="0.5"/>
  <pageSetup scale="87" orientation="landscape" horizontalDpi="4294967293" r:id="rId2"/>
  <headerFooter alignWithMargins="0">
    <oddHeader>&amp;C&amp;"Arial,Bold"&amp;12 JACKSON ENERGY COOPERATIVE
CASE NO. 2013-00219
LOAD DATA USED IN THE ALLOCATION OF THE DEMAND RELATED AND ENERGY RELATED COSTS&amp;R&amp;11Revised Exhibit R
Schedule 4.1
Page ____ of ____
Witness:  Jim Adkins</oddHeader>
  </headerFooter>
  <rowBreaks count="3" manualBreakCount="3">
    <brk id="30" max="18" man="1"/>
    <brk id="57" max="18" man="1"/>
    <brk id="87" max="18" man="1"/>
  </rowBreaks>
  <colBreaks count="2" manualBreakCount="2">
    <brk id="9" max="121" man="1"/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27"/>
  <sheetViews>
    <sheetView view="pageBreakPreview" zoomScale="60" zoomScaleNormal="100" workbookViewId="0">
      <selection activeCell="G20" sqref="G20"/>
    </sheetView>
  </sheetViews>
  <sheetFormatPr defaultRowHeight="14.25"/>
  <cols>
    <col min="1" max="1" width="11.28515625" style="718" customWidth="1"/>
    <col min="2" max="2" width="20.85546875" style="594" customWidth="1"/>
    <col min="3" max="3" width="14.85546875" style="594" customWidth="1"/>
    <col min="4" max="4" width="13.28515625" style="594" customWidth="1"/>
    <col min="5" max="5" width="13.42578125" style="594" customWidth="1"/>
    <col min="6" max="6" width="13.5703125" style="594" customWidth="1"/>
    <col min="7" max="7" width="13.85546875" style="594" customWidth="1"/>
    <col min="8" max="8" width="15.140625" style="594" bestFit="1" customWidth="1"/>
    <col min="9" max="9" width="15.140625" style="594" customWidth="1"/>
    <col min="10" max="10" width="13.140625" style="594" customWidth="1"/>
    <col min="11" max="11" width="14.140625" style="594" customWidth="1"/>
    <col min="12" max="12" width="14.140625" style="525" customWidth="1"/>
    <col min="13" max="13" width="14.7109375" style="594" bestFit="1" customWidth="1"/>
    <col min="14" max="14" width="13.42578125" style="594" bestFit="1" customWidth="1"/>
    <col min="15" max="15" width="13.42578125" style="594" customWidth="1"/>
    <col min="16" max="16" width="14.28515625" style="594" bestFit="1" customWidth="1"/>
    <col min="17" max="17" width="13" style="594" customWidth="1"/>
    <col min="18" max="18" width="13.140625" style="594" customWidth="1"/>
    <col min="19" max="19" width="13" style="594" bestFit="1" customWidth="1"/>
    <col min="20" max="20" width="9.28515625" style="594" bestFit="1" customWidth="1"/>
    <col min="21" max="21" width="9.42578125" style="594" customWidth="1"/>
    <col min="22" max="22" width="13.140625" style="594" bestFit="1" customWidth="1"/>
    <col min="23" max="16384" width="9.140625" style="594"/>
  </cols>
  <sheetData>
    <row r="1" spans="1:19" ht="15.75" thickBot="1">
      <c r="A1" s="590" t="s">
        <v>120</v>
      </c>
      <c r="B1" s="591"/>
      <c r="C1" s="592"/>
      <c r="D1" s="592"/>
      <c r="E1" s="592"/>
      <c r="F1" s="592"/>
      <c r="G1" s="592"/>
      <c r="H1" s="593"/>
      <c r="I1" s="593"/>
      <c r="J1" s="592"/>
      <c r="K1" s="592"/>
      <c r="M1" s="592"/>
      <c r="N1" s="592"/>
      <c r="O1" s="592"/>
      <c r="P1" s="592"/>
      <c r="Q1" s="592"/>
      <c r="R1" s="592"/>
      <c r="S1" s="592"/>
    </row>
    <row r="2" spans="1:19">
      <c r="A2" s="595"/>
      <c r="B2" s="596"/>
      <c r="C2" s="597"/>
      <c r="D2" s="597"/>
      <c r="E2" s="597"/>
      <c r="F2" s="598" t="s">
        <v>1</v>
      </c>
      <c r="G2" s="599" t="s">
        <v>121</v>
      </c>
      <c r="H2" s="600" t="s">
        <v>220</v>
      </c>
      <c r="I2" s="601" t="s">
        <v>82</v>
      </c>
      <c r="J2" s="602"/>
      <c r="K2" s="602"/>
      <c r="M2" s="592"/>
      <c r="N2" s="592"/>
      <c r="O2" s="592"/>
      <c r="P2" s="592"/>
      <c r="Q2" s="592"/>
      <c r="R2" s="592"/>
      <c r="S2" s="592"/>
    </row>
    <row r="3" spans="1:19" ht="16.5">
      <c r="A3" s="603"/>
      <c r="B3" s="604"/>
      <c r="C3" s="592"/>
      <c r="D3" s="592"/>
      <c r="E3" s="592"/>
      <c r="F3" s="386"/>
      <c r="G3" s="605" t="s">
        <v>124</v>
      </c>
      <c r="H3" s="606" t="s">
        <v>125</v>
      </c>
      <c r="I3" s="607" t="s">
        <v>114</v>
      </c>
      <c r="J3" s="608"/>
      <c r="K3" s="608"/>
      <c r="M3" s="592"/>
      <c r="N3" s="592"/>
      <c r="O3" s="592"/>
      <c r="P3" s="592"/>
      <c r="Q3" s="592"/>
      <c r="R3" s="592"/>
      <c r="S3" s="592"/>
    </row>
    <row r="4" spans="1:19">
      <c r="A4" s="603">
        <f>'4.1 kW &amp; kWh'!C6</f>
        <v>10</v>
      </c>
      <c r="B4" s="609" t="s">
        <v>548</v>
      </c>
      <c r="C4" s="592"/>
      <c r="D4" s="592"/>
      <c r="E4" s="592"/>
      <c r="F4" s="386"/>
      <c r="G4" s="549">
        <f>('[9]Billing Analysis'!$AV$11)</f>
        <v>46551</v>
      </c>
      <c r="H4" s="594">
        <f>(F4*G4)</f>
        <v>0</v>
      </c>
      <c r="I4" s="610">
        <f>(G4/$G$18)</f>
        <v>0.89934506674909676</v>
      </c>
      <c r="J4" s="611"/>
      <c r="K4" s="612"/>
      <c r="M4" s="592"/>
      <c r="N4" s="592"/>
      <c r="O4" s="592"/>
      <c r="P4" s="592"/>
      <c r="Q4" s="592"/>
      <c r="R4" s="592"/>
      <c r="S4" s="592"/>
    </row>
    <row r="5" spans="1:19">
      <c r="A5" s="603">
        <f>'4.1 kW &amp; kWh'!D6</f>
        <v>11</v>
      </c>
      <c r="B5" s="609" t="s">
        <v>377</v>
      </c>
      <c r="C5" s="592"/>
      <c r="D5" s="592"/>
      <c r="E5" s="592"/>
      <c r="F5" s="386"/>
      <c r="G5" s="549">
        <v>0</v>
      </c>
      <c r="H5" s="594">
        <f>(F5*G5)</f>
        <v>0</v>
      </c>
      <c r="I5" s="610">
        <f t="shared" ref="I5:I16" si="0">(G5/$G$18)</f>
        <v>0</v>
      </c>
      <c r="J5" s="611"/>
      <c r="K5" s="612" t="s">
        <v>561</v>
      </c>
      <c r="M5" s="592"/>
      <c r="N5" s="592"/>
      <c r="O5" s="592"/>
      <c r="P5" s="592"/>
      <c r="Q5" s="592"/>
      <c r="R5" s="592"/>
      <c r="S5" s="592"/>
    </row>
    <row r="6" spans="1:19">
      <c r="A6" s="603">
        <f>'4.1 kW &amp; kWh'!E6</f>
        <v>20</v>
      </c>
      <c r="B6" s="613" t="s">
        <v>549</v>
      </c>
      <c r="C6" s="592"/>
      <c r="D6" s="592"/>
      <c r="E6" s="592"/>
      <c r="F6" s="386"/>
      <c r="G6" s="549">
        <f>('[9]Billing Analysis'!$AV$74)</f>
        <v>3484</v>
      </c>
      <c r="H6" s="594">
        <f>(F6*G6*3)</f>
        <v>0</v>
      </c>
      <c r="I6" s="610">
        <f t="shared" si="0"/>
        <v>6.7309364193118365E-2</v>
      </c>
      <c r="J6" s="611"/>
      <c r="K6" s="612" t="s">
        <v>562</v>
      </c>
      <c r="M6" s="592"/>
      <c r="N6" s="592"/>
      <c r="O6" s="592"/>
      <c r="P6" s="592"/>
      <c r="Q6" s="592"/>
      <c r="R6" s="592"/>
      <c r="S6" s="592"/>
    </row>
    <row r="7" spans="1:19">
      <c r="A7" s="603">
        <f>'4.1 kW &amp; kWh'!F6</f>
        <v>22</v>
      </c>
      <c r="B7" s="594" t="s">
        <v>378</v>
      </c>
      <c r="C7" s="592"/>
      <c r="D7" s="592"/>
      <c r="E7" s="592"/>
      <c r="F7" s="386"/>
      <c r="G7" s="549">
        <v>0</v>
      </c>
      <c r="H7" s="594">
        <f>(F7*G7*3)</f>
        <v>0</v>
      </c>
      <c r="I7" s="610">
        <f t="shared" si="0"/>
        <v>0</v>
      </c>
      <c r="J7" s="611"/>
      <c r="K7" s="612"/>
      <c r="M7" s="592"/>
      <c r="N7" s="592"/>
      <c r="O7" s="592"/>
      <c r="P7" s="592"/>
      <c r="Q7" s="592"/>
      <c r="R7" s="592"/>
      <c r="S7" s="592"/>
    </row>
    <row r="8" spans="1:19">
      <c r="A8" s="603">
        <f>'4.1 kW &amp; kWh'!G6</f>
        <v>40</v>
      </c>
      <c r="B8" s="609" t="s">
        <v>552</v>
      </c>
      <c r="C8" s="592"/>
      <c r="D8" s="592"/>
      <c r="E8" s="592"/>
      <c r="F8" s="386"/>
      <c r="G8" s="549">
        <f>('[9]Billing Analysis'!$AV$136)</f>
        <v>160</v>
      </c>
      <c r="H8" s="594">
        <f>(F8*G8)</f>
        <v>0</v>
      </c>
      <c r="I8" s="610">
        <f t="shared" si="0"/>
        <v>3.091130387743668E-3</v>
      </c>
      <c r="J8" s="612"/>
      <c r="K8" s="612"/>
      <c r="M8" s="592"/>
      <c r="N8" s="592"/>
      <c r="O8" s="592"/>
      <c r="P8" s="592"/>
      <c r="Q8" s="592"/>
      <c r="R8" s="592"/>
      <c r="S8" s="592"/>
    </row>
    <row r="9" spans="1:19">
      <c r="A9" s="603">
        <f>'4.1 kW &amp; kWh'!H6</f>
        <v>46</v>
      </c>
      <c r="B9" s="609" t="s">
        <v>550</v>
      </c>
      <c r="C9" s="592"/>
      <c r="D9" s="592"/>
      <c r="E9" s="592"/>
      <c r="F9" s="386"/>
      <c r="G9" s="549">
        <f>('[9]Billing Analysis'!$AV$173)</f>
        <v>2</v>
      </c>
      <c r="I9" s="610">
        <f t="shared" si="0"/>
        <v>3.8639129846795853E-5</v>
      </c>
      <c r="J9" s="612"/>
      <c r="K9" s="612"/>
      <c r="M9" s="592"/>
      <c r="N9" s="592"/>
      <c r="O9" s="592"/>
      <c r="P9" s="592"/>
      <c r="Q9" s="592"/>
      <c r="R9" s="592"/>
      <c r="S9" s="592"/>
    </row>
    <row r="10" spans="1:19">
      <c r="A10" s="603">
        <f>'4.1 kW &amp; kWh'!I6</f>
        <v>47</v>
      </c>
      <c r="B10" s="614" t="s">
        <v>551</v>
      </c>
      <c r="C10" s="592"/>
      <c r="D10" s="592"/>
      <c r="E10" s="592"/>
      <c r="F10" s="615"/>
      <c r="G10" s="372">
        <f>('[9]Billing Analysis'!$AV$211)</f>
        <v>3</v>
      </c>
      <c r="I10" s="610">
        <f t="shared" si="0"/>
        <v>5.7958694770193772E-5</v>
      </c>
      <c r="J10" s="612"/>
      <c r="K10" s="612"/>
      <c r="M10" s="592"/>
      <c r="N10" s="592"/>
      <c r="O10" s="592"/>
      <c r="P10" s="592"/>
      <c r="Q10" s="592"/>
      <c r="R10" s="592"/>
      <c r="S10" s="592"/>
    </row>
    <row r="11" spans="1:19">
      <c r="A11" s="603">
        <f>'4.1 kW &amp; kWh'!K6</f>
        <v>50</v>
      </c>
      <c r="B11" s="614" t="s">
        <v>553</v>
      </c>
      <c r="C11" s="592"/>
      <c r="D11" s="592"/>
      <c r="E11" s="592"/>
      <c r="F11" s="616"/>
      <c r="G11" s="617">
        <f>('[9]Billing Analysis'!$AV$254)</f>
        <v>1016</v>
      </c>
      <c r="H11" s="618" t="s">
        <v>1</v>
      </c>
      <c r="I11" s="610">
        <f t="shared" si="0"/>
        <v>1.962867796217229E-2</v>
      </c>
      <c r="J11" s="612"/>
      <c r="K11" s="612"/>
      <c r="M11" s="592"/>
      <c r="N11" s="592"/>
      <c r="O11" s="592"/>
      <c r="P11" s="592"/>
      <c r="Q11" s="592"/>
      <c r="R11" s="592"/>
      <c r="S11" s="592"/>
    </row>
    <row r="12" spans="1:19">
      <c r="A12" s="603">
        <f>'4.1 kW &amp; kWh'!L6</f>
        <v>52</v>
      </c>
      <c r="B12" s="604" t="s">
        <v>379</v>
      </c>
      <c r="C12" s="592"/>
      <c r="D12" s="592"/>
      <c r="E12" s="592"/>
      <c r="F12" s="616"/>
      <c r="G12" s="617">
        <f>('[9]Billing Analysis'!$AV$287)</f>
        <v>24</v>
      </c>
      <c r="H12" s="618" t="s">
        <v>1</v>
      </c>
      <c r="I12" s="610">
        <f t="shared" si="0"/>
        <v>4.6366955816155018E-4</v>
      </c>
      <c r="J12" s="612"/>
      <c r="K12" s="612"/>
      <c r="M12" s="592"/>
      <c r="N12" s="592"/>
      <c r="O12" s="592"/>
      <c r="P12" s="592"/>
      <c r="Q12" s="592"/>
      <c r="R12" s="592"/>
      <c r="S12" s="592"/>
    </row>
    <row r="13" spans="1:19">
      <c r="A13" s="603">
        <f>'4.1 kW &amp; kWh'!M6</f>
        <v>0</v>
      </c>
      <c r="B13" s="604" t="s">
        <v>554</v>
      </c>
      <c r="C13" s="592"/>
      <c r="D13" s="592"/>
      <c r="E13" s="592"/>
      <c r="F13" s="616"/>
      <c r="G13" s="609">
        <v>521</v>
      </c>
      <c r="H13" s="372" t="s">
        <v>1</v>
      </c>
      <c r="I13" s="610">
        <f t="shared" si="0"/>
        <v>1.0065493325090319E-2</v>
      </c>
      <c r="J13" s="611"/>
      <c r="K13" s="612" t="s">
        <v>574</v>
      </c>
      <c r="M13" s="592"/>
      <c r="N13" s="592"/>
      <c r="O13" s="592"/>
      <c r="P13" s="592"/>
      <c r="Q13" s="592"/>
      <c r="R13" s="592"/>
      <c r="S13" s="592"/>
    </row>
    <row r="14" spans="1:19">
      <c r="A14" s="603"/>
      <c r="B14" s="604"/>
      <c r="C14" s="592"/>
      <c r="D14" s="592"/>
      <c r="E14" s="592"/>
      <c r="F14" s="616"/>
      <c r="G14" s="373"/>
      <c r="H14" s="373"/>
      <c r="I14" s="610">
        <f t="shared" si="0"/>
        <v>0</v>
      </c>
      <c r="J14" s="612"/>
      <c r="K14" s="612"/>
      <c r="M14" s="592"/>
      <c r="N14" s="592"/>
      <c r="O14" s="592"/>
      <c r="P14" s="592"/>
      <c r="Q14" s="592"/>
      <c r="R14" s="592"/>
      <c r="S14" s="592"/>
    </row>
    <row r="15" spans="1:19">
      <c r="A15" s="603"/>
      <c r="B15" s="604"/>
      <c r="C15" s="592"/>
      <c r="D15" s="592"/>
      <c r="E15" s="592"/>
      <c r="F15" s="616"/>
      <c r="G15" s="373"/>
      <c r="H15" s="373"/>
      <c r="I15" s="610">
        <f t="shared" si="0"/>
        <v>0</v>
      </c>
      <c r="J15" s="612"/>
      <c r="K15" s="612"/>
      <c r="M15" s="592"/>
      <c r="N15" s="592"/>
      <c r="O15" s="592"/>
      <c r="P15" s="592"/>
      <c r="Q15" s="592"/>
      <c r="R15" s="592"/>
      <c r="S15" s="592"/>
    </row>
    <row r="16" spans="1:19">
      <c r="A16" s="603"/>
      <c r="B16" s="604"/>
      <c r="C16" s="592"/>
      <c r="D16" s="592"/>
      <c r="E16" s="592"/>
      <c r="F16" s="616"/>
      <c r="G16" s="373"/>
      <c r="H16" s="373"/>
      <c r="I16" s="610">
        <f t="shared" si="0"/>
        <v>0</v>
      </c>
      <c r="J16" s="612"/>
      <c r="K16" s="612"/>
      <c r="M16" s="592"/>
      <c r="N16" s="592"/>
      <c r="O16" s="592"/>
      <c r="P16" s="592"/>
      <c r="Q16" s="592"/>
      <c r="R16" s="592"/>
      <c r="S16" s="592"/>
    </row>
    <row r="17" spans="1:27">
      <c r="A17" s="594"/>
      <c r="C17" s="592"/>
      <c r="D17" s="592"/>
      <c r="E17" s="592"/>
      <c r="F17" s="616"/>
      <c r="G17" s="373"/>
      <c r="H17" s="373"/>
      <c r="I17" s="610"/>
      <c r="J17" s="612"/>
      <c r="K17" s="612"/>
      <c r="M17" s="592"/>
      <c r="N17" s="592"/>
      <c r="O17" s="592"/>
      <c r="P17" s="592"/>
      <c r="Q17" s="592"/>
      <c r="R17" s="592"/>
      <c r="S17" s="592"/>
    </row>
    <row r="18" spans="1:27" ht="16.5" customHeight="1" thickBot="1">
      <c r="A18" s="619"/>
      <c r="B18" s="620"/>
      <c r="C18" s="593"/>
      <c r="D18" s="593"/>
      <c r="E18" s="593"/>
      <c r="F18" s="621"/>
      <c r="G18" s="622">
        <f>SUM(G4:G16)</f>
        <v>51761</v>
      </c>
      <c r="H18" s="622">
        <f>SUM(H4:H13)</f>
        <v>0</v>
      </c>
      <c r="I18" s="623">
        <f>SUM(I4:I17)</f>
        <v>1</v>
      </c>
      <c r="J18" s="624"/>
      <c r="K18" s="624"/>
      <c r="M18" s="592"/>
      <c r="N18" s="592"/>
      <c r="O18" s="592"/>
      <c r="P18" s="592"/>
      <c r="Q18" s="592"/>
      <c r="R18" s="592"/>
      <c r="S18" s="592"/>
    </row>
    <row r="19" spans="1:27">
      <c r="A19" s="625"/>
      <c r="B19" s="592"/>
      <c r="C19" s="592"/>
      <c r="D19" s="592"/>
      <c r="E19" s="592"/>
      <c r="F19" s="592"/>
      <c r="G19" s="372"/>
      <c r="H19" s="592"/>
      <c r="I19" s="624"/>
      <c r="J19" s="624"/>
      <c r="K19" s="624"/>
      <c r="M19" s="592"/>
      <c r="N19" s="592"/>
      <c r="O19" s="592"/>
      <c r="P19" s="592"/>
      <c r="Q19" s="592"/>
      <c r="R19" s="592"/>
      <c r="S19" s="592"/>
    </row>
    <row r="20" spans="1:27" ht="15.75" thickBot="1">
      <c r="A20" s="626" t="s">
        <v>122</v>
      </c>
      <c r="B20" s="592"/>
      <c r="C20" s="592"/>
      <c r="D20" s="592"/>
      <c r="E20" s="592"/>
      <c r="F20" s="592"/>
      <c r="G20" s="372"/>
      <c r="H20" s="592"/>
      <c r="I20" s="624"/>
      <c r="J20" s="624"/>
      <c r="K20" s="624"/>
      <c r="M20" s="592"/>
      <c r="N20" s="592"/>
      <c r="O20" s="592"/>
      <c r="P20" s="592"/>
      <c r="Q20" s="592"/>
      <c r="R20" s="592"/>
      <c r="S20" s="592"/>
    </row>
    <row r="21" spans="1:27">
      <c r="A21" s="627"/>
      <c r="B21" s="596"/>
      <c r="C21" s="628"/>
      <c r="D21" s="629">
        <v>1</v>
      </c>
      <c r="E21" s="630">
        <v>2</v>
      </c>
      <c r="F21" s="630">
        <v>3</v>
      </c>
      <c r="G21" s="630">
        <v>4</v>
      </c>
      <c r="H21" s="630">
        <v>5</v>
      </c>
      <c r="I21" s="631">
        <v>6</v>
      </c>
      <c r="J21" s="624"/>
      <c r="K21" s="624"/>
      <c r="M21" s="592"/>
      <c r="N21" s="592"/>
      <c r="O21" s="592"/>
      <c r="P21" s="592"/>
      <c r="Q21" s="592"/>
      <c r="R21" s="592"/>
      <c r="S21" s="592"/>
    </row>
    <row r="22" spans="1:27" ht="15" thickBot="1">
      <c r="A22" s="603"/>
      <c r="B22" s="604"/>
      <c r="C22" s="592"/>
      <c r="D22" s="719" t="s">
        <v>212</v>
      </c>
      <c r="E22" s="371" t="s">
        <v>213</v>
      </c>
      <c r="F22" s="633" t="s">
        <v>215</v>
      </c>
      <c r="G22" s="633" t="s">
        <v>219</v>
      </c>
      <c r="H22" s="592"/>
      <c r="I22" s="634"/>
      <c r="J22" s="624"/>
      <c r="K22" s="624"/>
      <c r="M22" s="592"/>
      <c r="N22" s="592"/>
      <c r="O22" s="592"/>
      <c r="P22" s="592"/>
      <c r="Q22" s="592"/>
      <c r="R22" s="592"/>
      <c r="S22" s="592"/>
    </row>
    <row r="23" spans="1:27">
      <c r="A23" s="603"/>
      <c r="B23" s="604"/>
      <c r="C23" s="592"/>
      <c r="D23" s="632" t="s">
        <v>127</v>
      </c>
      <c r="E23" s="371" t="s">
        <v>212</v>
      </c>
      <c r="F23" s="633" t="s">
        <v>216</v>
      </c>
      <c r="G23" s="633" t="s">
        <v>218</v>
      </c>
      <c r="H23" s="633" t="s">
        <v>220</v>
      </c>
      <c r="I23" s="634" t="s">
        <v>82</v>
      </c>
      <c r="J23" s="624"/>
      <c r="K23" s="624"/>
      <c r="L23" s="635" t="s">
        <v>318</v>
      </c>
      <c r="M23" s="597"/>
      <c r="N23" s="597" t="s">
        <v>126</v>
      </c>
      <c r="O23" s="636"/>
      <c r="P23" s="592"/>
      <c r="Q23" s="592"/>
      <c r="R23" s="592"/>
      <c r="S23" s="592"/>
    </row>
    <row r="24" spans="1:27" ht="16.5">
      <c r="A24" s="603"/>
      <c r="B24" s="604"/>
      <c r="C24" s="592"/>
      <c r="D24" s="637" t="s">
        <v>214</v>
      </c>
      <c r="E24" s="720" t="s">
        <v>214</v>
      </c>
      <c r="F24" s="638" t="s">
        <v>222</v>
      </c>
      <c r="G24" s="638" t="s">
        <v>217</v>
      </c>
      <c r="H24" s="638" t="s">
        <v>125</v>
      </c>
      <c r="I24" s="639" t="s">
        <v>114</v>
      </c>
      <c r="J24" s="624"/>
      <c r="K24" s="624"/>
      <c r="L24" s="640" t="s">
        <v>319</v>
      </c>
      <c r="M24" s="592" t="s">
        <v>216</v>
      </c>
      <c r="N24" s="592" t="s">
        <v>320</v>
      </c>
      <c r="O24" s="641" t="s">
        <v>15</v>
      </c>
      <c r="P24" s="592"/>
      <c r="Q24" s="592"/>
      <c r="R24" s="592"/>
      <c r="S24" s="592"/>
    </row>
    <row r="25" spans="1:27">
      <c r="A25" s="603">
        <f t="shared" ref="A25:B28" si="1">(A4)</f>
        <v>10</v>
      </c>
      <c r="B25" s="609" t="str">
        <f>(B4)</f>
        <v xml:space="preserve">Residential  </v>
      </c>
      <c r="C25" s="592"/>
      <c r="D25" s="632" t="s">
        <v>149</v>
      </c>
      <c r="E25" s="721">
        <f>'3.1 PlantClass.'!F187</f>
        <v>358.99042968750001</v>
      </c>
      <c r="F25" s="615">
        <f t="shared" ref="F25:F34" si="2">(E25/$E$25)</f>
        <v>1</v>
      </c>
      <c r="G25" s="617">
        <f t="shared" ref="G25:G34" si="3">(G4)</f>
        <v>46551</v>
      </c>
      <c r="H25" s="617">
        <f>(F25*G25)</f>
        <v>46551</v>
      </c>
      <c r="I25" s="610">
        <f>(H25/$H$39)</f>
        <v>0.85845392978507673</v>
      </c>
      <c r="J25" s="624"/>
      <c r="K25" s="624"/>
      <c r="L25" s="640" t="s">
        <v>267</v>
      </c>
      <c r="M25" s="592">
        <f>('3.1 PlantClass.'!F208)</f>
        <v>5580.5366666666669</v>
      </c>
      <c r="N25" s="592">
        <v>169</v>
      </c>
      <c r="O25" s="643">
        <f>(M25*N25)</f>
        <v>943110.69666666666</v>
      </c>
      <c r="P25" s="592"/>
      <c r="Q25" s="592"/>
      <c r="R25" s="592"/>
      <c r="S25" s="592"/>
    </row>
    <row r="26" spans="1:27">
      <c r="A26" s="603">
        <f t="shared" si="1"/>
        <v>11</v>
      </c>
      <c r="B26" s="609" t="str">
        <f t="shared" si="1"/>
        <v>Residential ETS</v>
      </c>
      <c r="C26" s="592"/>
      <c r="D26" s="632" t="s">
        <v>149</v>
      </c>
      <c r="E26" s="721">
        <f>'3.1 PlantClass.'!F187</f>
        <v>358.99042968750001</v>
      </c>
      <c r="F26" s="615">
        <f>(E26/$E$25)</f>
        <v>1</v>
      </c>
      <c r="G26" s="617">
        <f t="shared" si="3"/>
        <v>0</v>
      </c>
      <c r="H26" s="617">
        <f t="shared" ref="H26:H30" si="4">(F26*G26)</f>
        <v>0</v>
      </c>
      <c r="I26" s="610">
        <f t="shared" ref="I26:I34" si="5">(H26/$H$39)</f>
        <v>0</v>
      </c>
      <c r="J26" s="624"/>
      <c r="K26" s="624"/>
      <c r="L26" s="640" t="s">
        <v>321</v>
      </c>
      <c r="M26" s="592">
        <f>('3.1 PlantClass.'!F216)</f>
        <v>10456.9555</v>
      </c>
      <c r="N26" s="592">
        <v>173</v>
      </c>
      <c r="O26" s="643">
        <f>(M26*N26)</f>
        <v>1809053.3015000001</v>
      </c>
      <c r="P26" s="592"/>
      <c r="Q26" s="592"/>
      <c r="R26" s="592"/>
      <c r="S26" s="592"/>
    </row>
    <row r="27" spans="1:27">
      <c r="A27" s="603">
        <f t="shared" si="1"/>
        <v>20</v>
      </c>
      <c r="B27" s="609" t="str">
        <f t="shared" si="1"/>
        <v xml:space="preserve">Small Commercial  </v>
      </c>
      <c r="C27" s="592"/>
      <c r="D27" s="633" t="s">
        <v>571</v>
      </c>
      <c r="E27" s="616">
        <f>('3.1 PlantClass.'!D276)</f>
        <v>499.8514233576642</v>
      </c>
      <c r="F27" s="615">
        <f t="shared" si="2"/>
        <v>1.3923809160951262</v>
      </c>
      <c r="G27" s="617">
        <f t="shared" si="3"/>
        <v>3484</v>
      </c>
      <c r="H27" s="617">
        <f t="shared" si="4"/>
        <v>4851.0551116754195</v>
      </c>
      <c r="I27" s="610">
        <f t="shared" si="5"/>
        <v>8.9459030401532691E-2</v>
      </c>
      <c r="J27" s="592"/>
      <c r="K27" s="592"/>
      <c r="L27" s="640" t="s">
        <v>322</v>
      </c>
      <c r="M27" s="592" t="e">
        <f>('3.1 PlantClass.'!#REF!)*2</f>
        <v>#REF!</v>
      </c>
      <c r="N27" s="592">
        <v>4</v>
      </c>
      <c r="O27" s="643" t="e">
        <f>(M27*N27)</f>
        <v>#REF!</v>
      </c>
      <c r="P27" s="592"/>
      <c r="Q27" s="592"/>
      <c r="R27" s="592"/>
      <c r="S27" s="592"/>
    </row>
    <row r="28" spans="1:27">
      <c r="A28" s="603">
        <f t="shared" si="1"/>
        <v>22</v>
      </c>
      <c r="B28" s="609" t="str">
        <f t="shared" si="1"/>
        <v>Small Commercial ETS</v>
      </c>
      <c r="C28" s="592"/>
      <c r="D28" s="633" t="s">
        <v>149</v>
      </c>
      <c r="E28" s="616">
        <f>'3.1 PlantClass.'!F187</f>
        <v>358.99042968750001</v>
      </c>
      <c r="F28" s="615">
        <f t="shared" si="2"/>
        <v>1</v>
      </c>
      <c r="G28" s="617">
        <f t="shared" si="3"/>
        <v>0</v>
      </c>
      <c r="H28" s="617">
        <f t="shared" si="4"/>
        <v>0</v>
      </c>
      <c r="I28" s="610">
        <f t="shared" si="5"/>
        <v>0</v>
      </c>
      <c r="J28" s="592"/>
      <c r="K28" s="592"/>
      <c r="L28" s="640" t="s">
        <v>15</v>
      </c>
      <c r="M28" s="592"/>
      <c r="N28" s="387">
        <f>SUM(N25:N27)</f>
        <v>346</v>
      </c>
      <c r="O28" s="644" t="e">
        <f>SUM(O25:O27)</f>
        <v>#REF!</v>
      </c>
      <c r="P28" s="592"/>
      <c r="Q28" s="592"/>
      <c r="R28" s="592"/>
      <c r="S28" s="592"/>
    </row>
    <row r="29" spans="1:27" ht="15" thickBot="1">
      <c r="A29" s="603">
        <f t="shared" ref="A29:B37" si="6">(A8)</f>
        <v>40</v>
      </c>
      <c r="B29" s="609" t="str">
        <f t="shared" si="6"/>
        <v>Large Power &lt;50</v>
      </c>
      <c r="C29" s="592"/>
      <c r="D29" s="632" t="s">
        <v>572</v>
      </c>
      <c r="E29" s="616">
        <f>('3.1 PlantClass.'!F205)</f>
        <v>2130.8297297297295</v>
      </c>
      <c r="F29" s="615">
        <f t="shared" si="2"/>
        <v>5.9356170903625749</v>
      </c>
      <c r="G29" s="617">
        <f t="shared" si="3"/>
        <v>160</v>
      </c>
      <c r="H29" s="617">
        <f t="shared" si="4"/>
        <v>949.69873445801204</v>
      </c>
      <c r="I29" s="610">
        <f t="shared" si="5"/>
        <v>1.7513535922050967E-2</v>
      </c>
      <c r="L29" s="645"/>
      <c r="M29" s="593"/>
      <c r="N29" s="646"/>
      <c r="O29" s="647" t="e">
        <f>(O28/N28)</f>
        <v>#REF!</v>
      </c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</row>
    <row r="30" spans="1:27">
      <c r="A30" s="603">
        <f t="shared" si="6"/>
        <v>46</v>
      </c>
      <c r="B30" s="609" t="str">
        <f t="shared" si="6"/>
        <v>Large Power 50-500</v>
      </c>
      <c r="C30" s="592"/>
      <c r="D30" s="633" t="s">
        <v>563</v>
      </c>
      <c r="E30" s="592">
        <f>'3.1 PlantClass.'!F216</f>
        <v>10456.9555</v>
      </c>
      <c r="F30" s="615">
        <f t="shared" si="2"/>
        <v>29.128786271831107</v>
      </c>
      <c r="G30" s="617">
        <v>0</v>
      </c>
      <c r="H30" s="617">
        <f t="shared" si="4"/>
        <v>0</v>
      </c>
      <c r="I30" s="610">
        <f t="shared" si="5"/>
        <v>0</v>
      </c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</row>
    <row r="31" spans="1:27">
      <c r="A31" s="603">
        <f t="shared" si="6"/>
        <v>47</v>
      </c>
      <c r="B31" s="609" t="str">
        <f t="shared" si="6"/>
        <v>Large Power 500-4999</v>
      </c>
      <c r="C31" s="592"/>
      <c r="D31" s="633" t="s">
        <v>563</v>
      </c>
      <c r="E31" s="722">
        <f>'3.1 PlantClass.'!F216</f>
        <v>10456.9555</v>
      </c>
      <c r="F31" s="615">
        <f t="shared" si="2"/>
        <v>29.128786271831107</v>
      </c>
      <c r="G31" s="617">
        <v>0</v>
      </c>
      <c r="H31" s="617">
        <f t="shared" ref="H31:H32" si="7">(F31*G31)</f>
        <v>0</v>
      </c>
      <c r="I31" s="610">
        <f>(H31/$H$39)</f>
        <v>0</v>
      </c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</row>
    <row r="32" spans="1:27">
      <c r="A32" s="603">
        <f t="shared" si="6"/>
        <v>50</v>
      </c>
      <c r="B32" s="609" t="str">
        <f t="shared" si="6"/>
        <v>Schools, Churches</v>
      </c>
      <c r="C32" s="592"/>
      <c r="D32" s="633" t="str">
        <f>(D27)</f>
        <v>15 KVA</v>
      </c>
      <c r="E32" s="722">
        <f>(E27)</f>
        <v>499.8514233576642</v>
      </c>
      <c r="F32" s="615">
        <f t="shared" si="2"/>
        <v>1.3923809160951262</v>
      </c>
      <c r="G32" s="617">
        <f t="shared" si="3"/>
        <v>1016</v>
      </c>
      <c r="H32" s="617">
        <f t="shared" si="7"/>
        <v>1414.6590107526481</v>
      </c>
      <c r="I32" s="610">
        <f t="shared" si="5"/>
        <v>2.6087937683110567E-2</v>
      </c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</row>
    <row r="33" spans="1:27">
      <c r="A33" s="603">
        <f t="shared" si="6"/>
        <v>52</v>
      </c>
      <c r="B33" s="609" t="str">
        <f t="shared" si="6"/>
        <v>All Electric Schools</v>
      </c>
      <c r="C33" s="592"/>
      <c r="D33" s="633" t="s">
        <v>573</v>
      </c>
      <c r="E33" s="592">
        <f>('3.1 PlantClass.'!F209*2)</f>
        <v>4433.6551724137935</v>
      </c>
      <c r="F33" s="615">
        <f>(E33/$E$25)</f>
        <v>12.350343646412178</v>
      </c>
      <c r="G33" s="617">
        <f t="shared" si="3"/>
        <v>24</v>
      </c>
      <c r="H33" s="617">
        <f>(F33*G33)</f>
        <v>296.40824751389226</v>
      </c>
      <c r="I33" s="610">
        <f t="shared" si="5"/>
        <v>5.4661086743358579E-3</v>
      </c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</row>
    <row r="34" spans="1:27">
      <c r="A34" s="603">
        <f t="shared" si="6"/>
        <v>0</v>
      </c>
      <c r="B34" s="609" t="str">
        <f t="shared" si="6"/>
        <v>Out Door Lighting</v>
      </c>
      <c r="C34" s="592"/>
      <c r="D34" s="615" t="s">
        <v>570</v>
      </c>
      <c r="E34" s="592">
        <v>112.82</v>
      </c>
      <c r="F34" s="615">
        <f t="shared" si="2"/>
        <v>0.31427021633476254</v>
      </c>
      <c r="G34" s="617">
        <f t="shared" si="3"/>
        <v>521</v>
      </c>
      <c r="H34" s="617">
        <f>(F34*G34)</f>
        <v>163.73478271041128</v>
      </c>
      <c r="I34" s="610">
        <f t="shared" si="5"/>
        <v>3.0194575338931108E-3</v>
      </c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</row>
    <row r="35" spans="1:27">
      <c r="A35" s="603">
        <f t="shared" si="6"/>
        <v>0</v>
      </c>
      <c r="B35" s="609">
        <f t="shared" ref="B35:B37" si="8">(B14)</f>
        <v>0</v>
      </c>
      <c r="C35" s="592"/>
      <c r="D35" s="615"/>
      <c r="E35" s="592"/>
      <c r="F35" s="615"/>
      <c r="G35" s="617"/>
      <c r="H35" s="617"/>
      <c r="I35" s="610"/>
      <c r="N35" s="361"/>
      <c r="O35" s="361"/>
      <c r="P35" s="361"/>
      <c r="Q35" s="361"/>
      <c r="R35" s="361"/>
      <c r="S35" s="361"/>
      <c r="T35" s="361"/>
      <c r="U35" s="361">
        <f>(732929.76/793960)</f>
        <v>0.92313184543301929</v>
      </c>
      <c r="V35" s="361"/>
      <c r="W35" s="361"/>
      <c r="X35" s="361"/>
      <c r="Y35" s="361"/>
      <c r="Z35" s="361"/>
      <c r="AA35" s="361"/>
    </row>
    <row r="36" spans="1:27">
      <c r="A36" s="603">
        <f t="shared" si="6"/>
        <v>0</v>
      </c>
      <c r="B36" s="609">
        <f t="shared" si="8"/>
        <v>0</v>
      </c>
      <c r="C36" s="592"/>
      <c r="D36" s="615"/>
      <c r="E36" s="592"/>
      <c r="F36" s="615"/>
      <c r="G36" s="617"/>
      <c r="H36" s="617"/>
      <c r="I36" s="610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</row>
    <row r="37" spans="1:27">
      <c r="A37" s="603">
        <f t="shared" si="6"/>
        <v>0</v>
      </c>
      <c r="B37" s="609">
        <f t="shared" si="8"/>
        <v>0</v>
      </c>
      <c r="C37" s="592"/>
      <c r="D37" s="615"/>
      <c r="E37" s="592"/>
      <c r="F37" s="615"/>
      <c r="G37" s="617"/>
      <c r="H37" s="617"/>
      <c r="I37" s="610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</row>
    <row r="38" spans="1:27">
      <c r="A38" s="603"/>
      <c r="B38" s="609"/>
      <c r="C38" s="592"/>
      <c r="D38" s="615"/>
      <c r="E38" s="592"/>
      <c r="F38" s="615"/>
      <c r="G38" s="615"/>
      <c r="H38" s="617"/>
      <c r="I38" s="648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</row>
    <row r="39" spans="1:27" ht="15" thickBot="1">
      <c r="A39" s="619"/>
      <c r="B39" s="620"/>
      <c r="C39" s="593"/>
      <c r="D39" s="649"/>
      <c r="E39" s="593"/>
      <c r="F39" s="649"/>
      <c r="G39" s="650">
        <f>SUM(G25:G37)</f>
        <v>51756</v>
      </c>
      <c r="H39" s="650">
        <f>SUM(H25:H37)</f>
        <v>54226.555887110386</v>
      </c>
      <c r="I39" s="651">
        <f>SUM(I25:I35)</f>
        <v>0.99999999999999989</v>
      </c>
      <c r="K39" s="652">
        <f>SUM(I25:I37)</f>
        <v>0.99999999999999989</v>
      </c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</row>
    <row r="40" spans="1:27">
      <c r="A40" s="625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</row>
    <row r="41" spans="1:27">
      <c r="A41" s="653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</row>
    <row r="42" spans="1:27" ht="20.25" customHeight="1" thickBot="1">
      <c r="A42" s="654" t="s">
        <v>221</v>
      </c>
      <c r="B42" s="592"/>
      <c r="C42" s="592"/>
      <c r="D42" s="592"/>
      <c r="E42" s="592"/>
      <c r="F42" s="592"/>
      <c r="G42" s="592"/>
      <c r="H42" s="592"/>
      <c r="I42" s="592"/>
      <c r="J42" s="592"/>
      <c r="M42" s="374" t="s">
        <v>1</v>
      </c>
      <c r="N42" s="361" t="s">
        <v>1</v>
      </c>
      <c r="O42" s="361" t="s">
        <v>1</v>
      </c>
      <c r="P42" s="361" t="s">
        <v>1</v>
      </c>
      <c r="Q42" s="361" t="s">
        <v>1</v>
      </c>
      <c r="R42" s="361"/>
      <c r="S42" s="361"/>
      <c r="T42" s="361"/>
      <c r="U42" s="361"/>
      <c r="V42" s="361"/>
      <c r="W42" s="361"/>
      <c r="X42" s="361"/>
      <c r="Y42" s="361"/>
      <c r="Z42" s="361"/>
      <c r="AA42" s="361"/>
    </row>
    <row r="43" spans="1:27" ht="17.25" customHeight="1" thickBot="1">
      <c r="A43" s="655"/>
      <c r="B43" s="656"/>
      <c r="C43" s="657"/>
      <c r="D43" s="727">
        <f t="shared" ref="D43:I43" si="9">(D21)</f>
        <v>1</v>
      </c>
      <c r="E43" s="725">
        <f t="shared" si="9"/>
        <v>2</v>
      </c>
      <c r="F43" s="725">
        <f t="shared" si="9"/>
        <v>3</v>
      </c>
      <c r="G43" s="658">
        <f t="shared" si="9"/>
        <v>4</v>
      </c>
      <c r="H43" s="658">
        <f t="shared" si="9"/>
        <v>5</v>
      </c>
      <c r="I43" s="659">
        <f t="shared" si="9"/>
        <v>6</v>
      </c>
      <c r="J43" s="660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</row>
    <row r="44" spans="1:27">
      <c r="A44" s="661"/>
      <c r="B44" s="604"/>
      <c r="C44" s="592"/>
      <c r="D44" s="702" t="str">
        <f>(D22)</f>
        <v>Minimum</v>
      </c>
      <c r="E44" s="702" t="s">
        <v>216</v>
      </c>
      <c r="F44" s="702" t="s">
        <v>225</v>
      </c>
      <c r="G44" s="663"/>
      <c r="H44" s="662" t="str">
        <f t="shared" ref="H44:J46" si="10">(G22)</f>
        <v xml:space="preserve">Number </v>
      </c>
      <c r="I44" s="662" t="s">
        <v>1</v>
      </c>
      <c r="J44" s="662" t="s">
        <v>1</v>
      </c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</row>
    <row r="45" spans="1:27" ht="15" thickBot="1">
      <c r="A45" s="661"/>
      <c r="B45" s="604"/>
      <c r="C45" s="592"/>
      <c r="D45" s="662" t="str">
        <f>(D23)</f>
        <v>Size</v>
      </c>
      <c r="E45" s="662" t="s">
        <v>223</v>
      </c>
      <c r="F45" s="662" t="s">
        <v>226</v>
      </c>
      <c r="G45" s="663" t="s">
        <v>213</v>
      </c>
      <c r="H45" s="662" t="str">
        <f t="shared" si="10"/>
        <v>of</v>
      </c>
      <c r="I45" s="662" t="str">
        <f t="shared" si="10"/>
        <v>Relative</v>
      </c>
      <c r="J45" s="662" t="str">
        <f t="shared" si="10"/>
        <v>Allocation</v>
      </c>
      <c r="M45" s="386"/>
      <c r="N45" s="386"/>
      <c r="O45" s="386"/>
      <c r="P45" s="386"/>
      <c r="Q45" s="386"/>
      <c r="R45" s="386"/>
      <c r="S45" s="361"/>
      <c r="T45" s="361"/>
      <c r="U45" s="361"/>
      <c r="V45" s="361"/>
      <c r="W45" s="361"/>
      <c r="X45" s="361"/>
      <c r="Y45" s="361"/>
      <c r="Z45" s="361"/>
      <c r="AA45" s="361"/>
    </row>
    <row r="46" spans="1:27">
      <c r="A46" s="661"/>
      <c r="B46" s="604"/>
      <c r="C46" s="592"/>
      <c r="D46" s="664" t="s">
        <v>128</v>
      </c>
      <c r="E46" s="664" t="s">
        <v>224</v>
      </c>
      <c r="F46" s="664" t="s">
        <v>128</v>
      </c>
      <c r="G46" s="665" t="s">
        <v>128</v>
      </c>
      <c r="H46" s="664" t="str">
        <f t="shared" si="10"/>
        <v>Customers</v>
      </c>
      <c r="I46" s="664" t="str">
        <f t="shared" si="10"/>
        <v>Weight</v>
      </c>
      <c r="J46" s="664" t="str">
        <f t="shared" si="10"/>
        <v>Percent</v>
      </c>
      <c r="L46" s="635"/>
      <c r="M46" s="597"/>
      <c r="N46" s="597"/>
      <c r="O46" s="597"/>
      <c r="P46" s="597"/>
      <c r="Q46" s="636"/>
      <c r="R46" s="386"/>
      <c r="S46" s="361"/>
      <c r="T46" s="361"/>
      <c r="U46" s="361"/>
      <c r="V46" s="361"/>
      <c r="W46" s="361"/>
      <c r="X46" s="361"/>
      <c r="Y46" s="361"/>
      <c r="Z46" s="361"/>
      <c r="AA46" s="361"/>
    </row>
    <row r="47" spans="1:27">
      <c r="A47" s="666">
        <f t="shared" ref="A47:B50" si="11">(A25)</f>
        <v>10</v>
      </c>
      <c r="B47" s="604" t="str">
        <f t="shared" si="11"/>
        <v xml:space="preserve">Residential  </v>
      </c>
      <c r="C47" s="592"/>
      <c r="D47" s="728" t="s">
        <v>565</v>
      </c>
      <c r="E47" s="642">
        <v>2.44</v>
      </c>
      <c r="F47" s="728">
        <v>100</v>
      </c>
      <c r="G47" s="721">
        <f t="shared" ref="G47:G56" si="12">(E47*F47)</f>
        <v>244</v>
      </c>
      <c r="H47" s="617">
        <f>G4</f>
        <v>46551</v>
      </c>
      <c r="I47" s="617">
        <f>(G47*H47)</f>
        <v>11358444</v>
      </c>
      <c r="J47" s="667">
        <f>(I47/$I$61)</f>
        <v>0.82248665636718232</v>
      </c>
      <c r="K47" s="594" t="s">
        <v>569</v>
      </c>
      <c r="L47" s="668"/>
      <c r="M47" s="592"/>
      <c r="N47" s="592"/>
      <c r="O47" s="592"/>
      <c r="P47" s="592"/>
      <c r="Q47" s="641"/>
      <c r="R47" s="386"/>
      <c r="S47" s="361"/>
      <c r="T47" s="361"/>
      <c r="U47" s="361"/>
      <c r="V47" s="361"/>
      <c r="W47" s="361"/>
      <c r="X47" s="361"/>
      <c r="Y47" s="361"/>
      <c r="Z47" s="361"/>
      <c r="AA47" s="361"/>
    </row>
    <row r="48" spans="1:27">
      <c r="A48" s="666">
        <f t="shared" si="11"/>
        <v>11</v>
      </c>
      <c r="B48" s="604" t="str">
        <f t="shared" si="11"/>
        <v>Residential ETS</v>
      </c>
      <c r="C48" s="592"/>
      <c r="D48" s="728" t="s">
        <v>565</v>
      </c>
      <c r="E48" s="642">
        <v>2.44</v>
      </c>
      <c r="F48" s="728">
        <v>10</v>
      </c>
      <c r="G48" s="616">
        <f t="shared" si="12"/>
        <v>24.4</v>
      </c>
      <c r="H48" s="617">
        <v>1090</v>
      </c>
      <c r="I48" s="617">
        <f t="shared" ref="I48:I56" si="13">(G48*H48)</f>
        <v>26596</v>
      </c>
      <c r="J48" s="667">
        <f t="shared" ref="J48:J60" si="14">(I48/$I$61)</f>
        <v>1.9258672325841095E-3</v>
      </c>
      <c r="L48" s="668"/>
      <c r="M48" s="592"/>
      <c r="N48" s="592"/>
      <c r="O48" s="592"/>
      <c r="P48" s="592"/>
      <c r="Q48" s="643"/>
      <c r="R48" s="386"/>
      <c r="S48" s="361"/>
      <c r="T48" s="361"/>
      <c r="U48" s="361"/>
      <c r="V48" s="361"/>
      <c r="W48" s="361"/>
      <c r="X48" s="361"/>
      <c r="Y48" s="361"/>
      <c r="Z48" s="361"/>
      <c r="AA48" s="361"/>
    </row>
    <row r="49" spans="1:27">
      <c r="A49" s="666">
        <f t="shared" si="11"/>
        <v>20</v>
      </c>
      <c r="B49" s="604" t="str">
        <f t="shared" si="11"/>
        <v xml:space="preserve">Small Commercial  </v>
      </c>
      <c r="C49" s="592"/>
      <c r="D49" s="728" t="s">
        <v>565</v>
      </c>
      <c r="E49" s="642">
        <v>2.44</v>
      </c>
      <c r="F49" s="728">
        <f>(3*75)</f>
        <v>225</v>
      </c>
      <c r="G49" s="616">
        <f t="shared" si="12"/>
        <v>549</v>
      </c>
      <c r="H49" s="617">
        <f t="shared" ref="H49:H55" si="15">G6</f>
        <v>3484</v>
      </c>
      <c r="I49" s="617">
        <f t="shared" si="13"/>
        <v>1912716</v>
      </c>
      <c r="J49" s="667">
        <f t="shared" si="14"/>
        <v>0.13850342418556727</v>
      </c>
      <c r="L49" s="640"/>
      <c r="M49" s="592"/>
      <c r="N49" s="592"/>
      <c r="O49" s="592"/>
      <c r="P49" s="592"/>
      <c r="Q49" s="643"/>
      <c r="R49" s="386"/>
      <c r="S49" s="361"/>
      <c r="T49" s="361"/>
      <c r="U49" s="361"/>
      <c r="V49" s="361"/>
      <c r="W49" s="361"/>
      <c r="X49" s="361"/>
      <c r="Y49" s="361"/>
      <c r="Z49" s="361"/>
      <c r="AA49" s="361"/>
    </row>
    <row r="50" spans="1:27">
      <c r="A50" s="666">
        <f t="shared" si="11"/>
        <v>22</v>
      </c>
      <c r="B50" s="604" t="str">
        <f t="shared" si="11"/>
        <v>Small Commercial ETS</v>
      </c>
      <c r="C50" s="592"/>
      <c r="D50" s="728" t="s">
        <v>565</v>
      </c>
      <c r="E50" s="642">
        <v>2.44</v>
      </c>
      <c r="F50" s="728">
        <v>10</v>
      </c>
      <c r="G50" s="616">
        <f t="shared" si="12"/>
        <v>24.4</v>
      </c>
      <c r="H50" s="617">
        <v>90</v>
      </c>
      <c r="I50" s="617">
        <f t="shared" si="13"/>
        <v>2196</v>
      </c>
      <c r="J50" s="667">
        <f t="shared" si="14"/>
        <v>1.5901656048859618E-4</v>
      </c>
      <c r="L50" s="640"/>
      <c r="M50" s="592"/>
      <c r="N50" s="592"/>
      <c r="O50" s="592"/>
      <c r="P50" s="592"/>
      <c r="Q50" s="643"/>
      <c r="R50" s="386"/>
      <c r="S50" s="361"/>
      <c r="T50" s="361"/>
      <c r="U50" s="361"/>
      <c r="V50" s="361"/>
      <c r="W50" s="361"/>
      <c r="X50" s="361"/>
      <c r="Y50" s="361"/>
      <c r="Z50" s="361"/>
      <c r="AA50" s="361"/>
    </row>
    <row r="51" spans="1:27">
      <c r="A51" s="666">
        <f t="shared" ref="A51:B59" si="16">(A29)</f>
        <v>40</v>
      </c>
      <c r="B51" s="604" t="str">
        <f t="shared" si="16"/>
        <v>Large Power &lt;50</v>
      </c>
      <c r="C51" s="592"/>
      <c r="D51" s="728"/>
      <c r="E51" s="642">
        <v>2.44</v>
      </c>
      <c r="F51" s="728">
        <v>100</v>
      </c>
      <c r="G51" s="616">
        <f t="shared" si="12"/>
        <v>244</v>
      </c>
      <c r="H51" s="617">
        <f t="shared" si="15"/>
        <v>160</v>
      </c>
      <c r="I51" s="617">
        <f t="shared" si="13"/>
        <v>39040</v>
      </c>
      <c r="J51" s="667">
        <f t="shared" si="14"/>
        <v>2.826961075352821E-3</v>
      </c>
      <c r="L51" s="640"/>
      <c r="M51" s="592"/>
      <c r="N51" s="387"/>
      <c r="O51" s="592"/>
      <c r="P51" s="387"/>
      <c r="Q51" s="644"/>
      <c r="R51" s="386"/>
      <c r="S51" s="361"/>
      <c r="T51" s="361"/>
      <c r="U51" s="361">
        <f>(8889094.96/3645001)</f>
        <v>2.438708510642384</v>
      </c>
      <c r="V51" s="361"/>
      <c r="W51" s="361"/>
      <c r="X51" s="361"/>
      <c r="Y51" s="361"/>
      <c r="Z51" s="361"/>
      <c r="AA51" s="361"/>
    </row>
    <row r="52" spans="1:27" ht="15" thickBot="1">
      <c r="A52" s="666">
        <f t="shared" si="16"/>
        <v>46</v>
      </c>
      <c r="B52" s="604" t="str">
        <f t="shared" si="16"/>
        <v>Large Power 50-500</v>
      </c>
      <c r="C52" s="592"/>
      <c r="D52" s="728" t="s">
        <v>564</v>
      </c>
      <c r="E52" s="670"/>
      <c r="F52" s="728" t="s">
        <v>564</v>
      </c>
      <c r="G52" s="616"/>
      <c r="H52" s="617">
        <f t="shared" si="15"/>
        <v>2</v>
      </c>
      <c r="I52" s="617">
        <f t="shared" si="13"/>
        <v>0</v>
      </c>
      <c r="J52" s="667">
        <f t="shared" si="14"/>
        <v>0</v>
      </c>
      <c r="L52" s="645"/>
      <c r="M52" s="593"/>
      <c r="N52" s="646"/>
      <c r="O52" s="593"/>
      <c r="P52" s="593"/>
      <c r="Q52" s="647"/>
      <c r="R52" s="386"/>
      <c r="S52" s="361"/>
      <c r="T52" s="361"/>
      <c r="U52" s="361"/>
      <c r="V52" s="361"/>
      <c r="W52" s="361"/>
      <c r="X52" s="361"/>
      <c r="Y52" s="361"/>
      <c r="Z52" s="361"/>
      <c r="AA52" s="361"/>
    </row>
    <row r="53" spans="1:27">
      <c r="A53" s="666">
        <f t="shared" si="16"/>
        <v>47</v>
      </c>
      <c r="B53" s="604" t="str">
        <f t="shared" si="16"/>
        <v>Large Power 500-4999</v>
      </c>
      <c r="C53" s="592"/>
      <c r="D53" s="728" t="s">
        <v>564</v>
      </c>
      <c r="E53" s="671"/>
      <c r="F53" s="728" t="s">
        <v>564</v>
      </c>
      <c r="G53" s="616"/>
      <c r="H53" s="617">
        <f t="shared" si="15"/>
        <v>3</v>
      </c>
      <c r="I53" s="617">
        <f t="shared" si="13"/>
        <v>0</v>
      </c>
      <c r="J53" s="667">
        <f t="shared" si="14"/>
        <v>0</v>
      </c>
      <c r="M53" s="386"/>
      <c r="N53" s="386"/>
      <c r="O53" s="386"/>
      <c r="P53" s="386"/>
      <c r="Q53" s="386"/>
      <c r="R53" s="386"/>
      <c r="S53" s="361"/>
      <c r="T53" s="361"/>
      <c r="U53" s="361">
        <f>(732929.76/793960)</f>
        <v>0.92313184543301929</v>
      </c>
      <c r="V53" s="361"/>
      <c r="W53" s="361"/>
      <c r="X53" s="361"/>
      <c r="Y53" s="361"/>
      <c r="Z53" s="361"/>
      <c r="AA53" s="361"/>
    </row>
    <row r="54" spans="1:27">
      <c r="A54" s="666">
        <f t="shared" si="16"/>
        <v>50</v>
      </c>
      <c r="B54" s="604" t="str">
        <f t="shared" si="16"/>
        <v>Schools, Churches</v>
      </c>
      <c r="C54" s="592"/>
      <c r="D54" s="728" t="str">
        <f>(D47)</f>
        <v>1/0 Al</v>
      </c>
      <c r="E54" s="726">
        <f>(E47)</f>
        <v>2.44</v>
      </c>
      <c r="F54" s="729">
        <f>(F47)</f>
        <v>100</v>
      </c>
      <c r="G54" s="730">
        <f>(G47)</f>
        <v>244</v>
      </c>
      <c r="H54" s="373">
        <f t="shared" si="15"/>
        <v>1016</v>
      </c>
      <c r="I54" s="617">
        <f t="shared" si="13"/>
        <v>247904</v>
      </c>
      <c r="J54" s="667">
        <f t="shared" si="14"/>
        <v>1.7951202828490415E-2</v>
      </c>
      <c r="M54" s="386"/>
      <c r="N54" s="386"/>
      <c r="O54" s="386"/>
      <c r="P54" s="386"/>
      <c r="Q54" s="672" t="e">
        <f>SUM(Q48:Q49)/SUM(P48:P49)</f>
        <v>#DIV/0!</v>
      </c>
      <c r="R54" s="386"/>
      <c r="S54" s="361"/>
      <c r="T54" s="361"/>
      <c r="U54" s="361"/>
      <c r="V54" s="361"/>
      <c r="W54" s="361"/>
      <c r="X54" s="361"/>
      <c r="Y54" s="361"/>
      <c r="Z54" s="361"/>
      <c r="AA54" s="361"/>
    </row>
    <row r="55" spans="1:27">
      <c r="A55" s="666">
        <f t="shared" si="16"/>
        <v>52</v>
      </c>
      <c r="B55" s="604" t="str">
        <f t="shared" si="16"/>
        <v>All Electric Schools</v>
      </c>
      <c r="C55" s="592"/>
      <c r="D55" s="728" t="s">
        <v>566</v>
      </c>
      <c r="E55" s="669">
        <v>4.55</v>
      </c>
      <c r="F55" s="728">
        <f>(3*75)</f>
        <v>225</v>
      </c>
      <c r="G55" s="616">
        <f>(E55*F55)</f>
        <v>1023.75</v>
      </c>
      <c r="H55" s="617">
        <f t="shared" si="15"/>
        <v>24</v>
      </c>
      <c r="I55" s="617">
        <f t="shared" si="13"/>
        <v>24570</v>
      </c>
      <c r="J55" s="667">
        <f t="shared" si="14"/>
        <v>1.7791606972699491E-3</v>
      </c>
      <c r="M55" s="386"/>
      <c r="N55" s="386"/>
      <c r="O55" s="386"/>
      <c r="P55" s="386"/>
      <c r="Q55" s="386"/>
      <c r="R55" s="386"/>
      <c r="S55" s="361" t="s">
        <v>1</v>
      </c>
      <c r="T55" s="361"/>
      <c r="U55" s="361"/>
      <c r="V55" s="361"/>
      <c r="W55" s="361"/>
      <c r="X55" s="361"/>
      <c r="Y55" s="361"/>
      <c r="Z55" s="361"/>
      <c r="AA55" s="361"/>
    </row>
    <row r="56" spans="1:27">
      <c r="A56" s="666">
        <f t="shared" si="16"/>
        <v>0</v>
      </c>
      <c r="B56" s="604" t="str">
        <f t="shared" si="16"/>
        <v>Out Door Lighting</v>
      </c>
      <c r="C56" s="592"/>
      <c r="D56" s="728" t="s">
        <v>566</v>
      </c>
      <c r="E56" s="642">
        <v>0.92</v>
      </c>
      <c r="F56" s="728">
        <v>10</v>
      </c>
      <c r="G56" s="616">
        <f t="shared" si="12"/>
        <v>9.2000000000000011</v>
      </c>
      <c r="H56" s="617">
        <v>21567</v>
      </c>
      <c r="I56" s="617">
        <f t="shared" si="13"/>
        <v>198416.40000000002</v>
      </c>
      <c r="J56" s="667">
        <f t="shared" si="14"/>
        <v>1.4367711053064437E-2</v>
      </c>
      <c r="M56" s="386"/>
      <c r="N56" s="386"/>
      <c r="O56" s="386"/>
      <c r="P56" s="386"/>
      <c r="Q56" s="386"/>
      <c r="R56" s="386"/>
      <c r="S56" s="361"/>
      <c r="T56" s="361"/>
      <c r="U56" s="361">
        <f>5206942.98/1145280</f>
        <v>4.5464366617770331</v>
      </c>
      <c r="V56" s="361"/>
      <c r="W56" s="361"/>
      <c r="X56" s="361"/>
      <c r="Y56" s="361"/>
      <c r="Z56" s="361"/>
      <c r="AA56" s="361"/>
    </row>
    <row r="57" spans="1:27">
      <c r="A57" s="661">
        <f t="shared" si="16"/>
        <v>0</v>
      </c>
      <c r="B57" s="604">
        <f t="shared" si="16"/>
        <v>0</v>
      </c>
      <c r="C57" s="592"/>
      <c r="D57" s="723"/>
      <c r="E57" s="642"/>
      <c r="F57" s="724"/>
      <c r="G57" s="616"/>
      <c r="H57" s="617"/>
      <c r="I57" s="617"/>
      <c r="J57" s="667">
        <f t="shared" si="14"/>
        <v>0</v>
      </c>
      <c r="M57" s="386"/>
      <c r="N57" s="386"/>
      <c r="O57" s="386"/>
      <c r="P57" s="386"/>
      <c r="Q57" s="386"/>
      <c r="R57" s="386"/>
      <c r="S57" s="361"/>
      <c r="T57" s="361"/>
      <c r="U57" s="361"/>
      <c r="V57" s="361"/>
      <c r="W57" s="361"/>
      <c r="X57" s="361"/>
      <c r="Y57" s="361"/>
      <c r="Z57" s="361"/>
      <c r="AA57" s="361"/>
    </row>
    <row r="58" spans="1:27">
      <c r="A58" s="661">
        <f t="shared" si="16"/>
        <v>0</v>
      </c>
      <c r="B58" s="604">
        <f t="shared" si="16"/>
        <v>0</v>
      </c>
      <c r="C58" s="592"/>
      <c r="D58" s="615"/>
      <c r="E58" s="673"/>
      <c r="F58" s="615"/>
      <c r="G58" s="616"/>
      <c r="H58" s="617"/>
      <c r="I58" s="617"/>
      <c r="J58" s="667">
        <f t="shared" si="14"/>
        <v>0</v>
      </c>
      <c r="M58" s="386"/>
      <c r="N58" s="386"/>
      <c r="O58" s="386"/>
      <c r="P58" s="386"/>
      <c r="Q58" s="386"/>
      <c r="R58" s="386"/>
      <c r="S58" s="361"/>
      <c r="T58" s="361"/>
      <c r="U58" s="361"/>
      <c r="V58" s="361"/>
      <c r="W58" s="361"/>
      <c r="X58" s="361"/>
      <c r="Y58" s="361"/>
      <c r="Z58" s="361"/>
      <c r="AA58" s="361"/>
    </row>
    <row r="59" spans="1:27">
      <c r="A59" s="661">
        <f t="shared" si="16"/>
        <v>0</v>
      </c>
      <c r="B59" s="604">
        <f t="shared" si="16"/>
        <v>0</v>
      </c>
      <c r="C59" s="592"/>
      <c r="D59" s="633"/>
      <c r="E59" s="673"/>
      <c r="F59" s="615"/>
      <c r="G59" s="616"/>
      <c r="H59" s="617"/>
      <c r="I59" s="617"/>
      <c r="J59" s="667">
        <f t="shared" si="14"/>
        <v>0</v>
      </c>
      <c r="M59" s="386"/>
      <c r="N59" s="386"/>
      <c r="O59" s="386"/>
      <c r="P59" s="386"/>
      <c r="Q59" s="386"/>
      <c r="R59" s="386"/>
      <c r="S59" s="361"/>
      <c r="T59" s="361"/>
      <c r="U59" s="361"/>
      <c r="V59" s="361"/>
      <c r="W59" s="361"/>
      <c r="X59" s="361"/>
      <c r="Y59" s="361"/>
      <c r="Z59" s="361"/>
      <c r="AA59" s="361"/>
    </row>
    <row r="60" spans="1:27">
      <c r="A60" s="661"/>
      <c r="B60" s="604"/>
      <c r="C60" s="592"/>
      <c r="D60" s="633"/>
      <c r="E60" s="673"/>
      <c r="F60" s="615"/>
      <c r="G60" s="616"/>
      <c r="H60" s="617"/>
      <c r="I60" s="617"/>
      <c r="J60" s="667">
        <f t="shared" si="14"/>
        <v>0</v>
      </c>
      <c r="M60" s="386"/>
      <c r="N60" s="386"/>
      <c r="O60" s="386"/>
      <c r="P60" s="386"/>
      <c r="Q60" s="386"/>
      <c r="R60" s="386"/>
      <c r="S60" s="361"/>
      <c r="T60" s="361"/>
      <c r="U60" s="361"/>
      <c r="V60" s="361"/>
      <c r="W60" s="361"/>
      <c r="X60" s="361"/>
      <c r="Y60" s="361"/>
      <c r="Z60" s="361"/>
      <c r="AA60" s="361"/>
    </row>
    <row r="61" spans="1:27">
      <c r="A61" s="674"/>
      <c r="B61" s="675"/>
      <c r="C61" s="396"/>
      <c r="D61" s="677"/>
      <c r="E61" s="677"/>
      <c r="F61" s="677"/>
      <c r="G61" s="676"/>
      <c r="H61" s="678">
        <f>SUM(H47:H59)</f>
        <v>73987</v>
      </c>
      <c r="I61" s="679">
        <f>SUM(I47:I60)</f>
        <v>13809882.4</v>
      </c>
      <c r="J61" s="680">
        <f>SUM(J47:J60)</f>
        <v>0.99999999999999989</v>
      </c>
      <c r="M61" s="386"/>
      <c r="N61" s="386"/>
      <c r="O61" s="386"/>
      <c r="P61" s="386"/>
      <c r="Q61" s="386"/>
      <c r="R61" s="386"/>
      <c r="S61" s="359"/>
      <c r="T61" s="359"/>
      <c r="U61" s="359"/>
      <c r="V61" s="359"/>
      <c r="W61" s="359"/>
      <c r="X61" s="359"/>
      <c r="Y61" s="359"/>
      <c r="Z61" s="592"/>
    </row>
    <row r="62" spans="1:27">
      <c r="A62" s="625"/>
      <c r="B62" s="592"/>
      <c r="C62" s="592"/>
      <c r="D62" s="592"/>
      <c r="E62" s="592"/>
      <c r="F62" s="592"/>
      <c r="G62" s="592"/>
      <c r="H62" s="592"/>
      <c r="I62" s="372"/>
      <c r="J62" s="681"/>
      <c r="M62" s="386"/>
      <c r="N62" s="386"/>
      <c r="O62" s="386"/>
      <c r="P62" s="386"/>
      <c r="Q62" s="386"/>
      <c r="R62" s="386"/>
      <c r="S62" s="359"/>
      <c r="T62" s="359"/>
      <c r="U62" s="359"/>
      <c r="V62" s="359"/>
      <c r="W62" s="359"/>
      <c r="X62" s="359"/>
      <c r="Y62" s="359"/>
      <c r="Z62" s="592"/>
    </row>
    <row r="63" spans="1:27" ht="15">
      <c r="A63" s="626" t="s">
        <v>129</v>
      </c>
      <c r="M63" s="386"/>
      <c r="N63" s="386"/>
      <c r="O63" s="386"/>
      <c r="P63" s="386"/>
      <c r="Q63" s="386"/>
      <c r="R63" s="386"/>
      <c r="S63" s="361"/>
      <c r="T63" s="361"/>
      <c r="U63" s="361"/>
      <c r="V63" s="361"/>
      <c r="W63" s="361"/>
      <c r="X63" s="361"/>
      <c r="Y63" s="361"/>
      <c r="Z63" s="592"/>
    </row>
    <row r="64" spans="1:27">
      <c r="A64" s="682"/>
      <c r="B64" s="683"/>
      <c r="C64" s="684"/>
      <c r="D64" s="685">
        <f t="shared" ref="D64:I64" si="17">(D43)</f>
        <v>1</v>
      </c>
      <c r="E64" s="685">
        <f t="shared" si="17"/>
        <v>2</v>
      </c>
      <c r="F64" s="685">
        <f t="shared" si="17"/>
        <v>3</v>
      </c>
      <c r="G64" s="685">
        <f t="shared" si="17"/>
        <v>4</v>
      </c>
      <c r="H64" s="685">
        <f t="shared" si="17"/>
        <v>5</v>
      </c>
      <c r="I64" s="685">
        <f t="shared" si="17"/>
        <v>6</v>
      </c>
      <c r="J64" s="361"/>
      <c r="K64" s="361"/>
      <c r="M64" s="386"/>
      <c r="N64" s="386"/>
      <c r="O64" s="386"/>
      <c r="P64" s="386"/>
      <c r="Q64" s="386"/>
      <c r="R64" s="386"/>
      <c r="S64" s="361"/>
      <c r="T64" s="361"/>
      <c r="U64" s="361"/>
      <c r="V64" s="361"/>
    </row>
    <row r="65" spans="1:22">
      <c r="A65" s="686"/>
      <c r="B65" s="381"/>
      <c r="C65" s="359"/>
      <c r="D65" s="362" t="str">
        <f>(D44)</f>
        <v>Minimum</v>
      </c>
      <c r="E65" s="735" t="str">
        <f t="shared" ref="E65:G66" si="18">(E22)</f>
        <v>Cost of</v>
      </c>
      <c r="F65" s="735" t="str">
        <f t="shared" si="18"/>
        <v>Weighted</v>
      </c>
      <c r="G65" s="733" t="str">
        <f t="shared" si="18"/>
        <v xml:space="preserve">Number </v>
      </c>
      <c r="H65" s="733" t="s">
        <v>1</v>
      </c>
      <c r="I65" s="702" t="s">
        <v>1</v>
      </c>
      <c r="J65" s="359"/>
      <c r="K65" s="359"/>
      <c r="M65" s="386"/>
      <c r="N65" s="386"/>
      <c r="O65" s="386"/>
      <c r="P65" s="386"/>
      <c r="Q65" s="386"/>
      <c r="R65" s="386"/>
      <c r="S65" s="361"/>
      <c r="T65" s="361"/>
      <c r="U65" s="361"/>
      <c r="V65" s="361"/>
    </row>
    <row r="66" spans="1:22" s="361" customFormat="1">
      <c r="A66" s="686"/>
      <c r="B66" s="381"/>
      <c r="C66" s="359"/>
      <c r="D66" s="365" t="str">
        <f>(D45)</f>
        <v>Size</v>
      </c>
      <c r="E66" s="687" t="str">
        <f t="shared" si="18"/>
        <v>Minimum</v>
      </c>
      <c r="F66" s="732" t="str">
        <f t="shared" si="18"/>
        <v>Cost</v>
      </c>
      <c r="G66" s="687" t="str">
        <f t="shared" si="18"/>
        <v>of</v>
      </c>
      <c r="H66" s="687" t="str">
        <f>(H23)</f>
        <v>Relative</v>
      </c>
      <c r="I66" s="687" t="str">
        <f>(I23)</f>
        <v>Allocation</v>
      </c>
      <c r="L66" s="525" t="s">
        <v>1</v>
      </c>
      <c r="M66" s="386"/>
      <c r="N66" s="386"/>
      <c r="O66" s="386"/>
      <c r="P66" s="386"/>
      <c r="Q66" s="386"/>
      <c r="R66" s="386"/>
    </row>
    <row r="67" spans="1:22" s="361" customFormat="1">
      <c r="A67" s="686"/>
      <c r="B67" s="381"/>
      <c r="C67" s="359"/>
      <c r="D67" s="383" t="s">
        <v>115</v>
      </c>
      <c r="E67" s="664" t="s">
        <v>115</v>
      </c>
      <c r="F67" s="736" t="s">
        <v>115</v>
      </c>
      <c r="G67" s="737" t="str">
        <f>(G24)</f>
        <v>Customers</v>
      </c>
      <c r="H67" s="737" t="str">
        <f>(H24)</f>
        <v>Weight</v>
      </c>
      <c r="I67" s="737" t="str">
        <f>(I24)</f>
        <v>Percent</v>
      </c>
      <c r="L67" s="525"/>
      <c r="M67" s="386"/>
      <c r="N67" s="386"/>
      <c r="O67" s="386"/>
      <c r="P67" s="386"/>
      <c r="Q67" s="386"/>
      <c r="R67" s="386"/>
    </row>
    <row r="68" spans="1:22" s="361" customFormat="1">
      <c r="A68" s="688">
        <f>(A47)</f>
        <v>10</v>
      </c>
      <c r="B68" s="689" t="str">
        <f>(B47)</f>
        <v xml:space="preserve">Residential  </v>
      </c>
      <c r="C68" s="530"/>
      <c r="D68" s="734">
        <v>200</v>
      </c>
      <c r="E68" s="690">
        <v>124.13</v>
      </c>
      <c r="F68" s="616">
        <f t="shared" ref="F68:F77" si="19">(E68/$E$68)</f>
        <v>1</v>
      </c>
      <c r="G68" s="617">
        <f>G4</f>
        <v>46551</v>
      </c>
      <c r="H68" s="615">
        <f t="shared" ref="H68:H77" si="20">(G68*F68)</f>
        <v>46551</v>
      </c>
      <c r="I68" s="691">
        <f t="shared" ref="I68:I80" si="21">(H68/$H$81)</f>
        <v>0.88391987006800365</v>
      </c>
      <c r="K68" s="361" t="s">
        <v>567</v>
      </c>
      <c r="L68" s="525"/>
      <c r="M68" s="386"/>
      <c r="N68" s="386"/>
      <c r="O68" s="386"/>
      <c r="P68" s="386"/>
      <c r="Q68" s="386"/>
      <c r="R68" s="386"/>
    </row>
    <row r="69" spans="1:22" s="361" customFormat="1">
      <c r="A69" s="688">
        <f t="shared" ref="A69:A74" si="22">(A48)</f>
        <v>11</v>
      </c>
      <c r="B69" s="689" t="str">
        <f>(B48)</f>
        <v>Residential ETS</v>
      </c>
      <c r="C69" s="530"/>
      <c r="D69" s="734">
        <v>200</v>
      </c>
      <c r="E69" s="690">
        <v>124.13</v>
      </c>
      <c r="F69" s="616">
        <f t="shared" si="19"/>
        <v>1</v>
      </c>
      <c r="G69" s="617">
        <v>1090</v>
      </c>
      <c r="H69" s="615">
        <f t="shared" si="20"/>
        <v>1090</v>
      </c>
      <c r="I69" s="691">
        <f t="shared" si="21"/>
        <v>2.0697142024320079E-2</v>
      </c>
      <c r="L69" s="525"/>
      <c r="M69" s="386"/>
      <c r="N69" s="386"/>
      <c r="O69" s="386"/>
      <c r="P69" s="386"/>
      <c r="Q69" s="386"/>
      <c r="R69" s="386"/>
    </row>
    <row r="70" spans="1:22" s="361" customFormat="1">
      <c r="A70" s="688">
        <f t="shared" si="22"/>
        <v>20</v>
      </c>
      <c r="B70" s="689" t="str">
        <f t="shared" ref="B70:B80" si="23">(B49)</f>
        <v xml:space="preserve">Small Commercial  </v>
      </c>
      <c r="C70" s="530"/>
      <c r="D70" s="734">
        <v>200</v>
      </c>
      <c r="E70" s="690">
        <v>124.13</v>
      </c>
      <c r="F70" s="616">
        <f t="shared" si="19"/>
        <v>1</v>
      </c>
      <c r="G70" s="617">
        <f t="shared" ref="G70:G76" si="24">G6</f>
        <v>3484</v>
      </c>
      <c r="H70" s="615">
        <f t="shared" si="20"/>
        <v>3484</v>
      </c>
      <c r="I70" s="691">
        <f t="shared" si="21"/>
        <v>6.6154901663056112E-2</v>
      </c>
      <c r="L70" s="525"/>
      <c r="M70" s="386"/>
      <c r="N70" s="386"/>
      <c r="O70" s="386"/>
      <c r="P70" s="386"/>
      <c r="Q70" s="386"/>
      <c r="R70" s="386"/>
    </row>
    <row r="71" spans="1:22" s="361" customFormat="1">
      <c r="A71" s="688">
        <f t="shared" si="22"/>
        <v>22</v>
      </c>
      <c r="B71" s="689" t="str">
        <f t="shared" si="23"/>
        <v>Small Commercial ETS</v>
      </c>
      <c r="C71" s="530"/>
      <c r="D71" s="734">
        <v>200</v>
      </c>
      <c r="E71" s="690">
        <v>124.13</v>
      </c>
      <c r="F71" s="616">
        <f>(E71/$E$68)</f>
        <v>1</v>
      </c>
      <c r="G71" s="617">
        <v>16</v>
      </c>
      <c r="H71" s="615">
        <f t="shared" si="20"/>
        <v>16</v>
      </c>
      <c r="I71" s="691">
        <f t="shared" si="21"/>
        <v>3.0381125907258833E-4</v>
      </c>
      <c r="L71" s="525"/>
      <c r="M71" s="386"/>
      <c r="N71" s="386"/>
      <c r="O71" s="386"/>
      <c r="P71" s="386"/>
      <c r="Q71" s="386"/>
      <c r="R71" s="386"/>
    </row>
    <row r="72" spans="1:22" s="361" customFormat="1">
      <c r="A72" s="688">
        <f t="shared" si="22"/>
        <v>40</v>
      </c>
      <c r="B72" s="689" t="str">
        <f t="shared" si="23"/>
        <v>Large Power &lt;50</v>
      </c>
      <c r="C72" s="530"/>
      <c r="D72" s="734">
        <v>2.5</v>
      </c>
      <c r="E72" s="615">
        <v>363.57</v>
      </c>
      <c r="F72" s="616">
        <f t="shared" si="19"/>
        <v>2.9289454604044147</v>
      </c>
      <c r="G72" s="617">
        <f t="shared" si="24"/>
        <v>160</v>
      </c>
      <c r="H72" s="615">
        <f t="shared" si="20"/>
        <v>468.63127366470633</v>
      </c>
      <c r="I72" s="691">
        <f t="shared" si="21"/>
        <v>8.8984660808040707E-3</v>
      </c>
      <c r="K72" s="361" t="s">
        <v>568</v>
      </c>
      <c r="L72" s="525"/>
      <c r="M72" s="386"/>
      <c r="N72" s="386"/>
      <c r="O72" s="386"/>
      <c r="P72" s="386"/>
      <c r="Q72" s="386"/>
      <c r="R72" s="386"/>
    </row>
    <row r="73" spans="1:22" s="361" customFormat="1">
      <c r="A73" s="688">
        <f t="shared" si="22"/>
        <v>46</v>
      </c>
      <c r="B73" s="689" t="str">
        <f t="shared" si="23"/>
        <v>Large Power 50-500</v>
      </c>
      <c r="C73" s="530"/>
      <c r="D73" s="734">
        <v>2.5</v>
      </c>
      <c r="E73" s="615">
        <v>363.57</v>
      </c>
      <c r="F73" s="616">
        <f t="shared" si="19"/>
        <v>2.9289454604044147</v>
      </c>
      <c r="G73" s="617">
        <f t="shared" si="24"/>
        <v>2</v>
      </c>
      <c r="H73" s="615">
        <f t="shared" si="20"/>
        <v>5.8578909208088294</v>
      </c>
      <c r="I73" s="691">
        <f t="shared" si="21"/>
        <v>1.1123082601005089E-4</v>
      </c>
      <c r="L73" s="525"/>
      <c r="M73" s="386"/>
      <c r="N73" s="386"/>
      <c r="O73" s="386"/>
      <c r="P73" s="386"/>
      <c r="Q73" s="386"/>
      <c r="R73" s="386"/>
    </row>
    <row r="74" spans="1:22" s="361" customFormat="1">
      <c r="A74" s="688">
        <f t="shared" si="22"/>
        <v>47</v>
      </c>
      <c r="B74" s="689" t="str">
        <f t="shared" si="23"/>
        <v>Large Power 500-4999</v>
      </c>
      <c r="C74" s="530"/>
      <c r="D74" s="734">
        <v>2.5</v>
      </c>
      <c r="E74" s="615">
        <v>363.57</v>
      </c>
      <c r="F74" s="616">
        <f t="shared" si="19"/>
        <v>2.9289454604044147</v>
      </c>
      <c r="G74" s="617">
        <f t="shared" si="24"/>
        <v>3</v>
      </c>
      <c r="H74" s="615">
        <f t="shared" si="20"/>
        <v>8.7868363812132451</v>
      </c>
      <c r="I74" s="691">
        <f t="shared" si="21"/>
        <v>1.6684623901507635E-4</v>
      </c>
      <c r="L74" s="525"/>
      <c r="M74" s="386"/>
      <c r="N74" s="386"/>
      <c r="O74" s="386"/>
      <c r="P74" s="386"/>
      <c r="Q74" s="386"/>
      <c r="R74" s="386"/>
    </row>
    <row r="75" spans="1:22" s="361" customFormat="1">
      <c r="A75" s="688">
        <f t="shared" ref="A75:A80" si="25">(A54)</f>
        <v>50</v>
      </c>
      <c r="B75" s="689" t="str">
        <f t="shared" si="23"/>
        <v>Schools, Churches</v>
      </c>
      <c r="C75" s="530"/>
      <c r="D75" s="734">
        <f>(D68)</f>
        <v>200</v>
      </c>
      <c r="E75" s="731">
        <f>(E68)</f>
        <v>124.13</v>
      </c>
      <c r="F75" s="616">
        <f t="shared" si="19"/>
        <v>1</v>
      </c>
      <c r="G75" s="617">
        <f t="shared" si="24"/>
        <v>1016</v>
      </c>
      <c r="H75" s="615">
        <f t="shared" si="20"/>
        <v>1016</v>
      </c>
      <c r="I75" s="691">
        <f t="shared" si="21"/>
        <v>1.9292014951109358E-2</v>
      </c>
      <c r="L75" s="525"/>
      <c r="M75" s="386"/>
      <c r="N75" s="386"/>
      <c r="O75" s="386"/>
      <c r="P75" s="386"/>
      <c r="Q75" s="386"/>
      <c r="R75" s="386"/>
    </row>
    <row r="76" spans="1:22" s="361" customFormat="1">
      <c r="A76" s="688">
        <f t="shared" si="25"/>
        <v>52</v>
      </c>
      <c r="B76" s="689" t="str">
        <f t="shared" si="23"/>
        <v>All Electric Schools</v>
      </c>
      <c r="C76" s="530"/>
      <c r="D76" s="734">
        <v>200</v>
      </c>
      <c r="E76" s="690">
        <v>124.13</v>
      </c>
      <c r="F76" s="616">
        <f t="shared" si="19"/>
        <v>1</v>
      </c>
      <c r="G76" s="617">
        <f t="shared" si="24"/>
        <v>24</v>
      </c>
      <c r="H76" s="615">
        <f t="shared" si="20"/>
        <v>24</v>
      </c>
      <c r="I76" s="691">
        <f t="shared" si="21"/>
        <v>4.5571688860888249E-4</v>
      </c>
      <c r="L76" s="525"/>
      <c r="M76" s="386"/>
      <c r="N76" s="386"/>
      <c r="O76" s="386"/>
      <c r="P76" s="386"/>
      <c r="Q76" s="386"/>
      <c r="R76" s="386"/>
    </row>
    <row r="77" spans="1:22" s="361" customFormat="1">
      <c r="A77" s="688">
        <f t="shared" si="25"/>
        <v>0</v>
      </c>
      <c r="B77" s="689" t="str">
        <f t="shared" si="23"/>
        <v>Out Door Lighting</v>
      </c>
      <c r="C77" s="530"/>
      <c r="D77" s="734">
        <v>200</v>
      </c>
      <c r="E77" s="690">
        <v>124.13</v>
      </c>
      <c r="F77" s="616">
        <f t="shared" si="19"/>
        <v>1</v>
      </c>
      <c r="G77" s="617">
        <v>0</v>
      </c>
      <c r="H77" s="615">
        <f t="shared" si="20"/>
        <v>0</v>
      </c>
      <c r="I77" s="691">
        <f t="shared" si="21"/>
        <v>0</v>
      </c>
      <c r="L77" s="525"/>
      <c r="M77" s="386"/>
      <c r="N77" s="386"/>
      <c r="O77" s="386"/>
      <c r="P77" s="386"/>
      <c r="Q77" s="386"/>
      <c r="R77" s="386"/>
    </row>
    <row r="78" spans="1:22" s="361" customFormat="1">
      <c r="A78" s="692">
        <f t="shared" si="25"/>
        <v>0</v>
      </c>
      <c r="B78" s="689">
        <f t="shared" si="23"/>
        <v>0</v>
      </c>
      <c r="C78" s="530"/>
      <c r="D78" s="381"/>
      <c r="E78" s="615">
        <v>0</v>
      </c>
      <c r="F78" s="616">
        <v>0</v>
      </c>
      <c r="G78" s="617">
        <f t="shared" ref="G78:G80" si="26">(G35)</f>
        <v>0</v>
      </c>
      <c r="H78" s="615">
        <v>0</v>
      </c>
      <c r="I78" s="691">
        <f t="shared" si="21"/>
        <v>0</v>
      </c>
      <c r="L78" s="525"/>
      <c r="M78" s="386"/>
      <c r="N78" s="386"/>
      <c r="O78" s="386"/>
      <c r="P78" s="386"/>
      <c r="Q78" s="386"/>
      <c r="R78" s="386"/>
    </row>
    <row r="79" spans="1:22" s="361" customFormat="1">
      <c r="A79" s="692">
        <f t="shared" si="25"/>
        <v>0</v>
      </c>
      <c r="B79" s="689">
        <f t="shared" si="23"/>
        <v>0</v>
      </c>
      <c r="C79" s="530"/>
      <c r="D79" s="381"/>
      <c r="E79" s="615">
        <v>0</v>
      </c>
      <c r="F79" s="616">
        <v>0</v>
      </c>
      <c r="G79" s="617">
        <f t="shared" si="26"/>
        <v>0</v>
      </c>
      <c r="H79" s="615">
        <v>0</v>
      </c>
      <c r="I79" s="691">
        <f t="shared" si="21"/>
        <v>0</v>
      </c>
      <c r="L79" s="525"/>
      <c r="M79" s="386"/>
      <c r="N79" s="386"/>
      <c r="O79" s="386"/>
      <c r="P79" s="386"/>
      <c r="Q79" s="386"/>
      <c r="R79" s="386"/>
    </row>
    <row r="80" spans="1:22" s="361" customFormat="1">
      <c r="A80" s="692">
        <f t="shared" si="25"/>
        <v>0</v>
      </c>
      <c r="B80" s="689">
        <f t="shared" si="23"/>
        <v>0</v>
      </c>
      <c r="C80" s="530"/>
      <c r="D80" s="381"/>
      <c r="E80" s="615">
        <v>0</v>
      </c>
      <c r="F80" s="616">
        <v>0</v>
      </c>
      <c r="G80" s="617">
        <f t="shared" si="26"/>
        <v>0</v>
      </c>
      <c r="H80" s="615">
        <v>0</v>
      </c>
      <c r="I80" s="691">
        <f t="shared" si="21"/>
        <v>0</v>
      </c>
      <c r="L80" s="525"/>
      <c r="M80" s="386"/>
      <c r="N80" s="386"/>
      <c r="O80" s="386"/>
      <c r="P80" s="386"/>
      <c r="Q80" s="386"/>
      <c r="R80" s="386"/>
    </row>
    <row r="81" spans="1:23" s="361" customFormat="1">
      <c r="A81" s="694"/>
      <c r="B81" s="395"/>
      <c r="C81" s="390"/>
      <c r="D81" s="395"/>
      <c r="E81" s="695"/>
      <c r="F81" s="397"/>
      <c r="G81" s="677">
        <f>SUM(G68:G80)</f>
        <v>52346</v>
      </c>
      <c r="H81" s="677">
        <f>SUM(H68:H76)</f>
        <v>52664.276000966733</v>
      </c>
      <c r="I81" s="696">
        <f>SUM(I68:I76)</f>
        <v>0.99999999999999989</v>
      </c>
      <c r="L81" s="525"/>
      <c r="M81" s="386"/>
      <c r="N81" s="386"/>
      <c r="O81" s="386"/>
      <c r="P81" s="386"/>
      <c r="Q81" s="386"/>
      <c r="R81" s="386"/>
    </row>
    <row r="82" spans="1:23" s="361" customFormat="1">
      <c r="A82" s="697"/>
      <c r="B82" s="359"/>
      <c r="C82" s="359"/>
      <c r="D82" s="359"/>
      <c r="E82" s="359"/>
      <c r="F82" s="359"/>
      <c r="G82" s="359"/>
      <c r="H82" s="592"/>
      <c r="I82" s="624"/>
      <c r="L82" s="525"/>
      <c r="M82" s="386"/>
      <c r="N82" s="386"/>
      <c r="O82" s="386"/>
      <c r="P82" s="386"/>
      <c r="Q82" s="386"/>
      <c r="R82" s="386"/>
    </row>
    <row r="83" spans="1:23" s="361" customFormat="1">
      <c r="A83" s="697"/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525"/>
      <c r="M83" s="386"/>
      <c r="N83" s="386"/>
      <c r="O83" s="386"/>
      <c r="P83" s="386"/>
      <c r="Q83" s="386"/>
      <c r="R83" s="386"/>
    </row>
    <row r="84" spans="1:23" ht="15">
      <c r="A84" s="590" t="s">
        <v>130</v>
      </c>
      <c r="B84" s="591"/>
      <c r="C84" s="592"/>
      <c r="D84" s="592"/>
      <c r="E84" s="592"/>
      <c r="F84" s="592"/>
      <c r="G84" s="592"/>
      <c r="H84" s="592"/>
      <c r="I84" s="592"/>
      <c r="J84" s="592"/>
      <c r="K84" s="592"/>
      <c r="M84" s="386"/>
      <c r="N84" s="386"/>
      <c r="O84" s="386"/>
      <c r="P84" s="386"/>
      <c r="Q84" s="386"/>
      <c r="R84" s="386"/>
      <c r="S84" s="592"/>
    </row>
    <row r="85" spans="1:23">
      <c r="A85" s="625" t="s">
        <v>1</v>
      </c>
      <c r="B85" s="592"/>
      <c r="C85" s="592"/>
      <c r="D85" s="359"/>
      <c r="E85" s="359"/>
      <c r="F85" s="359"/>
      <c r="G85" s="359"/>
      <c r="H85" s="359"/>
      <c r="I85" s="359"/>
      <c r="J85" s="359"/>
      <c r="K85" s="359"/>
      <c r="M85" s="386"/>
      <c r="N85" s="386"/>
      <c r="O85" s="386"/>
      <c r="P85" s="386"/>
      <c r="Q85" s="386"/>
      <c r="R85" s="386"/>
      <c r="S85" s="592"/>
    </row>
    <row r="86" spans="1:23" s="663" customFormat="1">
      <c r="A86" s="371"/>
      <c r="B86" s="602"/>
      <c r="C86" s="602"/>
      <c r="D86" s="358">
        <v>1</v>
      </c>
      <c r="E86" s="358">
        <v>2</v>
      </c>
      <c r="F86" s="358">
        <v>3</v>
      </c>
      <c r="G86" s="358">
        <v>4</v>
      </c>
      <c r="H86" s="358">
        <v>5</v>
      </c>
      <c r="I86" s="358">
        <v>6</v>
      </c>
      <c r="J86" s="358"/>
      <c r="K86" s="358"/>
      <c r="L86" s="698"/>
      <c r="M86" s="524"/>
      <c r="N86" s="524"/>
      <c r="O86" s="524"/>
      <c r="P86" s="524"/>
      <c r="Q86" s="524"/>
      <c r="R86" s="524"/>
      <c r="S86" s="602"/>
    </row>
    <row r="87" spans="1:23">
      <c r="A87" s="699"/>
      <c r="B87" s="700"/>
      <c r="C87" s="701"/>
      <c r="D87" s="702" t="s">
        <v>433</v>
      </c>
      <c r="E87" s="702" t="s">
        <v>1</v>
      </c>
      <c r="F87" s="703" t="s">
        <v>434</v>
      </c>
      <c r="G87" s="703" t="s">
        <v>435</v>
      </c>
      <c r="H87" s="702" t="s">
        <v>436</v>
      </c>
      <c r="I87" s="704" t="s">
        <v>82</v>
      </c>
      <c r="J87" s="359"/>
      <c r="K87" s="359"/>
      <c r="M87" s="386"/>
      <c r="N87" s="386"/>
      <c r="O87" s="386"/>
      <c r="P87" s="386"/>
      <c r="Q87" s="386"/>
      <c r="R87" s="386"/>
      <c r="S87" s="592"/>
    </row>
    <row r="88" spans="1:23" ht="16.5">
      <c r="A88" s="674" t="s">
        <v>123</v>
      </c>
      <c r="B88" s="675"/>
      <c r="C88" s="676"/>
      <c r="D88" s="739" t="s">
        <v>132</v>
      </c>
      <c r="E88" s="638" t="s">
        <v>343</v>
      </c>
      <c r="F88" s="637" t="s">
        <v>248</v>
      </c>
      <c r="G88" s="638" t="s">
        <v>217</v>
      </c>
      <c r="H88" s="638" t="s">
        <v>15</v>
      </c>
      <c r="I88" s="370" t="s">
        <v>114</v>
      </c>
      <c r="J88" s="359"/>
      <c r="K88" s="359"/>
      <c r="M88" s="386"/>
      <c r="N88" s="386"/>
      <c r="O88" s="386"/>
      <c r="P88" s="386"/>
      <c r="Q88" s="386"/>
      <c r="R88" s="386"/>
      <c r="S88" s="592"/>
    </row>
    <row r="89" spans="1:23">
      <c r="A89" s="699">
        <f t="shared" ref="A89:B91" si="27">(A4)</f>
        <v>10</v>
      </c>
      <c r="B89" s="705" t="str">
        <f t="shared" si="27"/>
        <v xml:space="preserve">Residential  </v>
      </c>
      <c r="C89" s="738"/>
      <c r="D89" s="740">
        <v>4</v>
      </c>
      <c r="E89" s="706">
        <v>2</v>
      </c>
      <c r="F89" s="706">
        <f>(D89*E89)</f>
        <v>8</v>
      </c>
      <c r="G89" s="707">
        <f>G4</f>
        <v>46551</v>
      </c>
      <c r="H89" s="707">
        <f>(F89*G89)</f>
        <v>372408</v>
      </c>
      <c r="I89" s="745">
        <f>(H89/$H$103)</f>
        <v>0.82899321448903873</v>
      </c>
      <c r="J89" s="592"/>
      <c r="K89" s="592"/>
      <c r="M89" s="386"/>
      <c r="N89" s="386"/>
      <c r="O89" s="386"/>
      <c r="P89" s="386"/>
      <c r="Q89" s="386"/>
      <c r="R89" s="386"/>
      <c r="S89" s="592"/>
      <c r="W89" s="678"/>
    </row>
    <row r="90" spans="1:23">
      <c r="A90" s="666">
        <f t="shared" si="27"/>
        <v>11</v>
      </c>
      <c r="B90" s="708" t="str">
        <f t="shared" si="27"/>
        <v>Residential ETS</v>
      </c>
      <c r="C90" s="592"/>
      <c r="D90" s="741">
        <v>3</v>
      </c>
      <c r="E90" s="709">
        <v>1</v>
      </c>
      <c r="F90" s="709">
        <f t="shared" ref="F90:F98" si="28">(D90*E90)</f>
        <v>3</v>
      </c>
      <c r="G90" s="617">
        <v>1090</v>
      </c>
      <c r="H90" s="617">
        <f t="shared" ref="H90:H96" si="29">(F90*G90)</f>
        <v>3270</v>
      </c>
      <c r="I90" s="746">
        <f t="shared" ref="I90:I98" si="30">(H90/$H$103)</f>
        <v>7.2791342059761246E-3</v>
      </c>
      <c r="J90" s="359"/>
      <c r="K90" s="359"/>
      <c r="M90" s="386"/>
      <c r="N90" s="386"/>
      <c r="O90" s="386"/>
      <c r="P90" s="386"/>
      <c r="Q90" s="386"/>
      <c r="R90" s="386"/>
      <c r="S90" s="592"/>
    </row>
    <row r="91" spans="1:23">
      <c r="A91" s="666">
        <f t="shared" si="27"/>
        <v>20</v>
      </c>
      <c r="B91" s="708" t="str">
        <f t="shared" si="27"/>
        <v xml:space="preserve">Small Commercial  </v>
      </c>
      <c r="C91" s="592"/>
      <c r="D91" s="741">
        <v>4</v>
      </c>
      <c r="E91" s="709">
        <v>3</v>
      </c>
      <c r="F91" s="709">
        <f t="shared" si="28"/>
        <v>12</v>
      </c>
      <c r="G91" s="617">
        <f t="shared" ref="G91:G97" si="31">G6</f>
        <v>3484</v>
      </c>
      <c r="H91" s="617">
        <f t="shared" si="29"/>
        <v>41808</v>
      </c>
      <c r="I91" s="746">
        <f t="shared" si="30"/>
        <v>9.3066068160076398E-2</v>
      </c>
      <c r="J91" s="359"/>
      <c r="K91" s="359"/>
      <c r="M91" s="386"/>
      <c r="N91" s="386"/>
      <c r="O91" s="386"/>
      <c r="P91" s="386"/>
      <c r="Q91" s="386"/>
      <c r="R91" s="386"/>
      <c r="S91" s="592"/>
    </row>
    <row r="92" spans="1:23">
      <c r="A92" s="666">
        <f t="shared" ref="A92:B98" si="32">(A7)</f>
        <v>22</v>
      </c>
      <c r="B92" s="708" t="str">
        <f t="shared" si="32"/>
        <v>Small Commercial ETS</v>
      </c>
      <c r="C92" s="592"/>
      <c r="D92" s="741">
        <v>3</v>
      </c>
      <c r="E92" s="709">
        <v>1</v>
      </c>
      <c r="F92" s="709">
        <f t="shared" si="28"/>
        <v>3</v>
      </c>
      <c r="G92" s="617">
        <v>16</v>
      </c>
      <c r="H92" s="617">
        <f t="shared" si="29"/>
        <v>48</v>
      </c>
      <c r="I92" s="746">
        <f t="shared" si="30"/>
        <v>1.0684967641799816E-4</v>
      </c>
      <c r="J92" s="359"/>
      <c r="K92" s="359"/>
      <c r="M92" s="386"/>
      <c r="N92" s="386"/>
      <c r="O92" s="386"/>
      <c r="P92" s="386"/>
      <c r="Q92" s="386"/>
      <c r="R92" s="386"/>
      <c r="S92" s="592"/>
    </row>
    <row r="93" spans="1:23">
      <c r="A93" s="666">
        <f t="shared" si="32"/>
        <v>40</v>
      </c>
      <c r="B93" s="708" t="str">
        <f t="shared" si="32"/>
        <v>Large Power &lt;50</v>
      </c>
      <c r="C93" s="592"/>
      <c r="D93" s="741">
        <v>6</v>
      </c>
      <c r="E93" s="709">
        <v>3</v>
      </c>
      <c r="F93" s="709">
        <f t="shared" si="28"/>
        <v>18</v>
      </c>
      <c r="G93" s="617">
        <f t="shared" si="31"/>
        <v>160</v>
      </c>
      <c r="H93" s="617">
        <f t="shared" si="29"/>
        <v>2880</v>
      </c>
      <c r="I93" s="746">
        <f t="shared" si="30"/>
        <v>6.4109805850798892E-3</v>
      </c>
      <c r="J93" s="359"/>
      <c r="K93" s="359"/>
      <c r="M93" s="386"/>
      <c r="N93" s="386"/>
      <c r="O93" s="386"/>
      <c r="P93" s="386"/>
      <c r="Q93" s="386"/>
      <c r="R93" s="386"/>
      <c r="S93" s="592"/>
    </row>
    <row r="94" spans="1:23">
      <c r="A94" s="666">
        <f t="shared" si="32"/>
        <v>46</v>
      </c>
      <c r="B94" s="708" t="str">
        <f t="shared" si="32"/>
        <v>Large Power 50-500</v>
      </c>
      <c r="C94" s="592"/>
      <c r="D94" s="741">
        <v>8</v>
      </c>
      <c r="E94" s="709">
        <v>4</v>
      </c>
      <c r="F94" s="709">
        <f t="shared" si="28"/>
        <v>32</v>
      </c>
      <c r="G94" s="617">
        <f t="shared" si="31"/>
        <v>2</v>
      </c>
      <c r="H94" s="617">
        <f t="shared" si="29"/>
        <v>64</v>
      </c>
      <c r="I94" s="746">
        <f t="shared" si="30"/>
        <v>1.4246623522399753E-4</v>
      </c>
      <c r="J94" s="359"/>
      <c r="K94" s="359"/>
      <c r="M94" s="386"/>
      <c r="N94" s="386"/>
      <c r="O94" s="386"/>
      <c r="P94" s="386"/>
      <c r="Q94" s="386"/>
      <c r="R94" s="386"/>
      <c r="S94" s="592"/>
    </row>
    <row r="95" spans="1:23">
      <c r="A95" s="666">
        <f t="shared" si="32"/>
        <v>47</v>
      </c>
      <c r="B95" s="708" t="str">
        <f t="shared" si="32"/>
        <v>Large Power 500-4999</v>
      </c>
      <c r="C95" s="592"/>
      <c r="D95" s="741">
        <v>8</v>
      </c>
      <c r="E95" s="690">
        <v>4</v>
      </c>
      <c r="F95" s="709">
        <f t="shared" si="28"/>
        <v>32</v>
      </c>
      <c r="G95" s="617">
        <f t="shared" si="31"/>
        <v>3</v>
      </c>
      <c r="H95" s="617">
        <f t="shared" si="29"/>
        <v>96</v>
      </c>
      <c r="I95" s="746">
        <f t="shared" si="30"/>
        <v>2.1369935283599632E-4</v>
      </c>
      <c r="J95" s="359"/>
      <c r="K95" s="359"/>
      <c r="M95" s="386"/>
      <c r="N95" s="386"/>
      <c r="O95" s="386"/>
      <c r="P95" s="386"/>
      <c r="Q95" s="386"/>
      <c r="R95" s="386"/>
      <c r="S95" s="592"/>
    </row>
    <row r="96" spans="1:23" s="361" customFormat="1">
      <c r="A96" s="666">
        <f t="shared" si="32"/>
        <v>50</v>
      </c>
      <c r="B96" s="708" t="str">
        <f t="shared" si="32"/>
        <v>Schools, Churches</v>
      </c>
      <c r="C96" s="390"/>
      <c r="D96" s="742">
        <v>4</v>
      </c>
      <c r="E96" s="709">
        <v>3</v>
      </c>
      <c r="F96" s="709">
        <f t="shared" si="28"/>
        <v>12</v>
      </c>
      <c r="G96" s="617">
        <f t="shared" si="31"/>
        <v>1016</v>
      </c>
      <c r="H96" s="617">
        <f t="shared" si="29"/>
        <v>12192</v>
      </c>
      <c r="I96" s="746">
        <f t="shared" si="30"/>
        <v>2.7139817810171534E-2</v>
      </c>
      <c r="J96" s="359"/>
      <c r="K96" s="359"/>
      <c r="L96" s="525"/>
      <c r="M96" s="386"/>
      <c r="N96" s="386"/>
      <c r="O96" s="386"/>
      <c r="P96" s="386"/>
      <c r="Q96" s="386"/>
      <c r="R96" s="386"/>
      <c r="S96" s="359"/>
    </row>
    <row r="97" spans="1:19">
      <c r="A97" s="666">
        <f t="shared" si="32"/>
        <v>52</v>
      </c>
      <c r="B97" s="708" t="str">
        <f t="shared" si="32"/>
        <v>All Electric Schools</v>
      </c>
      <c r="C97" s="592"/>
      <c r="D97" s="693">
        <v>4</v>
      </c>
      <c r="E97" s="709">
        <v>3</v>
      </c>
      <c r="F97" s="709">
        <f t="shared" si="28"/>
        <v>12</v>
      </c>
      <c r="G97" s="617">
        <f t="shared" si="31"/>
        <v>24</v>
      </c>
      <c r="H97" s="617">
        <f>(F97*G97)</f>
        <v>288</v>
      </c>
      <c r="I97" s="746">
        <f t="shared" si="30"/>
        <v>6.4109805850798892E-4</v>
      </c>
      <c r="J97" s="359"/>
      <c r="K97" s="359"/>
      <c r="M97" s="386"/>
      <c r="N97" s="386"/>
      <c r="O97" s="386"/>
      <c r="P97" s="386"/>
      <c r="Q97" s="386"/>
      <c r="R97" s="386"/>
      <c r="S97" s="592"/>
    </row>
    <row r="98" spans="1:19" s="386" customFormat="1" ht="15" thickBot="1">
      <c r="A98" s="711">
        <f t="shared" si="32"/>
        <v>0</v>
      </c>
      <c r="B98" s="712" t="str">
        <f t="shared" si="32"/>
        <v>Out Door Lighting</v>
      </c>
      <c r="C98" s="512"/>
      <c r="D98" s="695">
        <v>3</v>
      </c>
      <c r="E98" s="743">
        <v>0.25</v>
      </c>
      <c r="F98" s="743">
        <f t="shared" si="28"/>
        <v>0.75</v>
      </c>
      <c r="G98" s="744">
        <v>21567</v>
      </c>
      <c r="H98" s="744">
        <f>(F98*G98)</f>
        <v>16175.25</v>
      </c>
      <c r="I98" s="747">
        <f t="shared" si="30"/>
        <v>3.6006671426671348E-2</v>
      </c>
    </row>
    <row r="99" spans="1:19" s="386" customFormat="1" ht="15" thickTop="1">
      <c r="A99" s="666"/>
      <c r="B99" s="708"/>
      <c r="C99" s="465"/>
      <c r="D99" s="359"/>
      <c r="E99" s="713"/>
      <c r="F99" s="748"/>
      <c r="G99" s="707"/>
      <c r="H99" s="373"/>
      <c r="I99" s="710"/>
    </row>
    <row r="100" spans="1:19" s="386" customFormat="1">
      <c r="A100" s="666"/>
      <c r="B100" s="708"/>
      <c r="C100" s="465"/>
      <c r="D100" s="359"/>
      <c r="E100" s="713"/>
      <c r="F100" s="748"/>
      <c r="G100" s="617"/>
      <c r="H100" s="373"/>
      <c r="I100" s="710"/>
    </row>
    <row r="101" spans="1:19" s="386" customFormat="1">
      <c r="A101" s="666"/>
      <c r="B101" s="708"/>
      <c r="C101" s="465"/>
      <c r="D101" s="359"/>
      <c r="E101" s="713"/>
      <c r="F101" s="748"/>
      <c r="G101" s="617"/>
      <c r="H101" s="373"/>
      <c r="I101" s="710"/>
    </row>
    <row r="102" spans="1:19" s="386" customFormat="1">
      <c r="A102" s="542"/>
      <c r="B102" s="465"/>
      <c r="C102" s="465"/>
      <c r="D102" s="465"/>
      <c r="E102" s="465"/>
      <c r="F102" s="465"/>
      <c r="G102" s="483"/>
      <c r="H102" s="373">
        <f>(G102*D102)</f>
        <v>0</v>
      </c>
      <c r="I102" s="543"/>
    </row>
    <row r="103" spans="1:19" s="386" customFormat="1" ht="12.75">
      <c r="A103" s="714"/>
      <c r="B103" s="500"/>
      <c r="C103" s="500"/>
      <c r="D103" s="500"/>
      <c r="E103" s="500"/>
      <c r="F103" s="500"/>
      <c r="G103" s="749">
        <f>SUM(G89:G101)</f>
        <v>73913</v>
      </c>
      <c r="H103" s="715">
        <f>SUM(H89:H101)</f>
        <v>449229.25</v>
      </c>
      <c r="I103" s="716">
        <f>SUM(I89:I101)</f>
        <v>1</v>
      </c>
      <c r="L103" s="717">
        <f>(I99*5000000)</f>
        <v>0</v>
      </c>
    </row>
    <row r="104" spans="1:19" s="386" customFormat="1" ht="12.75">
      <c r="I104" s="386" t="s">
        <v>1</v>
      </c>
    </row>
    <row r="105" spans="1:19" s="386" customFormat="1" ht="12.75"/>
    <row r="106" spans="1:19" s="386" customFormat="1" ht="12.75"/>
    <row r="107" spans="1:19" s="386" customFormat="1" ht="12.75"/>
    <row r="108" spans="1:19" s="386" customFormat="1" ht="12.75"/>
    <row r="109" spans="1:19" s="386" customFormat="1" ht="12.75"/>
    <row r="110" spans="1:19" s="386" customFormat="1" ht="12.75"/>
    <row r="111" spans="1:19" s="386" customFormat="1" ht="12.75"/>
    <row r="112" spans="1:19" s="386" customFormat="1" ht="12.75"/>
    <row r="113" spans="2:11" s="386" customFormat="1" ht="12.75"/>
    <row r="114" spans="2:11" s="386" customFormat="1" ht="12.75"/>
    <row r="115" spans="2:11" s="386" customFormat="1" ht="12.75"/>
    <row r="116" spans="2:11" s="386" customFormat="1" ht="12.75"/>
    <row r="117" spans="2:11" s="386" customFormat="1" ht="12.75"/>
    <row r="118" spans="2:11" s="386" customFormat="1" ht="12.75"/>
    <row r="119" spans="2:11" s="386" customFormat="1" ht="12.75"/>
    <row r="120" spans="2:11" s="386" customFormat="1" ht="12.75"/>
    <row r="121" spans="2:11" s="386" customFormat="1" ht="12.75"/>
    <row r="122" spans="2:11" s="386" customFormat="1" ht="12.75"/>
    <row r="123" spans="2:11">
      <c r="B123" s="361"/>
      <c r="C123" s="361"/>
      <c r="D123" s="361"/>
      <c r="E123" s="361"/>
      <c r="F123" s="361"/>
      <c r="G123" s="361"/>
      <c r="H123" s="361"/>
      <c r="I123" s="361"/>
      <c r="J123" s="361"/>
      <c r="K123" s="361"/>
    </row>
    <row r="124" spans="2:11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</row>
    <row r="125" spans="2:11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</row>
    <row r="126" spans="2:11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</row>
    <row r="127" spans="2:11">
      <c r="B127" s="361"/>
      <c r="C127" s="361"/>
      <c r="D127" s="361"/>
      <c r="E127" s="361"/>
      <c r="F127" s="361"/>
      <c r="G127" s="361"/>
      <c r="H127" s="361"/>
      <c r="I127" s="361"/>
      <c r="J127" s="361"/>
      <c r="K127" s="361"/>
    </row>
  </sheetData>
  <customSheetViews>
    <customSheetView guid="{18050E3F-BBF0-4BF6-9B33-B0817BE1B1C5}" scale="60" showPageBreaks="1" printArea="1" view="pageBreakPreview" showRuler="0" topLeftCell="A78">
      <selection activeCell="L98" sqref="L98"/>
      <rowBreaks count="2" manualBreakCount="2">
        <brk id="43" max="9" man="1"/>
        <brk id="84" max="9" man="1"/>
      </rowBreaks>
      <pageMargins left="0.75" right="0.75" top="1" bottom="1" header="0.5" footer="0.5"/>
      <printOptions horizontalCentered="1" verticalCentered="1" gridLines="1"/>
      <pageSetup scale="76" orientation="landscape" horizontalDpi="4294967293" r:id="rId1"/>
      <headerFooter alignWithMargins="0">
        <oddHeader>&amp;C&amp;"Arial,Bold"&amp;12 MEADE COUNTY RECC
CASE NO. 2010-00222
ALLOCATION OF CONSUMER RELATED COSTS&amp;R&amp;11Exhibit R
Schedule 4.2
Page ____ of ____
Wintess:  Jim Adkins</oddHeader>
      </headerFooter>
    </customSheetView>
  </customSheetViews>
  <phoneticPr fontId="3" type="noConversion"/>
  <printOptions horizontalCentered="1" verticalCentered="1"/>
  <pageMargins left="0.75" right="0.75" top="1" bottom="1" header="0.5" footer="0.5"/>
  <pageSetup scale="76" orientation="landscape" horizontalDpi="4294967293" r:id="rId2"/>
  <headerFooter alignWithMargins="0">
    <oddHeader>&amp;C&amp;"Arial,Bold"&amp;12 JACKSON ENERGY COOPERATIVE
CASE NO. 2013-00219
ALLOCATION OF CONSUMER RELATED COSTS&amp;R&amp;11Revised Exhibit R
Schedule 4.2
Page ____ of ____
Wintess:  Jim Adkins</oddHeader>
  </headerFooter>
  <rowBreaks count="2" manualBreakCount="2">
    <brk id="41" max="9" man="1"/>
    <brk id="8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D1:V40"/>
  <sheetViews>
    <sheetView topLeftCell="B1" workbookViewId="0">
      <selection activeCell="F23" sqref="F23"/>
    </sheetView>
  </sheetViews>
  <sheetFormatPr defaultColWidth="14" defaultRowHeight="14.25"/>
  <cols>
    <col min="1" max="3" width="14" style="104" customWidth="1"/>
    <col min="4" max="4" width="17" style="104" customWidth="1"/>
    <col min="5" max="16384" width="14" style="104"/>
  </cols>
  <sheetData>
    <row r="1" spans="4:22">
      <c r="D1" s="198">
        <f>('4 Allocation'!D5)</f>
        <v>0</v>
      </c>
      <c r="E1" s="198">
        <f>('4 Allocation'!E5)</f>
        <v>10</v>
      </c>
      <c r="F1" s="198">
        <f>('4 Allocation'!F5)</f>
        <v>11</v>
      </c>
      <c r="G1" s="198">
        <f>('4 Allocation'!G5)</f>
        <v>20</v>
      </c>
      <c r="H1" s="198">
        <f>('4 Allocation'!H5)</f>
        <v>22</v>
      </c>
      <c r="I1" s="198">
        <f>('4 Allocation'!I5)</f>
        <v>40</v>
      </c>
      <c r="J1" s="198">
        <f>('4 Allocation'!J5)</f>
        <v>46</v>
      </c>
      <c r="K1" s="198">
        <f>('4 Allocation'!K5)</f>
        <v>47</v>
      </c>
      <c r="L1" s="198">
        <f>('4 Allocation'!L5)</f>
        <v>50</v>
      </c>
      <c r="M1" s="198">
        <f>('4 Allocation'!M5)</f>
        <v>52</v>
      </c>
      <c r="N1" s="198">
        <f>('4 Allocation'!N5)</f>
        <v>0</v>
      </c>
      <c r="O1" s="198" t="str">
        <f>('4 Allocation'!O5)</f>
        <v>Total</v>
      </c>
      <c r="P1" s="198">
        <f>('4 Allocation'!P5)</f>
        <v>0</v>
      </c>
      <c r="Q1" s="198">
        <f>('4 Allocation'!Q5)</f>
        <v>46</v>
      </c>
      <c r="R1" s="198">
        <f>('4 Allocation'!R5)</f>
        <v>47</v>
      </c>
      <c r="S1" s="198">
        <f>('4 Allocation'!S5)</f>
        <v>0</v>
      </c>
      <c r="T1" s="198">
        <f>('4 Allocation'!T5)</f>
        <v>0</v>
      </c>
      <c r="U1" s="198"/>
      <c r="V1" s="198"/>
    </row>
    <row r="2" spans="4:22">
      <c r="D2" s="198" t="str">
        <f>('4 Allocation'!D6)</f>
        <v>Green</v>
      </c>
      <c r="E2" s="198" t="str">
        <f>('4 Allocation'!E6)</f>
        <v>Residential</v>
      </c>
      <c r="F2" s="198" t="str">
        <f>('4 Allocation'!F6)</f>
        <v>Residential</v>
      </c>
      <c r="G2" s="198" t="str">
        <f>('4 Allocation'!G6)</f>
        <v>Comm. Sml Pow</v>
      </c>
      <c r="H2" s="198" t="str">
        <f>('4 Allocation'!H6)</f>
        <v>Comm &amp; Sml Pow</v>
      </c>
      <c r="I2" s="198" t="str">
        <f>('4 Allocation'!I6)</f>
        <v>Large Power</v>
      </c>
      <c r="J2" s="198" t="str">
        <f>('4 Allocation'!J6)</f>
        <v>Large Power</v>
      </c>
      <c r="K2" s="198" t="str">
        <f>('4 Allocation'!K6)</f>
        <v>Large Power</v>
      </c>
      <c r="L2" s="198" t="str">
        <f>('4 Allocation'!L6)</f>
        <v>Schl. Community</v>
      </c>
      <c r="M2" s="198" t="str">
        <f>('4 Allocation'!M6)</f>
        <v>All Electric</v>
      </c>
      <c r="N2" s="198" t="str">
        <f>('4 Allocation'!N6)</f>
        <v>Outdoor</v>
      </c>
      <c r="O2" s="198" t="str">
        <f>('4 Allocation'!O6)</f>
        <v>Energy for</v>
      </c>
      <c r="P2" s="198">
        <f>('4 Allocation'!P6)</f>
        <v>0</v>
      </c>
      <c r="Q2" s="198" t="str">
        <f>('4 Allocation'!Q6)</f>
        <v>500 kW &amp;</v>
      </c>
      <c r="R2" s="198" t="str">
        <f>('4 Allocation'!R6)</f>
        <v>500-4,999 kW</v>
      </c>
      <c r="S2" s="198">
        <f>('4 Allocation'!S6)</f>
        <v>0</v>
      </c>
      <c r="T2" s="198" t="str">
        <f>('4 Allocation'!T6)</f>
        <v>Total</v>
      </c>
      <c r="U2" s="198"/>
      <c r="V2" s="198"/>
    </row>
    <row r="3" spans="4:22">
      <c r="D3" s="198" t="str">
        <f>('4 Allocation'!D7)</f>
        <v>Power</v>
      </c>
      <c r="E3" s="198" t="str">
        <f>('4 Allocation'!E7)</f>
        <v>Farm &amp; Non Farm</v>
      </c>
      <c r="F3" s="198" t="str">
        <f>('4 Allocation'!F7)</f>
        <v>ETS</v>
      </c>
      <c r="G3" s="198" t="str">
        <f>('4 Allocation'!G7)</f>
        <v>&amp; 3 Phase Farm</v>
      </c>
      <c r="H3" s="198" t="str">
        <f>('4 Allocation'!H7)</f>
        <v>ETS</v>
      </c>
      <c r="I3" s="198" t="str">
        <f>('4 Allocation'!I7)</f>
        <v>&lt; Than 50 kW</v>
      </c>
      <c r="J3" s="198" t="str">
        <f>('4 Allocation'!J7)</f>
        <v>&gt;500 kW</v>
      </c>
      <c r="K3" s="198" t="str">
        <f>('4 Allocation'!K7)</f>
        <v>500-4999 KW</v>
      </c>
      <c r="L3" s="198" t="str">
        <f>('4 Allocation'!L7)</f>
        <v>Halls &amp; Parks</v>
      </c>
      <c r="M3" s="198" t="str">
        <f>('4 Allocation'!M7)</f>
        <v>Schools</v>
      </c>
      <c r="N3" s="198" t="str">
        <f>('4 Allocation'!N7)</f>
        <v>Lights</v>
      </c>
      <c r="O3" s="198" t="str">
        <f>('4 Allocation'!O7)</f>
        <v>Sched E</v>
      </c>
      <c r="P3" s="198" t="str">
        <f>('4 Allocation'!P7)</f>
        <v>Envirowatts</v>
      </c>
      <c r="Q3" s="198" t="str">
        <f>('4 Allocation'!Q7)</f>
        <v>Over (C)</v>
      </c>
      <c r="R3" s="198" t="str">
        <f>('4 Allocation'!R7)</f>
        <v>(B)</v>
      </c>
      <c r="S3" s="198" t="str">
        <f>('4 Allocation'!S7)</f>
        <v>Wellhead</v>
      </c>
      <c r="T3" s="198" t="str">
        <f>('4 Allocation'!T7)</f>
        <v>Energy kWh</v>
      </c>
      <c r="U3" s="198"/>
      <c r="V3" s="198"/>
    </row>
    <row r="4" spans="4:22" customFormat="1" ht="12.75"/>
    <row r="5" spans="4:22" customFormat="1" ht="12.75"/>
    <row r="6" spans="4:22" customFormat="1" ht="12.75"/>
    <row r="7" spans="4:22" customFormat="1" ht="12.75"/>
    <row r="8" spans="4:22" customFormat="1" ht="12.75"/>
    <row r="9" spans="4:22" customFormat="1" ht="12.75"/>
    <row r="10" spans="4:22" customFormat="1" ht="12.75"/>
    <row r="11" spans="4:22" customFormat="1" ht="12.75"/>
    <row r="12" spans="4:22" customFormat="1" ht="12.75"/>
    <row r="13" spans="4:22" customFormat="1" ht="12.75"/>
    <row r="14" spans="4:22" customFormat="1" ht="12.75"/>
    <row r="15" spans="4:22" customFormat="1" ht="12.75"/>
    <row r="16" spans="4:22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</sheetData>
  <customSheetViews>
    <customSheetView guid="{18050E3F-BBF0-4BF6-9B33-B0817BE1B1C5}" showRuler="0">
      <selection activeCell="D9" sqref="D9"/>
      <pageMargins left="0.75" right="0.75" top="1" bottom="1" header="0.5" footer="0.5"/>
      <printOptions horizontalCentered="1" verticalCentered="1" gridLines="1"/>
      <pageSetup orientation="landscape" r:id="rId1"/>
      <headerFooter alignWithMargins="0">
        <oddHeader>&amp;CMEADE COUNTY RECC
CASE NO. 2010-00222
STATEMENT OF OPERATIONS&amp;RExhibit R
Schedule  5
Page ____ of ____</oddHeader>
      </headerFooter>
    </customSheetView>
  </customSheetViews>
  <phoneticPr fontId="16" type="noConversion"/>
  <printOptions horizontalCentered="1" verticalCentered="1" gridLines="1"/>
  <pageMargins left="0.75" right="0.75" top="1" bottom="1" header="0.5" footer="0.5"/>
  <pageSetup orientation="landscape" r:id="rId2"/>
  <headerFooter alignWithMargins="0">
    <oddHeader>&amp;CMEADE COUNTY RECC
CASE NO. 2010-00222
STATEMENT OF OPERATIONS&amp;RExhibit R
Schedule  5
Page ____ of ____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W54"/>
  <sheetViews>
    <sheetView view="pageBreakPreview" topLeftCell="A2" zoomScale="60" zoomScaleNormal="100" workbookViewId="0">
      <pane ySplit="5" topLeftCell="A7" activePane="bottomLeft" state="frozen"/>
      <selection activeCell="A2" sqref="A2"/>
      <selection pane="bottomLeft" activeCell="F33" sqref="F33"/>
    </sheetView>
  </sheetViews>
  <sheetFormatPr defaultColWidth="12.85546875" defaultRowHeight="14.25"/>
  <cols>
    <col min="1" max="1" width="3.28515625" style="525" customWidth="1"/>
    <col min="2" max="3" width="4.85546875" style="525" customWidth="1"/>
    <col min="4" max="4" width="20.28515625" style="525" customWidth="1"/>
    <col min="5" max="5" width="12.85546875" style="525" hidden="1" customWidth="1"/>
    <col min="6" max="6" width="14.42578125" style="525" customWidth="1"/>
    <col min="7" max="7" width="12.85546875" style="525" customWidth="1"/>
    <col min="8" max="8" width="13.85546875" style="525" customWidth="1"/>
    <col min="9" max="10" width="12.85546875" style="525" customWidth="1"/>
    <col min="11" max="11" width="13.42578125" style="525" bestFit="1" customWidth="1"/>
    <col min="12" max="12" width="14" style="525" bestFit="1" customWidth="1"/>
    <col min="13" max="13" width="15.7109375" style="525" bestFit="1" customWidth="1"/>
    <col min="14" max="14" width="12.85546875" style="525" customWidth="1"/>
    <col min="15" max="15" width="14.7109375" style="525" customWidth="1"/>
    <col min="16" max="16" width="13.5703125" style="525" customWidth="1"/>
    <col min="17" max="17" width="12.85546875" style="525" hidden="1" customWidth="1"/>
    <col min="18" max="18" width="14.5703125" style="525" customWidth="1"/>
    <col min="19" max="19" width="13.28515625" style="525" customWidth="1"/>
    <col min="20" max="20" width="0.42578125" style="525" customWidth="1"/>
    <col min="21" max="21" width="14.28515625" style="525" customWidth="1"/>
    <col min="22" max="22" width="12.85546875" style="525" customWidth="1"/>
    <col min="23" max="23" width="14.140625" style="525" customWidth="1"/>
    <col min="24" max="16384" width="12.85546875" style="525"/>
  </cols>
  <sheetData>
    <row r="1" spans="2:21" ht="15">
      <c r="B1" s="781" t="s">
        <v>1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</row>
    <row r="3" spans="2:21">
      <c r="B3" s="526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8"/>
    </row>
    <row r="4" spans="2:21">
      <c r="B4" s="529"/>
      <c r="C4" s="530"/>
      <c r="D4" s="530"/>
      <c r="E4" s="531" t="s">
        <v>1</v>
      </c>
      <c r="F4" s="531">
        <f>('XX-5 IncStmt'!E1)</f>
        <v>10</v>
      </c>
      <c r="G4" s="531">
        <f>('XX-5 IncStmt'!F1)</f>
        <v>11</v>
      </c>
      <c r="H4" s="531">
        <f>('XX-5 IncStmt'!G1)</f>
        <v>20</v>
      </c>
      <c r="I4" s="531">
        <f>('XX-5 IncStmt'!H1)</f>
        <v>22</v>
      </c>
      <c r="J4" s="531">
        <f>('XX-5 IncStmt'!I1)</f>
        <v>40</v>
      </c>
      <c r="K4" s="531">
        <f>('XX-5 IncStmt'!J1)</f>
        <v>46</v>
      </c>
      <c r="L4" s="531">
        <f>('XX-5 IncStmt'!K1)</f>
        <v>47</v>
      </c>
      <c r="M4" s="531">
        <f>('XX-5 IncStmt'!L1)</f>
        <v>50</v>
      </c>
      <c r="N4" s="531">
        <f>('XX-5 IncStmt'!M1)</f>
        <v>52</v>
      </c>
      <c r="O4" s="531"/>
      <c r="P4" s="531" t="str">
        <f>('XX-5 IncStmt'!O1)</f>
        <v>Total</v>
      </c>
      <c r="Q4" s="531"/>
      <c r="R4" s="531">
        <f>('XX-5 IncStmt'!Q1)</f>
        <v>46</v>
      </c>
      <c r="S4" s="531">
        <f>('XX-5 IncStmt'!R1)</f>
        <v>47</v>
      </c>
      <c r="T4" s="531"/>
      <c r="U4" s="531"/>
    </row>
    <row r="5" spans="2:21">
      <c r="B5" s="529"/>
      <c r="C5" s="530"/>
      <c r="D5" s="530"/>
      <c r="E5" s="531" t="str">
        <f>('XX-5 IncStmt'!D2)</f>
        <v>Green</v>
      </c>
      <c r="F5" s="531" t="str">
        <f>('XX-5 IncStmt'!E2)</f>
        <v>Residential</v>
      </c>
      <c r="G5" s="531" t="str">
        <f>('XX-5 IncStmt'!F2)</f>
        <v>Residential</v>
      </c>
      <c r="H5" s="531" t="str">
        <f>('XX-5 IncStmt'!G2)</f>
        <v>Comm. Sml Pow</v>
      </c>
      <c r="I5" s="531" t="str">
        <f>('XX-5 IncStmt'!H2)</f>
        <v>Comm &amp; Sml Pow</v>
      </c>
      <c r="J5" s="531" t="str">
        <f>('XX-5 IncStmt'!I2)</f>
        <v>Large Power</v>
      </c>
      <c r="K5" s="531" t="str">
        <f>('XX-5 IncStmt'!J2)</f>
        <v>Large Power</v>
      </c>
      <c r="L5" s="531" t="str">
        <f>('XX-5 IncStmt'!K2)</f>
        <v>Large Power</v>
      </c>
      <c r="M5" s="531" t="str">
        <f>('XX-5 IncStmt'!L2)</f>
        <v>Schl. Community</v>
      </c>
      <c r="N5" s="531" t="str">
        <f>('XX-5 IncStmt'!M2)</f>
        <v>All Electric</v>
      </c>
      <c r="O5" s="531" t="str">
        <f>('XX-5 IncStmt'!N2)</f>
        <v>Outdoor</v>
      </c>
      <c r="P5" s="531" t="str">
        <f>('XX-5 IncStmt'!O2)</f>
        <v>Energy for</v>
      </c>
      <c r="Q5" s="531"/>
      <c r="R5" s="531" t="str">
        <f>('XX-5 IncStmt'!Q2)</f>
        <v>500 kW &amp;</v>
      </c>
      <c r="S5" s="531" t="str">
        <f>('XX-5 IncStmt'!R2)</f>
        <v>500-4,999 kW</v>
      </c>
      <c r="T5" s="531"/>
      <c r="U5" s="531" t="str">
        <f>('XX-5 IncStmt'!T2)</f>
        <v>Total</v>
      </c>
    </row>
    <row r="6" spans="2:21">
      <c r="B6" s="529"/>
      <c r="C6" s="530"/>
      <c r="D6" s="530"/>
      <c r="E6" s="531" t="str">
        <f>('XX-5 IncStmt'!D3)</f>
        <v>Power</v>
      </c>
      <c r="F6" s="531" t="str">
        <f>('XX-5 IncStmt'!E3)</f>
        <v>Farm &amp; Non Farm</v>
      </c>
      <c r="G6" s="531" t="str">
        <f>('XX-5 IncStmt'!F3)</f>
        <v>ETS</v>
      </c>
      <c r="H6" s="531" t="str">
        <f>('XX-5 IncStmt'!G3)</f>
        <v>&amp; 3 Phase Farm</v>
      </c>
      <c r="I6" s="531" t="str">
        <f>('XX-5 IncStmt'!H3)</f>
        <v>ETS</v>
      </c>
      <c r="J6" s="531" t="str">
        <f>('XX-5 IncStmt'!I3)</f>
        <v>&lt; Than 50 kW</v>
      </c>
      <c r="K6" s="531" t="str">
        <f>('XX-5 IncStmt'!J3)</f>
        <v>&gt;500 kW</v>
      </c>
      <c r="L6" s="531" t="str">
        <f>('XX-5 IncStmt'!K3)</f>
        <v>500-4999 KW</v>
      </c>
      <c r="M6" s="531" t="str">
        <f>('XX-5 IncStmt'!L3)</f>
        <v>Halls &amp; Parks</v>
      </c>
      <c r="N6" s="531" t="str">
        <f>('XX-5 IncStmt'!M3)</f>
        <v>Schools</v>
      </c>
      <c r="O6" s="531" t="str">
        <f>('XX-5 IncStmt'!N3)</f>
        <v>Lights</v>
      </c>
      <c r="P6" s="531" t="str">
        <f>('XX-5 IncStmt'!O3)</f>
        <v>Sched E</v>
      </c>
      <c r="Q6" s="531" t="str">
        <f>('XX-5 IncStmt'!P3)</f>
        <v>Envirowatts</v>
      </c>
      <c r="R6" s="531" t="str">
        <f>('XX-5 IncStmt'!Q3)</f>
        <v>Over (C)</v>
      </c>
      <c r="S6" s="531" t="str">
        <f>('XX-5 IncStmt'!R3)</f>
        <v>(B)</v>
      </c>
      <c r="T6" s="531" t="str">
        <f>('XX-5 IncStmt'!S3)</f>
        <v>Wellhead</v>
      </c>
      <c r="U6" s="531" t="str">
        <f>('XX-5 IncStmt'!T3)</f>
        <v>Energy kWh</v>
      </c>
    </row>
    <row r="7" spans="2:21">
      <c r="B7" s="529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2"/>
    </row>
    <row r="8" spans="2:21">
      <c r="B8" s="529" t="s">
        <v>307</v>
      </c>
      <c r="C8" s="530"/>
      <c r="D8" s="530"/>
      <c r="E8" s="372" t="s">
        <v>1</v>
      </c>
      <c r="F8" s="533">
        <f>([10]Revenue!$F$12)</f>
        <v>65324813.407289997</v>
      </c>
      <c r="G8" s="533">
        <f>([10]Revenue!$F$27)</f>
        <v>346826.62776</v>
      </c>
      <c r="H8" s="533">
        <f>([10]Revenue!$F$41)</f>
        <v>6400934.1799800005</v>
      </c>
      <c r="I8" s="533">
        <f>([10]Revenue!$F$58)</f>
        <v>4445.8477000000003</v>
      </c>
      <c r="J8" s="533">
        <f>([10]Revenue!$F$69)</f>
        <v>6762713.7722100001</v>
      </c>
      <c r="K8" s="533">
        <f>([10]Revenue!$F$87)</f>
        <v>1403807.3601200001</v>
      </c>
      <c r="L8" s="533">
        <f>([10]Revenue!$F$107)</f>
        <v>2662906.4912999999</v>
      </c>
      <c r="M8" s="533">
        <f>([10]Revenue!$F$125)</f>
        <v>2693975.3158099996</v>
      </c>
      <c r="N8" s="533">
        <f>([10]Revenue!$F$143)</f>
        <v>881975.6912</v>
      </c>
      <c r="O8" s="533">
        <f>([10]Revenue!$F$198)</f>
        <v>2544293.7199999997</v>
      </c>
      <c r="P8" s="533">
        <f>SUM(F8:J8,M8:O8)</f>
        <v>84959978.561949998</v>
      </c>
      <c r="Q8" s="533" t="str">
        <f>E8</f>
        <v xml:space="preserve"> </v>
      </c>
      <c r="R8" s="533">
        <f>K8</f>
        <v>1403807.3601200001</v>
      </c>
      <c r="S8" s="533">
        <f>L8</f>
        <v>2662906.4912999999</v>
      </c>
      <c r="T8" s="533"/>
      <c r="U8" s="534">
        <f>SUM(P8:T8)</f>
        <v>89026692.413369998</v>
      </c>
    </row>
    <row r="9" spans="2:21">
      <c r="B9" s="529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2"/>
    </row>
    <row r="10" spans="2:21">
      <c r="B10" s="529" t="s">
        <v>308</v>
      </c>
      <c r="C10" s="530"/>
      <c r="D10" s="530"/>
      <c r="E10" s="530"/>
      <c r="F10" s="530"/>
      <c r="G10" s="530"/>
      <c r="H10" s="530"/>
      <c r="I10" s="530"/>
      <c r="J10" s="530"/>
      <c r="K10" s="533">
        <f>SUM(E10:J10)</f>
        <v>0</v>
      </c>
      <c r="L10" s="530"/>
      <c r="M10" s="530"/>
      <c r="N10" s="530"/>
      <c r="O10" s="530"/>
      <c r="P10" s="530"/>
      <c r="Q10" s="530"/>
      <c r="R10" s="530"/>
      <c r="S10" s="530"/>
      <c r="T10" s="530"/>
      <c r="U10" s="532"/>
    </row>
    <row r="11" spans="2:21">
      <c r="B11" s="529"/>
      <c r="C11" s="530" t="s">
        <v>133</v>
      </c>
      <c r="D11" s="530"/>
      <c r="E11" s="533" t="s">
        <v>1</v>
      </c>
      <c r="F11" s="533">
        <f>('4 Allocation'!E8)</f>
        <v>9979771.6974939406</v>
      </c>
      <c r="G11" s="533">
        <f>('4 Allocation'!F8)</f>
        <v>0</v>
      </c>
      <c r="H11" s="533">
        <f>('4 Allocation'!G8)</f>
        <v>758287.20342388772</v>
      </c>
      <c r="I11" s="533">
        <f>('4 Allocation'!H8)</f>
        <v>0</v>
      </c>
      <c r="J11" s="533">
        <f>('4 Allocation'!I8)</f>
        <v>1001913.7959940932</v>
      </c>
      <c r="K11" s="533">
        <f>('4 Allocation'!J8)</f>
        <v>276998</v>
      </c>
      <c r="L11" s="533">
        <f>('4 Allocation'!K8)</f>
        <v>487557</v>
      </c>
      <c r="M11" s="533">
        <f>('4 Allocation'!L8)</f>
        <v>253832.7277325138</v>
      </c>
      <c r="N11" s="533">
        <f>('4 Allocation'!M8)</f>
        <v>126656.1976158812</v>
      </c>
      <c r="O11" s="533">
        <f>('4 Allocation'!N8)</f>
        <v>135002.37773968326</v>
      </c>
      <c r="P11" s="533">
        <f>SUM(F11:J11,M11:O11)</f>
        <v>12255463.999999998</v>
      </c>
      <c r="Q11" s="533" t="str">
        <f>E11</f>
        <v xml:space="preserve"> </v>
      </c>
      <c r="R11" s="533">
        <f t="shared" ref="R11:S13" si="0">K11</f>
        <v>276998</v>
      </c>
      <c r="S11" s="533">
        <f t="shared" si="0"/>
        <v>487557</v>
      </c>
      <c r="T11" s="533"/>
      <c r="U11" s="534">
        <f>SUM(P11:T11)</f>
        <v>13020018.999999998</v>
      </c>
    </row>
    <row r="12" spans="2:21">
      <c r="B12" s="529"/>
      <c r="C12" s="530" t="s">
        <v>179</v>
      </c>
      <c r="D12" s="530"/>
      <c r="E12" s="372" t="s">
        <v>1</v>
      </c>
      <c r="F12" s="533">
        <f>('4 Allocation'!E9)+('4 Allocation'!D9)</f>
        <v>31419363.63875109</v>
      </c>
      <c r="G12" s="533">
        <f>('4 Allocation'!F9)</f>
        <v>289631.61728032283</v>
      </c>
      <c r="H12" s="533">
        <f>('4 Allocation'!G9)</f>
        <v>3109069.7201767755</v>
      </c>
      <c r="I12" s="533">
        <f>('4 Allocation'!H9)</f>
        <v>4374.6352270729121</v>
      </c>
      <c r="J12" s="533">
        <f>('4 Allocation'!I9)</f>
        <v>4015657.7213162272</v>
      </c>
      <c r="K12" s="533">
        <f>('4 Allocation'!J9)</f>
        <v>902134.34065555921</v>
      </c>
      <c r="L12" s="533">
        <f>('4 Allocation'!K9)</f>
        <v>1705424.6593444408</v>
      </c>
      <c r="M12" s="533">
        <f>('4 Allocation'!L9)</f>
        <v>1365424.06265381</v>
      </c>
      <c r="N12" s="533">
        <f>('4 Allocation'!M9)</f>
        <v>572652.13844848331</v>
      </c>
      <c r="O12" s="533">
        <f>('4 Allocation'!N9)</f>
        <v>1027074.666146222</v>
      </c>
      <c r="P12" s="533">
        <f>SUM(F12:J12,M12:O12)</f>
        <v>41803248.199999996</v>
      </c>
      <c r="Q12" s="533" t="str">
        <f>E12</f>
        <v xml:space="preserve"> </v>
      </c>
      <c r="R12" s="533">
        <f t="shared" si="0"/>
        <v>902134.34065555921</v>
      </c>
      <c r="S12" s="533">
        <f t="shared" si="0"/>
        <v>1705424.6593444408</v>
      </c>
      <c r="T12" s="533">
        <f>'4 Allocation'!S9</f>
        <v>0</v>
      </c>
      <c r="U12" s="534">
        <f>SUM(P12:T12)</f>
        <v>44410807.199999996</v>
      </c>
    </row>
    <row r="13" spans="2:21">
      <c r="B13" s="529"/>
      <c r="C13" s="530"/>
      <c r="D13" s="530" t="s">
        <v>309</v>
      </c>
      <c r="E13" s="372" t="s">
        <v>1</v>
      </c>
      <c r="F13" s="533">
        <f t="shared" ref="F13:K13" si="1">SUM(F11:F12)</f>
        <v>41399135.33624503</v>
      </c>
      <c r="G13" s="533">
        <f t="shared" si="1"/>
        <v>289631.61728032283</v>
      </c>
      <c r="H13" s="533">
        <f t="shared" si="1"/>
        <v>3867356.9236006634</v>
      </c>
      <c r="I13" s="533">
        <f t="shared" si="1"/>
        <v>4374.6352270729121</v>
      </c>
      <c r="J13" s="533">
        <f t="shared" si="1"/>
        <v>5017571.5173103204</v>
      </c>
      <c r="K13" s="533">
        <f t="shared" si="1"/>
        <v>1179132.3406555592</v>
      </c>
      <c r="L13" s="533">
        <f>SUM(L11:L12)</f>
        <v>2192981.6593444408</v>
      </c>
      <c r="M13" s="533">
        <f>SUM(M11:M12)</f>
        <v>1619256.7903863238</v>
      </c>
      <c r="N13" s="533">
        <f>SUM(N11:N12)</f>
        <v>699308.33606436453</v>
      </c>
      <c r="O13" s="533">
        <f>SUM(O11:O12)</f>
        <v>1162077.0438859053</v>
      </c>
      <c r="P13" s="533">
        <f>SUM(F13:J13,M13:O13)</f>
        <v>54058712.200000003</v>
      </c>
      <c r="Q13" s="533" t="str">
        <f>E13</f>
        <v xml:space="preserve"> </v>
      </c>
      <c r="R13" s="533">
        <f t="shared" si="0"/>
        <v>1179132.3406555592</v>
      </c>
      <c r="S13" s="533">
        <f t="shared" si="0"/>
        <v>2192981.6593444408</v>
      </c>
      <c r="T13" s="533"/>
      <c r="U13" s="534">
        <f>SUM(P13:T13)</f>
        <v>57430826.200000003</v>
      </c>
    </row>
    <row r="14" spans="2:21">
      <c r="B14" s="529"/>
      <c r="C14" s="530"/>
      <c r="D14" s="530"/>
      <c r="E14" s="530"/>
      <c r="F14" s="530"/>
      <c r="G14" s="530"/>
      <c r="H14" s="530"/>
      <c r="I14" s="530"/>
      <c r="J14" s="530"/>
      <c r="K14" s="533"/>
      <c r="L14" s="530"/>
      <c r="M14" s="530"/>
      <c r="N14" s="530"/>
      <c r="O14" s="530"/>
      <c r="P14" s="530"/>
      <c r="Q14" s="530"/>
      <c r="R14" s="530"/>
      <c r="S14" s="530"/>
      <c r="T14" s="530"/>
      <c r="U14" s="532"/>
    </row>
    <row r="15" spans="2:21">
      <c r="B15" s="529" t="s">
        <v>310</v>
      </c>
      <c r="C15" s="530"/>
      <c r="D15" s="530"/>
      <c r="E15" s="387" t="s">
        <v>1</v>
      </c>
      <c r="F15" s="535">
        <f>(F8-F13)</f>
        <v>23925678.071044967</v>
      </c>
      <c r="G15" s="535">
        <f t="shared" ref="G15:U15" si="2">(G8-G13)</f>
        <v>57195.010479677177</v>
      </c>
      <c r="H15" s="535">
        <f t="shared" si="2"/>
        <v>2533577.2563793371</v>
      </c>
      <c r="I15" s="535">
        <f t="shared" si="2"/>
        <v>71.212472927088129</v>
      </c>
      <c r="J15" s="535">
        <f t="shared" si="2"/>
        <v>1745142.2548996797</v>
      </c>
      <c r="K15" s="535">
        <f t="shared" si="2"/>
        <v>224675.01946444088</v>
      </c>
      <c r="L15" s="535">
        <f t="shared" si="2"/>
        <v>469924.83195555909</v>
      </c>
      <c r="M15" s="535">
        <f t="shared" si="2"/>
        <v>1074718.5254236758</v>
      </c>
      <c r="N15" s="535">
        <f t="shared" si="2"/>
        <v>182667.35513563547</v>
      </c>
      <c r="O15" s="535">
        <f t="shared" si="2"/>
        <v>1382216.6761140944</v>
      </c>
      <c r="P15" s="535">
        <f t="shared" si="2"/>
        <v>30901266.361949995</v>
      </c>
      <c r="Q15" s="535" t="e">
        <f t="shared" si="2"/>
        <v>#VALUE!</v>
      </c>
      <c r="R15" s="535">
        <f t="shared" si="2"/>
        <v>224675.01946444088</v>
      </c>
      <c r="S15" s="535">
        <f t="shared" si="2"/>
        <v>469924.83195555909</v>
      </c>
      <c r="T15" s="535">
        <f t="shared" si="2"/>
        <v>0</v>
      </c>
      <c r="U15" s="535">
        <f t="shared" si="2"/>
        <v>31595866.213369995</v>
      </c>
    </row>
    <row r="16" spans="2:21">
      <c r="B16" s="529"/>
      <c r="C16" s="530"/>
      <c r="D16" s="530"/>
      <c r="E16" s="530"/>
      <c r="F16" s="530"/>
      <c r="G16" s="530"/>
      <c r="H16" s="530"/>
      <c r="I16" s="530"/>
      <c r="J16" s="530"/>
      <c r="K16" s="533"/>
      <c r="L16" s="530"/>
      <c r="M16" s="530"/>
      <c r="N16" s="530"/>
      <c r="O16" s="530"/>
      <c r="P16" s="530"/>
      <c r="Q16" s="530"/>
      <c r="R16" s="530"/>
      <c r="S16" s="530"/>
      <c r="T16" s="530"/>
      <c r="U16" s="532"/>
    </row>
    <row r="17" spans="2:21">
      <c r="B17" s="529" t="s">
        <v>311</v>
      </c>
      <c r="C17" s="530"/>
      <c r="D17" s="530"/>
      <c r="E17" s="530"/>
      <c r="F17" s="530"/>
      <c r="G17" s="530"/>
      <c r="H17" s="530"/>
      <c r="I17" s="530"/>
      <c r="J17" s="530"/>
      <c r="K17" s="533"/>
      <c r="L17" s="530"/>
      <c r="M17" s="530"/>
      <c r="N17" s="530"/>
      <c r="O17" s="530"/>
      <c r="P17" s="530"/>
      <c r="Q17" s="530"/>
      <c r="R17" s="530"/>
      <c r="S17" s="530"/>
      <c r="T17" s="530"/>
      <c r="U17" s="532"/>
    </row>
    <row r="18" spans="2:21">
      <c r="B18" s="529"/>
      <c r="C18" s="530" t="s">
        <v>143</v>
      </c>
      <c r="D18" s="530"/>
      <c r="E18" s="530"/>
      <c r="F18" s="530"/>
      <c r="G18" s="530"/>
      <c r="H18" s="530"/>
      <c r="I18" s="530"/>
      <c r="J18" s="530"/>
      <c r="K18" s="533"/>
      <c r="L18" s="530"/>
      <c r="M18" s="530"/>
      <c r="N18" s="530"/>
      <c r="O18" s="530"/>
      <c r="P18" s="530"/>
      <c r="Q18" s="530"/>
      <c r="R18" s="530"/>
      <c r="S18" s="530"/>
      <c r="T18" s="530"/>
      <c r="U18" s="532"/>
    </row>
    <row r="19" spans="2:21">
      <c r="B19" s="529"/>
      <c r="C19" s="530"/>
      <c r="D19" s="530" t="s">
        <v>247</v>
      </c>
      <c r="E19" s="530"/>
      <c r="F19" s="533">
        <f>('4 Allocation'!E11)</f>
        <v>138288.83058719174</v>
      </c>
      <c r="G19" s="533">
        <f>('4 Allocation'!F11)</f>
        <v>0</v>
      </c>
      <c r="H19" s="533">
        <f>('4 Allocation'!G11)</f>
        <v>13565.158783114217</v>
      </c>
      <c r="I19" s="533">
        <f>('4 Allocation'!H11)</f>
        <v>0</v>
      </c>
      <c r="J19" s="533">
        <f>('4 Allocation'!I11)</f>
        <v>15706.311387810791</v>
      </c>
      <c r="K19" s="533">
        <f>('4 Allocation'!J11)</f>
        <v>2804.883037143305</v>
      </c>
      <c r="L19" s="533">
        <f>('4 Allocation'!K11)</f>
        <v>5728.8057178109484</v>
      </c>
      <c r="M19" s="533">
        <f>('4 Allocation'!L11)</f>
        <v>5158.6270336624011</v>
      </c>
      <c r="N19" s="533">
        <f>('4 Allocation'!M11)</f>
        <v>4206.1134009113148</v>
      </c>
      <c r="O19" s="533">
        <f>('4 Allocation'!N11)</f>
        <v>3206.43297545416</v>
      </c>
      <c r="P19" s="533">
        <f>SUM(F19:J19,M19:O19)</f>
        <v>180131.47416814463</v>
      </c>
      <c r="Q19" s="533">
        <f>E19</f>
        <v>0</v>
      </c>
      <c r="R19" s="533">
        <f t="shared" ref="R19:S21" si="3">K19</f>
        <v>2804.883037143305</v>
      </c>
      <c r="S19" s="533">
        <f t="shared" si="3"/>
        <v>5728.8057178109484</v>
      </c>
      <c r="T19" s="533"/>
      <c r="U19" s="534">
        <f>SUM(P19:T19)</f>
        <v>188665.16292309889</v>
      </c>
    </row>
    <row r="20" spans="2:21">
      <c r="B20" s="529"/>
      <c r="C20" s="530"/>
      <c r="D20" s="530" t="s">
        <v>5</v>
      </c>
      <c r="E20" s="530"/>
      <c r="F20" s="533">
        <f>('4 Allocation'!E13)</f>
        <v>11282907.593104202</v>
      </c>
      <c r="G20" s="533">
        <f>('4 Allocation'!F13)</f>
        <v>0</v>
      </c>
      <c r="H20" s="533">
        <f>('4 Allocation'!G13)</f>
        <v>1106773.644594254</v>
      </c>
      <c r="I20" s="533">
        <f>('4 Allocation'!H13)</f>
        <v>0</v>
      </c>
      <c r="J20" s="533">
        <f>('4 Allocation'!I13)</f>
        <v>1281469.0764591855</v>
      </c>
      <c r="K20" s="533">
        <f>('4 Allocation'!J13)</f>
        <v>228848.823026236</v>
      </c>
      <c r="L20" s="533">
        <f>('4 Allocation'!K13)</f>
        <v>467410.02334352396</v>
      </c>
      <c r="M20" s="533">
        <f>('4 Allocation'!L13)</f>
        <v>420889.46649530041</v>
      </c>
      <c r="N20" s="533">
        <f>('4 Allocation'!M13)</f>
        <v>343174.41710288846</v>
      </c>
      <c r="O20" s="533">
        <f>('4 Allocation'!N13)</f>
        <v>261611.05572963189</v>
      </c>
      <c r="P20" s="533">
        <f>SUM(F20:J20,M20:O20)</f>
        <v>14696825.253485462</v>
      </c>
      <c r="Q20" s="533">
        <f>E20</f>
        <v>0</v>
      </c>
      <c r="R20" s="533">
        <f t="shared" si="3"/>
        <v>228848.823026236</v>
      </c>
      <c r="S20" s="533">
        <f t="shared" si="3"/>
        <v>467410.02334352396</v>
      </c>
      <c r="T20" s="533"/>
      <c r="U20" s="534">
        <f>SUM(P20:T20)</f>
        <v>15393084.099855222</v>
      </c>
    </row>
    <row r="21" spans="2:21">
      <c r="B21" s="529"/>
      <c r="C21" s="530"/>
      <c r="D21" s="530" t="s">
        <v>95</v>
      </c>
      <c r="E21" s="530"/>
      <c r="F21" s="533">
        <f>('4 Allocation'!E15)</f>
        <v>1635642.4065276675</v>
      </c>
      <c r="G21" s="533">
        <f>('4 Allocation'!F15)</f>
        <v>0</v>
      </c>
      <c r="H21" s="533">
        <f>('4 Allocation'!G15)</f>
        <v>103038.66724161549</v>
      </c>
      <c r="I21" s="533">
        <f>('4 Allocation'!H15)</f>
        <v>0</v>
      </c>
      <c r="J21" s="533">
        <f>('4 Allocation'!I15)</f>
        <v>78724.812879440869</v>
      </c>
      <c r="K21" s="533">
        <f>('4 Allocation'!J15)</f>
        <v>0</v>
      </c>
      <c r="L21" s="533">
        <f>('4 Allocation'!K15)</f>
        <v>0</v>
      </c>
      <c r="M21" s="533">
        <f>('4 Allocation'!L15)</f>
        <v>49196.053202516676</v>
      </c>
      <c r="N21" s="533">
        <f>('4 Allocation'!M15)</f>
        <v>27366.610482490738</v>
      </c>
      <c r="O21" s="533">
        <f>('4 Allocation'!N15)</f>
        <v>12809.927652775739</v>
      </c>
      <c r="P21" s="533">
        <f>SUM(F21:J21,M21:O21)</f>
        <v>1906778.4779865071</v>
      </c>
      <c r="Q21" s="533">
        <f>E21</f>
        <v>0</v>
      </c>
      <c r="R21" s="533">
        <f t="shared" si="3"/>
        <v>0</v>
      </c>
      <c r="S21" s="533">
        <f t="shared" si="3"/>
        <v>0</v>
      </c>
      <c r="T21" s="533"/>
      <c r="U21" s="534">
        <f>SUM(P21:T21)</f>
        <v>1906778.4779865071</v>
      </c>
    </row>
    <row r="22" spans="2:21">
      <c r="B22" s="529"/>
      <c r="C22" s="530"/>
      <c r="D22" s="530"/>
      <c r="E22" s="530"/>
      <c r="F22" s="535">
        <f>SUM(F19:F21)</f>
        <v>13056838.830219062</v>
      </c>
      <c r="G22" s="535">
        <f t="shared" ref="G22:U22" si="4">SUM(G19:G21)</f>
        <v>0</v>
      </c>
      <c r="H22" s="535">
        <f t="shared" si="4"/>
        <v>1223377.4706189837</v>
      </c>
      <c r="I22" s="535">
        <f t="shared" si="4"/>
        <v>0</v>
      </c>
      <c r="J22" s="535">
        <f t="shared" si="4"/>
        <v>1375900.2007264371</v>
      </c>
      <c r="K22" s="535">
        <f t="shared" si="4"/>
        <v>231653.7060633793</v>
      </c>
      <c r="L22" s="535">
        <f t="shared" si="4"/>
        <v>473138.82906133489</v>
      </c>
      <c r="M22" s="535">
        <f t="shared" si="4"/>
        <v>475244.1467314795</v>
      </c>
      <c r="N22" s="535">
        <f t="shared" si="4"/>
        <v>374747.14098629053</v>
      </c>
      <c r="O22" s="535">
        <f t="shared" si="4"/>
        <v>277627.41635786177</v>
      </c>
      <c r="P22" s="535">
        <f t="shared" si="4"/>
        <v>16783735.205640115</v>
      </c>
      <c r="Q22" s="535">
        <f t="shared" si="4"/>
        <v>0</v>
      </c>
      <c r="R22" s="535">
        <f t="shared" si="4"/>
        <v>231653.7060633793</v>
      </c>
      <c r="S22" s="535">
        <f t="shared" si="4"/>
        <v>473138.82906133489</v>
      </c>
      <c r="T22" s="535"/>
      <c r="U22" s="535">
        <f t="shared" si="4"/>
        <v>17488527.740764827</v>
      </c>
    </row>
    <row r="23" spans="2:21">
      <c r="B23" s="529"/>
      <c r="C23" s="530"/>
      <c r="D23" s="530"/>
      <c r="E23" s="530"/>
      <c r="F23" s="530"/>
      <c r="G23" s="530"/>
      <c r="H23" s="530"/>
      <c r="I23" s="530"/>
      <c r="J23" s="530"/>
      <c r="K23" s="533"/>
      <c r="L23" s="530"/>
      <c r="M23" s="530"/>
      <c r="N23" s="530"/>
      <c r="O23" s="530"/>
      <c r="P23" s="530"/>
      <c r="Q23" s="530"/>
      <c r="R23" s="530"/>
      <c r="S23" s="530"/>
      <c r="T23" s="530"/>
      <c r="U23" s="532"/>
    </row>
    <row r="24" spans="2:21">
      <c r="B24" s="529"/>
      <c r="C24" s="530" t="s">
        <v>185</v>
      </c>
      <c r="D24" s="530"/>
      <c r="E24" s="530"/>
      <c r="F24" s="530"/>
      <c r="G24" s="530"/>
      <c r="H24" s="530"/>
      <c r="I24" s="530"/>
      <c r="J24" s="530"/>
      <c r="K24" s="533"/>
      <c r="L24" s="530"/>
      <c r="M24" s="530"/>
      <c r="N24" s="530"/>
      <c r="O24" s="530"/>
      <c r="P24" s="530"/>
      <c r="Q24" s="530"/>
      <c r="R24" s="530"/>
      <c r="S24" s="530"/>
      <c r="T24" s="530"/>
      <c r="U24" s="532"/>
    </row>
    <row r="25" spans="2:21">
      <c r="B25" s="529"/>
      <c r="C25" s="530"/>
      <c r="D25" s="530" t="s">
        <v>5</v>
      </c>
      <c r="E25" s="530"/>
      <c r="F25" s="533">
        <f>('4 Allocation'!E12)</f>
        <v>5074201.1824956965</v>
      </c>
      <c r="G25" s="533">
        <f>('4 Allocation'!F12)</f>
        <v>0</v>
      </c>
      <c r="H25" s="533">
        <f>('4 Allocation'!G12)</f>
        <v>379766.64131415018</v>
      </c>
      <c r="I25" s="533">
        <f>('4 Allocation'!H12)</f>
        <v>0</v>
      </c>
      <c r="J25" s="533">
        <f>('4 Allocation'!I12)</f>
        <v>17440.488694105636</v>
      </c>
      <c r="K25" s="533">
        <f>('4 Allocation'!J12)</f>
        <v>218.00610867632045</v>
      </c>
      <c r="L25" s="533">
        <f>('4 Allocation'!K12)</f>
        <v>327.00916301448063</v>
      </c>
      <c r="M25" s="533">
        <f>('4 Allocation'!L12)</f>
        <v>110747.10320757078</v>
      </c>
      <c r="N25" s="533">
        <f>('4 Allocation'!M12)</f>
        <v>2616.0733041158451</v>
      </c>
      <c r="O25" s="533">
        <f>('4 Allocation'!N12)</f>
        <v>56790.591310181473</v>
      </c>
      <c r="P25" s="533">
        <f>SUM(F25:J25,M25:O25)</f>
        <v>5641562.0803258196</v>
      </c>
      <c r="Q25" s="533">
        <f>E25</f>
        <v>0</v>
      </c>
      <c r="R25" s="533">
        <f t="shared" ref="R25:S28" si="5">K25</f>
        <v>218.00610867632045</v>
      </c>
      <c r="S25" s="533">
        <f t="shared" si="5"/>
        <v>327.00916301448063</v>
      </c>
      <c r="T25" s="533"/>
      <c r="U25" s="534">
        <f>SUM(P25:T25)</f>
        <v>5642107.0955975102</v>
      </c>
    </row>
    <row r="26" spans="2:21">
      <c r="B26" s="529"/>
      <c r="C26" s="530"/>
      <c r="D26" s="530" t="s">
        <v>95</v>
      </c>
      <c r="E26" s="530"/>
      <c r="F26" s="533">
        <f>('4 Allocation'!E14)</f>
        <v>438039.6492546323</v>
      </c>
      <c r="G26" s="533">
        <f>('4 Allocation'!F14)</f>
        <v>0</v>
      </c>
      <c r="H26" s="533">
        <f>('4 Allocation'!G14)</f>
        <v>45647.8803813708</v>
      </c>
      <c r="I26" s="533">
        <f>('4 Allocation'!H14)</f>
        <v>0</v>
      </c>
      <c r="J26" s="533">
        <f>('4 Allocation'!I14)</f>
        <v>8936.5577654519948</v>
      </c>
      <c r="K26" s="533">
        <f>('4 Allocation'!J14)</f>
        <v>0</v>
      </c>
      <c r="L26" s="533">
        <f>('4 Allocation'!K14)</f>
        <v>0</v>
      </c>
      <c r="M26" s="533">
        <f>('4 Allocation'!L14)</f>
        <v>13311.781420055318</v>
      </c>
      <c r="N26" s="533">
        <f>('4 Allocation'!M14)</f>
        <v>2789.1681119023351</v>
      </c>
      <c r="O26" s="533">
        <f>('4 Allocation'!N14)</f>
        <v>1540.7258015778823</v>
      </c>
      <c r="P26" s="533">
        <f>SUM(F26:J26,M26:O26)</f>
        <v>510265.76273499063</v>
      </c>
      <c r="Q26" s="533">
        <f>E26</f>
        <v>0</v>
      </c>
      <c r="R26" s="533">
        <f t="shared" si="5"/>
        <v>0</v>
      </c>
      <c r="S26" s="533">
        <f t="shared" si="5"/>
        <v>0</v>
      </c>
      <c r="T26" s="533"/>
      <c r="U26" s="534">
        <f>SUM(P26:T26)</f>
        <v>510265.76273499063</v>
      </c>
    </row>
    <row r="27" spans="2:21">
      <c r="B27" s="529"/>
      <c r="C27" s="530"/>
      <c r="D27" s="530" t="s">
        <v>8</v>
      </c>
      <c r="E27" s="530"/>
      <c r="F27" s="533">
        <f>('4 Allocation'!E16)</f>
        <v>2735898.0302477172</v>
      </c>
      <c r="G27" s="533">
        <f>('4 Allocation'!F16)</f>
        <v>6406.1542243346266</v>
      </c>
      <c r="H27" s="533">
        <f>('4 Allocation'!G16)</f>
        <v>460714.15563815716</v>
      </c>
      <c r="I27" s="533">
        <f>('4 Allocation'!H16)</f>
        <v>528.94851393588658</v>
      </c>
      <c r="J27" s="533">
        <f>('4 Allocation'!I16)</f>
        <v>9403.5291366379824</v>
      </c>
      <c r="K27" s="533">
        <f>('4 Allocation'!J16)</f>
        <v>0</v>
      </c>
      <c r="L27" s="533">
        <f>('4 Allocation'!K16)</f>
        <v>0</v>
      </c>
      <c r="M27" s="533">
        <f>('4 Allocation'!L16)</f>
        <v>59712.4100176512</v>
      </c>
      <c r="N27" s="533">
        <f>('4 Allocation'!M16)</f>
        <v>5918.1534551023378</v>
      </c>
      <c r="O27" s="533">
        <f>('4 Allocation'!N16)</f>
        <v>47792.377012981997</v>
      </c>
      <c r="P27" s="533">
        <f>SUM(F27:J27,M27:O27)</f>
        <v>3326373.7582465182</v>
      </c>
      <c r="Q27" s="533">
        <f>E27</f>
        <v>0</v>
      </c>
      <c r="R27" s="533">
        <f t="shared" si="5"/>
        <v>0</v>
      </c>
      <c r="S27" s="533">
        <f t="shared" si="5"/>
        <v>0</v>
      </c>
      <c r="T27" s="533"/>
      <c r="U27" s="534">
        <f>SUM(P27:T27)</f>
        <v>3326373.7582465182</v>
      </c>
    </row>
    <row r="28" spans="2:21">
      <c r="B28" s="529"/>
      <c r="C28" s="530"/>
      <c r="D28" s="530" t="s">
        <v>9</v>
      </c>
      <c r="E28" s="530"/>
      <c r="F28" s="533">
        <f>('4 Allocation'!E17)</f>
        <v>3494881.6234871997</v>
      </c>
      <c r="G28" s="533">
        <f>('4 Allocation'!F17)</f>
        <v>81833.278975769528</v>
      </c>
      <c r="H28" s="533">
        <f>('4 Allocation'!G17)</f>
        <v>261566.18711154227</v>
      </c>
      <c r="I28" s="533">
        <f>('4 Allocation'!H17)</f>
        <v>1201.2224436810206</v>
      </c>
      <c r="J28" s="533">
        <f>('4 Allocation'!I17)</f>
        <v>35183.150233554232</v>
      </c>
      <c r="K28" s="533">
        <f>('4 Allocation'!J17)</f>
        <v>439.78937791942792</v>
      </c>
      <c r="L28" s="533">
        <f>('4 Allocation'!K17)</f>
        <v>659.68406687914194</v>
      </c>
      <c r="M28" s="533">
        <f>('4 Allocation'!L17)</f>
        <v>76277.625173744818</v>
      </c>
      <c r="N28" s="533">
        <f>('4 Allocation'!M17)</f>
        <v>1801.8336655215312</v>
      </c>
      <c r="O28" s="533">
        <f>('4 Allocation'!N17)</f>
        <v>0</v>
      </c>
      <c r="P28" s="533">
        <f>SUM(F28:J28,M28:O28)</f>
        <v>3952744.9210910127</v>
      </c>
      <c r="Q28" s="533">
        <f>E28</f>
        <v>0</v>
      </c>
      <c r="R28" s="533">
        <f t="shared" si="5"/>
        <v>439.78937791942792</v>
      </c>
      <c r="S28" s="533">
        <f t="shared" si="5"/>
        <v>659.68406687914194</v>
      </c>
      <c r="T28" s="533"/>
      <c r="U28" s="534">
        <f>SUM(P28:T28)</f>
        <v>3953844.3945358112</v>
      </c>
    </row>
    <row r="29" spans="2:21">
      <c r="B29" s="529"/>
      <c r="C29" s="530"/>
      <c r="D29" s="530" t="s">
        <v>312</v>
      </c>
      <c r="E29" s="530"/>
      <c r="F29" s="533" t="s">
        <v>1</v>
      </c>
      <c r="G29" s="530"/>
      <c r="H29" s="530"/>
      <c r="I29" s="530"/>
      <c r="J29" s="530"/>
      <c r="K29" s="533"/>
      <c r="L29" s="530"/>
      <c r="M29" s="530"/>
      <c r="N29" s="530"/>
      <c r="O29" s="530"/>
      <c r="P29" s="530"/>
      <c r="Q29" s="530"/>
      <c r="R29" s="530"/>
      <c r="S29" s="530"/>
      <c r="T29" s="530"/>
      <c r="U29" s="532"/>
    </row>
    <row r="30" spans="2:21">
      <c r="B30" s="529"/>
      <c r="C30" s="530"/>
      <c r="D30" s="530" t="s">
        <v>313</v>
      </c>
      <c r="E30" s="530"/>
      <c r="F30" s="533">
        <f>('4 Allocation'!E19)</f>
        <v>4626900.9803164657</v>
      </c>
      <c r="G30" s="533">
        <f>('4 Allocation'!F19)</f>
        <v>40627.393089393467</v>
      </c>
      <c r="H30" s="533">
        <f>('4 Allocation'!G19)</f>
        <v>519434.26614108932</v>
      </c>
      <c r="I30" s="533">
        <f>('4 Allocation'!H19)</f>
        <v>596.36540314706008</v>
      </c>
      <c r="J30" s="533">
        <f>('4 Allocation'!I19)</f>
        <v>35781.924188823599</v>
      </c>
      <c r="K30" s="533">
        <f>('4 Allocation'!J19)</f>
        <v>795.15387086274666</v>
      </c>
      <c r="L30" s="533">
        <f>('4 Allocation'!K19)</f>
        <v>1192.7308062941202</v>
      </c>
      <c r="M30" s="533">
        <f>('4 Allocation'!L19)</f>
        <v>151476.81239935325</v>
      </c>
      <c r="N30" s="533">
        <f>('4 Allocation'!M19)</f>
        <v>3578.19241888236</v>
      </c>
      <c r="O30" s="533">
        <f>('4 Allocation'!N19)</f>
        <v>200965.82265113507</v>
      </c>
      <c r="P30" s="533">
        <f>SUM(F30:J30,M30:O30)</f>
        <v>5579361.7566082897</v>
      </c>
      <c r="Q30" s="533">
        <f>E30</f>
        <v>0</v>
      </c>
      <c r="R30" s="533">
        <f>K30</f>
        <v>795.15387086274666</v>
      </c>
      <c r="S30" s="533">
        <f>L30</f>
        <v>1192.7308062941202</v>
      </c>
      <c r="T30" s="533"/>
      <c r="U30" s="534">
        <f>SUM(P30:T30)</f>
        <v>5581349.6412854465</v>
      </c>
    </row>
    <row r="31" spans="2:21">
      <c r="B31" s="529"/>
      <c r="C31" s="530"/>
      <c r="D31" s="530" t="s">
        <v>330</v>
      </c>
      <c r="E31" s="530"/>
      <c r="F31" s="533"/>
      <c r="G31" s="533"/>
      <c r="H31" s="533"/>
      <c r="I31" s="533"/>
      <c r="J31" s="533" t="str">
        <f>('4 Allocation'!I20)</f>
        <v xml:space="preserve"> </v>
      </c>
      <c r="K31" s="533"/>
      <c r="L31" s="533">
        <f>('4 Allocation'!K20)</f>
        <v>0</v>
      </c>
      <c r="M31" s="530"/>
      <c r="N31" s="533">
        <f>('4 Allocation'!M20)</f>
        <v>0</v>
      </c>
      <c r="O31" s="533">
        <f>('4 Allocation'!N20)</f>
        <v>827723.32683489169</v>
      </c>
      <c r="P31" s="533">
        <f>SUM(F31:J31,M31:O31)</f>
        <v>827723.32683489169</v>
      </c>
      <c r="Q31" s="533">
        <f>E31</f>
        <v>0</v>
      </c>
      <c r="R31" s="533">
        <f>K31</f>
        <v>0</v>
      </c>
      <c r="S31" s="533">
        <f>L31</f>
        <v>0</v>
      </c>
      <c r="T31" s="533"/>
      <c r="U31" s="534">
        <f>SUM(P31:T31)</f>
        <v>827723.32683489169</v>
      </c>
    </row>
    <row r="32" spans="2:21">
      <c r="B32" s="529"/>
      <c r="C32" s="530" t="s">
        <v>314</v>
      </c>
      <c r="D32" s="530"/>
      <c r="E32" s="530"/>
      <c r="F32" s="535">
        <f t="shared" ref="F32:S32" si="6">SUM(F25:F31)</f>
        <v>16369921.46580171</v>
      </c>
      <c r="G32" s="535">
        <f t="shared" si="6"/>
        <v>128866.82628949764</v>
      </c>
      <c r="H32" s="535">
        <f t="shared" si="6"/>
        <v>1667129.1305863098</v>
      </c>
      <c r="I32" s="535">
        <f t="shared" si="6"/>
        <v>2326.5363607639674</v>
      </c>
      <c r="J32" s="535">
        <f t="shared" si="6"/>
        <v>106745.65001857345</v>
      </c>
      <c r="K32" s="535">
        <f t="shared" si="6"/>
        <v>1452.9493574584949</v>
      </c>
      <c r="L32" s="535">
        <f t="shared" si="6"/>
        <v>2179.4240361877428</v>
      </c>
      <c r="M32" s="535">
        <f t="shared" si="6"/>
        <v>411525.73221837537</v>
      </c>
      <c r="N32" s="535">
        <f t="shared" si="6"/>
        <v>16703.420955524409</v>
      </c>
      <c r="O32" s="535">
        <f t="shared" si="6"/>
        <v>1134812.8436107682</v>
      </c>
      <c r="P32" s="535">
        <f t="shared" si="6"/>
        <v>19838031.605841521</v>
      </c>
      <c r="Q32" s="535">
        <f t="shared" si="6"/>
        <v>0</v>
      </c>
      <c r="R32" s="535">
        <f t="shared" si="6"/>
        <v>1452.9493574584949</v>
      </c>
      <c r="S32" s="535">
        <f t="shared" si="6"/>
        <v>2179.4240361877428</v>
      </c>
      <c r="T32" s="535"/>
      <c r="U32" s="535">
        <f>SUM(U25:U31)</f>
        <v>19841663.979235169</v>
      </c>
    </row>
    <row r="33" spans="2:23">
      <c r="B33" s="529"/>
      <c r="C33" s="530"/>
      <c r="D33" s="530"/>
      <c r="E33" s="530"/>
      <c r="F33" s="530"/>
      <c r="G33" s="530"/>
      <c r="H33" s="530"/>
      <c r="I33" s="530"/>
      <c r="J33" s="530"/>
      <c r="K33" s="533"/>
      <c r="L33" s="535" t="s">
        <v>1</v>
      </c>
      <c r="M33" s="530"/>
      <c r="N33" s="535" t="s">
        <v>1</v>
      </c>
      <c r="O33" s="535" t="s">
        <v>1</v>
      </c>
      <c r="P33" s="530"/>
      <c r="Q33" s="530"/>
      <c r="R33" s="530"/>
      <c r="S33" s="530"/>
      <c r="T33" s="530"/>
      <c r="U33" s="532"/>
    </row>
    <row r="34" spans="2:23">
      <c r="B34" s="529" t="s">
        <v>315</v>
      </c>
      <c r="C34" s="530"/>
      <c r="D34" s="530"/>
      <c r="E34" s="536">
        <v>0</v>
      </c>
      <c r="F34" s="537">
        <f t="shared" ref="F34:U34" si="7">SUM(F22,F32)</f>
        <v>29426760.296020772</v>
      </c>
      <c r="G34" s="537">
        <f t="shared" si="7"/>
        <v>128866.82628949764</v>
      </c>
      <c r="H34" s="537">
        <f t="shared" si="7"/>
        <v>2890506.6012052936</v>
      </c>
      <c r="I34" s="537">
        <f t="shared" si="7"/>
        <v>2326.5363607639674</v>
      </c>
      <c r="J34" s="537">
        <f t="shared" si="7"/>
        <v>1482645.8507450107</v>
      </c>
      <c r="K34" s="537">
        <f t="shared" si="7"/>
        <v>233106.65542083781</v>
      </c>
      <c r="L34" s="537">
        <f t="shared" si="7"/>
        <v>475318.25309752265</v>
      </c>
      <c r="M34" s="537">
        <f t="shared" si="7"/>
        <v>886769.87894985487</v>
      </c>
      <c r="N34" s="537">
        <f t="shared" si="7"/>
        <v>391450.56194181496</v>
      </c>
      <c r="O34" s="537">
        <f t="shared" si="7"/>
        <v>1412440.25996863</v>
      </c>
      <c r="P34" s="537">
        <f t="shared" si="7"/>
        <v>36621766.81148164</v>
      </c>
      <c r="Q34" s="537">
        <f t="shared" si="7"/>
        <v>0</v>
      </c>
      <c r="R34" s="537">
        <f t="shared" si="7"/>
        <v>233106.65542083781</v>
      </c>
      <c r="S34" s="537">
        <f t="shared" si="7"/>
        <v>475318.25309752265</v>
      </c>
      <c r="T34" s="537"/>
      <c r="U34" s="537">
        <f t="shared" si="7"/>
        <v>37330191.719999999</v>
      </c>
      <c r="W34" s="538">
        <f>(U34+U13)</f>
        <v>94761017.920000002</v>
      </c>
    </row>
    <row r="35" spans="2:23">
      <c r="B35" s="529"/>
      <c r="C35" s="530"/>
      <c r="D35" s="530"/>
      <c r="E35" s="530"/>
      <c r="F35" s="530"/>
      <c r="G35" s="530"/>
      <c r="H35" s="530"/>
      <c r="I35" s="530"/>
      <c r="J35" s="530"/>
      <c r="K35" s="533">
        <f>SUM(E35:J35)</f>
        <v>0</v>
      </c>
      <c r="L35" s="530"/>
      <c r="M35" s="530"/>
      <c r="N35" s="530"/>
      <c r="O35" s="530"/>
      <c r="P35" s="530"/>
      <c r="Q35" s="530"/>
      <c r="R35" s="530"/>
      <c r="S35" s="530"/>
      <c r="T35" s="530"/>
      <c r="U35" s="532"/>
    </row>
    <row r="36" spans="2:23">
      <c r="B36" s="529" t="s">
        <v>316</v>
      </c>
      <c r="C36" s="530"/>
      <c r="D36" s="530"/>
      <c r="E36" s="387" t="s">
        <v>1</v>
      </c>
      <c r="F36" s="535">
        <f>(F15-F34)</f>
        <v>-5501082.2249758057</v>
      </c>
      <c r="G36" s="535">
        <f t="shared" ref="G36:K36" si="8">(G15-G34)</f>
        <v>-71671.815809820459</v>
      </c>
      <c r="H36" s="535">
        <f t="shared" si="8"/>
        <v>-356929.3448259565</v>
      </c>
      <c r="I36" s="535">
        <f t="shared" si="8"/>
        <v>-2255.3238878368793</v>
      </c>
      <c r="J36" s="535">
        <f t="shared" si="8"/>
        <v>262496.40415466903</v>
      </c>
      <c r="K36" s="535">
        <f t="shared" si="8"/>
        <v>-8431.6359563969309</v>
      </c>
      <c r="L36" s="535">
        <f t="shared" ref="L36:U36" si="9">(L15-L34)</f>
        <v>-5393.4211419635685</v>
      </c>
      <c r="M36" s="535">
        <f t="shared" si="9"/>
        <v>187948.6464738209</v>
      </c>
      <c r="N36" s="535">
        <f t="shared" si="9"/>
        <v>-208783.20680617949</v>
      </c>
      <c r="O36" s="535">
        <f t="shared" si="9"/>
        <v>-30223.583854535595</v>
      </c>
      <c r="P36" s="535">
        <f t="shared" si="9"/>
        <v>-5720500.4495316446</v>
      </c>
      <c r="Q36" s="535" t="e">
        <f t="shared" si="9"/>
        <v>#VALUE!</v>
      </c>
      <c r="R36" s="535">
        <f t="shared" si="9"/>
        <v>-8431.6359563969309</v>
      </c>
      <c r="S36" s="535">
        <f t="shared" si="9"/>
        <v>-5393.4211419635685</v>
      </c>
      <c r="T36" s="535"/>
      <c r="U36" s="539">
        <f t="shared" si="9"/>
        <v>-5734325.5066300035</v>
      </c>
    </row>
    <row r="37" spans="2:23">
      <c r="B37" s="529"/>
      <c r="C37" s="530"/>
      <c r="D37" s="530"/>
      <c r="E37" s="530"/>
      <c r="F37" s="535"/>
      <c r="G37" s="535"/>
      <c r="H37" s="535"/>
      <c r="I37" s="535"/>
      <c r="J37" s="535"/>
      <c r="K37" s="533"/>
      <c r="L37" s="530"/>
      <c r="M37" s="530"/>
      <c r="N37" s="530"/>
      <c r="O37" s="530"/>
      <c r="P37" s="530"/>
      <c r="Q37" s="530"/>
      <c r="R37" s="530"/>
      <c r="S37" s="530"/>
      <c r="T37" s="530"/>
      <c r="U37" s="532"/>
    </row>
    <row r="38" spans="2:23">
      <c r="B38" s="529" t="s">
        <v>317</v>
      </c>
      <c r="C38" s="530"/>
      <c r="D38" s="530"/>
      <c r="E38" s="540">
        <f>('XX-6 Increase'!D15)</f>
        <v>0</v>
      </c>
      <c r="F38" s="540">
        <f>('XX-6 Increase'!E15)</f>
        <v>2262177.2610188015</v>
      </c>
      <c r="G38" s="540">
        <f>('XX-6 Increase'!F15)</f>
        <v>12010.494479988025</v>
      </c>
      <c r="H38" s="540">
        <f>('XX-6 Increase'!G15)</f>
        <v>221662.29026859903</v>
      </c>
      <c r="I38" s="540">
        <f>('XX-6 Increase'!H15)</f>
        <v>153.95827478583172</v>
      </c>
      <c r="J38" s="540">
        <f>('XX-6 Increase'!I15)</f>
        <v>234190.60109500284</v>
      </c>
      <c r="K38" s="540">
        <f>('XX-6 Increase'!J15)</f>
        <v>0</v>
      </c>
      <c r="L38" s="540">
        <f>('XX-6 Increase'!K15)</f>
        <v>0</v>
      </c>
      <c r="M38" s="540">
        <f>('XX-6 Increase'!L15)</f>
        <v>93291.498028086688</v>
      </c>
      <c r="N38" s="540">
        <f>('XX-6 Increase'!M15)</f>
        <v>30542.534288836181</v>
      </c>
      <c r="O38" s="540">
        <f>('XX-6 Increase'!N15)</f>
        <v>88108.072545900752</v>
      </c>
      <c r="P38" s="540">
        <f>('XX-6 Increase'!O15)</f>
        <v>2942136.7100000014</v>
      </c>
      <c r="Q38" s="540">
        <f>('XX-6 Increase'!P15)</f>
        <v>0</v>
      </c>
      <c r="R38" s="540">
        <f>('XX-6 Increase'!Q15)</f>
        <v>0</v>
      </c>
      <c r="S38" s="540">
        <f>('XX-6 Increase'!R15)</f>
        <v>0</v>
      </c>
      <c r="T38" s="540"/>
      <c r="U38" s="541">
        <f>('XX-6 Increase'!T15)</f>
        <v>2942136.7100000009</v>
      </c>
    </row>
    <row r="39" spans="2:23" s="386" customFormat="1" ht="12.75">
      <c r="B39" s="542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543"/>
    </row>
    <row r="40" spans="2:23" ht="15" thickBot="1">
      <c r="B40" s="544" t="s">
        <v>331</v>
      </c>
      <c r="C40" s="545"/>
      <c r="D40" s="545"/>
      <c r="E40" s="546" t="s">
        <v>1</v>
      </c>
      <c r="F40" s="547">
        <f t="shared" ref="F40:S40" si="10">(F36+F38)</f>
        <v>-3238904.9639570042</v>
      </c>
      <c r="G40" s="547">
        <f t="shared" si="10"/>
        <v>-59661.321329832434</v>
      </c>
      <c r="H40" s="547">
        <f t="shared" si="10"/>
        <v>-135267.05455735748</v>
      </c>
      <c r="I40" s="547">
        <f t="shared" si="10"/>
        <v>-2101.3656130510476</v>
      </c>
      <c r="J40" s="547">
        <f t="shared" si="10"/>
        <v>496687.00524967187</v>
      </c>
      <c r="K40" s="547">
        <f t="shared" si="10"/>
        <v>-8431.6359563969309</v>
      </c>
      <c r="L40" s="547">
        <f t="shared" si="10"/>
        <v>-5393.4211419635685</v>
      </c>
      <c r="M40" s="547">
        <f t="shared" si="10"/>
        <v>281240.14450190758</v>
      </c>
      <c r="N40" s="547">
        <f t="shared" si="10"/>
        <v>-178240.67251734331</v>
      </c>
      <c r="O40" s="547">
        <f t="shared" si="10"/>
        <v>57884.488691365157</v>
      </c>
      <c r="P40" s="547">
        <f t="shared" si="10"/>
        <v>-2778363.7395316432</v>
      </c>
      <c r="Q40" s="547" t="e">
        <f t="shared" si="10"/>
        <v>#VALUE!</v>
      </c>
      <c r="R40" s="547">
        <f t="shared" si="10"/>
        <v>-8431.6359563969309</v>
      </c>
      <c r="S40" s="547">
        <f t="shared" si="10"/>
        <v>-5393.4211419635685</v>
      </c>
      <c r="T40" s="547"/>
      <c r="U40" s="548">
        <f>(U36+U38)</f>
        <v>-2792188.7966300026</v>
      </c>
    </row>
    <row r="41" spans="2:23" ht="15" thickTop="1">
      <c r="F41" s="538"/>
      <c r="G41" s="538"/>
      <c r="H41" s="538"/>
      <c r="I41" s="538"/>
      <c r="J41" s="538"/>
      <c r="K41" s="549"/>
    </row>
    <row r="42" spans="2:23" ht="15">
      <c r="B42" s="550" t="s">
        <v>417</v>
      </c>
    </row>
    <row r="43" spans="2:23">
      <c r="B43" s="526" t="s">
        <v>415</v>
      </c>
      <c r="C43" s="527"/>
      <c r="D43" s="527"/>
      <c r="E43" s="527"/>
      <c r="F43" s="551">
        <f>('[9]rev adj'!$D$11)</f>
        <v>559075</v>
      </c>
      <c r="G43" s="527"/>
      <c r="H43" s="552">
        <f>('[9]rev adj'!$D$79)</f>
        <v>41296</v>
      </c>
      <c r="I43" s="527"/>
      <c r="J43" s="552">
        <f>('[9]rev adj'!$D$148)</f>
        <v>1884</v>
      </c>
      <c r="K43" s="553">
        <f>('[9]rev adj'!$D$191)</f>
        <v>24</v>
      </c>
      <c r="L43" s="552">
        <f>'[11]rev adj'!$D$235</f>
        <v>36</v>
      </c>
      <c r="M43" s="552">
        <f>('[9]rev adj'!$D$284)</f>
        <v>12376</v>
      </c>
      <c r="N43" s="553">
        <f>('[9]rev adj'!$D$323)</f>
        <v>299</v>
      </c>
      <c r="O43" s="552">
        <f>'[11]rev adj'!$D$435</f>
        <v>258117</v>
      </c>
      <c r="P43" s="527"/>
      <c r="Q43" s="527"/>
      <c r="R43" s="527"/>
      <c r="S43" s="528"/>
      <c r="T43" s="530"/>
    </row>
    <row r="44" spans="2:23">
      <c r="B44" s="529"/>
      <c r="C44" s="530"/>
      <c r="D44" s="530"/>
      <c r="E44" s="530"/>
      <c r="F44" s="533"/>
      <c r="G44" s="530"/>
      <c r="H44" s="530"/>
      <c r="I44" s="530"/>
      <c r="J44" s="530"/>
      <c r="K44" s="530"/>
      <c r="L44" s="530"/>
      <c r="M44" s="530" t="s">
        <v>1</v>
      </c>
      <c r="N44" s="530"/>
      <c r="O44" s="530"/>
      <c r="P44" s="530"/>
      <c r="Q44" s="530" t="s">
        <v>1</v>
      </c>
      <c r="R44" s="530"/>
      <c r="S44" s="532"/>
      <c r="T44" s="530"/>
    </row>
    <row r="45" spans="2:23">
      <c r="B45" s="529" t="s">
        <v>416</v>
      </c>
      <c r="C45" s="530"/>
      <c r="D45" s="530"/>
      <c r="E45" s="530"/>
      <c r="F45" s="533">
        <f>('[9]rev adj'!$D$15)</f>
        <v>604001121</v>
      </c>
      <c r="G45" s="533">
        <f>('[9]rev adj'!$D$50)</f>
        <v>5869464</v>
      </c>
      <c r="H45" s="533">
        <f>'[11]rev adj'!$D$83</f>
        <v>59785822</v>
      </c>
      <c r="I45" s="533">
        <f>'[11]rev adj'!$D$119</f>
        <v>84122</v>
      </c>
      <c r="J45" s="533">
        <f>'[11]rev adj'!$D$155</f>
        <v>77219046</v>
      </c>
      <c r="K45" s="533">
        <f>'[11]rev adj'!$D$198</f>
        <v>20992480</v>
      </c>
      <c r="L45" s="533">
        <f>'[11]rev adj'!$D$246</f>
        <v>39684880</v>
      </c>
      <c r="M45" s="533">
        <f>'[11]rev adj'!$D$288</f>
        <v>26256407</v>
      </c>
      <c r="N45" s="533">
        <f>'[11]rev adj'!$D$327</f>
        <v>11011808</v>
      </c>
      <c r="O45" s="533">
        <f>'[11]Load Research Data'!$AA$159</f>
        <v>19750121</v>
      </c>
      <c r="P45" s="533"/>
      <c r="Q45" s="533"/>
      <c r="R45" s="533"/>
      <c r="S45" s="534"/>
      <c r="T45" s="533"/>
    </row>
    <row r="46" spans="2:23">
      <c r="B46" s="529"/>
      <c r="C46" s="530"/>
      <c r="D46" s="530"/>
      <c r="E46" s="530"/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4"/>
      <c r="T46" s="533"/>
    </row>
    <row r="47" spans="2:23">
      <c r="B47" s="529" t="s">
        <v>381</v>
      </c>
      <c r="C47" s="530"/>
      <c r="D47" s="530"/>
      <c r="E47" s="530"/>
      <c r="F47" s="533"/>
      <c r="G47" s="533"/>
      <c r="H47" s="533"/>
      <c r="I47" s="533"/>
      <c r="J47" s="533">
        <f>'[11]rev adj'!$D$151</f>
        <v>241169.79300000003</v>
      </c>
      <c r="K47" s="533">
        <f>'[11]rev adj'!$D$194</f>
        <v>44861.753000000012</v>
      </c>
      <c r="L47" s="533">
        <f>'[11]rev adj'!$D$238+'[11]rev adj'!$D$240</f>
        <v>75876.702999999994</v>
      </c>
      <c r="M47" s="533"/>
      <c r="N47" s="533"/>
      <c r="O47" s="533"/>
      <c r="P47" s="533"/>
      <c r="Q47" s="533"/>
      <c r="R47" s="533"/>
      <c r="S47" s="534"/>
      <c r="T47" s="533"/>
    </row>
    <row r="48" spans="2:23">
      <c r="B48" s="544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 t="s">
        <v>1</v>
      </c>
      <c r="R48" s="545"/>
      <c r="S48" s="554"/>
      <c r="T48" s="530"/>
    </row>
    <row r="49" spans="2:21"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</row>
    <row r="50" spans="2:21" ht="15">
      <c r="B50" s="377" t="s">
        <v>432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</row>
    <row r="51" spans="2:21">
      <c r="B51" s="526" t="s">
        <v>345</v>
      </c>
      <c r="C51" s="527"/>
      <c r="D51" s="527"/>
      <c r="E51" s="527"/>
      <c r="F51" s="555">
        <f>(F32/F43)</f>
        <v>29.280367510265545</v>
      </c>
      <c r="G51" s="555">
        <v>0</v>
      </c>
      <c r="H51" s="555">
        <f>(H32/H43)</f>
        <v>40.370232724387584</v>
      </c>
      <c r="I51" s="555">
        <v>0</v>
      </c>
      <c r="J51" s="555">
        <f t="shared" ref="J51:O51" si="11">(J32/J43)</f>
        <v>56.659049903701408</v>
      </c>
      <c r="K51" s="555">
        <f t="shared" si="11"/>
        <v>60.53955656077062</v>
      </c>
      <c r="L51" s="555">
        <f t="shared" si="11"/>
        <v>60.539556560770635</v>
      </c>
      <c r="M51" s="555">
        <f t="shared" si="11"/>
        <v>33.251917600062654</v>
      </c>
      <c r="N51" s="555">
        <f t="shared" si="11"/>
        <v>55.864284132188658</v>
      </c>
      <c r="O51" s="555">
        <f t="shared" si="11"/>
        <v>4.3965056296592948</v>
      </c>
      <c r="P51" s="527"/>
      <c r="Q51" s="555"/>
      <c r="R51" s="555"/>
      <c r="S51" s="556"/>
      <c r="T51" s="557"/>
    </row>
    <row r="52" spans="2:21">
      <c r="B52" s="529" t="s">
        <v>346</v>
      </c>
      <c r="C52" s="530"/>
      <c r="D52" s="530"/>
      <c r="E52" s="530"/>
      <c r="F52" s="558">
        <f>('4 Allocation'!E31-'4 Allocation'!E27)/'12 Inc Stmt Func'!F45</f>
        <v>9.1854232968935162E-2</v>
      </c>
      <c r="G52" s="558">
        <f>('4 Allocation'!F31-'4 Allocation'!F27)/'12 Inc Stmt Func'!G45</f>
        <v>4.9345496842696852E-2</v>
      </c>
      <c r="H52" s="559">
        <f>('4 Allocation'!G31-'4 Allocation'!G27)/'12 Inc Stmt Func'!H45</f>
        <v>8.6456676834873278E-2</v>
      </c>
      <c r="I52" s="558">
        <f>('4 Allocation'!H31-'4 Allocation'!H27)/'12 Inc Stmt Func'!I45</f>
        <v>5.2003461960877205E-2</v>
      </c>
      <c r="J52" s="559">
        <f>('4 Allocation'!I31-'4 Allocation'!I27)/'12 Inc Stmt Func'!J45</f>
        <v>8.4133763817422241E-2</v>
      </c>
      <c r="K52" s="559">
        <f>('4 Allocation'!J31-'4 Allocation'!J27)/'12 Inc Stmt Func'!K45</f>
        <v>6.8135746582336426E-2</v>
      </c>
      <c r="L52" s="559">
        <f>('4 Allocation'!K31-'4 Allocation'!K27)/'12 Inc Stmt Func'!L45</f>
        <v>6.8150988939747525E-2</v>
      </c>
      <c r="M52" s="559">
        <f>('4 Allocation'!L31-'4 Allocation'!L27)/'12 Inc Stmt Func'!M45</f>
        <v>8.0767370198431582E-2</v>
      </c>
      <c r="N52" s="559">
        <f>('4 Allocation'!M31-'4 Allocation'!M27)/'12 Inc Stmt Func'!N45</f>
        <v>9.8722087042969531E-2</v>
      </c>
      <c r="O52" s="559">
        <f>('4 Allocation'!N31-'4 Allocation'!N27)/'12 Inc Stmt Func'!O45</f>
        <v>0.11551023588322713</v>
      </c>
      <c r="P52" s="559"/>
      <c r="Q52" s="560"/>
      <c r="R52" s="561"/>
      <c r="S52" s="562"/>
      <c r="T52" s="561"/>
      <c r="U52" s="563"/>
    </row>
    <row r="53" spans="2:21">
      <c r="B53" s="529" t="s">
        <v>344</v>
      </c>
      <c r="C53" s="530"/>
      <c r="D53" s="530"/>
      <c r="E53" s="530"/>
      <c r="F53" s="530"/>
      <c r="G53" s="530"/>
      <c r="H53" s="557"/>
      <c r="I53" s="530"/>
      <c r="J53" s="557">
        <f>(J11+J22)/(J47)</f>
        <v>9.8595017524459614</v>
      </c>
      <c r="K53" s="557">
        <f>(K11+K22)/(K47)</f>
        <v>11.338203972176013</v>
      </c>
      <c r="L53" s="557">
        <f>(L11+L22)/(L47)</f>
        <v>12.661275346417398</v>
      </c>
      <c r="M53" s="530"/>
      <c r="N53" s="530"/>
      <c r="O53" s="530"/>
      <c r="P53" s="530"/>
      <c r="Q53" s="557"/>
      <c r="R53" s="557"/>
      <c r="S53" s="564"/>
      <c r="T53" s="557"/>
    </row>
    <row r="54" spans="2:21">
      <c r="B54" s="544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54"/>
      <c r="T54" s="530"/>
    </row>
  </sheetData>
  <customSheetViews>
    <customSheetView guid="{18050E3F-BBF0-4BF6-9B33-B0817BE1B1C5}" showRuler="0">
      <selection activeCell="P12" sqref="P12"/>
      <pageMargins left="0.75" right="0.75" top="1" bottom="1" header="0.5" footer="0.5"/>
      <headerFooter alignWithMargins="0"/>
    </customSheetView>
  </customSheetViews>
  <mergeCells count="1">
    <mergeCell ref="B1:U1"/>
  </mergeCells>
  <phoneticPr fontId="16" type="noConversion"/>
  <printOptions horizontalCentered="1" verticalCentered="1" gridLines="1"/>
  <pageMargins left="0.75" right="0.75" top="1.19" bottom="1" header="0.5" footer="0.5"/>
  <pageSetup scale="68" orientation="portrait" r:id="rId1"/>
  <headerFooter alignWithMargins="0">
    <oddHeader>&amp;C&amp;"Arial,Bold"&amp;12JACKSON ENERGY COOPERATIVE
CASE NO. 2013-00219 COSTS TO SERVE EACH RATE CLASS AND COST BASED RATES&amp;"Arial,Regular"&amp;10
&amp;R&amp;11Revised Exhibit R
Schedule  5
Page ____ of ____
Witness:  Jim Adkins</oddHeader>
  </headerFooter>
  <colBreaks count="1" manualBreakCount="1">
    <brk id="1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5:V45"/>
  <sheetViews>
    <sheetView view="pageBreakPreview" topLeftCell="A3" zoomScale="60" zoomScaleNormal="100" workbookViewId="0">
      <pane ySplit="5" topLeftCell="A8" activePane="bottomLeft" state="frozen"/>
      <selection activeCell="B3" sqref="B3"/>
      <selection pane="bottomLeft" activeCell="L46" sqref="L45:L46"/>
    </sheetView>
  </sheetViews>
  <sheetFormatPr defaultRowHeight="12.75"/>
  <cols>
    <col min="1" max="1" width="4.5703125" style="1" customWidth="1"/>
    <col min="2" max="2" width="9.140625" style="1"/>
    <col min="3" max="3" width="8.85546875" style="1" customWidth="1"/>
    <col min="4" max="4" width="8.7109375" style="1" customWidth="1"/>
    <col min="5" max="5" width="13.28515625" style="1" customWidth="1"/>
    <col min="6" max="6" width="11.42578125" style="1" customWidth="1"/>
    <col min="7" max="7" width="13" style="1" customWidth="1"/>
    <col min="8" max="8" width="12.42578125" style="1" customWidth="1"/>
    <col min="9" max="9" width="13" style="1" bestFit="1" customWidth="1"/>
    <col min="10" max="10" width="10.7109375" customWidth="1"/>
    <col min="11" max="11" width="14" bestFit="1" customWidth="1"/>
    <col min="12" max="12" width="15.7109375" bestFit="1" customWidth="1"/>
    <col min="13" max="13" width="10.42578125" style="1" customWidth="1"/>
    <col min="14" max="14" width="12.28515625" style="1" bestFit="1" customWidth="1"/>
    <col min="15" max="15" width="14.140625" style="1" customWidth="1"/>
    <col min="16" max="17" width="12.85546875" style="1" customWidth="1"/>
    <col min="18" max="18" width="14.140625" style="1" bestFit="1" customWidth="1"/>
    <col min="19" max="19" width="11.7109375" style="1" customWidth="1"/>
    <col min="20" max="20" width="13.85546875" style="1" customWidth="1"/>
    <col min="21" max="21" width="13" style="1" bestFit="1" customWidth="1"/>
    <col min="22" max="22" width="12.7109375" style="1" customWidth="1"/>
    <col min="23" max="16384" width="9.140625" style="1"/>
  </cols>
  <sheetData>
    <row r="5" spans="1:22" s="2" customFormat="1">
      <c r="A5" s="234"/>
      <c r="B5" s="235"/>
      <c r="C5" s="235"/>
      <c r="D5" s="71" t="str">
        <f>('12 Inc Stmt Func'!E4)</f>
        <v xml:space="preserve"> </v>
      </c>
      <c r="E5" s="71">
        <f>('12 Inc Stmt Func'!F4)</f>
        <v>10</v>
      </c>
      <c r="F5" s="71">
        <f>('12 Inc Stmt Func'!G4)</f>
        <v>11</v>
      </c>
      <c r="G5" s="71">
        <f>('12 Inc Stmt Func'!H4)</f>
        <v>20</v>
      </c>
      <c r="H5" s="71">
        <f>('12 Inc Stmt Func'!I4)</f>
        <v>22</v>
      </c>
      <c r="I5" s="71">
        <f>('12 Inc Stmt Func'!J4)</f>
        <v>40</v>
      </c>
      <c r="J5" s="71">
        <f>('12 Inc Stmt Func'!K4)</f>
        <v>46</v>
      </c>
      <c r="K5" s="71">
        <f>('12 Inc Stmt Func'!L4)</f>
        <v>47</v>
      </c>
      <c r="L5" s="71">
        <f>('12 Inc Stmt Func'!M4)</f>
        <v>50</v>
      </c>
      <c r="M5" s="71">
        <f>('12 Inc Stmt Func'!N4)</f>
        <v>52</v>
      </c>
      <c r="N5" s="71"/>
      <c r="O5" s="71" t="str">
        <f>('12 Inc Stmt Func'!P4)</f>
        <v>Total</v>
      </c>
      <c r="P5" s="71"/>
      <c r="Q5" s="71">
        <f>('12 Inc Stmt Func'!R4)</f>
        <v>46</v>
      </c>
      <c r="R5" s="71">
        <f>('12 Inc Stmt Func'!S4)</f>
        <v>47</v>
      </c>
      <c r="S5" s="71"/>
      <c r="T5" s="71"/>
    </row>
    <row r="6" spans="1:22" s="2" customFormat="1">
      <c r="A6" s="236"/>
      <c r="B6" s="47"/>
      <c r="C6" s="47"/>
      <c r="D6" s="71" t="str">
        <f>('12 Inc Stmt Func'!E5)</f>
        <v>Green</v>
      </c>
      <c r="E6" s="71" t="str">
        <f>('12 Inc Stmt Func'!F5)</f>
        <v>Residential</v>
      </c>
      <c r="F6" s="71" t="str">
        <f>('12 Inc Stmt Func'!G5)</f>
        <v>Residential</v>
      </c>
      <c r="G6" s="71" t="str">
        <f>('12 Inc Stmt Func'!H5)</f>
        <v>Comm. Sml Pow</v>
      </c>
      <c r="H6" s="71" t="str">
        <f>('12 Inc Stmt Func'!I5)</f>
        <v>Comm &amp; Sml Pow</v>
      </c>
      <c r="I6" s="71" t="str">
        <f>('12 Inc Stmt Func'!J5)</f>
        <v>Large Power</v>
      </c>
      <c r="J6" s="71" t="str">
        <f>('12 Inc Stmt Func'!K5)</f>
        <v>Large Power</v>
      </c>
      <c r="K6" s="71" t="str">
        <f>('12 Inc Stmt Func'!L5)</f>
        <v>Large Power</v>
      </c>
      <c r="L6" s="71" t="str">
        <f>('12 Inc Stmt Func'!M5)</f>
        <v>Schl. Community</v>
      </c>
      <c r="M6" s="71" t="str">
        <f>('12 Inc Stmt Func'!N5)</f>
        <v>All Electric</v>
      </c>
      <c r="N6" s="71" t="str">
        <f>('12 Inc Stmt Func'!O5)</f>
        <v>Outdoor</v>
      </c>
      <c r="O6" s="71" t="str">
        <f>('12 Inc Stmt Func'!P5)</f>
        <v>Energy for</v>
      </c>
      <c r="P6" s="71"/>
      <c r="Q6" s="71" t="str">
        <f>('12 Inc Stmt Func'!R5)</f>
        <v>500 kW &amp;</v>
      </c>
      <c r="R6" s="71" t="str">
        <f>('12 Inc Stmt Func'!S5)</f>
        <v>500-4,999 kW</v>
      </c>
      <c r="S6" s="71"/>
      <c r="T6" s="71" t="str">
        <f>('12 Inc Stmt Func'!U5)</f>
        <v>Total</v>
      </c>
    </row>
    <row r="7" spans="1:22" s="2" customFormat="1">
      <c r="A7" s="236"/>
      <c r="B7" s="47"/>
      <c r="C7" s="47"/>
      <c r="D7" s="71" t="str">
        <f>('12 Inc Stmt Func'!E6)</f>
        <v>Power</v>
      </c>
      <c r="E7" s="71" t="str">
        <f>('12 Inc Stmt Func'!F6)</f>
        <v>Farm &amp; Non Farm</v>
      </c>
      <c r="F7" s="71" t="str">
        <f>('12 Inc Stmt Func'!G6)</f>
        <v>ETS</v>
      </c>
      <c r="G7" s="71" t="str">
        <f>('12 Inc Stmt Func'!H6)</f>
        <v>&amp; 3 Phase Farm</v>
      </c>
      <c r="H7" s="71" t="str">
        <f>('12 Inc Stmt Func'!I6)</f>
        <v>ETS</v>
      </c>
      <c r="I7" s="71" t="str">
        <f>('12 Inc Stmt Func'!J6)</f>
        <v>&lt; Than 50 kW</v>
      </c>
      <c r="J7" s="71" t="str">
        <f>('12 Inc Stmt Func'!K6)</f>
        <v>&gt;500 kW</v>
      </c>
      <c r="K7" s="71" t="str">
        <f>('12 Inc Stmt Func'!L6)</f>
        <v>500-4999 KW</v>
      </c>
      <c r="L7" s="71" t="str">
        <f>('12 Inc Stmt Func'!M6)</f>
        <v>Halls &amp; Parks</v>
      </c>
      <c r="M7" s="71" t="str">
        <f>('12 Inc Stmt Func'!N6)</f>
        <v>Schools</v>
      </c>
      <c r="N7" s="71" t="str">
        <f>('12 Inc Stmt Func'!O6)</f>
        <v>Lights</v>
      </c>
      <c r="O7" s="71" t="str">
        <f>('12 Inc Stmt Func'!P6)</f>
        <v>Sched E</v>
      </c>
      <c r="P7" s="71" t="str">
        <f>('12 Inc Stmt Func'!Q6)</f>
        <v>Envirowatts</v>
      </c>
      <c r="Q7" s="71" t="str">
        <f>('12 Inc Stmt Func'!R6)</f>
        <v>Over (C)</v>
      </c>
      <c r="R7" s="71" t="str">
        <f>('12 Inc Stmt Func'!S6)</f>
        <v>(B)</v>
      </c>
      <c r="S7" s="71" t="str">
        <f>('12 Inc Stmt Func'!T6)</f>
        <v>Wellhead</v>
      </c>
      <c r="T7" s="71" t="str">
        <f>('12 Inc Stmt Func'!U6)</f>
        <v>Energy kWh</v>
      </c>
    </row>
    <row r="8" spans="1:22">
      <c r="A8" s="63"/>
      <c r="B8" s="20"/>
      <c r="C8" s="20"/>
      <c r="D8" s="61"/>
      <c r="E8" s="59"/>
      <c r="F8" s="59"/>
      <c r="G8" s="59"/>
      <c r="H8" s="59"/>
      <c r="I8" s="59"/>
      <c r="J8" s="67"/>
    </row>
    <row r="9" spans="1:22">
      <c r="A9" s="63" t="s">
        <v>186</v>
      </c>
      <c r="B9" s="20"/>
      <c r="C9" s="20"/>
      <c r="D9" s="61"/>
      <c r="E9" s="61"/>
      <c r="F9" s="61"/>
      <c r="G9" s="61"/>
      <c r="H9" s="61"/>
      <c r="I9" s="61"/>
      <c r="J9" s="67"/>
    </row>
    <row r="10" spans="1:22">
      <c r="A10" s="63" t="s">
        <v>187</v>
      </c>
      <c r="B10" s="20"/>
      <c r="C10" s="20"/>
      <c r="D10" s="57">
        <f>('4 Allocation'!D21)</f>
        <v>4430</v>
      </c>
      <c r="E10" s="57">
        <f>('4 Allocation'!E21)</f>
        <v>71849981.147633716</v>
      </c>
      <c r="F10" s="57">
        <f>('4 Allocation'!F21)</f>
        <v>418498.44356982043</v>
      </c>
      <c r="G10" s="57">
        <f>('4 Allocation'!G21)</f>
        <v>6836012.6225475669</v>
      </c>
      <c r="H10" s="57">
        <f>('4 Allocation'!H21)</f>
        <v>6701.1715878368796</v>
      </c>
      <c r="I10" s="57">
        <f>('4 Allocation'!I21)</f>
        <v>6603474.6283892374</v>
      </c>
      <c r="J10" s="57">
        <f>('4 Allocation'!J21)</f>
        <v>1431791.2467722239</v>
      </c>
      <c r="K10" s="57">
        <f>('4 Allocation'!K21)</f>
        <v>2706743.2419913956</v>
      </c>
      <c r="L10" s="57">
        <f>('4 Allocation'!L21)</f>
        <v>2532186.6764680659</v>
      </c>
      <c r="M10" s="57">
        <f>('4 Allocation'!M21)</f>
        <v>1103812.0888319928</v>
      </c>
      <c r="N10" s="57">
        <f>('4 Allocation'!N21)</f>
        <v>2588430.6522081541</v>
      </c>
      <c r="O10" s="57">
        <f>('4 Allocation'!O21)</f>
        <v>91939097.431236371</v>
      </c>
      <c r="P10" s="57">
        <f>('4 Allocation'!P21)</f>
        <v>4430</v>
      </c>
      <c r="Q10" s="57">
        <f>('4 Allocation'!Q21)</f>
        <v>1431791.2467722239</v>
      </c>
      <c r="R10" s="57">
        <f>('4 Allocation'!R21)</f>
        <v>2706743.2419913956</v>
      </c>
      <c r="S10" s="57">
        <f>('4 Allocation'!S21)</f>
        <v>0</v>
      </c>
      <c r="T10" s="57">
        <f>('4 Allocation'!T21)</f>
        <v>96082061.919999987</v>
      </c>
    </row>
    <row r="11" spans="1:22">
      <c r="A11" s="77" t="s">
        <v>284</v>
      </c>
      <c r="B11" s="14"/>
      <c r="C11" s="20"/>
      <c r="D11" s="58" t="str">
        <f>('12 Inc Stmt Func'!E8)</f>
        <v xml:space="preserve"> </v>
      </c>
      <c r="E11" s="58">
        <f>('12 Inc Stmt Func'!F8)</f>
        <v>65324813.407289997</v>
      </c>
      <c r="F11" s="58">
        <f>('12 Inc Stmt Func'!G8)</f>
        <v>346826.62776</v>
      </c>
      <c r="G11" s="58">
        <f>('12 Inc Stmt Func'!H8)</f>
        <v>6400934.1799800005</v>
      </c>
      <c r="H11" s="58">
        <f>('12 Inc Stmt Func'!I8)</f>
        <v>4445.8477000000003</v>
      </c>
      <c r="I11" s="58">
        <f>('12 Inc Stmt Func'!J8)</f>
        <v>6762713.7722100001</v>
      </c>
      <c r="J11" s="58">
        <f>('12 Inc Stmt Func'!K8)</f>
        <v>1403807.3601200001</v>
      </c>
      <c r="K11" s="58">
        <f>('12 Inc Stmt Func'!L8)</f>
        <v>2662906.4912999999</v>
      </c>
      <c r="L11" s="58">
        <f>('12 Inc Stmt Func'!M8)</f>
        <v>2693975.3158099996</v>
      </c>
      <c r="M11" s="58">
        <f>('12 Inc Stmt Func'!N8)</f>
        <v>881975.6912</v>
      </c>
      <c r="N11" s="58">
        <f>('12 Inc Stmt Func'!O8)</f>
        <v>2544293.7199999997</v>
      </c>
      <c r="O11" s="58">
        <f>('12 Inc Stmt Func'!P8)</f>
        <v>84959978.561949998</v>
      </c>
      <c r="P11" s="58" t="str">
        <f>('12 Inc Stmt Func'!Q8)</f>
        <v xml:space="preserve"> </v>
      </c>
      <c r="Q11" s="58">
        <f>('12 Inc Stmt Func'!R8)</f>
        <v>1403807.3601200001</v>
      </c>
      <c r="R11" s="58">
        <f>('12 Inc Stmt Func'!S8)</f>
        <v>2662906.4912999999</v>
      </c>
      <c r="S11" s="58">
        <f>('12 Inc Stmt Func'!T8)</f>
        <v>0</v>
      </c>
      <c r="T11" s="58">
        <f>('12 Inc Stmt Func'!U8)</f>
        <v>89026692.413369998</v>
      </c>
      <c r="U11" s="12">
        <f>SUM(E11:I11,L11:N11)</f>
        <v>84959978.561949998</v>
      </c>
    </row>
    <row r="12" spans="1:22">
      <c r="A12" s="77" t="s">
        <v>229</v>
      </c>
      <c r="B12" s="14"/>
      <c r="C12" s="20"/>
      <c r="D12" s="84" t="e">
        <f t="shared" ref="D12:J12" si="0">(D10-D11)</f>
        <v>#VALUE!</v>
      </c>
      <c r="E12" s="84">
        <f t="shared" si="0"/>
        <v>6525167.7403437197</v>
      </c>
      <c r="F12" s="84">
        <f t="shared" si="0"/>
        <v>71671.815809820429</v>
      </c>
      <c r="G12" s="84">
        <f t="shared" si="0"/>
        <v>435078.44256756641</v>
      </c>
      <c r="H12" s="84">
        <f t="shared" si="0"/>
        <v>2255.3238878368793</v>
      </c>
      <c r="I12" s="84">
        <f t="shared" si="0"/>
        <v>-159239.14382076263</v>
      </c>
      <c r="J12" s="84">
        <f t="shared" si="0"/>
        <v>27983.886652223766</v>
      </c>
      <c r="K12" s="84">
        <f t="shared" ref="K12:R12" si="1">(K10-K11)</f>
        <v>43836.750691395719</v>
      </c>
      <c r="L12" s="84">
        <f t="shared" si="1"/>
        <v>-161788.63934193365</v>
      </c>
      <c r="M12" s="84">
        <f t="shared" si="1"/>
        <v>221836.39763199282</v>
      </c>
      <c r="N12" s="84">
        <f t="shared" si="1"/>
        <v>44136.932208154351</v>
      </c>
      <c r="O12" s="84">
        <f>(O10-O11)</f>
        <v>6979118.8692863733</v>
      </c>
      <c r="P12" s="84" t="e">
        <f t="shared" si="1"/>
        <v>#VALUE!</v>
      </c>
      <c r="Q12" s="84">
        <f t="shared" si="1"/>
        <v>27983.886652223766</v>
      </c>
      <c r="R12" s="84">
        <f t="shared" si="1"/>
        <v>43836.750691395719</v>
      </c>
      <c r="S12" s="84"/>
      <c r="T12" s="84">
        <f>(T10-T11)</f>
        <v>7055369.5066299886</v>
      </c>
    </row>
    <row r="13" spans="1:22">
      <c r="A13" s="63"/>
      <c r="B13" s="20"/>
      <c r="C13" s="20"/>
      <c r="D13" s="61"/>
      <c r="E13" s="61"/>
      <c r="F13" s="61"/>
      <c r="G13" s="61"/>
      <c r="H13" s="61"/>
      <c r="I13" s="61"/>
      <c r="J13" s="67"/>
    </row>
    <row r="14" spans="1:22">
      <c r="A14" s="48" t="s">
        <v>282</v>
      </c>
      <c r="B14" s="3"/>
      <c r="C14" s="20"/>
      <c r="D14" s="61"/>
      <c r="E14" s="102">
        <f>(E11/$U$11)</f>
        <v>0.76888924071064013</v>
      </c>
      <c r="F14" s="102">
        <f>(F11/$U$11)</f>
        <v>4.0822353492839638E-3</v>
      </c>
      <c r="G14" s="102">
        <f>(G11/$U$11)</f>
        <v>7.53405813928337E-2</v>
      </c>
      <c r="H14" s="102">
        <f>(H11/$U$11)</f>
        <v>5.232872907045563E-5</v>
      </c>
      <c r="I14" s="102">
        <f>(I11/$U$11)</f>
        <v>7.9598816839140954E-2</v>
      </c>
      <c r="J14" s="102">
        <v>0</v>
      </c>
      <c r="K14" s="102">
        <v>0</v>
      </c>
      <c r="L14" s="102">
        <f t="shared" ref="L14:N14" si="2">(L11/$U$11)</f>
        <v>3.1708757010168523E-2</v>
      </c>
      <c r="M14" s="102">
        <f t="shared" si="2"/>
        <v>1.0381072431143477E-2</v>
      </c>
      <c r="N14" s="102">
        <f t="shared" si="2"/>
        <v>2.9946967537718777E-2</v>
      </c>
      <c r="O14" s="266">
        <f>SUM(E14:I14,L14:N14)</f>
        <v>1</v>
      </c>
      <c r="P14" s="344">
        <f>D14</f>
        <v>0</v>
      </c>
      <c r="Q14" s="102">
        <f>J14</f>
        <v>0</v>
      </c>
      <c r="R14" s="345">
        <f>K14</f>
        <v>0</v>
      </c>
      <c r="S14" s="266"/>
      <c r="T14" s="266">
        <f>SUM(O14:S14)</f>
        <v>1</v>
      </c>
    </row>
    <row r="15" spans="1:22">
      <c r="A15" s="48" t="s">
        <v>230</v>
      </c>
      <c r="B15" s="3"/>
      <c r="C15" s="20"/>
      <c r="D15" s="57"/>
      <c r="E15" s="57">
        <f>(E14*$T$15)</f>
        <v>2262177.2610188015</v>
      </c>
      <c r="F15" s="57">
        <f t="shared" ref="F15:N15" si="3">(F14*$T$15)</f>
        <v>12010.494479988025</v>
      </c>
      <c r="G15" s="57">
        <f>(G14*$T$15)</f>
        <v>221662.29026859903</v>
      </c>
      <c r="H15" s="57">
        <f t="shared" si="3"/>
        <v>153.95827478583172</v>
      </c>
      <c r="I15" s="57">
        <f t="shared" si="3"/>
        <v>234190.60109500284</v>
      </c>
      <c r="J15" s="57">
        <f t="shared" si="3"/>
        <v>0</v>
      </c>
      <c r="K15" s="57">
        <f t="shared" si="3"/>
        <v>0</v>
      </c>
      <c r="L15" s="57">
        <f t="shared" si="3"/>
        <v>93291.498028086688</v>
      </c>
      <c r="M15" s="57">
        <f t="shared" si="3"/>
        <v>30542.534288836181</v>
      </c>
      <c r="N15" s="77">
        <f t="shared" si="3"/>
        <v>88108.072545900752</v>
      </c>
      <c r="O15" s="14">
        <f>SUM(E15:I15,L15:N15)</f>
        <v>2942136.7100000014</v>
      </c>
      <c r="P15" s="265">
        <f>D15</f>
        <v>0</v>
      </c>
      <c r="Q15" s="57">
        <f>J15</f>
        <v>0</v>
      </c>
      <c r="R15" s="77">
        <f>K15</f>
        <v>0</v>
      </c>
      <c r="S15" s="14"/>
      <c r="T15" s="341">
        <f>'1TestYr'!J97+'1TestYr'!J108</f>
        <v>2942136.7100000009</v>
      </c>
      <c r="U15" s="12"/>
      <c r="V15" s="12">
        <f>SUM(E15:N15)</f>
        <v>2942136.7100000014</v>
      </c>
    </row>
    <row r="16" spans="1:22">
      <c r="A16" s="63"/>
      <c r="B16" s="20"/>
      <c r="C16" s="20"/>
      <c r="D16" s="57"/>
      <c r="E16" s="85" t="s">
        <v>1</v>
      </c>
      <c r="F16" s="61"/>
      <c r="G16" s="61"/>
      <c r="H16" s="85" t="s">
        <v>1</v>
      </c>
      <c r="I16" s="61"/>
      <c r="J16" s="67"/>
    </row>
    <row r="17" spans="1:22">
      <c r="A17" s="63" t="s">
        <v>232</v>
      </c>
      <c r="B17" s="20"/>
      <c r="C17" s="20"/>
      <c r="D17" s="57"/>
      <c r="E17" s="84">
        <f>(E12-E15)</f>
        <v>4262990.4793249182</v>
      </c>
      <c r="F17" s="84">
        <f>(F12-F15)</f>
        <v>59661.321329832404</v>
      </c>
      <c r="G17" s="84">
        <f>(G12-G15)</f>
        <v>213416.15229896738</v>
      </c>
      <c r="H17" s="84">
        <f>(H12-H15)</f>
        <v>2101.3656130510476</v>
      </c>
      <c r="I17" s="84">
        <f>(I12-I15)</f>
        <v>-393429.74491576548</v>
      </c>
      <c r="J17" s="84">
        <f t="shared" ref="J17:R17" si="4">(J12-J15)</f>
        <v>27983.886652223766</v>
      </c>
      <c r="K17" s="84">
        <f t="shared" si="4"/>
        <v>43836.750691395719</v>
      </c>
      <c r="L17" s="84">
        <f t="shared" si="4"/>
        <v>-255080.13737002033</v>
      </c>
      <c r="M17" s="84">
        <f t="shared" si="4"/>
        <v>191293.86334315664</v>
      </c>
      <c r="N17" s="84">
        <f t="shared" si="4"/>
        <v>-43971.140337746401</v>
      </c>
      <c r="O17" s="84">
        <f>(O12-O15)</f>
        <v>4036982.1592863719</v>
      </c>
      <c r="P17" s="84" t="e">
        <f>(P12-P15)</f>
        <v>#VALUE!</v>
      </c>
      <c r="Q17" s="84">
        <f t="shared" si="4"/>
        <v>27983.886652223766</v>
      </c>
      <c r="R17" s="84">
        <f t="shared" si="4"/>
        <v>43836.750691395719</v>
      </c>
      <c r="S17" s="84"/>
      <c r="T17" s="84">
        <f>(T12-T15)</f>
        <v>4113232.7966299877</v>
      </c>
      <c r="V17" s="12">
        <f>SUM(E17:N17)</f>
        <v>4108802.7966300119</v>
      </c>
    </row>
    <row r="18" spans="1:22">
      <c r="A18" s="63" t="s">
        <v>246</v>
      </c>
      <c r="B18" s="20"/>
      <c r="C18" s="20"/>
      <c r="D18" s="57"/>
      <c r="E18" s="61"/>
      <c r="F18" s="61"/>
      <c r="G18" s="61"/>
      <c r="H18" s="61"/>
      <c r="I18" s="61"/>
      <c r="J18" s="67"/>
    </row>
    <row r="19" spans="1:22">
      <c r="A19" s="63" t="s">
        <v>323</v>
      </c>
      <c r="B19" s="20"/>
      <c r="C19" s="20"/>
      <c r="D19" s="86" t="s">
        <v>1</v>
      </c>
      <c r="E19" s="78">
        <f>(E17/E11)</f>
        <v>6.5258364424951962E-2</v>
      </c>
      <c r="F19" s="78">
        <f>(F17/F11)</f>
        <v>0.17202059056179891</v>
      </c>
      <c r="G19" s="78">
        <f t="shared" ref="G19:T19" si="5">(G17/G11)</f>
        <v>3.3341407097492476E-2</v>
      </c>
      <c r="H19" s="78">
        <f t="shared" si="5"/>
        <v>0.47265802943520702</v>
      </c>
      <c r="I19" s="78">
        <f t="shared" si="5"/>
        <v>-5.8176311783663712E-2</v>
      </c>
      <c r="J19" s="196">
        <f t="shared" si="5"/>
        <v>1.9934278339893908E-2</v>
      </c>
      <c r="K19" s="196">
        <f t="shared" si="5"/>
        <v>1.6461994003400069E-2</v>
      </c>
      <c r="L19" s="196">
        <f t="shared" si="5"/>
        <v>-9.4685402599290411E-2</v>
      </c>
      <c r="M19" s="196">
        <f t="shared" si="5"/>
        <v>0.21689244414762238</v>
      </c>
      <c r="N19" s="196">
        <f t="shared" si="5"/>
        <v>-1.7282257937478385E-2</v>
      </c>
      <c r="O19" s="196">
        <f t="shared" si="5"/>
        <v>4.751628034301749E-2</v>
      </c>
      <c r="P19" s="196" t="e">
        <f t="shared" si="5"/>
        <v>#VALUE!</v>
      </c>
      <c r="Q19" s="196">
        <f t="shared" si="5"/>
        <v>1.9934278339893908E-2</v>
      </c>
      <c r="R19" s="196">
        <f>(R17/R11)</f>
        <v>1.6461994003400069E-2</v>
      </c>
      <c r="S19" s="196"/>
      <c r="T19" s="196">
        <f t="shared" si="5"/>
        <v>4.6202242104327169E-2</v>
      </c>
    </row>
    <row r="20" spans="1:22">
      <c r="A20" s="63"/>
      <c r="B20" s="20"/>
      <c r="C20" s="20"/>
      <c r="D20" s="271"/>
      <c r="E20" s="59"/>
      <c r="F20" s="59"/>
      <c r="G20" s="59"/>
      <c r="H20" s="59"/>
      <c r="I20" s="59"/>
      <c r="J20" s="74"/>
      <c r="K20" s="74"/>
      <c r="L20" s="74"/>
      <c r="M20" s="59"/>
      <c r="N20" s="59"/>
      <c r="O20" s="59"/>
      <c r="P20" s="59"/>
      <c r="Q20" s="59"/>
      <c r="R20" s="59"/>
      <c r="S20" s="59"/>
      <c r="T20" s="59"/>
    </row>
    <row r="21" spans="1:22">
      <c r="A21" s="63"/>
      <c r="B21" s="20"/>
      <c r="C21" s="20"/>
      <c r="D21" s="346">
        <v>0</v>
      </c>
      <c r="E21" s="347">
        <f>(E17)</f>
        <v>4262990.4793249182</v>
      </c>
      <c r="F21" s="347">
        <f t="shared" ref="F21:N21" si="6">(F17)</f>
        <v>59661.321329832404</v>
      </c>
      <c r="G21" s="347">
        <f t="shared" si="6"/>
        <v>213416.15229896738</v>
      </c>
      <c r="H21" s="347">
        <f t="shared" si="6"/>
        <v>2101.3656130510476</v>
      </c>
      <c r="I21" s="347">
        <f t="shared" si="6"/>
        <v>-393429.74491576548</v>
      </c>
      <c r="J21" s="348">
        <f t="shared" si="6"/>
        <v>27983.886652223766</v>
      </c>
      <c r="K21" s="348">
        <f t="shared" si="6"/>
        <v>43836.750691395719</v>
      </c>
      <c r="L21" s="348">
        <f t="shared" si="6"/>
        <v>-255080.13737002033</v>
      </c>
      <c r="M21" s="347">
        <f t="shared" si="6"/>
        <v>191293.86334315664</v>
      </c>
      <c r="N21" s="347">
        <f t="shared" si="6"/>
        <v>-43971.140337746401</v>
      </c>
      <c r="O21" s="340">
        <f>SUM(E21:I21,L21:N21)</f>
        <v>4036982.1592863929</v>
      </c>
      <c r="P21" s="349">
        <f>D21</f>
        <v>0</v>
      </c>
      <c r="Q21" s="346">
        <f>J21</f>
        <v>27983.886652223766</v>
      </c>
      <c r="R21" s="350">
        <f>K21</f>
        <v>43836.750691395719</v>
      </c>
      <c r="S21" s="348"/>
      <c r="T21" s="347">
        <f>SUM(O21:S21)</f>
        <v>4108802.7966300123</v>
      </c>
      <c r="U21" s="1" t="s">
        <v>557</v>
      </c>
    </row>
    <row r="22" spans="1:22" customFormat="1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2" customFormat="1">
      <c r="D23" s="272">
        <v>0</v>
      </c>
      <c r="E23" s="270">
        <f>(E21/E11)</f>
        <v>6.5258364424951962E-2</v>
      </c>
      <c r="F23" s="270">
        <f>(F21/F11)</f>
        <v>0.17202059056179891</v>
      </c>
      <c r="G23" s="270">
        <f t="shared" ref="G23:R23" si="7">(G21/G11)</f>
        <v>3.3341407097492476E-2</v>
      </c>
      <c r="H23" s="270">
        <f t="shared" si="7"/>
        <v>0.47265802943520702</v>
      </c>
      <c r="I23" s="270">
        <f t="shared" si="7"/>
        <v>-5.8176311783663712E-2</v>
      </c>
      <c r="J23" s="270">
        <f t="shared" si="7"/>
        <v>1.9934278339893908E-2</v>
      </c>
      <c r="K23" s="270">
        <f t="shared" si="7"/>
        <v>1.6461994003400069E-2</v>
      </c>
      <c r="L23" s="270">
        <f t="shared" si="7"/>
        <v>-9.4685402599290411E-2</v>
      </c>
      <c r="M23" s="270">
        <f t="shared" si="7"/>
        <v>0.21689244414762238</v>
      </c>
      <c r="N23" s="270">
        <f t="shared" si="7"/>
        <v>-1.7282257937478385E-2</v>
      </c>
      <c r="O23" s="270">
        <f t="shared" si="7"/>
        <v>4.7516280343017733E-2</v>
      </c>
      <c r="P23" s="270" t="e">
        <f t="shared" si="7"/>
        <v>#VALUE!</v>
      </c>
      <c r="Q23" s="270">
        <f t="shared" si="7"/>
        <v>1.9934278339893908E-2</v>
      </c>
      <c r="R23" s="270">
        <f t="shared" si="7"/>
        <v>1.6461994003400069E-2</v>
      </c>
      <c r="S23" s="270"/>
      <c r="T23" s="270">
        <f>(T21/T11)</f>
        <v>4.6152481747293958E-2</v>
      </c>
    </row>
    <row r="24" spans="1:22" customFormat="1">
      <c r="D24" s="70"/>
      <c r="E24" s="70" t="s">
        <v>1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customFormat="1"/>
    <row r="26" spans="1:22" customFormat="1">
      <c r="A26" s="342" t="s">
        <v>438</v>
      </c>
      <c r="T26" s="15">
        <f>(T10-T15)</f>
        <v>93139925.209999979</v>
      </c>
    </row>
    <row r="27" spans="1:22" s="17" customFormat="1">
      <c r="A27" s="343" t="s">
        <v>437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84">
        <f>SUM(E27:N27)</f>
        <v>0</v>
      </c>
      <c r="P27" s="17">
        <v>0</v>
      </c>
      <c r="Q27" s="17">
        <v>0</v>
      </c>
      <c r="R27" s="17">
        <v>0</v>
      </c>
      <c r="T27" s="84">
        <f>SUM(O27:R27)</f>
        <v>0</v>
      </c>
    </row>
    <row r="28" spans="1:22" customFormat="1"/>
    <row r="29" spans="1:22" customFormat="1"/>
    <row r="30" spans="1:22" customFormat="1"/>
    <row r="31" spans="1:22" customFormat="1"/>
    <row r="32" spans="1:22" customFormat="1"/>
    <row r="33" spans="1:9">
      <c r="A33" s="20"/>
      <c r="B33" s="20"/>
      <c r="C33" s="20"/>
      <c r="D33" s="14"/>
      <c r="E33" s="20"/>
      <c r="F33" s="20"/>
      <c r="G33" s="20"/>
      <c r="H33" s="20"/>
      <c r="I33" s="20"/>
    </row>
    <row r="34" spans="1:9">
      <c r="A34" s="20"/>
      <c r="B34" s="20"/>
      <c r="C34" s="20"/>
      <c r="D34" s="14"/>
      <c r="E34" s="20"/>
      <c r="F34" s="20"/>
      <c r="G34" s="20"/>
      <c r="H34" s="20"/>
      <c r="I34" s="20"/>
    </row>
    <row r="35" spans="1:9">
      <c r="A35" s="20"/>
      <c r="B35" s="20"/>
      <c r="C35" s="20"/>
      <c r="D35" s="14"/>
      <c r="E35" s="20"/>
      <c r="F35" s="20"/>
      <c r="G35" s="20"/>
      <c r="H35" s="20"/>
      <c r="I35" s="20"/>
    </row>
    <row r="36" spans="1:9">
      <c r="A36" s="20"/>
      <c r="B36" s="20"/>
      <c r="C36" s="20"/>
      <c r="D36" s="14"/>
      <c r="E36" s="20"/>
      <c r="F36" s="20"/>
      <c r="G36" s="20"/>
      <c r="H36" s="20"/>
      <c r="I36" s="20"/>
    </row>
    <row r="37" spans="1:9">
      <c r="D37" s="8"/>
    </row>
    <row r="38" spans="1:9">
      <c r="D38" s="8"/>
    </row>
    <row r="39" spans="1:9">
      <c r="D39" s="8"/>
    </row>
    <row r="40" spans="1:9">
      <c r="D40" s="8"/>
    </row>
    <row r="41" spans="1:9">
      <c r="D41" s="8"/>
    </row>
    <row r="42" spans="1:9">
      <c r="D42" s="8"/>
    </row>
    <row r="43" spans="1:9">
      <c r="D43" s="8"/>
    </row>
    <row r="44" spans="1:9">
      <c r="D44" s="8"/>
    </row>
    <row r="45" spans="1:9">
      <c r="D45" s="8"/>
    </row>
  </sheetData>
  <customSheetViews>
    <customSheetView guid="{18050E3F-BBF0-4BF6-9B33-B0817BE1B1C5}" showRuler="0" topLeftCell="A3">
      <pane ySplit="5" topLeftCell="A8" activePane="bottomLeft" state="frozen"/>
      <selection pane="bottomLeft" activeCell="E12" sqref="E12"/>
      <pageMargins left="0.75" right="0.75" top="1" bottom="1" header="0.5" footer="0.5"/>
      <printOptions horizontalCentered="1" verticalCentered="1" gridLines="1"/>
      <pageSetup orientation="landscape" horizontalDpi="4294967293" r:id="rId1"/>
      <headerFooter alignWithMargins="0">
        <oddHeader>&amp;C&amp;"Arial,Bold"&amp;12MEADE COUNTY RECC
CASE NO. 2010-00222
DETERMINATION OF INCREASE BY RATE CLASS&amp;R&amp;11Exhibit R
Schedule 6
Page ____ of ____
Witness:  Jim Adkins</oddHeader>
      </headerFooter>
    </customSheetView>
  </customSheetViews>
  <phoneticPr fontId="3" type="noConversion"/>
  <printOptions horizontalCentered="1" verticalCentered="1" gridLines="1"/>
  <pageMargins left="0.75" right="0.75" top="1" bottom="1" header="0.5" footer="0.5"/>
  <pageSetup scale="88" orientation="landscape" horizontalDpi="4294967293" r:id="rId2"/>
  <headerFooter alignWithMargins="0">
    <oddHeader>&amp;C&amp;"Arial,Bold"&amp;12JACKSON ENERGY COOPERATIVE 
CASE NO. 2013-XXXXX
DETERMINATION OF INCREASE BY RATE CLASS&amp;R&amp;11Revised Exhibit R
Schedule 5
Page ____ of ____
Witness:  Jim Adkins</oddHeader>
  </headerFooter>
  <colBreaks count="1" manualBreakCount="1">
    <brk id="11" max="3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Cover</vt:lpstr>
      <vt:lpstr>1TestYr</vt:lpstr>
      <vt:lpstr>1.1TYAdj.</vt:lpstr>
      <vt:lpstr>2 Functionalization2</vt:lpstr>
      <vt:lpstr>2.1 SummaryFunc.</vt:lpstr>
      <vt:lpstr>2.22Rate Base</vt:lpstr>
      <vt:lpstr>3Classific. Summary</vt:lpstr>
      <vt:lpstr>3.2 Classific. 2</vt:lpstr>
      <vt:lpstr>3.1 PlantClass.</vt:lpstr>
      <vt:lpstr>4 Allocation</vt:lpstr>
      <vt:lpstr>4.1 kW &amp; kWh</vt:lpstr>
      <vt:lpstr>4.2 Consumer Alloc.</vt:lpstr>
      <vt:lpstr>XX-5 IncStmt</vt:lpstr>
      <vt:lpstr>12 Inc Stmt Func</vt:lpstr>
      <vt:lpstr>XX-6 Increase</vt:lpstr>
      <vt:lpstr>Sheet1</vt:lpstr>
      <vt:lpstr>Sheet2</vt:lpstr>
      <vt:lpstr>'1.1TYAdj.'!Print_Area</vt:lpstr>
      <vt:lpstr>'12 Inc Stmt Func'!Print_Area</vt:lpstr>
      <vt:lpstr>'1TestYr'!Print_Area</vt:lpstr>
      <vt:lpstr>'2 Functionalization2'!Print_Area</vt:lpstr>
      <vt:lpstr>'2.1 SummaryFunc.'!Print_Area</vt:lpstr>
      <vt:lpstr>'2.22Rate Base'!Print_Area</vt:lpstr>
      <vt:lpstr>'3.1 PlantClass.'!Print_Area</vt:lpstr>
      <vt:lpstr>'3.2 Classific. 2'!Print_Area</vt:lpstr>
      <vt:lpstr>'3Classific. Summary'!Print_Area</vt:lpstr>
      <vt:lpstr>'4 Allocation'!Print_Area</vt:lpstr>
      <vt:lpstr>'4.1 kW &amp; kWh'!Print_Area</vt:lpstr>
      <vt:lpstr>'4.2 Consumer Alloc.'!Print_Area</vt:lpstr>
      <vt:lpstr>Cover!Print_Area</vt:lpstr>
      <vt:lpstr>'XX-6 Increase'!Print_Area</vt:lpstr>
      <vt:lpstr>'12 Inc Stmt Func'!Print_Titles</vt:lpstr>
      <vt:lpstr>'2 Functionalization2'!Print_Titles</vt:lpstr>
      <vt:lpstr>'2.1 SummaryFunc.'!Print_Titles</vt:lpstr>
      <vt:lpstr>'4 Allocation'!Print_Titles</vt:lpstr>
      <vt:lpstr>'XX-6 Increase'!Print_Titles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Purvis, Mary (Bluegrass)</dc:creator>
  <cp:lastModifiedBy>Marybeth Purvis</cp:lastModifiedBy>
  <cp:lastPrinted>2013-08-06T19:09:01Z</cp:lastPrinted>
  <dcterms:created xsi:type="dcterms:W3CDTF">1996-10-14T23:33:28Z</dcterms:created>
  <dcterms:modified xsi:type="dcterms:W3CDTF">2013-10-11T13:37:34Z</dcterms:modified>
</cp:coreProperties>
</file>