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35" windowWidth="11115" windowHeight="8385" activeTab="2"/>
  </bookViews>
  <sheets>
    <sheet name="adjusted is" sheetId="1" r:id="rId1"/>
    <sheet name="adjusted bs" sheetId="4" r:id="rId2"/>
    <sheet name="proposed rev" sheetId="3" r:id="rId3"/>
    <sheet name="adjustments" sheetId="5" r:id="rId4"/>
  </sheets>
  <externalReferences>
    <externalReference r:id="rId5"/>
  </externalReferences>
  <definedNames>
    <definedName name="_xlnm.Print_Area" localSheetId="1">'adjusted bs'!$A$1:$E$53</definedName>
    <definedName name="_xlnm.Print_Area" localSheetId="0">'adjusted is'!$A$1:$K$50</definedName>
    <definedName name="_xlnm.Print_Area" localSheetId="3">adjustments!$A$1:$M$42</definedName>
    <definedName name="_xlnm.Print_Area" localSheetId="2">'proposed rev'!$A$1:$H$36</definedName>
  </definedNames>
  <calcPr calcId="125725"/>
</workbook>
</file>

<file path=xl/calcChain.xml><?xml version="1.0" encoding="utf-8"?>
<calcChain xmlns="http://schemas.openxmlformats.org/spreadsheetml/2006/main">
  <c r="C46" i="1"/>
  <c r="E32" i="3"/>
  <c r="D14" i="1"/>
  <c r="D13"/>
  <c r="E20"/>
  <c r="K21" i="5" l="1"/>
  <c r="E21" i="4" l="1"/>
  <c r="E22"/>
  <c r="E24"/>
  <c r="E25"/>
  <c r="E26"/>
  <c r="E27"/>
  <c r="E28"/>
  <c r="E29"/>
  <c r="E30"/>
  <c r="E31"/>
  <c r="E32"/>
  <c r="E33"/>
  <c r="E34"/>
  <c r="E35"/>
  <c r="E36"/>
  <c r="E39"/>
  <c r="E40"/>
  <c r="E41"/>
  <c r="E42"/>
  <c r="E43"/>
  <c r="E44"/>
  <c r="E45"/>
  <c r="E46"/>
  <c r="E47"/>
  <c r="E48"/>
  <c r="E49"/>
  <c r="E50"/>
  <c r="E51"/>
  <c r="E52"/>
  <c r="E15"/>
  <c r="E16"/>
  <c r="E17"/>
  <c r="E18"/>
  <c r="E19"/>
  <c r="E20"/>
  <c r="E14"/>
  <c r="L23" i="5"/>
  <c r="M10"/>
  <c r="L11"/>
  <c r="L31"/>
  <c r="L33" l="1"/>
  <c r="L41" s="1"/>
  <c r="M22"/>
  <c r="M24"/>
  <c r="M25"/>
  <c r="M26"/>
  <c r="M27"/>
  <c r="M28"/>
  <c r="M29"/>
  <c r="D34" i="1" s="1"/>
  <c r="M17" i="5"/>
  <c r="M18"/>
  <c r="M19"/>
  <c r="M20"/>
  <c r="M21"/>
  <c r="M16"/>
  <c r="I16"/>
  <c r="H23" s="1"/>
  <c r="H31" s="1"/>
  <c r="I23"/>
  <c r="J23"/>
  <c r="J31" s="1"/>
  <c r="J33" s="1"/>
  <c r="J41" s="1"/>
  <c r="K23"/>
  <c r="I31"/>
  <c r="I33" s="1"/>
  <c r="K31" l="1"/>
  <c r="K33" s="1"/>
  <c r="K41" s="1"/>
  <c r="J36" i="1"/>
  <c r="G39"/>
  <c r="I39" s="1"/>
  <c r="K39" s="1"/>
  <c r="F36"/>
  <c r="C17"/>
  <c r="D44"/>
  <c r="E44" s="1"/>
  <c r="G44" s="1"/>
  <c r="I44" s="1"/>
  <c r="E23" i="5"/>
  <c r="F23"/>
  <c r="F31" s="1"/>
  <c r="G23"/>
  <c r="G31" s="1"/>
  <c r="C23"/>
  <c r="G12"/>
  <c r="M39"/>
  <c r="M38"/>
  <c r="D43" i="1" s="1"/>
  <c r="E43" s="1"/>
  <c r="G43" s="1"/>
  <c r="I43" s="1"/>
  <c r="K43" s="1"/>
  <c r="M37" i="5"/>
  <c r="D42" i="1" s="1"/>
  <c r="E42" s="1"/>
  <c r="G42" s="1"/>
  <c r="I42" s="1"/>
  <c r="K42" s="1"/>
  <c r="M36" i="5"/>
  <c r="D41" i="1" s="1"/>
  <c r="E41" s="1"/>
  <c r="G41" s="1"/>
  <c r="I41" s="1"/>
  <c r="K41" s="1"/>
  <c r="M35" i="5"/>
  <c r="D40" i="1" s="1"/>
  <c r="E40" s="1"/>
  <c r="G40" s="1"/>
  <c r="I40" s="1"/>
  <c r="K40" s="1"/>
  <c r="D33"/>
  <c r="E33" s="1"/>
  <c r="G33" s="1"/>
  <c r="I33" s="1"/>
  <c r="K33" s="1"/>
  <c r="D32"/>
  <c r="E32" s="1"/>
  <c r="G32" s="1"/>
  <c r="I32" s="1"/>
  <c r="K32" s="1"/>
  <c r="D31"/>
  <c r="E31" s="1"/>
  <c r="G31" s="1"/>
  <c r="I31" s="1"/>
  <c r="K31" s="1"/>
  <c r="D30"/>
  <c r="E30" s="1"/>
  <c r="G30" s="1"/>
  <c r="I30" s="1"/>
  <c r="K30" s="1"/>
  <c r="E34"/>
  <c r="G34" s="1"/>
  <c r="I34" s="1"/>
  <c r="D25"/>
  <c r="E25" s="1"/>
  <c r="G25" s="1"/>
  <c r="I25" s="1"/>
  <c r="K25" s="1"/>
  <c r="D24"/>
  <c r="E24" s="1"/>
  <c r="G24" s="1"/>
  <c r="I24" s="1"/>
  <c r="K24" s="1"/>
  <c r="D23"/>
  <c r="E23" s="1"/>
  <c r="G23" s="1"/>
  <c r="I23" s="1"/>
  <c r="K23" s="1"/>
  <c r="D22"/>
  <c r="E22" s="1"/>
  <c r="G22" s="1"/>
  <c r="I22" s="1"/>
  <c r="K22" s="1"/>
  <c r="D21"/>
  <c r="M15" i="5"/>
  <c r="D15" i="1"/>
  <c r="M8" i="5"/>
  <c r="E13" i="1" s="1"/>
  <c r="G13" s="1"/>
  <c r="I13" s="1"/>
  <c r="K13" s="1"/>
  <c r="M9" i="5"/>
  <c r="E14" i="1" s="1"/>
  <c r="G14" s="1"/>
  <c r="I14" s="1"/>
  <c r="K14" s="1"/>
  <c r="M7" i="5"/>
  <c r="D12" i="1" s="1"/>
  <c r="E12" s="1"/>
  <c r="G12" s="1"/>
  <c r="I12" s="1"/>
  <c r="K12" s="1"/>
  <c r="H12" i="5"/>
  <c r="H33" s="1"/>
  <c r="F12"/>
  <c r="E12"/>
  <c r="D23"/>
  <c r="D31" s="1"/>
  <c r="D12"/>
  <c r="A3"/>
  <c r="A4" s="1"/>
  <c r="A5" s="1"/>
  <c r="A6" s="1"/>
  <c r="A7" s="1"/>
  <c r="A8" s="1"/>
  <c r="A9" s="1"/>
  <c r="A10" s="1"/>
  <c r="A11" s="1"/>
  <c r="C12"/>
  <c r="A2"/>
  <c r="E51" i="1"/>
  <c r="E49"/>
  <c r="E47"/>
  <c r="E39"/>
  <c r="E35"/>
  <c r="G35" s="1"/>
  <c r="I35" s="1"/>
  <c r="K35" s="1"/>
  <c r="E29"/>
  <c r="G29" s="1"/>
  <c r="I29" s="1"/>
  <c r="K29" s="1"/>
  <c r="C40" i="4"/>
  <c r="C45"/>
  <c r="C37"/>
  <c r="C24"/>
  <c r="C23"/>
  <c r="C27" s="1"/>
  <c r="C29"/>
  <c r="C26"/>
  <c r="J17" i="1"/>
  <c r="J38" s="1"/>
  <c r="H17"/>
  <c r="H38" s="1"/>
  <c r="H46" s="1"/>
  <c r="F15" i="3" s="1"/>
  <c r="G15" s="1"/>
  <c r="H15" s="1"/>
  <c r="F17" i="1"/>
  <c r="C28"/>
  <c r="C36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C16"/>
  <c r="C18" s="1"/>
  <c r="D18"/>
  <c r="D31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" i="3"/>
  <c r="A2" s="1"/>
  <c r="A3" s="1"/>
  <c r="A4" s="1"/>
  <c r="A5" s="1"/>
  <c r="A6" s="1"/>
  <c r="A7" s="1"/>
  <c r="A8" s="1"/>
  <c r="A9" s="1"/>
  <c r="A10" s="1"/>
  <c r="A11" s="1"/>
  <c r="A13" s="1"/>
  <c r="A14" s="1"/>
  <c r="A15" s="1"/>
  <c r="A16" s="1"/>
  <c r="A17" s="1"/>
  <c r="B25"/>
  <c r="B23"/>
  <c r="B22"/>
  <c r="E21" i="1" l="1"/>
  <c r="G21" s="1"/>
  <c r="I21" s="1"/>
  <c r="K21" s="1"/>
  <c r="A25" i="3"/>
  <c r="A26" s="1"/>
  <c r="A27" s="1"/>
  <c r="A28" s="1"/>
  <c r="A29" s="1"/>
  <c r="A30" s="1"/>
  <c r="A31" s="1"/>
  <c r="A21"/>
  <c r="A22" s="1"/>
  <c r="A23" s="1"/>
  <c r="A24" s="1"/>
  <c r="G20" i="1"/>
  <c r="E31" i="5"/>
  <c r="M23"/>
  <c r="M31" s="1"/>
  <c r="C49" i="4"/>
  <c r="C53" s="1"/>
  <c r="F38" i="1"/>
  <c r="C31" i="4"/>
  <c r="H41" i="5"/>
  <c r="K44" i="1"/>
  <c r="M34" s="1"/>
  <c r="J46"/>
  <c r="K34"/>
  <c r="D33" i="5"/>
  <c r="D41" s="1"/>
  <c r="F33"/>
  <c r="F41" s="1"/>
  <c r="G33"/>
  <c r="G41" s="1"/>
  <c r="D17" i="1"/>
  <c r="E17" s="1"/>
  <c r="G17" s="1"/>
  <c r="I17" s="1"/>
  <c r="K17" s="1"/>
  <c r="D26"/>
  <c r="E26" s="1"/>
  <c r="G26" s="1"/>
  <c r="I26" s="1"/>
  <c r="K26" s="1"/>
  <c r="E33" i="5"/>
  <c r="E41" s="1"/>
  <c r="M1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D28" i="1" l="1"/>
  <c r="D36" s="1"/>
  <c r="D38" s="1"/>
  <c r="D46" s="1"/>
  <c r="G28"/>
  <c r="G36" s="1"/>
  <c r="G38" s="1"/>
  <c r="G46" s="1"/>
  <c r="I20"/>
  <c r="E28"/>
  <c r="E36" s="1"/>
  <c r="E38" s="1"/>
  <c r="E46" s="1"/>
  <c r="F46"/>
  <c r="M33" i="5"/>
  <c r="M41" s="1"/>
  <c r="E30" i="3" l="1"/>
  <c r="E34" s="1"/>
  <c r="D23" i="4"/>
  <c r="I28" i="1"/>
  <c r="I36" s="1"/>
  <c r="I38" s="1"/>
  <c r="I46" s="1"/>
  <c r="K20"/>
  <c r="K28" s="1"/>
  <c r="K36" s="1"/>
  <c r="K38" s="1"/>
  <c r="K46" s="1"/>
  <c r="E15" i="3"/>
  <c r="D37" i="4" l="1"/>
  <c r="E23"/>
  <c r="C31" i="5"/>
  <c r="C33" s="1"/>
  <c r="C41" s="1"/>
  <c r="E15" i="1"/>
  <c r="G15" s="1"/>
  <c r="I15" s="1"/>
  <c r="K15" s="1"/>
  <c r="C38"/>
  <c r="C50" s="1"/>
  <c r="M15" l="1"/>
  <c r="M17"/>
  <c r="E37" i="4"/>
  <c r="D38"/>
  <c r="G48" i="1"/>
  <c r="G50"/>
  <c r="D53" i="4" l="1"/>
  <c r="E53" s="1"/>
  <c r="E38"/>
  <c r="C48" i="1"/>
  <c r="D13" i="3"/>
  <c r="E50" i="1"/>
  <c r="E48"/>
  <c r="D17" i="3" l="1"/>
  <c r="E13" s="1"/>
  <c r="E17" s="1"/>
  <c r="F13" s="1"/>
  <c r="F17" s="1"/>
  <c r="G13" s="1"/>
  <c r="G17" s="1"/>
  <c r="H13" s="1"/>
  <c r="H17" s="1"/>
  <c r="D30"/>
  <c r="D34" s="1"/>
  <c r="I50" i="1"/>
  <c r="I48"/>
  <c r="K50"/>
  <c r="K48"/>
</calcChain>
</file>

<file path=xl/sharedStrings.xml><?xml version="1.0" encoding="utf-8"?>
<sst xmlns="http://schemas.openxmlformats.org/spreadsheetml/2006/main" count="188" uniqueCount="97">
  <si>
    <t>Balance Sheet, Adjusted</t>
  </si>
  <si>
    <t>Actual</t>
  </si>
  <si>
    <t>Adjustments</t>
  </si>
  <si>
    <t>Adjusted</t>
  </si>
  <si>
    <t>Test Year</t>
  </si>
  <si>
    <t>to Test Year</t>
  </si>
  <si>
    <t>ASSETS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</si>
  <si>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</si>
  <si>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</si>
  <si>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</si>
  <si>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</si>
  <si>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</si>
  <si>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</si>
  <si>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</si>
  <si>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</si>
  <si>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</si>
  <si>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</si>
  <si>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</si>
  <si>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>MEMBERS' EQUITIES AND LIABILITIES</t>
  </si>
  <si>
    <t>Margins: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</si>
  <si>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</si>
  <si>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</si>
  <si>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</si>
  <si>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</si>
  <si>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</si>
  <si>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</si>
  <si>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</si>
  <si>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</si>
  <si>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</si>
  <si>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</si>
  <si>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Increase</t>
  </si>
  <si>
    <t>Operating Revenues:</t>
  </si>
  <si>
    <t xml:space="preserve">    Base rates</t>
  </si>
  <si>
    <t xml:space="preserve">  Other electric revenue</t>
  </si>
  <si>
    <t>Operating Expenses:</t>
  </si>
  <si>
    <t xml:space="preserve">  Cost of power: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</si>
  <si>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</si>
  <si>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</si>
  <si>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</si>
  <si>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</si>
  <si>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</si>
  <si>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</si>
  <si>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</si>
  <si>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</si>
  <si>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</si>
  <si>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</si>
  <si>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</si>
  <si>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</si>
  <si>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TIER</t>
  </si>
  <si>
    <t>Patronage capital credits</t>
  </si>
  <si>
    <t>Depreciation</t>
  </si>
  <si>
    <t>G &amp; T capital credits</t>
  </si>
  <si>
    <t xml:space="preserve">    Fuel adjustment</t>
  </si>
  <si>
    <t xml:space="preserve">    Environmental surcharge</t>
  </si>
  <si>
    <t>Taxes - other</t>
  </si>
  <si>
    <t>Interest on long-term debt</t>
  </si>
  <si>
    <t>Interest expense - other</t>
  </si>
  <si>
    <t>Other deductions</t>
  </si>
  <si>
    <t xml:space="preserve"> </t>
  </si>
  <si>
    <t>Margins</t>
  </si>
  <si>
    <t>Jackson Energy Cooperative</t>
  </si>
  <si>
    <t>Witness:  Jim Adkins</t>
  </si>
  <si>
    <t>Income from Equity Investments</t>
  </si>
  <si>
    <t xml:space="preserve"> First Year</t>
  </si>
  <si>
    <t>Second Year</t>
  </si>
  <si>
    <t>Third Year</t>
  </si>
  <si>
    <t>OTIER</t>
  </si>
  <si>
    <t>Adjustment</t>
  </si>
  <si>
    <t>Case No.  2013-00219</t>
  </si>
  <si>
    <t>Case No. 2013-00219</t>
  </si>
  <si>
    <t>Witness: Jim Adkins</t>
  </si>
  <si>
    <t>Deferred debits and Regulatory Assets</t>
  </si>
  <si>
    <t>Test Year 2</t>
  </si>
  <si>
    <t>December 31, 2013</t>
  </si>
  <si>
    <t>Margins after Increase</t>
  </si>
  <si>
    <t>Year 1</t>
  </si>
  <si>
    <t>Year 2</t>
  </si>
  <si>
    <t>Year 3</t>
  </si>
  <si>
    <t>Wages</t>
  </si>
  <si>
    <t>Payroll Taxes</t>
  </si>
  <si>
    <t>Interest</t>
  </si>
  <si>
    <t>Retirement &amp; Security</t>
  </si>
  <si>
    <t>Total</t>
  </si>
  <si>
    <r>
      <t xml:space="preserve">G </t>
    </r>
    <r>
      <rPr>
        <sz val="10"/>
        <rFont val="Times New Roman"/>
        <family val="1"/>
      </rPr>
      <t>&amp;</t>
    </r>
    <r>
      <rPr>
        <sz val="12"/>
        <rFont val="Times New Roman"/>
        <family val="1"/>
      </rPr>
      <t xml:space="preserve"> T Capital Credits</t>
    </r>
  </si>
  <si>
    <t xml:space="preserve"> Property Taxes</t>
  </si>
  <si>
    <t>Donations</t>
  </si>
  <si>
    <t>Administraitve &amp; General</t>
  </si>
  <si>
    <t>Year End Adjustime</t>
  </si>
  <si>
    <t>Margins for TIER of 2.0X</t>
  </si>
  <si>
    <t>Increase Amount</t>
  </si>
  <si>
    <t>Exhibit  3g</t>
  </si>
  <si>
    <t>Revised Statement of Operations, Adjusted</t>
  </si>
  <si>
    <t xml:space="preserve"> Increase - Normal Rate-Making Process</t>
  </si>
  <si>
    <t>Proposed Margins with Normal Adjustments to Test Year</t>
  </si>
  <si>
    <t>Page 3 of 4</t>
  </si>
  <si>
    <t>Page 1 of 4</t>
  </si>
  <si>
    <t>Page 2 of 4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</si>
</sst>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7">
    <font>
      <sz val="12"/>
      <name val="P-TIMES"/>
    </font>
    <font>
      <sz val="10"/>
      <name val="Arial"/>
      <family val="2"/>
    </font>
    <font>
      <sz val="8"/>
      <name val="P-TIMES"/>
    </font>
    <font>
      <sz val="12"/>
      <name val="P-TIMES"/>
    </font>
    <font>
      <b/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P-TIMES"/>
    </font>
    <font>
      <u/>
      <sz val="12"/>
      <name val="P-TIMES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4"/>
      <name val="P-TIMES"/>
    </font>
    <font>
      <sz val="11"/>
      <name val="Arial"/>
      <family val="2"/>
    </font>
    <font>
      <b/>
      <u/>
      <sz val="12"/>
      <name val="P-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left"/>
    </xf>
    <xf numFmtId="37" fontId="0" fillId="0" borderId="0" xfId="0" applyNumberFormat="1" applyProtection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7" fontId="5" fillId="0" borderId="0" xfId="0" applyNumberFormat="1" applyFont="1" applyProtection="1"/>
    <xf numFmtId="0" fontId="5" fillId="0" borderId="0" xfId="0" applyFont="1"/>
    <xf numFmtId="0" fontId="5" fillId="0" borderId="0" xfId="0" applyFont="1" applyAlignment="1" applyProtection="1">
      <alignment horizontal="centerContinuous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41" fontId="5" fillId="0" borderId="0" xfId="0" applyNumberFormat="1" applyFont="1" applyProtection="1"/>
    <xf numFmtId="41" fontId="5" fillId="0" borderId="1" xfId="0" applyNumberFormat="1" applyFont="1" applyBorder="1" applyProtection="1"/>
    <xf numFmtId="41" fontId="5" fillId="0" borderId="2" xfId="0" applyNumberFormat="1" applyFont="1" applyBorder="1" applyProtection="1"/>
    <xf numFmtId="10" fontId="0" fillId="0" borderId="0" xfId="2" applyNumberFormat="1" applyFont="1"/>
    <xf numFmtId="43" fontId="0" fillId="0" borderId="0" xfId="1" applyFont="1"/>
    <xf numFmtId="5" fontId="0" fillId="0" borderId="0" xfId="0" applyNumberFormat="1"/>
    <xf numFmtId="41" fontId="5" fillId="0" borderId="0" xfId="0" applyNumberFormat="1" applyFont="1"/>
    <xf numFmtId="41" fontId="0" fillId="0" borderId="0" xfId="0" applyNumberFormat="1"/>
    <xf numFmtId="0" fontId="5" fillId="0" borderId="5" xfId="0" applyFont="1" applyBorder="1"/>
    <xf numFmtId="41" fontId="5" fillId="0" borderId="5" xfId="0" applyNumberFormat="1" applyFont="1" applyBorder="1"/>
    <xf numFmtId="0" fontId="0" fillId="0" borderId="5" xfId="0" applyBorder="1"/>
    <xf numFmtId="41" fontId="5" fillId="0" borderId="6" xfId="0" applyNumberFormat="1" applyFont="1" applyBorder="1"/>
    <xf numFmtId="41" fontId="0" fillId="0" borderId="5" xfId="0" applyNumberFormat="1" applyBorder="1"/>
    <xf numFmtId="5" fontId="0" fillId="0" borderId="0" xfId="0" applyNumberFormat="1" applyBorder="1" applyProtection="1"/>
    <xf numFmtId="0" fontId="0" fillId="0" borderId="0" xfId="0" applyBorder="1"/>
    <xf numFmtId="5" fontId="7" fillId="0" borderId="0" xfId="0" applyNumberFormat="1" applyFont="1" applyBorder="1"/>
    <xf numFmtId="5" fontId="0" fillId="0" borderId="0" xfId="0" applyNumberFormat="1" applyBorder="1"/>
    <xf numFmtId="10" fontId="0" fillId="0" borderId="0" xfId="2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/>
    <xf numFmtId="41" fontId="0" fillId="0" borderId="3" xfId="0" applyNumberFormat="1" applyBorder="1"/>
    <xf numFmtId="37" fontId="0" fillId="0" borderId="3" xfId="0" applyNumberFormat="1" applyBorder="1" applyProtection="1"/>
    <xf numFmtId="37" fontId="0" fillId="0" borderId="3" xfId="0" applyNumberFormat="1" applyBorder="1"/>
    <xf numFmtId="41" fontId="0" fillId="0" borderId="4" xfId="0" applyNumberFormat="1" applyBorder="1"/>
    <xf numFmtId="0" fontId="10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164" fontId="5" fillId="0" borderId="0" xfId="1" applyNumberFormat="1" applyFont="1" applyAlignment="1">
      <alignment horizontal="right"/>
    </xf>
    <xf numFmtId="3" fontId="5" fillId="0" borderId="0" xfId="0" applyNumberFormat="1" applyFont="1"/>
    <xf numFmtId="37" fontId="5" fillId="0" borderId="0" xfId="0" applyNumberFormat="1" applyFont="1"/>
    <xf numFmtId="41" fontId="5" fillId="0" borderId="3" xfId="0" applyNumberFormat="1" applyFont="1" applyBorder="1" applyProtection="1"/>
    <xf numFmtId="164" fontId="5" fillId="0" borderId="0" xfId="1" applyNumberFormat="1" applyFont="1"/>
    <xf numFmtId="41" fontId="5" fillId="0" borderId="4" xfId="0" applyNumberFormat="1" applyFont="1" applyBorder="1" applyProtection="1"/>
    <xf numFmtId="39" fontId="5" fillId="0" borderId="0" xfId="0" applyNumberFormat="1" applyFont="1" applyProtection="1"/>
    <xf numFmtId="43" fontId="5" fillId="0" borderId="0" xfId="0" applyNumberFormat="1" applyFont="1"/>
    <xf numFmtId="10" fontId="5" fillId="0" borderId="0" xfId="0" applyNumberFormat="1" applyFont="1" applyProtection="1"/>
    <xf numFmtId="0" fontId="0" fillId="0" borderId="0" xfId="0" applyFont="1"/>
    <xf numFmtId="0" fontId="11" fillId="0" borderId="0" xfId="0" applyFont="1" applyAlignment="1" applyProtection="1">
      <alignment horizontal="left"/>
    </xf>
    <xf numFmtId="0" fontId="12" fillId="0" borderId="0" xfId="0" applyFont="1"/>
    <xf numFmtId="0" fontId="5" fillId="0" borderId="0" xfId="0" applyFont="1" applyAlignment="1">
      <alignment horizontal="center" wrapText="1"/>
    </xf>
    <xf numFmtId="41" fontId="5" fillId="0" borderId="4" xfId="0" applyNumberFormat="1" applyFont="1" applyBorder="1"/>
    <xf numFmtId="41" fontId="0" fillId="0" borderId="0" xfId="0" applyNumberFormat="1" applyFont="1"/>
    <xf numFmtId="41" fontId="5" fillId="0" borderId="5" xfId="0" applyNumberFormat="1" applyFont="1" applyBorder="1" applyProtection="1"/>
    <xf numFmtId="41" fontId="5" fillId="0" borderId="0" xfId="0" applyNumberFormat="1" applyFont="1" applyBorder="1"/>
    <xf numFmtId="41" fontId="0" fillId="0" borderId="0" xfId="0" applyNumberFormat="1" applyBorder="1"/>
    <xf numFmtId="0" fontId="0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5" fillId="2" borderId="7" xfId="0" applyNumberFormat="1" applyFont="1" applyFill="1" applyBorder="1"/>
    <xf numFmtId="41" fontId="5" fillId="0" borderId="3" xfId="0" applyNumberFormat="1" applyFont="1" applyBorder="1"/>
    <xf numFmtId="0" fontId="5" fillId="0" borderId="3" xfId="0" applyFont="1" applyBorder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kson%20Energy/2013%20Rate%20Case/Third%20Data%20Request/COSS_JA_adjusted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1TestYr"/>
      <sheetName val="1TestYr_adj"/>
      <sheetName val="1.1TYAdj."/>
      <sheetName val="2 Functionalization2"/>
      <sheetName val="2.1 SummaryFunc."/>
      <sheetName val="2.22Rate Base"/>
      <sheetName val="3Classific. Summary"/>
      <sheetName val="3.2 Classific. 2"/>
      <sheetName val="3.1 PlantClass."/>
      <sheetName val="4 Allocation"/>
      <sheetName val="4.1 kW &amp; kWh"/>
      <sheetName val="4.2 Consumer Alloc."/>
      <sheetName val="XX-5 IncStmt"/>
      <sheetName val="12 Inc Stmt Func"/>
      <sheetName val="XX-6 Increase"/>
      <sheetName val="Sheet2"/>
      <sheetName val="Sheet1"/>
      <sheetName val="Sheet3"/>
    </sheetNames>
    <sheetDataSet>
      <sheetData sheetId="0"/>
      <sheetData sheetId="1"/>
      <sheetData sheetId="2">
        <row r="80">
          <cell r="R80">
            <v>5941791.4282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topLeftCell="B1" colorId="22" zoomScaleNormal="100" workbookViewId="0">
      <selection activeCell="K3" sqref="K3"/>
    </sheetView>
  </sheetViews>
  <sheetFormatPr defaultColWidth="9.77734375" defaultRowHeight="15.75"/>
  <cols>
    <col min="1" max="1" width="3.77734375" style="11" bestFit="1" customWidth="1"/>
    <col min="2" max="2" width="28.21875" style="11" bestFit="1" customWidth="1"/>
    <col min="3" max="3" width="12.88671875" style="11" customWidth="1"/>
    <col min="4" max="4" width="11.77734375" style="11" bestFit="1" customWidth="1"/>
    <col min="5" max="5" width="12.33203125" style="11" bestFit="1" customWidth="1"/>
    <col min="6" max="6" width="10.88671875" style="11" bestFit="1" customWidth="1"/>
    <col min="7" max="7" width="12.6640625" style="11" bestFit="1" customWidth="1"/>
    <col min="8" max="8" width="10.88671875" style="11" bestFit="1" customWidth="1"/>
    <col min="9" max="9" width="12.6640625" style="11" bestFit="1" customWidth="1"/>
    <col min="10" max="11" width="11.77734375" style="11" customWidth="1"/>
    <col min="12" max="12" width="9.77734375" style="11" customWidth="1"/>
    <col min="13" max="13" width="9.88671875" style="11" customWidth="1"/>
    <col min="14" max="14" width="7.77734375" style="11" customWidth="1"/>
    <col min="15" max="20" width="8.77734375" style="11" customWidth="1"/>
    <col min="21" max="16384" width="9.77734375" style="11"/>
  </cols>
  <sheetData>
    <row r="1" spans="1:13">
      <c r="K1" s="14" t="s">
        <v>90</v>
      </c>
    </row>
    <row r="2" spans="1:13">
      <c r="K2" s="14" t="s">
        <v>95</v>
      </c>
    </row>
    <row r="3" spans="1:13">
      <c r="K3" s="14" t="s">
        <v>61</v>
      </c>
    </row>
    <row r="4" spans="1:13" ht="17.100000000000001" customHeight="1">
      <c r="A4" s="43">
        <v>1</v>
      </c>
      <c r="B4" s="69" t="s">
        <v>60</v>
      </c>
      <c r="C4" s="69"/>
      <c r="D4" s="69"/>
      <c r="E4" s="69"/>
      <c r="F4" s="69"/>
      <c r="G4" s="69"/>
      <c r="H4" s="69"/>
      <c r="I4" s="69"/>
      <c r="J4" s="69"/>
      <c r="K4" s="69"/>
    </row>
    <row r="5" spans="1:13" ht="15" customHeight="1">
      <c r="A5" s="43">
        <f t="shared" ref="A5:A50" si="0">(A4+1)</f>
        <v>2</v>
      </c>
      <c r="B5" s="69" t="s">
        <v>68</v>
      </c>
      <c r="C5" s="69"/>
      <c r="D5" s="69"/>
      <c r="E5" s="69"/>
      <c r="F5" s="69"/>
      <c r="G5" s="69"/>
      <c r="H5" s="69"/>
      <c r="I5" s="69"/>
      <c r="J5" s="69"/>
      <c r="K5" s="69"/>
    </row>
    <row r="6" spans="1:13" ht="15" customHeight="1">
      <c r="A6" s="43">
        <f t="shared" si="0"/>
        <v>3</v>
      </c>
      <c r="B6" s="69" t="s">
        <v>91</v>
      </c>
      <c r="C6" s="69"/>
      <c r="D6" s="69"/>
      <c r="E6" s="69"/>
      <c r="F6" s="69"/>
      <c r="G6" s="69"/>
      <c r="H6" s="69"/>
      <c r="I6" s="69"/>
      <c r="J6" s="69"/>
      <c r="K6" s="69"/>
    </row>
    <row r="7" spans="1:13" ht="15" customHeight="1">
      <c r="A7" s="43">
        <f t="shared" si="0"/>
        <v>4</v>
      </c>
      <c r="B7" s="12"/>
      <c r="C7" s="12"/>
      <c r="D7" s="12"/>
      <c r="E7" s="12"/>
      <c r="F7" s="12"/>
      <c r="G7" s="12"/>
      <c r="H7" s="12"/>
    </row>
    <row r="8" spans="1:13" ht="15" customHeight="1">
      <c r="A8" s="43">
        <f t="shared" si="0"/>
        <v>5</v>
      </c>
      <c r="C8" s="15" t="s">
        <v>1</v>
      </c>
      <c r="E8" s="15" t="s">
        <v>3</v>
      </c>
      <c r="F8" s="15"/>
      <c r="G8" s="15" t="s">
        <v>58</v>
      </c>
      <c r="I8" s="15" t="s">
        <v>58</v>
      </c>
    </row>
    <row r="9" spans="1:13" ht="15" customHeight="1">
      <c r="A9" s="43">
        <f t="shared" si="0"/>
        <v>6</v>
      </c>
      <c r="B9" s="13"/>
      <c r="C9" s="16" t="s">
        <v>4</v>
      </c>
      <c r="D9" s="44" t="s">
        <v>67</v>
      </c>
      <c r="E9" s="44" t="s">
        <v>4</v>
      </c>
      <c r="F9" s="44" t="s">
        <v>67</v>
      </c>
      <c r="G9" s="16" t="s">
        <v>63</v>
      </c>
      <c r="H9" s="44" t="s">
        <v>67</v>
      </c>
      <c r="I9" s="16" t="s">
        <v>64</v>
      </c>
      <c r="J9" s="44" t="s">
        <v>67</v>
      </c>
      <c r="K9" s="16" t="s">
        <v>65</v>
      </c>
    </row>
    <row r="10" spans="1:13" ht="15" customHeight="1">
      <c r="A10" s="43">
        <f t="shared" si="0"/>
        <v>7</v>
      </c>
    </row>
    <row r="11" spans="1:13" ht="17.100000000000001" customHeight="1">
      <c r="A11" s="43">
        <f t="shared" si="0"/>
        <v>8</v>
      </c>
      <c r="B11" s="11" t="s">
        <v>31</v>
      </c>
      <c r="C11" s="24"/>
      <c r="D11" s="24"/>
      <c r="G11" s="24"/>
      <c r="H11" s="24"/>
      <c r="I11" s="24"/>
      <c r="J11" s="24"/>
      <c r="K11" s="24"/>
    </row>
    <row r="12" spans="1:13" ht="17.100000000000001" customHeight="1">
      <c r="A12" s="43">
        <f t="shared" si="0"/>
        <v>9</v>
      </c>
      <c r="B12" s="13" t="s">
        <v>32</v>
      </c>
      <c r="C12" s="18">
        <v>89026692.409999996</v>
      </c>
      <c r="D12" s="24">
        <f>+adjustments!M7</f>
        <v>0</v>
      </c>
      <c r="E12" s="24">
        <f>SUM(C12:D12)</f>
        <v>89026692.409999996</v>
      </c>
      <c r="F12" s="45">
        <v>1370000.1999999881</v>
      </c>
      <c r="G12" s="24">
        <f>SUM(E12:F12)</f>
        <v>90396692.609999985</v>
      </c>
      <c r="H12" s="45">
        <v>1370000.1999999881</v>
      </c>
      <c r="I12" s="24">
        <f>SUM(G12:H12)</f>
        <v>91766692.809999973</v>
      </c>
      <c r="J12" s="45">
        <v>1370000.1999999881</v>
      </c>
      <c r="K12" s="24">
        <f>SUM(I12:J12)</f>
        <v>93136693.009999961</v>
      </c>
      <c r="L12" s="46"/>
    </row>
    <row r="13" spans="1:13" ht="17.100000000000001" customHeight="1">
      <c r="A13" s="43">
        <f t="shared" si="0"/>
        <v>10</v>
      </c>
      <c r="B13" s="13" t="s">
        <v>52</v>
      </c>
      <c r="C13" s="18">
        <v>-1164622.7830000001</v>
      </c>
      <c r="D13" s="24">
        <f>-(C13)</f>
        <v>1164622.7830000001</v>
      </c>
      <c r="E13" s="24">
        <f t="shared" ref="E13:K14" si="1">SUM(C13:D13)</f>
        <v>0</v>
      </c>
      <c r="G13" s="24">
        <f t="shared" si="1"/>
        <v>0</v>
      </c>
      <c r="H13" s="18"/>
      <c r="I13" s="24">
        <f t="shared" si="1"/>
        <v>0</v>
      </c>
      <c r="J13" s="18"/>
      <c r="K13" s="24">
        <f t="shared" si="1"/>
        <v>0</v>
      </c>
      <c r="L13" s="47"/>
      <c r="M13" s="47"/>
    </row>
    <row r="14" spans="1:13" ht="17.100000000000001" customHeight="1">
      <c r="A14" s="43">
        <f t="shared" si="0"/>
        <v>11</v>
      </c>
      <c r="B14" s="13" t="s">
        <v>53</v>
      </c>
      <c r="C14" s="18">
        <v>8830750.7600000035</v>
      </c>
      <c r="D14" s="24">
        <f>-(C14)</f>
        <v>-8830750.7600000035</v>
      </c>
      <c r="E14" s="24">
        <f t="shared" si="1"/>
        <v>0</v>
      </c>
      <c r="G14" s="24">
        <f t="shared" si="1"/>
        <v>0</v>
      </c>
      <c r="H14" s="18"/>
      <c r="I14" s="24">
        <f t="shared" si="1"/>
        <v>0</v>
      </c>
      <c r="J14" s="18"/>
      <c r="K14" s="24">
        <f t="shared" si="1"/>
        <v>0</v>
      </c>
      <c r="L14" s="46"/>
    </row>
    <row r="15" spans="1:13" ht="17.100000000000001" customHeight="1" thickBot="1">
      <c r="A15" s="43">
        <f>(A14+1)</f>
        <v>12</v>
      </c>
      <c r="B15" s="13" t="s">
        <v>33</v>
      </c>
      <c r="C15" s="48">
        <v>2599149.6130000055</v>
      </c>
      <c r="D15" s="66">
        <f>+adjustments!M10</f>
        <v>84406</v>
      </c>
      <c r="E15" s="66">
        <f>SUM(C15:D15)</f>
        <v>2683555.6130000055</v>
      </c>
      <c r="F15" s="67"/>
      <c r="G15" s="66">
        <f>SUM(E15:F15)</f>
        <v>2683555.6130000055</v>
      </c>
      <c r="H15" s="48"/>
      <c r="I15" s="66">
        <f>SUM(G15:H15)</f>
        <v>2683555.6130000055</v>
      </c>
      <c r="J15" s="48"/>
      <c r="K15" s="66">
        <f>SUM(I15:J15)</f>
        <v>2683555.6130000055</v>
      </c>
      <c r="L15" s="46"/>
      <c r="M15" s="24">
        <f>(K15)</f>
        <v>2683555.6130000055</v>
      </c>
    </row>
    <row r="16" spans="1:13" ht="17.100000000000001" customHeight="1">
      <c r="A16" s="43">
        <f t="shared" si="0"/>
        <v>13</v>
      </c>
      <c r="B16" s="13"/>
      <c r="C16" s="18"/>
      <c r="D16" s="18"/>
      <c r="H16" s="18"/>
      <c r="J16" s="18"/>
      <c r="L16" s="46"/>
    </row>
    <row r="17" spans="1:13" ht="17.100000000000001" customHeight="1" thickBot="1">
      <c r="A17" s="43">
        <f t="shared" si="0"/>
        <v>14</v>
      </c>
      <c r="B17" s="13"/>
      <c r="C17" s="48">
        <f>SUM(C12:C16)</f>
        <v>99291970</v>
      </c>
      <c r="D17" s="48">
        <f>SUM(D12:D15)</f>
        <v>-7581721.9770000037</v>
      </c>
      <c r="E17" s="66">
        <f>SUM(C17:D17)</f>
        <v>91710248.023000002</v>
      </c>
      <c r="F17" s="48">
        <f>(F12)</f>
        <v>1370000.1999999881</v>
      </c>
      <c r="G17" s="66">
        <f>SUM(E17:F17)</f>
        <v>93080248.22299999</v>
      </c>
      <c r="H17" s="48">
        <f>(H12)</f>
        <v>1370000.1999999881</v>
      </c>
      <c r="I17" s="66">
        <f>SUM(G17:H17)</f>
        <v>94450248.422999978</v>
      </c>
      <c r="J17" s="48">
        <f>(J12)</f>
        <v>1370000.1999999881</v>
      </c>
      <c r="K17" s="66">
        <f>SUM(I17:J17)</f>
        <v>95820248.622999966</v>
      </c>
      <c r="L17" s="46"/>
      <c r="M17" s="24">
        <f>SUM(K15,K40,K41,K42,K44)</f>
        <v>3024750.6130000055</v>
      </c>
    </row>
    <row r="18" spans="1:13" ht="17.100000000000001" customHeight="1">
      <c r="A18" s="43">
        <f t="shared" si="0"/>
        <v>15</v>
      </c>
      <c r="B18" s="13"/>
      <c r="C18" s="18"/>
      <c r="D18" s="18"/>
      <c r="H18" s="18"/>
      <c r="J18" s="18"/>
      <c r="L18" s="46"/>
    </row>
    <row r="19" spans="1:13" ht="17.100000000000001" customHeight="1">
      <c r="A19" s="43">
        <f t="shared" si="0"/>
        <v>16</v>
      </c>
      <c r="B19" s="13" t="s">
        <v>34</v>
      </c>
      <c r="C19" s="18"/>
      <c r="D19" s="18"/>
      <c r="H19" s="18"/>
      <c r="J19" s="18"/>
      <c r="L19" s="46"/>
    </row>
    <row r="20" spans="1:13" ht="17.100000000000001" customHeight="1">
      <c r="A20" s="43">
        <f t="shared" si="0"/>
        <v>17</v>
      </c>
      <c r="B20" s="13" t="s">
        <v>35</v>
      </c>
      <c r="C20" s="18">
        <v>66412945</v>
      </c>
      <c r="D20" s="18">
        <v>-7661075</v>
      </c>
      <c r="E20" s="24">
        <f>SUM(C20:D20)</f>
        <v>58751870</v>
      </c>
      <c r="G20" s="24">
        <f>SUM(E20:F20)</f>
        <v>58751870</v>
      </c>
      <c r="H20" s="18"/>
      <c r="I20" s="24">
        <f>SUM(G20:H20)</f>
        <v>58751870</v>
      </c>
      <c r="J20" s="18"/>
      <c r="K20" s="24">
        <f>SUM(I20:J20)</f>
        <v>58751870</v>
      </c>
      <c r="L20" s="46"/>
    </row>
    <row r="21" spans="1:13" ht="17.100000000000001" customHeight="1">
      <c r="A21" s="43">
        <f t="shared" si="0"/>
        <v>18</v>
      </c>
      <c r="B21" s="13" t="s">
        <v>36</v>
      </c>
      <c r="C21" s="18">
        <v>4868071</v>
      </c>
      <c r="D21" s="18">
        <f>+adjustments!M16</f>
        <v>91777</v>
      </c>
      <c r="E21" s="24">
        <f>SUM(C21:D21)</f>
        <v>4959848</v>
      </c>
      <c r="G21" s="24">
        <f t="shared" ref="E21:K25" si="2">SUM(E21:F21)</f>
        <v>4959848</v>
      </c>
      <c r="H21" s="18"/>
      <c r="I21" s="24">
        <f t="shared" si="2"/>
        <v>4959848</v>
      </c>
      <c r="J21" s="18"/>
      <c r="K21" s="24">
        <f t="shared" si="2"/>
        <v>4959848</v>
      </c>
      <c r="L21" s="46"/>
      <c r="M21" s="46"/>
    </row>
    <row r="22" spans="1:13" ht="17.100000000000001" customHeight="1">
      <c r="A22" s="43">
        <f t="shared" si="0"/>
        <v>19</v>
      </c>
      <c r="B22" s="13" t="s">
        <v>37</v>
      </c>
      <c r="C22" s="18">
        <v>5951960</v>
      </c>
      <c r="D22" s="18">
        <f>+adjustments!M17</f>
        <v>72675</v>
      </c>
      <c r="E22" s="24">
        <f t="shared" si="2"/>
        <v>6024635</v>
      </c>
      <c r="G22" s="24">
        <f t="shared" si="2"/>
        <v>6024635</v>
      </c>
      <c r="H22" s="18"/>
      <c r="I22" s="24">
        <f t="shared" si="2"/>
        <v>6024635</v>
      </c>
      <c r="J22" s="18"/>
      <c r="K22" s="24">
        <f t="shared" si="2"/>
        <v>6024635</v>
      </c>
      <c r="L22" s="46"/>
      <c r="M22" s="46"/>
    </row>
    <row r="23" spans="1:13" ht="17.100000000000001" customHeight="1">
      <c r="A23" s="43">
        <f t="shared" si="0"/>
        <v>20</v>
      </c>
      <c r="B23" s="13" t="s">
        <v>38</v>
      </c>
      <c r="C23" s="18">
        <v>3120184</v>
      </c>
      <c r="D23" s="18">
        <f>+adjustments!M18</f>
        <v>73695</v>
      </c>
      <c r="E23" s="24">
        <f t="shared" si="2"/>
        <v>3193879</v>
      </c>
      <c r="G23" s="24">
        <f t="shared" si="2"/>
        <v>3193879</v>
      </c>
      <c r="H23" s="18"/>
      <c r="I23" s="24">
        <f t="shared" si="2"/>
        <v>3193879</v>
      </c>
      <c r="J23" s="18"/>
      <c r="K23" s="24">
        <f t="shared" si="2"/>
        <v>3193879</v>
      </c>
      <c r="L23" s="46"/>
      <c r="M23" s="46"/>
    </row>
    <row r="24" spans="1:13" ht="17.100000000000001" customHeight="1">
      <c r="A24" s="43">
        <f t="shared" si="0"/>
        <v>21</v>
      </c>
      <c r="B24" s="13" t="s">
        <v>39</v>
      </c>
      <c r="C24" s="18">
        <v>811685</v>
      </c>
      <c r="D24" s="18">
        <f>+adjustments!M19</f>
        <v>19109</v>
      </c>
      <c r="E24" s="24">
        <f t="shared" si="2"/>
        <v>830794</v>
      </c>
      <c r="G24" s="24">
        <f t="shared" si="2"/>
        <v>830794</v>
      </c>
      <c r="H24" s="18"/>
      <c r="I24" s="24">
        <f t="shared" si="2"/>
        <v>830794</v>
      </c>
      <c r="J24" s="18"/>
      <c r="K24" s="24">
        <f t="shared" si="2"/>
        <v>830794</v>
      </c>
      <c r="L24" s="46"/>
      <c r="M24" s="46"/>
    </row>
    <row r="25" spans="1:13" ht="17.100000000000001" customHeight="1">
      <c r="A25" s="43">
        <f t="shared" si="0"/>
        <v>22</v>
      </c>
      <c r="B25" s="13" t="s">
        <v>40</v>
      </c>
      <c r="C25" s="18">
        <v>0</v>
      </c>
      <c r="D25" s="18">
        <f>+adjustments!M20</f>
        <v>0</v>
      </c>
      <c r="E25" s="24">
        <f t="shared" si="2"/>
        <v>0</v>
      </c>
      <c r="G25" s="24">
        <f t="shared" si="2"/>
        <v>0</v>
      </c>
      <c r="H25" s="18"/>
      <c r="I25" s="24">
        <f t="shared" si="2"/>
        <v>0</v>
      </c>
      <c r="J25" s="18"/>
      <c r="K25" s="24">
        <f t="shared" si="2"/>
        <v>0</v>
      </c>
      <c r="L25" s="46"/>
      <c r="M25" s="46"/>
    </row>
    <row r="26" spans="1:13" ht="17.100000000000001" customHeight="1" thickBot="1">
      <c r="A26" s="43">
        <f t="shared" si="0"/>
        <v>23</v>
      </c>
      <c r="B26" s="13" t="s">
        <v>41</v>
      </c>
      <c r="C26" s="48">
        <v>4574854</v>
      </c>
      <c r="D26" s="60">
        <f>+adjustments!M21</f>
        <v>50939</v>
      </c>
      <c r="E26" s="27">
        <f>SUM(C26:D26)</f>
        <v>4625793</v>
      </c>
      <c r="F26" s="26"/>
      <c r="G26" s="27">
        <f>SUM(E26:F26)</f>
        <v>4625793</v>
      </c>
      <c r="H26" s="48"/>
      <c r="I26" s="27">
        <f>SUM(G26:H26)</f>
        <v>4625793</v>
      </c>
      <c r="J26" s="48"/>
      <c r="K26" s="27">
        <f>SUM(I26:J26)</f>
        <v>4625793</v>
      </c>
      <c r="L26" s="46"/>
      <c r="M26" s="46"/>
    </row>
    <row r="27" spans="1:13" ht="17.100000000000001" customHeight="1">
      <c r="A27" s="43">
        <f t="shared" si="0"/>
        <v>24</v>
      </c>
      <c r="B27" s="13"/>
      <c r="C27" s="18"/>
      <c r="D27" s="18"/>
      <c r="H27" s="18"/>
      <c r="J27" s="18"/>
    </row>
    <row r="28" spans="1:13" ht="17.100000000000001" customHeight="1" thickBot="1">
      <c r="A28" s="43">
        <f t="shared" si="0"/>
        <v>25</v>
      </c>
      <c r="B28" s="13" t="s">
        <v>42</v>
      </c>
      <c r="C28" s="48">
        <f>SUM(C20:C26)</f>
        <v>85739699</v>
      </c>
      <c r="D28" s="48">
        <f>SUM(D20:D26)</f>
        <v>-7352880</v>
      </c>
      <c r="E28" s="27">
        <f>SUM(E20:E26)</f>
        <v>78386819</v>
      </c>
      <c r="F28" s="26"/>
      <c r="G28" s="27">
        <f>SUM(G20:G26)</f>
        <v>78386819</v>
      </c>
      <c r="H28" s="48"/>
      <c r="I28" s="27">
        <f>SUM(I20:I26)</f>
        <v>78386819</v>
      </c>
      <c r="J28" s="48"/>
      <c r="K28" s="27">
        <f>SUM(K20:K26)</f>
        <v>78386819</v>
      </c>
    </row>
    <row r="29" spans="1:13" ht="17.100000000000001" customHeight="1">
      <c r="A29" s="43">
        <f t="shared" si="0"/>
        <v>26</v>
      </c>
      <c r="B29" s="13"/>
      <c r="C29" s="18"/>
      <c r="D29" s="18"/>
      <c r="E29" s="24">
        <f t="shared" ref="E29:K39" si="3">(C29)</f>
        <v>0</v>
      </c>
      <c r="G29" s="24">
        <f t="shared" si="3"/>
        <v>0</v>
      </c>
      <c r="H29" s="18"/>
      <c r="I29" s="24">
        <f t="shared" si="3"/>
        <v>0</v>
      </c>
      <c r="J29" s="18"/>
      <c r="K29" s="24">
        <f t="shared" si="3"/>
        <v>0</v>
      </c>
    </row>
    <row r="30" spans="1:13" ht="17.100000000000001" customHeight="1">
      <c r="A30" s="43">
        <f t="shared" si="0"/>
        <v>27</v>
      </c>
      <c r="B30" s="13" t="s">
        <v>50</v>
      </c>
      <c r="C30" s="18">
        <v>8726653</v>
      </c>
      <c r="D30" s="18">
        <f>+adjustments!M25</f>
        <v>323019</v>
      </c>
      <c r="E30" s="24">
        <f t="shared" ref="E30:K33" si="4">SUM(C30:D30)</f>
        <v>9049672</v>
      </c>
      <c r="G30" s="24">
        <f t="shared" si="4"/>
        <v>9049672</v>
      </c>
      <c r="H30" s="18"/>
      <c r="I30" s="24">
        <f t="shared" si="4"/>
        <v>9049672</v>
      </c>
      <c r="J30" s="18"/>
      <c r="K30" s="24">
        <f t="shared" si="4"/>
        <v>9049672</v>
      </c>
    </row>
    <row r="31" spans="1:13" ht="17.100000000000001" customHeight="1">
      <c r="A31" s="43">
        <f t="shared" si="0"/>
        <v>28</v>
      </c>
      <c r="B31" s="13" t="s">
        <v>54</v>
      </c>
      <c r="C31" s="18">
        <v>120557</v>
      </c>
      <c r="D31" s="18">
        <f>+adjustments!M26</f>
        <v>0</v>
      </c>
      <c r="E31" s="24">
        <f t="shared" si="4"/>
        <v>120557</v>
      </c>
      <c r="G31" s="24">
        <f t="shared" si="4"/>
        <v>120557</v>
      </c>
      <c r="H31" s="18"/>
      <c r="I31" s="24">
        <f t="shared" si="4"/>
        <v>120557</v>
      </c>
      <c r="J31" s="18"/>
      <c r="K31" s="24">
        <f t="shared" si="4"/>
        <v>120557</v>
      </c>
    </row>
    <row r="32" spans="1:13" ht="17.100000000000001" customHeight="1">
      <c r="A32" s="43">
        <f t="shared" si="0"/>
        <v>29</v>
      </c>
      <c r="B32" s="13" t="s">
        <v>55</v>
      </c>
      <c r="C32" s="18">
        <v>5403344</v>
      </c>
      <c r="D32" s="18">
        <f>+adjustments!M27</f>
        <v>538447</v>
      </c>
      <c r="E32" s="24">
        <f t="shared" si="4"/>
        <v>5941791</v>
      </c>
      <c r="G32" s="24">
        <f t="shared" si="4"/>
        <v>5941791</v>
      </c>
      <c r="H32" s="18"/>
      <c r="I32" s="24">
        <f t="shared" si="4"/>
        <v>5941791</v>
      </c>
      <c r="J32" s="18"/>
      <c r="K32" s="24">
        <f t="shared" si="4"/>
        <v>5941791</v>
      </c>
    </row>
    <row r="33" spans="1:13" ht="17.100000000000001" customHeight="1">
      <c r="A33" s="43">
        <f t="shared" si="0"/>
        <v>30</v>
      </c>
      <c r="B33" s="13" t="s">
        <v>56</v>
      </c>
      <c r="C33" s="18">
        <v>54021</v>
      </c>
      <c r="D33" s="18">
        <f>+adjustments!M28</f>
        <v>0</v>
      </c>
      <c r="E33" s="24">
        <f t="shared" si="4"/>
        <v>54021</v>
      </c>
      <c r="G33" s="24">
        <f t="shared" si="4"/>
        <v>54021</v>
      </c>
      <c r="H33" s="18"/>
      <c r="I33" s="24">
        <f t="shared" si="4"/>
        <v>54021</v>
      </c>
      <c r="J33" s="18"/>
      <c r="K33" s="24">
        <f t="shared" si="4"/>
        <v>54021</v>
      </c>
    </row>
    <row r="34" spans="1:13" ht="17.100000000000001" customHeight="1" thickBot="1">
      <c r="A34" s="43">
        <f t="shared" si="0"/>
        <v>31</v>
      </c>
      <c r="B34" s="13" t="s">
        <v>57</v>
      </c>
      <c r="C34" s="48">
        <v>80896</v>
      </c>
      <c r="D34" s="48">
        <f>+adjustments!M29</f>
        <v>-64588</v>
      </c>
      <c r="E34" s="48">
        <f>SUM(C34:D34)</f>
        <v>16308</v>
      </c>
      <c r="F34" s="48"/>
      <c r="G34" s="48">
        <f>SUM(E34:F34)</f>
        <v>16308</v>
      </c>
      <c r="H34" s="48"/>
      <c r="I34" s="48">
        <f>SUM(G34:H34)</f>
        <v>16308</v>
      </c>
      <c r="J34" s="48"/>
      <c r="K34" s="48">
        <f>SUM(I34:J34)</f>
        <v>16308</v>
      </c>
      <c r="M34" s="24">
        <f>SUM(K40:K44)</f>
        <v>341195</v>
      </c>
    </row>
    <row r="35" spans="1:13" ht="17.100000000000001" customHeight="1">
      <c r="A35" s="43">
        <f t="shared" si="0"/>
        <v>32</v>
      </c>
      <c r="B35" s="13"/>
      <c r="C35" s="18"/>
      <c r="D35" s="18"/>
      <c r="E35" s="24">
        <f t="shared" si="3"/>
        <v>0</v>
      </c>
      <c r="G35" s="24">
        <f t="shared" si="3"/>
        <v>0</v>
      </c>
      <c r="H35" s="18"/>
      <c r="I35" s="24">
        <f t="shared" si="3"/>
        <v>0</v>
      </c>
      <c r="J35" s="18"/>
      <c r="K35" s="24">
        <f t="shared" si="3"/>
        <v>0</v>
      </c>
    </row>
    <row r="36" spans="1:13" ht="17.100000000000001" customHeight="1">
      <c r="A36" s="43">
        <f t="shared" si="0"/>
        <v>33</v>
      </c>
      <c r="B36" s="13" t="s">
        <v>43</v>
      </c>
      <c r="C36" s="19">
        <f>(+C28+SUM(C30:C34))</f>
        <v>100125170</v>
      </c>
      <c r="D36" s="19">
        <f>(+D28+SUM(D30:D34))</f>
        <v>-6556002</v>
      </c>
      <c r="E36" s="19">
        <f>(+E28+SUM(E30:E34))</f>
        <v>93569168</v>
      </c>
      <c r="F36" s="19">
        <f>(+F28+SUM(F30:F34))</f>
        <v>0</v>
      </c>
      <c r="G36" s="19">
        <f>(+G28+SUM(G30:G34))</f>
        <v>93569168</v>
      </c>
      <c r="H36" s="19"/>
      <c r="I36" s="19">
        <f>(+I28+SUM(I30:I34))</f>
        <v>93569168</v>
      </c>
      <c r="J36" s="19">
        <f>(+J28+SUM(J30:J34))</f>
        <v>0</v>
      </c>
      <c r="K36" s="19">
        <f>(+K28+SUM(K30:K34))</f>
        <v>93569168</v>
      </c>
    </row>
    <row r="37" spans="1:13" ht="17.100000000000001" customHeight="1">
      <c r="A37" s="43">
        <f t="shared" si="0"/>
        <v>34</v>
      </c>
      <c r="B37" s="13"/>
      <c r="C37" s="18"/>
      <c r="D37" s="18"/>
      <c r="E37" s="18"/>
      <c r="G37" s="18"/>
      <c r="H37" s="18"/>
      <c r="I37" s="18"/>
      <c r="J37" s="18"/>
      <c r="K37" s="18"/>
    </row>
    <row r="38" spans="1:13" ht="17.100000000000001" customHeight="1">
      <c r="A38" s="43">
        <f t="shared" si="0"/>
        <v>35</v>
      </c>
      <c r="B38" s="13" t="s">
        <v>44</v>
      </c>
      <c r="C38" s="19">
        <f t="shared" ref="C38:K38" si="5">(+C17-C36)</f>
        <v>-833200</v>
      </c>
      <c r="D38" s="19">
        <f>(+D17-D36)</f>
        <v>-1025719.9770000037</v>
      </c>
      <c r="E38" s="19">
        <f t="shared" si="5"/>
        <v>-1858919.9769999981</v>
      </c>
      <c r="F38" s="19">
        <f t="shared" si="5"/>
        <v>1370000.1999999881</v>
      </c>
      <c r="G38" s="19">
        <f t="shared" si="5"/>
        <v>-488919.77700001001</v>
      </c>
      <c r="H38" s="19">
        <f t="shared" si="5"/>
        <v>1370000.1999999881</v>
      </c>
      <c r="I38" s="19">
        <f t="shared" si="5"/>
        <v>881080.42299997807</v>
      </c>
      <c r="J38" s="19">
        <f t="shared" si="5"/>
        <v>1370000.1999999881</v>
      </c>
      <c r="K38" s="19">
        <f t="shared" si="5"/>
        <v>2251080.6229999661</v>
      </c>
    </row>
    <row r="39" spans="1:13" ht="17.100000000000001" customHeight="1">
      <c r="A39" s="43">
        <f t="shared" si="0"/>
        <v>36</v>
      </c>
      <c r="B39" s="13"/>
      <c r="C39" s="18"/>
      <c r="D39" s="18"/>
      <c r="E39" s="24">
        <f t="shared" si="3"/>
        <v>0</v>
      </c>
      <c r="G39" s="24">
        <f t="shared" si="3"/>
        <v>0</v>
      </c>
      <c r="H39" s="18"/>
      <c r="I39" s="24">
        <f t="shared" si="3"/>
        <v>0</v>
      </c>
      <c r="J39" s="18"/>
      <c r="K39" s="24">
        <f t="shared" si="3"/>
        <v>0</v>
      </c>
      <c r="L39" s="11" t="s">
        <v>58</v>
      </c>
    </row>
    <row r="40" spans="1:13" ht="17.100000000000001" customHeight="1">
      <c r="A40" s="43">
        <f t="shared" si="0"/>
        <v>37</v>
      </c>
      <c r="B40" s="13" t="s">
        <v>45</v>
      </c>
      <c r="C40" s="18">
        <v>161289</v>
      </c>
      <c r="D40" s="18">
        <f>+adjustments!M35</f>
        <v>0</v>
      </c>
      <c r="E40" s="24">
        <f t="shared" ref="E40:K43" si="6">SUM(C40:D40)</f>
        <v>161289</v>
      </c>
      <c r="G40" s="24">
        <f t="shared" si="6"/>
        <v>161289</v>
      </c>
      <c r="H40" s="18"/>
      <c r="I40" s="24">
        <f t="shared" si="6"/>
        <v>161289</v>
      </c>
      <c r="J40" s="18"/>
      <c r="K40" s="24">
        <f t="shared" si="6"/>
        <v>161289</v>
      </c>
    </row>
    <row r="41" spans="1:13" ht="17.100000000000001" customHeight="1">
      <c r="A41" s="43">
        <f t="shared" si="0"/>
        <v>38</v>
      </c>
      <c r="B41" s="13" t="s">
        <v>62</v>
      </c>
      <c r="C41" s="18">
        <v>124271</v>
      </c>
      <c r="D41" s="18">
        <f>+adjustments!M36</f>
        <v>0</v>
      </c>
      <c r="E41" s="24">
        <f t="shared" si="6"/>
        <v>124271</v>
      </c>
      <c r="G41" s="24">
        <f t="shared" si="6"/>
        <v>124271</v>
      </c>
      <c r="H41" s="18"/>
      <c r="I41" s="24">
        <f t="shared" si="6"/>
        <v>124271</v>
      </c>
      <c r="J41" s="18"/>
      <c r="K41" s="24">
        <f t="shared" si="6"/>
        <v>124271</v>
      </c>
    </row>
    <row r="42" spans="1:13" ht="17.100000000000001" customHeight="1">
      <c r="A42" s="43">
        <f t="shared" si="0"/>
        <v>39</v>
      </c>
      <c r="B42" s="13" t="s">
        <v>46</v>
      </c>
      <c r="C42" s="49">
        <v>-95293</v>
      </c>
      <c r="D42" s="18">
        <f>+adjustments!M37</f>
        <v>0</v>
      </c>
      <c r="E42" s="24">
        <f t="shared" si="6"/>
        <v>-95293</v>
      </c>
      <c r="G42" s="24">
        <f t="shared" si="6"/>
        <v>-95293</v>
      </c>
      <c r="H42" s="18"/>
      <c r="I42" s="24">
        <f t="shared" si="6"/>
        <v>-95293</v>
      </c>
      <c r="J42" s="18"/>
      <c r="K42" s="24">
        <f t="shared" si="6"/>
        <v>-95293</v>
      </c>
    </row>
    <row r="43" spans="1:13" ht="17.100000000000001" customHeight="1">
      <c r="A43" s="43">
        <f t="shared" si="0"/>
        <v>40</v>
      </c>
      <c r="B43" s="13" t="s">
        <v>51</v>
      </c>
      <c r="C43" s="18">
        <v>4358339</v>
      </c>
      <c r="D43" s="18">
        <f>+adjustments!M38</f>
        <v>-4358339</v>
      </c>
      <c r="E43" s="24">
        <f t="shared" si="6"/>
        <v>0</v>
      </c>
      <c r="G43" s="24">
        <f t="shared" si="6"/>
        <v>0</v>
      </c>
      <c r="H43" s="18"/>
      <c r="I43" s="24">
        <f t="shared" si="6"/>
        <v>0</v>
      </c>
      <c r="J43" s="18"/>
      <c r="K43" s="24">
        <f t="shared" si="6"/>
        <v>0</v>
      </c>
    </row>
    <row r="44" spans="1:13" ht="17.100000000000001" customHeight="1">
      <c r="A44" s="43">
        <f t="shared" si="0"/>
        <v>41</v>
      </c>
      <c r="B44" s="13" t="s">
        <v>49</v>
      </c>
      <c r="C44" s="19">
        <v>150928</v>
      </c>
      <c r="D44" s="19">
        <f>+adjustments!M39</f>
        <v>0</v>
      </c>
      <c r="E44" s="19">
        <f>SUM(C44:D44)</f>
        <v>150928</v>
      </c>
      <c r="F44" s="19"/>
      <c r="G44" s="19">
        <f>SUM(E44:F44)</f>
        <v>150928</v>
      </c>
      <c r="H44" s="19"/>
      <c r="I44" s="19">
        <f t="shared" ref="I44" si="7">SUM(G44:H44)</f>
        <v>150928</v>
      </c>
      <c r="J44" s="19"/>
      <c r="K44" s="19">
        <f>SUM(I44:J44)</f>
        <v>150928</v>
      </c>
    </row>
    <row r="45" spans="1:13" ht="17.100000000000001" customHeight="1">
      <c r="A45" s="43">
        <f t="shared" si="0"/>
        <v>42</v>
      </c>
      <c r="B45" s="13"/>
      <c r="C45" s="18"/>
      <c r="D45" s="18"/>
      <c r="E45" s="24"/>
      <c r="G45" s="24"/>
      <c r="H45" s="18"/>
      <c r="I45" s="24"/>
      <c r="J45" s="18"/>
      <c r="K45" s="24"/>
    </row>
    <row r="46" spans="1:13" ht="17.100000000000001" customHeight="1" thickBot="1">
      <c r="A46" s="43">
        <f t="shared" si="0"/>
        <v>43</v>
      </c>
      <c r="B46" s="13" t="s">
        <v>47</v>
      </c>
      <c r="C46" s="50">
        <f>SUM(C38:C44)</f>
        <v>3866334</v>
      </c>
      <c r="D46" s="50">
        <f>SUM(D38:D44)</f>
        <v>-5384058.9770000037</v>
      </c>
      <c r="E46" s="50">
        <f t="shared" ref="E46:J46" si="8">SUM(E38:E44)</f>
        <v>-1517724.9769999981</v>
      </c>
      <c r="F46" s="50">
        <f t="shared" si="8"/>
        <v>1370000.1999999881</v>
      </c>
      <c r="G46" s="50">
        <f t="shared" ref="G46" si="9">SUM(G38:G44)</f>
        <v>-147724.77700001001</v>
      </c>
      <c r="H46" s="50">
        <f t="shared" si="8"/>
        <v>1370000.1999999881</v>
      </c>
      <c r="I46" s="50">
        <f t="shared" ref="I46" si="10">SUM(I38:I44)</f>
        <v>1222275.4229999781</v>
      </c>
      <c r="J46" s="50">
        <f t="shared" si="8"/>
        <v>1370000.1999999881</v>
      </c>
      <c r="K46" s="50">
        <f t="shared" ref="K46" si="11">SUM(K38:K44)</f>
        <v>2592275.6229999661</v>
      </c>
    </row>
    <row r="47" spans="1:13" ht="15" customHeight="1" thickTop="1">
      <c r="A47" s="43">
        <f t="shared" si="0"/>
        <v>44</v>
      </c>
      <c r="E47" s="24">
        <f>(C47)</f>
        <v>0</v>
      </c>
      <c r="G47" s="24"/>
    </row>
    <row r="48" spans="1:13" ht="15" customHeight="1">
      <c r="A48" s="43">
        <f t="shared" si="0"/>
        <v>45</v>
      </c>
      <c r="B48" s="13" t="s">
        <v>48</v>
      </c>
      <c r="C48" s="51">
        <f>((C46+C32)/C32)</f>
        <v>1.7155446701153951</v>
      </c>
      <c r="D48" s="51"/>
      <c r="E48" s="51">
        <f>((E46+E32)/E32)</f>
        <v>0.74456776130294755</v>
      </c>
      <c r="G48" s="51">
        <f>((G46+G32)/G32)</f>
        <v>0.97513800519068916</v>
      </c>
      <c r="H48" s="51"/>
      <c r="I48" s="51">
        <f>((I46+I32)/I32)</f>
        <v>1.2057082490784308</v>
      </c>
      <c r="J48" s="13"/>
      <c r="K48" s="51">
        <f>((K46+K32)/K32)</f>
        <v>1.4362784929661723</v>
      </c>
    </row>
    <row r="49" spans="1:11" ht="15" customHeight="1">
      <c r="A49" s="43">
        <f t="shared" si="0"/>
        <v>46</v>
      </c>
      <c r="E49" s="24">
        <f>(C49)</f>
        <v>0</v>
      </c>
    </row>
    <row r="50" spans="1:11" ht="15" customHeight="1">
      <c r="A50" s="43">
        <f t="shared" si="0"/>
        <v>47</v>
      </c>
      <c r="B50" s="11" t="s">
        <v>66</v>
      </c>
      <c r="C50" s="52">
        <f>(C38+C32)/(C32)</f>
        <v>0.84579919398061643</v>
      </c>
      <c r="E50" s="52">
        <f>(E38+E32)/(E32)</f>
        <v>0.68714483949368166</v>
      </c>
      <c r="G50" s="52">
        <f>(G38+G32)/(G32)</f>
        <v>0.91771508338142316</v>
      </c>
      <c r="H50" s="52"/>
      <c r="I50" s="52">
        <f>(I38+I32)/(I32)</f>
        <v>1.1482853272691649</v>
      </c>
      <c r="K50" s="52">
        <f>(K38+K32)/(K32)</f>
        <v>1.3788555711569064</v>
      </c>
    </row>
    <row r="51" spans="1:11" ht="12.95" customHeight="1">
      <c r="A51" s="43"/>
      <c r="B51" s="13"/>
      <c r="C51" s="51" t="s">
        <v>58</v>
      </c>
      <c r="D51" s="10" t="s">
        <v>58</v>
      </c>
      <c r="E51" s="24" t="str">
        <f>(C51)</f>
        <v xml:space="preserve"> </v>
      </c>
      <c r="F51" s="53"/>
      <c r="G51" s="10"/>
      <c r="H51" s="10"/>
      <c r="I51" s="53"/>
    </row>
    <row r="52" spans="1:11" ht="12.95" customHeight="1">
      <c r="A52" s="43"/>
      <c r="B52" s="13"/>
      <c r="C52" s="51"/>
      <c r="D52" s="10"/>
      <c r="E52" s="53"/>
      <c r="F52" s="53"/>
      <c r="G52" s="10"/>
      <c r="H52" s="10"/>
      <c r="I52" s="53"/>
    </row>
    <row r="53" spans="1:11" ht="12.95" customHeight="1">
      <c r="A53" s="43"/>
      <c r="B53" s="13"/>
      <c r="C53" s="51"/>
      <c r="D53" s="10"/>
      <c r="E53" s="53"/>
      <c r="F53" s="53"/>
    </row>
    <row r="54" spans="1:11" ht="12.95" customHeight="1">
      <c r="A54" s="43"/>
    </row>
  </sheetData>
  <mergeCells count="3">
    <mergeCell ref="B4:K4"/>
    <mergeCell ref="B5:K5"/>
    <mergeCell ref="B6:K6"/>
  </mergeCells>
  <phoneticPr fontId="2" type="noConversion"/>
  <printOptions horizontalCentered="1"/>
  <pageMargins left="0.25" right="0.32" top="0.5" bottom="0.5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60" zoomScaleNormal="100" workbookViewId="0">
      <selection activeCell="E3" sqref="E3"/>
    </sheetView>
  </sheetViews>
  <sheetFormatPr defaultRowHeight="15"/>
  <cols>
    <col min="1" max="1" width="4.77734375" customWidth="1"/>
    <col min="2" max="2" width="32.33203125" bestFit="1" customWidth="1"/>
    <col min="3" max="3" width="13.109375" bestFit="1" customWidth="1"/>
    <col min="4" max="4" width="11.77734375" customWidth="1"/>
    <col min="5" max="5" width="17.88671875" bestFit="1" customWidth="1"/>
  </cols>
  <sheetData>
    <row r="1" spans="1:5" ht="15.75">
      <c r="E1" s="14" t="s">
        <v>90</v>
      </c>
    </row>
    <row r="2" spans="1:5" ht="15.75">
      <c r="E2" s="14" t="s">
        <v>96</v>
      </c>
    </row>
    <row r="3" spans="1:5" ht="15.75">
      <c r="E3" s="14" t="s">
        <v>70</v>
      </c>
    </row>
    <row r="4" spans="1:5" ht="18.75">
      <c r="A4" s="1">
        <v>1</v>
      </c>
      <c r="B4" s="69" t="s">
        <v>60</v>
      </c>
      <c r="C4" s="69"/>
      <c r="D4" s="69"/>
    </row>
    <row r="5" spans="1:5" ht="18.75">
      <c r="A5" s="1">
        <f t="shared" ref="A5:A36" si="0">(+A4+1)</f>
        <v>2</v>
      </c>
      <c r="B5" s="69" t="s">
        <v>69</v>
      </c>
      <c r="C5" s="69"/>
      <c r="D5" s="69"/>
    </row>
    <row r="6" spans="1:5" ht="18.75">
      <c r="A6" s="1">
        <f t="shared" si="0"/>
        <v>3</v>
      </c>
      <c r="B6" s="69" t="s">
        <v>0</v>
      </c>
      <c r="C6" s="69"/>
      <c r="D6" s="69"/>
    </row>
    <row r="7" spans="1:5" ht="15.75" customHeight="1">
      <c r="A7" s="1">
        <f t="shared" si="0"/>
        <v>4</v>
      </c>
      <c r="B7" s="70" t="s">
        <v>73</v>
      </c>
      <c r="C7" s="70"/>
      <c r="D7" s="70"/>
    </row>
    <row r="8" spans="1:5" ht="15.75">
      <c r="A8" s="1">
        <f t="shared" si="0"/>
        <v>5</v>
      </c>
      <c r="B8" s="12"/>
      <c r="C8" s="12"/>
      <c r="D8" s="12"/>
    </row>
    <row r="9" spans="1:5" ht="15.75">
      <c r="A9" s="1">
        <f t="shared" si="0"/>
        <v>6</v>
      </c>
      <c r="B9" s="11"/>
      <c r="C9" s="15" t="s">
        <v>1</v>
      </c>
      <c r="D9" s="15" t="s">
        <v>2</v>
      </c>
      <c r="E9" s="15" t="s">
        <v>3</v>
      </c>
    </row>
    <row r="10" spans="1:5" ht="15.75">
      <c r="A10" s="1">
        <f t="shared" si="0"/>
        <v>7</v>
      </c>
      <c r="B10" s="13"/>
      <c r="C10" s="16" t="s">
        <v>4</v>
      </c>
      <c r="D10" s="16" t="s">
        <v>5</v>
      </c>
      <c r="E10" s="16" t="s">
        <v>72</v>
      </c>
    </row>
    <row r="11" spans="1:5" ht="15.75">
      <c r="A11" s="1">
        <f t="shared" si="0"/>
        <v>8</v>
      </c>
      <c r="B11" s="17" t="s">
        <v>6</v>
      </c>
      <c r="C11" s="10"/>
      <c r="D11" s="10"/>
    </row>
    <row r="12" spans="1:5" ht="15.75">
      <c r="A12" s="1">
        <f t="shared" si="0"/>
        <v>9</v>
      </c>
      <c r="B12" s="13"/>
      <c r="C12" s="10"/>
      <c r="D12" s="10"/>
    </row>
    <row r="13" spans="1:5" ht="15.75">
      <c r="A13" s="1">
        <f t="shared" si="0"/>
        <v>10</v>
      </c>
      <c r="B13" s="13" t="s">
        <v>7</v>
      </c>
      <c r="C13" s="10"/>
      <c r="D13" s="10"/>
    </row>
    <row r="14" spans="1:5" ht="15.75">
      <c r="A14" s="1">
        <f t="shared" si="0"/>
        <v>11</v>
      </c>
      <c r="B14" s="13" t="s">
        <v>8</v>
      </c>
      <c r="C14" s="18">
        <v>217147938</v>
      </c>
      <c r="D14" s="18"/>
      <c r="E14" s="24">
        <f>(C14+D14)</f>
        <v>217147938</v>
      </c>
    </row>
    <row r="15" spans="1:5" ht="15.75">
      <c r="A15" s="1">
        <f t="shared" si="0"/>
        <v>12</v>
      </c>
      <c r="B15" s="13" t="s">
        <v>9</v>
      </c>
      <c r="C15" s="19">
        <v>993407</v>
      </c>
      <c r="D15" s="19"/>
      <c r="E15" s="27">
        <f t="shared" ref="E15:E53" si="1">(C15+D15)</f>
        <v>993407</v>
      </c>
    </row>
    <row r="16" spans="1:5" ht="15.75">
      <c r="A16" s="1">
        <f t="shared" si="0"/>
        <v>13</v>
      </c>
      <c r="B16" s="13"/>
      <c r="C16" s="18">
        <f>SUM(C14:C15)</f>
        <v>218141345</v>
      </c>
      <c r="D16" s="18"/>
      <c r="E16" s="24">
        <f t="shared" si="1"/>
        <v>218141345</v>
      </c>
    </row>
    <row r="17" spans="1:5" ht="15.75">
      <c r="A17" s="1">
        <f t="shared" si="0"/>
        <v>14</v>
      </c>
      <c r="B17" s="13" t="s">
        <v>10</v>
      </c>
      <c r="C17" s="19">
        <v>57505856</v>
      </c>
      <c r="D17" s="19">
        <v>0</v>
      </c>
      <c r="E17" s="27">
        <f t="shared" si="1"/>
        <v>57505856</v>
      </c>
    </row>
    <row r="18" spans="1:5" ht="15.75">
      <c r="A18" s="1">
        <f t="shared" si="0"/>
        <v>15</v>
      </c>
      <c r="B18" s="13"/>
      <c r="C18" s="19">
        <f>(C16-C17)</f>
        <v>160635489</v>
      </c>
      <c r="D18" s="19">
        <f>(+D16-D17)</f>
        <v>0</v>
      </c>
      <c r="E18" s="29">
        <f t="shared" si="1"/>
        <v>160635489</v>
      </c>
    </row>
    <row r="19" spans="1:5" ht="15.75">
      <c r="A19" s="1">
        <f t="shared" si="0"/>
        <v>16</v>
      </c>
      <c r="B19" s="13"/>
      <c r="C19" s="18"/>
      <c r="D19" s="18"/>
      <c r="E19" s="24">
        <f t="shared" si="1"/>
        <v>0</v>
      </c>
    </row>
    <row r="20" spans="1:5" ht="15.75">
      <c r="A20" s="1">
        <f t="shared" si="0"/>
        <v>17</v>
      </c>
      <c r="B20" s="13" t="s">
        <v>11</v>
      </c>
      <c r="C20" s="19">
        <v>41199079</v>
      </c>
      <c r="D20" s="19"/>
      <c r="E20" s="27">
        <f t="shared" si="1"/>
        <v>41199079</v>
      </c>
    </row>
    <row r="21" spans="1:5" ht="15.75">
      <c r="A21" s="1">
        <f t="shared" si="0"/>
        <v>18</v>
      </c>
      <c r="B21" s="13"/>
      <c r="C21" s="18"/>
      <c r="D21" s="18"/>
      <c r="E21" s="24">
        <f t="shared" si="1"/>
        <v>0</v>
      </c>
    </row>
    <row r="22" spans="1:5" ht="15.75">
      <c r="A22" s="1">
        <f t="shared" si="0"/>
        <v>19</v>
      </c>
      <c r="B22" s="13" t="s">
        <v>12</v>
      </c>
      <c r="C22" s="18"/>
      <c r="D22" s="18"/>
      <c r="E22" s="24">
        <f t="shared" si="1"/>
        <v>0</v>
      </c>
    </row>
    <row r="23" spans="1:5" ht="15.75">
      <c r="A23" s="1">
        <f t="shared" si="0"/>
        <v>20</v>
      </c>
      <c r="B23" s="13" t="s">
        <v>13</v>
      </c>
      <c r="C23" s="18">
        <f>SUM(2650461,420)</f>
        <v>2650881</v>
      </c>
      <c r="D23" s="18">
        <f>('proposed rev'!E32)</f>
        <v>5941791.4282</v>
      </c>
      <c r="E23" s="24">
        <f t="shared" si="1"/>
        <v>8592672.428199999</v>
      </c>
    </row>
    <row r="24" spans="1:5" ht="15.75">
      <c r="A24" s="1">
        <f t="shared" si="0"/>
        <v>21</v>
      </c>
      <c r="B24" s="13" t="s">
        <v>14</v>
      </c>
      <c r="C24" s="18">
        <f>(15666174+1451785)</f>
        <v>17117959</v>
      </c>
      <c r="D24" s="18"/>
      <c r="E24" s="24">
        <f t="shared" si="1"/>
        <v>17117959</v>
      </c>
    </row>
    <row r="25" spans="1:5" ht="15.75">
      <c r="A25" s="1">
        <f t="shared" si="0"/>
        <v>22</v>
      </c>
      <c r="B25" s="13" t="s">
        <v>15</v>
      </c>
      <c r="C25" s="18">
        <v>1351848</v>
      </c>
      <c r="D25" s="18"/>
      <c r="E25" s="61">
        <f t="shared" si="1"/>
        <v>1351848</v>
      </c>
    </row>
    <row r="26" spans="1:5" ht="15.75">
      <c r="A26" s="1">
        <f t="shared" si="0"/>
        <v>23</v>
      </c>
      <c r="B26" s="13" t="s">
        <v>16</v>
      </c>
      <c r="C26" s="19">
        <f>(290237+42928)</f>
        <v>333165</v>
      </c>
      <c r="D26" s="19"/>
      <c r="E26" s="27">
        <f t="shared" si="1"/>
        <v>333165</v>
      </c>
    </row>
    <row r="27" spans="1:5" ht="15.75">
      <c r="A27" s="1">
        <f t="shared" si="0"/>
        <v>24</v>
      </c>
      <c r="B27" s="13"/>
      <c r="C27" s="19">
        <f>SUM(C23:C26)</f>
        <v>21453853</v>
      </c>
      <c r="D27" s="19"/>
      <c r="E27" s="29">
        <f t="shared" si="1"/>
        <v>21453853</v>
      </c>
    </row>
    <row r="28" spans="1:5" ht="15.75">
      <c r="A28" s="1">
        <f t="shared" si="0"/>
        <v>25</v>
      </c>
      <c r="B28" s="13"/>
      <c r="C28" s="18"/>
      <c r="D28" s="18"/>
      <c r="E28" s="24">
        <f t="shared" si="1"/>
        <v>0</v>
      </c>
    </row>
    <row r="29" spans="1:5" ht="15.75">
      <c r="A29" s="1">
        <f t="shared" si="0"/>
        <v>26</v>
      </c>
      <c r="B29" s="13" t="s">
        <v>71</v>
      </c>
      <c r="C29" s="19">
        <f>1972607+6687437</f>
        <v>8660044</v>
      </c>
      <c r="D29" s="19">
        <v>0</v>
      </c>
      <c r="E29" s="27">
        <f t="shared" si="1"/>
        <v>8660044</v>
      </c>
    </row>
    <row r="30" spans="1:5" ht="15.75">
      <c r="A30" s="1">
        <f t="shared" si="0"/>
        <v>27</v>
      </c>
      <c r="B30" s="13"/>
      <c r="C30" s="18"/>
      <c r="D30" s="18"/>
      <c r="E30" s="24">
        <f t="shared" si="1"/>
        <v>0</v>
      </c>
    </row>
    <row r="31" spans="1:5" ht="16.5" thickBot="1">
      <c r="A31" s="1">
        <f t="shared" si="0"/>
        <v>28</v>
      </c>
      <c r="B31" s="13" t="s">
        <v>17</v>
      </c>
      <c r="C31" s="20">
        <f t="shared" ref="C31:D31" si="2">C18+C20+C27+C29</f>
        <v>231948465</v>
      </c>
      <c r="D31" s="20">
        <f t="shared" si="2"/>
        <v>0</v>
      </c>
      <c r="E31" s="27">
        <f t="shared" si="1"/>
        <v>231948465</v>
      </c>
    </row>
    <row r="32" spans="1:5" ht="16.5" thickTop="1">
      <c r="A32" s="1">
        <f t="shared" si="0"/>
        <v>29</v>
      </c>
      <c r="B32" s="13"/>
      <c r="C32" s="18"/>
      <c r="D32" s="18"/>
      <c r="E32" s="24">
        <f t="shared" si="1"/>
        <v>0</v>
      </c>
    </row>
    <row r="33" spans="1:5" ht="15.75">
      <c r="A33" s="1">
        <f t="shared" si="0"/>
        <v>30</v>
      </c>
      <c r="B33" s="17" t="s">
        <v>18</v>
      </c>
      <c r="C33" s="18"/>
      <c r="D33" s="18"/>
      <c r="E33" s="24">
        <f t="shared" si="1"/>
        <v>0</v>
      </c>
    </row>
    <row r="34" spans="1:5" ht="15.75">
      <c r="A34" s="1">
        <f t="shared" si="0"/>
        <v>31</v>
      </c>
      <c r="B34" s="13"/>
      <c r="C34" s="18"/>
      <c r="D34" s="18"/>
      <c r="E34" s="24">
        <f t="shared" si="1"/>
        <v>0</v>
      </c>
    </row>
    <row r="35" spans="1:5" ht="15.75">
      <c r="A35" s="1">
        <f t="shared" si="0"/>
        <v>32</v>
      </c>
      <c r="B35" s="13" t="s">
        <v>19</v>
      </c>
      <c r="C35" s="18"/>
      <c r="D35" s="18"/>
      <c r="E35" s="24">
        <f t="shared" si="1"/>
        <v>0</v>
      </c>
    </row>
    <row r="36" spans="1:5" ht="15.75">
      <c r="A36" s="1">
        <f t="shared" si="0"/>
        <v>33</v>
      </c>
      <c r="B36" s="13" t="s">
        <v>20</v>
      </c>
      <c r="C36" s="18">
        <v>1297295</v>
      </c>
      <c r="D36" s="18"/>
      <c r="E36" s="24">
        <f t="shared" si="1"/>
        <v>1297295</v>
      </c>
    </row>
    <row r="37" spans="1:5" ht="15.75">
      <c r="A37" s="1">
        <f t="shared" ref="A37:A55" si="3">(+A36+1)</f>
        <v>34</v>
      </c>
      <c r="B37" s="13" t="s">
        <v>21</v>
      </c>
      <c r="C37" s="19">
        <f>(C38-C36)</f>
        <v>72241465</v>
      </c>
      <c r="D37" s="19">
        <f>(D23)</f>
        <v>5941791.4282</v>
      </c>
      <c r="E37" s="27">
        <f t="shared" si="1"/>
        <v>78183256.428200006</v>
      </c>
    </row>
    <row r="38" spans="1:5" ht="15.75">
      <c r="A38" s="1">
        <f t="shared" si="3"/>
        <v>35</v>
      </c>
      <c r="B38" s="13"/>
      <c r="C38" s="19">
        <v>73538760</v>
      </c>
      <c r="D38" s="19">
        <f>SUM(D36:D37)</f>
        <v>5941791.4282</v>
      </c>
      <c r="E38" s="29">
        <f t="shared" si="1"/>
        <v>79480551.428200006</v>
      </c>
    </row>
    <row r="39" spans="1:5" ht="15.75">
      <c r="A39" s="1">
        <f t="shared" si="3"/>
        <v>36</v>
      </c>
      <c r="B39" s="13"/>
      <c r="C39" s="18"/>
      <c r="D39" s="18"/>
      <c r="E39" s="24">
        <f t="shared" si="1"/>
        <v>0</v>
      </c>
    </row>
    <row r="40" spans="1:5" ht="15.75">
      <c r="A40" s="1">
        <f t="shared" si="3"/>
        <v>37</v>
      </c>
      <c r="B40" s="13" t="s">
        <v>22</v>
      </c>
      <c r="C40" s="19">
        <f>130601586+5325271+214272</f>
        <v>136141129</v>
      </c>
      <c r="D40" s="19"/>
      <c r="E40" s="27">
        <f t="shared" si="1"/>
        <v>136141129</v>
      </c>
    </row>
    <row r="41" spans="1:5" ht="15.75">
      <c r="A41" s="1">
        <f t="shared" si="3"/>
        <v>38</v>
      </c>
      <c r="B41" s="13"/>
      <c r="C41" s="18"/>
      <c r="D41" s="18"/>
      <c r="E41" s="24">
        <f t="shared" si="1"/>
        <v>0</v>
      </c>
    </row>
    <row r="42" spans="1:5" ht="15.75">
      <c r="A42" s="1">
        <f t="shared" si="3"/>
        <v>39</v>
      </c>
      <c r="B42" s="13" t="s">
        <v>23</v>
      </c>
      <c r="C42" s="19">
        <v>8188760</v>
      </c>
      <c r="D42" s="19"/>
      <c r="E42" s="27">
        <f t="shared" si="1"/>
        <v>8188760</v>
      </c>
    </row>
    <row r="43" spans="1:5" ht="15.75">
      <c r="A43" s="1">
        <f t="shared" si="3"/>
        <v>40</v>
      </c>
      <c r="B43" s="13"/>
      <c r="C43" s="18"/>
      <c r="D43" s="18"/>
      <c r="E43" s="24">
        <f t="shared" si="1"/>
        <v>0</v>
      </c>
    </row>
    <row r="44" spans="1:5" ht="15.75">
      <c r="A44" s="1">
        <f t="shared" si="3"/>
        <v>41</v>
      </c>
      <c r="B44" s="13" t="s">
        <v>24</v>
      </c>
      <c r="C44" s="18"/>
      <c r="D44" s="18"/>
      <c r="E44" s="24">
        <f t="shared" si="1"/>
        <v>0</v>
      </c>
    </row>
    <row r="45" spans="1:5" ht="15.75">
      <c r="A45" s="1">
        <f t="shared" si="3"/>
        <v>42</v>
      </c>
      <c r="B45" s="13" t="s">
        <v>25</v>
      </c>
      <c r="C45" s="18">
        <f>(1000000)</f>
        <v>1000000</v>
      </c>
      <c r="D45" s="18"/>
      <c r="E45" s="24">
        <f t="shared" si="1"/>
        <v>1000000</v>
      </c>
    </row>
    <row r="46" spans="1:5" ht="15.75">
      <c r="A46" s="1">
        <f t="shared" si="3"/>
        <v>43</v>
      </c>
      <c r="B46" s="13" t="s">
        <v>26</v>
      </c>
      <c r="C46" s="18">
        <v>9260932</v>
      </c>
      <c r="D46" s="18"/>
      <c r="E46" s="24">
        <f t="shared" si="1"/>
        <v>9260932</v>
      </c>
    </row>
    <row r="47" spans="1:5" ht="15.75">
      <c r="A47" s="1">
        <f t="shared" si="3"/>
        <v>44</v>
      </c>
      <c r="B47" s="13" t="s">
        <v>27</v>
      </c>
      <c r="C47" s="18">
        <v>1094290</v>
      </c>
      <c r="D47" s="18"/>
      <c r="E47" s="24">
        <f t="shared" si="1"/>
        <v>1094290</v>
      </c>
    </row>
    <row r="48" spans="1:5" ht="15.75">
      <c r="A48" s="1">
        <f t="shared" si="3"/>
        <v>45</v>
      </c>
      <c r="B48" s="13" t="s">
        <v>28</v>
      </c>
      <c r="C48" s="19">
        <v>2395830</v>
      </c>
      <c r="D48" s="19"/>
      <c r="E48" s="27">
        <f t="shared" si="1"/>
        <v>2395830</v>
      </c>
    </row>
    <row r="49" spans="1:5" ht="15.75">
      <c r="A49" s="1">
        <f t="shared" si="3"/>
        <v>46</v>
      </c>
      <c r="B49" s="13"/>
      <c r="C49" s="19">
        <f>SUM(C44:C48)</f>
        <v>13751052</v>
      </c>
      <c r="D49" s="19"/>
      <c r="E49" s="29">
        <f t="shared" si="1"/>
        <v>13751052</v>
      </c>
    </row>
    <row r="50" spans="1:5" ht="15.75">
      <c r="A50" s="1">
        <f t="shared" si="3"/>
        <v>47</v>
      </c>
      <c r="B50" s="13"/>
      <c r="C50" s="18"/>
      <c r="D50" s="18"/>
      <c r="E50" s="24">
        <f t="shared" si="1"/>
        <v>0</v>
      </c>
    </row>
    <row r="51" spans="1:5" ht="15.75">
      <c r="A51" s="1">
        <f t="shared" si="3"/>
        <v>48</v>
      </c>
      <c r="B51" s="13" t="s">
        <v>29</v>
      </c>
      <c r="C51" s="19">
        <v>328764</v>
      </c>
      <c r="D51" s="19"/>
      <c r="E51" s="27">
        <f t="shared" si="1"/>
        <v>328764</v>
      </c>
    </row>
    <row r="52" spans="1:5" ht="15.75">
      <c r="A52" s="1">
        <f t="shared" si="3"/>
        <v>49</v>
      </c>
      <c r="B52" s="13"/>
      <c r="C52" s="18"/>
      <c r="D52" s="18"/>
      <c r="E52" s="24">
        <f t="shared" si="1"/>
        <v>0</v>
      </c>
    </row>
    <row r="53" spans="1:5" ht="16.5" thickBot="1">
      <c r="A53" s="1">
        <f t="shared" si="3"/>
        <v>50</v>
      </c>
      <c r="B53" s="13" t="s">
        <v>17</v>
      </c>
      <c r="C53" s="20">
        <f t="shared" ref="C53:D53" si="4">C38+C40+C42+C49+C51</f>
        <v>231948465</v>
      </c>
      <c r="D53" s="20">
        <f t="shared" si="4"/>
        <v>5941791.4282</v>
      </c>
      <c r="E53" s="58">
        <f t="shared" si="1"/>
        <v>237890256.42820001</v>
      </c>
    </row>
    <row r="54" spans="1:5" ht="16.5" thickTop="1">
      <c r="A54" s="1">
        <f t="shared" si="3"/>
        <v>51</v>
      </c>
      <c r="B54" s="13"/>
      <c r="C54" s="10"/>
      <c r="D54" s="10"/>
    </row>
    <row r="55" spans="1:5" ht="15.75">
      <c r="A55" s="1">
        <f t="shared" si="3"/>
        <v>52</v>
      </c>
      <c r="B55" s="13"/>
      <c r="C55" s="10"/>
      <c r="D55" s="10"/>
    </row>
  </sheetData>
  <mergeCells count="4">
    <mergeCell ref="B4:D4"/>
    <mergeCell ref="B5:D5"/>
    <mergeCell ref="B6:D6"/>
    <mergeCell ref="B7:D7"/>
  </mergeCells>
  <phoneticPr fontId="2" type="noConversion"/>
  <printOptions horizontalCentered="1"/>
  <pageMargins left="0.75" right="0.75" top="0.5" bottom="0.5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1"/>
  <sheetViews>
    <sheetView tabSelected="1" defaultGridColor="0" view="pageBreakPreview" colorId="22" zoomScale="60" zoomScaleNormal="87" workbookViewId="0">
      <selection activeCell="F28" sqref="F28"/>
    </sheetView>
  </sheetViews>
  <sheetFormatPr defaultColWidth="9.77734375" defaultRowHeight="15"/>
  <cols>
    <col min="1" max="1" width="4.77734375" customWidth="1"/>
    <col min="3" max="3" width="11.33203125" customWidth="1"/>
    <col min="4" max="9" width="13.21875" customWidth="1"/>
  </cols>
  <sheetData>
    <row r="1" spans="1:9">
      <c r="A1" s="3">
        <f>(A8200+1)</f>
        <v>1</v>
      </c>
      <c r="C1" s="6"/>
      <c r="D1" s="6"/>
      <c r="E1" s="6"/>
      <c r="F1" s="6"/>
      <c r="G1" s="5"/>
      <c r="H1" s="7" t="s">
        <v>58</v>
      </c>
      <c r="I1" s="6"/>
    </row>
    <row r="2" spans="1:9">
      <c r="A2" s="3">
        <f t="shared" ref="A2:A31" si="0">(A1+1)</f>
        <v>2</v>
      </c>
      <c r="C2" s="6"/>
      <c r="D2" s="6"/>
      <c r="E2" s="6"/>
      <c r="F2" s="6"/>
      <c r="G2" s="6"/>
      <c r="H2" s="7" t="s">
        <v>58</v>
      </c>
      <c r="I2" s="6"/>
    </row>
    <row r="3" spans="1:9">
      <c r="A3" s="3">
        <f t="shared" si="0"/>
        <v>3</v>
      </c>
      <c r="C3" s="6"/>
      <c r="D3" s="6"/>
      <c r="E3" s="6"/>
      <c r="F3" s="6"/>
      <c r="G3" s="6"/>
      <c r="H3" s="7" t="s">
        <v>58</v>
      </c>
      <c r="I3" s="6"/>
    </row>
    <row r="4" spans="1:9">
      <c r="A4" s="3">
        <f t="shared" si="0"/>
        <v>4</v>
      </c>
      <c r="B4" s="6"/>
      <c r="C4" s="6"/>
      <c r="D4" s="6"/>
      <c r="E4" s="6"/>
      <c r="F4" s="6"/>
      <c r="G4" s="6"/>
      <c r="H4" s="6"/>
      <c r="I4" s="6"/>
    </row>
    <row r="5" spans="1:9" ht="18">
      <c r="A5" s="3">
        <f t="shared" si="0"/>
        <v>5</v>
      </c>
      <c r="B5" s="64" t="s">
        <v>58</v>
      </c>
      <c r="C5" s="63" t="s">
        <v>58</v>
      </c>
      <c r="D5" s="4"/>
      <c r="E5" s="63" t="s">
        <v>58</v>
      </c>
      <c r="F5" s="4"/>
      <c r="G5" s="4"/>
      <c r="H5" s="4"/>
      <c r="I5" s="6"/>
    </row>
    <row r="6" spans="1:9" ht="18">
      <c r="A6" s="3">
        <f t="shared" si="0"/>
        <v>6</v>
      </c>
      <c r="B6" s="64" t="s">
        <v>58</v>
      </c>
      <c r="C6" s="8" t="s">
        <v>58</v>
      </c>
      <c r="D6" s="8"/>
      <c r="E6" s="63" t="s">
        <v>58</v>
      </c>
      <c r="F6" s="8"/>
      <c r="G6" s="8"/>
      <c r="H6" s="8"/>
    </row>
    <row r="7" spans="1:9" ht="15.75">
      <c r="A7" s="3">
        <f t="shared" si="0"/>
        <v>7</v>
      </c>
      <c r="B7" s="9" t="s">
        <v>58</v>
      </c>
      <c r="C7" s="8" t="s">
        <v>58</v>
      </c>
      <c r="D7" s="8"/>
      <c r="E7" s="63" t="s">
        <v>58</v>
      </c>
      <c r="F7" s="8"/>
      <c r="G7" s="8"/>
      <c r="H7" s="8"/>
    </row>
    <row r="8" spans="1:9" ht="15.75">
      <c r="A8" s="3">
        <f t="shared" si="0"/>
        <v>8</v>
      </c>
      <c r="B8" s="72" t="s">
        <v>93</v>
      </c>
      <c r="C8" s="72"/>
      <c r="D8" s="72"/>
      <c r="E8" s="72"/>
      <c r="F8" s="72"/>
      <c r="G8" s="72"/>
      <c r="H8" s="72"/>
    </row>
    <row r="9" spans="1:9">
      <c r="A9" s="3">
        <f t="shared" si="0"/>
        <v>9</v>
      </c>
    </row>
    <row r="10" spans="1:9">
      <c r="A10" s="3">
        <f t="shared" si="0"/>
        <v>10</v>
      </c>
      <c r="D10" s="36" t="s">
        <v>1</v>
      </c>
      <c r="E10" s="36" t="s">
        <v>3</v>
      </c>
      <c r="F10" s="36"/>
      <c r="G10" s="36"/>
      <c r="H10" s="36"/>
    </row>
    <row r="11" spans="1:9">
      <c r="A11" s="3">
        <f>(A10+1)</f>
        <v>11</v>
      </c>
      <c r="D11" s="37" t="s">
        <v>4</v>
      </c>
      <c r="E11" s="37" t="s">
        <v>4</v>
      </c>
      <c r="F11" s="37" t="s">
        <v>75</v>
      </c>
      <c r="G11" s="37" t="s">
        <v>76</v>
      </c>
      <c r="H11" s="37" t="s">
        <v>77</v>
      </c>
    </row>
    <row r="12" spans="1:9">
      <c r="A12" s="3"/>
      <c r="D12" s="37"/>
      <c r="E12" s="37"/>
      <c r="F12" s="37"/>
      <c r="G12" s="37"/>
      <c r="H12" s="37"/>
    </row>
    <row r="13" spans="1:9" ht="19.899999999999999" customHeight="1">
      <c r="A13" s="3">
        <f>(A11+1)</f>
        <v>12</v>
      </c>
      <c r="B13" t="s">
        <v>59</v>
      </c>
      <c r="D13" s="25">
        <f>('adjusted is'!C46)</f>
        <v>3866334</v>
      </c>
      <c r="E13" s="25">
        <f>(D17)</f>
        <v>3866334</v>
      </c>
      <c r="F13" s="25">
        <f>(E17)</f>
        <v>-1517724.9770000037</v>
      </c>
      <c r="G13" s="2">
        <f>(F17)</f>
        <v>-147724.7770000156</v>
      </c>
      <c r="H13" s="25">
        <f>(G17)</f>
        <v>1222275.4229999725</v>
      </c>
    </row>
    <row r="14" spans="1:9" ht="19.899999999999999" customHeight="1">
      <c r="A14" s="3">
        <f t="shared" si="0"/>
        <v>13</v>
      </c>
    </row>
    <row r="15" spans="1:9" ht="19.899999999999999" customHeight="1" thickBot="1">
      <c r="A15" s="3">
        <f t="shared" si="0"/>
        <v>14</v>
      </c>
      <c r="B15" t="s">
        <v>30</v>
      </c>
      <c r="D15" s="38">
        <v>0</v>
      </c>
      <c r="E15" s="39">
        <f>('adjusted is'!D46)</f>
        <v>-5384058.9770000037</v>
      </c>
      <c r="F15" s="39">
        <f>('adjusted is'!H46)</f>
        <v>1370000.1999999881</v>
      </c>
      <c r="G15" s="40">
        <f>(F15)</f>
        <v>1370000.1999999881</v>
      </c>
      <c r="H15" s="41">
        <f>(G15)</f>
        <v>1370000.1999999881</v>
      </c>
    </row>
    <row r="16" spans="1:9" ht="19.899999999999999" customHeight="1">
      <c r="A16" s="3">
        <f t="shared" si="0"/>
        <v>15</v>
      </c>
    </row>
    <row r="17" spans="1:8" ht="19.899999999999999" customHeight="1" thickBot="1">
      <c r="A17" s="3">
        <f t="shared" si="0"/>
        <v>16</v>
      </c>
      <c r="B17" t="s">
        <v>74</v>
      </c>
      <c r="D17" s="42">
        <f>(D13+D15)</f>
        <v>3866334</v>
      </c>
      <c r="E17" s="42">
        <f>(E13+E15)</f>
        <v>-1517724.9770000037</v>
      </c>
      <c r="F17" s="42">
        <f>(F13+F15)</f>
        <v>-147724.7770000156</v>
      </c>
      <c r="G17" s="42">
        <f>(G13+G15)</f>
        <v>1222275.4229999725</v>
      </c>
      <c r="H17" s="42">
        <f>(H13+H15)</f>
        <v>2592275.6229999606</v>
      </c>
    </row>
    <row r="18" spans="1:8" ht="19.899999999999999" customHeight="1" thickTop="1">
      <c r="A18" s="3"/>
      <c r="D18" s="62"/>
      <c r="E18" s="62"/>
      <c r="F18" s="62"/>
      <c r="G18" s="62"/>
      <c r="H18" s="62"/>
    </row>
    <row r="19" spans="1:8" ht="19.899999999999999" customHeight="1">
      <c r="A19" s="3"/>
      <c r="D19" s="62"/>
      <c r="E19" s="62"/>
      <c r="F19" s="62"/>
      <c r="G19" s="62"/>
      <c r="H19" s="62"/>
    </row>
    <row r="20" spans="1:8" ht="19.899999999999999" customHeight="1">
      <c r="A20" s="3"/>
      <c r="D20" s="62"/>
      <c r="E20" s="62"/>
      <c r="F20" s="62"/>
      <c r="G20" s="62"/>
      <c r="H20" s="62"/>
    </row>
    <row r="21" spans="1:8" ht="19.899999999999999" customHeight="1">
      <c r="A21" s="3">
        <f>(A17+1)</f>
        <v>17</v>
      </c>
      <c r="D21" s="62"/>
      <c r="E21" s="62"/>
      <c r="F21" s="62"/>
      <c r="G21" s="62"/>
      <c r="H21" s="62"/>
    </row>
    <row r="22" spans="1:8" ht="19.899999999999999" customHeight="1">
      <c r="A22" s="3">
        <f t="shared" si="0"/>
        <v>18</v>
      </c>
      <c r="B22" s="71" t="str">
        <f>(B5)</f>
        <v xml:space="preserve"> </v>
      </c>
      <c r="C22" s="71"/>
      <c r="D22" s="71"/>
      <c r="E22" s="71"/>
      <c r="F22" s="62"/>
      <c r="G22" s="62"/>
      <c r="H22" s="62"/>
    </row>
    <row r="23" spans="1:8" ht="19.899999999999999" customHeight="1">
      <c r="A23" s="3">
        <f t="shared" si="0"/>
        <v>19</v>
      </c>
      <c r="B23" s="71" t="str">
        <f>(B6)</f>
        <v xml:space="preserve"> </v>
      </c>
      <c r="C23" s="71"/>
      <c r="D23" s="71"/>
      <c r="E23" s="71"/>
      <c r="F23" s="62"/>
      <c r="G23" s="62"/>
      <c r="H23" s="62"/>
    </row>
    <row r="24" spans="1:8" ht="19.899999999999999" customHeight="1">
      <c r="A24" s="3">
        <f t="shared" si="0"/>
        <v>20</v>
      </c>
      <c r="B24" s="72" t="s">
        <v>92</v>
      </c>
      <c r="C24" s="72"/>
      <c r="D24" s="72"/>
      <c r="E24" s="72"/>
      <c r="F24" s="62"/>
      <c r="G24" s="62"/>
      <c r="H24" s="62"/>
    </row>
    <row r="25" spans="1:8" ht="19.899999999999999" customHeight="1">
      <c r="A25" s="3">
        <f>(A17+1)</f>
        <v>17</v>
      </c>
      <c r="B25" s="71" t="str">
        <f>(B8)</f>
        <v>Proposed Margins with Normal Adjustments to Test Year</v>
      </c>
      <c r="C25" s="71"/>
      <c r="D25" s="71"/>
      <c r="E25" s="71"/>
      <c r="G25" s="31" t="s">
        <v>58</v>
      </c>
    </row>
    <row r="26" spans="1:8" ht="19.899999999999999" customHeight="1">
      <c r="A26" s="3">
        <f t="shared" si="0"/>
        <v>18</v>
      </c>
      <c r="G26" s="32" t="s">
        <v>58</v>
      </c>
    </row>
    <row r="27" spans="1:8">
      <c r="A27" s="3">
        <f t="shared" si="0"/>
        <v>19</v>
      </c>
      <c r="B27" t="s">
        <v>58</v>
      </c>
      <c r="D27" s="36" t="s">
        <v>1</v>
      </c>
      <c r="E27" s="36" t="s">
        <v>3</v>
      </c>
      <c r="F27" s="36"/>
      <c r="G27" s="36"/>
      <c r="H27" s="36"/>
    </row>
    <row r="28" spans="1:8">
      <c r="A28" s="3">
        <f t="shared" si="0"/>
        <v>20</v>
      </c>
      <c r="D28" s="37" t="s">
        <v>4</v>
      </c>
      <c r="E28" s="37" t="s">
        <v>4</v>
      </c>
      <c r="F28" s="37"/>
      <c r="G28" s="37"/>
      <c r="H28" s="37"/>
    </row>
    <row r="29" spans="1:8">
      <c r="A29" s="3">
        <f t="shared" si="0"/>
        <v>21</v>
      </c>
      <c r="B29" t="s">
        <v>58</v>
      </c>
      <c r="G29" s="33"/>
    </row>
    <row r="30" spans="1:8">
      <c r="A30" s="3">
        <f t="shared" si="0"/>
        <v>22</v>
      </c>
      <c r="B30" t="s">
        <v>59</v>
      </c>
      <c r="D30" s="25">
        <f>(D13)</f>
        <v>3866334</v>
      </c>
      <c r="E30" s="25">
        <f>('adjusted is'!E46)</f>
        <v>-1517724.9769999981</v>
      </c>
      <c r="G30" s="32" t="s">
        <v>58</v>
      </c>
    </row>
    <row r="31" spans="1:8">
      <c r="A31" s="3">
        <f t="shared" si="0"/>
        <v>23</v>
      </c>
      <c r="G31" s="34" t="s">
        <v>58</v>
      </c>
    </row>
    <row r="32" spans="1:8">
      <c r="B32" t="s">
        <v>88</v>
      </c>
      <c r="D32" s="28">
        <v>0</v>
      </c>
      <c r="E32" s="30">
        <f>('[1]1TestYr_adj'!$R$80)</f>
        <v>5941791.4282</v>
      </c>
      <c r="G32" s="32" t="s">
        <v>58</v>
      </c>
    </row>
    <row r="33" spans="2:7">
      <c r="G33" s="35" t="s">
        <v>58</v>
      </c>
    </row>
    <row r="34" spans="2:7" ht="15.75" thickBot="1">
      <c r="B34" t="s">
        <v>89</v>
      </c>
      <c r="D34" s="42">
        <f>SUM(D30,D32)</f>
        <v>3866334</v>
      </c>
      <c r="E34" s="42">
        <f>-(E30)+(E32)</f>
        <v>7459516.4051999981</v>
      </c>
      <c r="G34" s="32" t="s">
        <v>58</v>
      </c>
    </row>
    <row r="35" spans="2:7" ht="15.75" thickTop="1">
      <c r="B35" t="s">
        <v>58</v>
      </c>
      <c r="G35" s="23" t="s">
        <v>58</v>
      </c>
    </row>
    <row r="36" spans="2:7" ht="15.75" thickBot="1">
      <c r="B36" t="s">
        <v>58</v>
      </c>
      <c r="E36" s="65" t="s">
        <v>58</v>
      </c>
      <c r="G36" t="s">
        <v>58</v>
      </c>
    </row>
    <row r="37" spans="2:7" ht="15.75" thickTop="1">
      <c r="B37" t="s">
        <v>58</v>
      </c>
      <c r="E37" t="s">
        <v>58</v>
      </c>
      <c r="G37" s="21" t="s">
        <v>58</v>
      </c>
    </row>
    <row r="38" spans="2:7">
      <c r="B38" t="s">
        <v>58</v>
      </c>
      <c r="G38" t="s">
        <v>58</v>
      </c>
    </row>
    <row r="39" spans="2:7">
      <c r="B39" t="s">
        <v>58</v>
      </c>
      <c r="G39" s="22" t="s">
        <v>58</v>
      </c>
    </row>
    <row r="40" spans="2:7">
      <c r="B40" t="s">
        <v>58</v>
      </c>
    </row>
    <row r="41" spans="2:7">
      <c r="B41" t="s">
        <v>58</v>
      </c>
    </row>
  </sheetData>
  <mergeCells count="5">
    <mergeCell ref="B22:E22"/>
    <mergeCell ref="B23:E23"/>
    <mergeCell ref="B24:E24"/>
    <mergeCell ref="B25:E25"/>
    <mergeCell ref="B8:H8"/>
  </mergeCells>
  <phoneticPr fontId="2" type="noConversion"/>
  <pageMargins left="0.7" right="0.25" top="0.5" bottom="0.5" header="0.5" footer="0.5"/>
  <pageSetup scale="87" orientation="portrait" r:id="rId1"/>
  <headerFooter alignWithMargins="0">
    <oddHeader xml:space="preserve">&amp;C&amp;"P-TIMES,Bold"JACKSON ENERGY COOPERATIVE
CASE NO. 2013-00219
RSPONSE TO COMIISIONS STAFF'S THRID DATA REQUEST&amp;RExhibit 3g
Page 3 of 4
Witness Jim Agkins.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topLeftCell="E1" zoomScaleNormal="100" workbookViewId="0">
      <selection activeCell="O1" sqref="O1"/>
    </sheetView>
  </sheetViews>
  <sheetFormatPr defaultRowHeight="15"/>
  <cols>
    <col min="1" max="1" width="2.77734375" style="56" customWidth="1"/>
    <col min="2" max="2" width="23.33203125" customWidth="1"/>
    <col min="3" max="13" width="12.77734375" customWidth="1"/>
    <col min="14" max="16" width="11.77734375" customWidth="1"/>
  </cols>
  <sheetData>
    <row r="1" spans="1:20" ht="18.75">
      <c r="A1" s="55">
        <v>1</v>
      </c>
      <c r="B1" s="68" t="s">
        <v>58</v>
      </c>
      <c r="C1" s="68"/>
      <c r="D1" s="68"/>
      <c r="E1" s="68"/>
      <c r="F1" s="68"/>
      <c r="G1" s="68"/>
      <c r="H1" s="68"/>
      <c r="I1" s="68"/>
      <c r="J1" s="68"/>
      <c r="K1" s="68"/>
      <c r="L1" s="68"/>
      <c r="N1" s="11"/>
      <c r="O1" s="14" t="s">
        <v>90</v>
      </c>
      <c r="P1" s="11"/>
      <c r="Q1" s="11"/>
      <c r="R1" s="11"/>
      <c r="S1" s="11"/>
      <c r="T1" s="54"/>
    </row>
    <row r="2" spans="1:20" ht="18.75">
      <c r="A2" s="55">
        <f t="shared" ref="A2:A42" si="0">(A1+1)</f>
        <v>2</v>
      </c>
      <c r="B2" s="68" t="s">
        <v>58</v>
      </c>
      <c r="C2" s="68"/>
      <c r="D2" s="68"/>
      <c r="E2" s="68"/>
      <c r="F2" s="68"/>
      <c r="G2" s="68"/>
      <c r="H2" s="68"/>
      <c r="I2" s="68"/>
      <c r="J2" s="68"/>
      <c r="K2" s="68"/>
      <c r="L2" s="68"/>
      <c r="N2" s="11"/>
      <c r="O2" s="14" t="s">
        <v>94</v>
      </c>
      <c r="P2" s="11"/>
      <c r="Q2" s="11"/>
      <c r="R2" s="11"/>
      <c r="S2" s="11"/>
      <c r="T2" s="54"/>
    </row>
    <row r="3" spans="1:20" ht="18.75">
      <c r="A3" s="55">
        <f t="shared" si="0"/>
        <v>3</v>
      </c>
      <c r="B3" s="68" t="s">
        <v>58</v>
      </c>
      <c r="C3" s="68"/>
      <c r="D3" s="68"/>
      <c r="E3" s="68"/>
      <c r="F3" s="68"/>
      <c r="G3" s="68"/>
      <c r="H3" s="68"/>
      <c r="I3" s="68"/>
      <c r="J3" s="68"/>
      <c r="K3" s="68"/>
      <c r="L3" s="68"/>
      <c r="N3" s="11"/>
      <c r="O3" s="14" t="s">
        <v>70</v>
      </c>
      <c r="P3" s="11"/>
      <c r="Q3" s="11"/>
      <c r="R3" s="11"/>
      <c r="S3" s="11"/>
      <c r="T3" s="54"/>
    </row>
    <row r="4" spans="1:20" ht="15.75">
      <c r="A4" s="55">
        <f t="shared" si="0"/>
        <v>4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54"/>
    </row>
    <row r="5" spans="1:20" ht="31.5">
      <c r="A5" s="55">
        <f t="shared" si="0"/>
        <v>5</v>
      </c>
      <c r="B5" s="11"/>
      <c r="C5" s="57" t="s">
        <v>78</v>
      </c>
      <c r="D5" s="57" t="s">
        <v>79</v>
      </c>
      <c r="E5" s="57" t="s">
        <v>50</v>
      </c>
      <c r="F5" s="57" t="s">
        <v>80</v>
      </c>
      <c r="G5" s="57" t="s">
        <v>81</v>
      </c>
      <c r="H5" s="57" t="s">
        <v>83</v>
      </c>
      <c r="I5" s="57" t="s">
        <v>84</v>
      </c>
      <c r="J5" s="57" t="s">
        <v>85</v>
      </c>
      <c r="K5" s="57" t="s">
        <v>86</v>
      </c>
      <c r="L5" s="57" t="s">
        <v>87</v>
      </c>
      <c r="M5" s="57" t="s">
        <v>82</v>
      </c>
      <c r="N5" s="57"/>
      <c r="O5" s="57"/>
      <c r="P5" s="57"/>
      <c r="Q5" s="57"/>
      <c r="R5" s="11"/>
      <c r="S5" s="11"/>
      <c r="T5" s="54"/>
    </row>
    <row r="6" spans="1:20" ht="15.75">
      <c r="A6" s="55">
        <f t="shared" si="0"/>
        <v>6</v>
      </c>
      <c r="B6" s="11" t="s">
        <v>31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1"/>
      <c r="P6" s="11"/>
      <c r="Q6" s="11"/>
      <c r="R6" s="11"/>
      <c r="S6" s="11"/>
      <c r="T6" s="54"/>
    </row>
    <row r="7" spans="1:20" ht="15.75">
      <c r="A7" s="55">
        <f t="shared" si="0"/>
        <v>7</v>
      </c>
      <c r="B7" s="13" t="s">
        <v>32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>
        <f>SUM(C7:H7)</f>
        <v>0</v>
      </c>
      <c r="N7" s="24"/>
      <c r="O7" s="11"/>
      <c r="P7" s="11"/>
      <c r="Q7" s="11"/>
      <c r="R7" s="11"/>
      <c r="S7" s="11"/>
      <c r="T7" s="54"/>
    </row>
    <row r="8" spans="1:20" ht="15.75">
      <c r="A8" s="55">
        <f t="shared" si="0"/>
        <v>8</v>
      </c>
      <c r="B8" s="13" t="s">
        <v>52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>
        <f t="shared" ref="M8:M9" si="1">SUM(C8:H8)</f>
        <v>0</v>
      </c>
      <c r="N8" s="24"/>
      <c r="O8" s="11"/>
      <c r="P8" s="11"/>
      <c r="Q8" s="11"/>
      <c r="R8" s="11"/>
      <c r="S8" s="11"/>
      <c r="T8" s="54"/>
    </row>
    <row r="9" spans="1:20" ht="15.75">
      <c r="A9" s="55">
        <f t="shared" si="0"/>
        <v>9</v>
      </c>
      <c r="B9" s="13" t="s">
        <v>53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>
        <f t="shared" si="1"/>
        <v>0</v>
      </c>
      <c r="N9" s="24"/>
      <c r="O9" s="11"/>
      <c r="P9" s="11"/>
      <c r="Q9" s="11"/>
      <c r="R9" s="11"/>
      <c r="S9" s="11"/>
      <c r="T9" s="54"/>
    </row>
    <row r="10" spans="1:20" ht="15.75">
      <c r="A10" s="55">
        <f t="shared" si="0"/>
        <v>10</v>
      </c>
      <c r="B10" s="13" t="s">
        <v>33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v>84406</v>
      </c>
      <c r="M10" s="27">
        <f>SUM(C10:L10)</f>
        <v>84406</v>
      </c>
      <c r="N10" s="24"/>
      <c r="O10" s="11"/>
      <c r="P10" s="11"/>
      <c r="Q10" s="11"/>
      <c r="R10" s="11"/>
      <c r="S10" s="11"/>
      <c r="T10" s="54"/>
    </row>
    <row r="11" spans="1:20" ht="15.75">
      <c r="A11" s="55">
        <f t="shared" si="0"/>
        <v>11</v>
      </c>
      <c r="B11" s="13"/>
      <c r="C11" s="24"/>
      <c r="D11" s="24"/>
      <c r="E11" s="24"/>
      <c r="F11" s="24"/>
      <c r="G11" s="24"/>
      <c r="H11" s="24"/>
      <c r="I11" s="24"/>
      <c r="J11" s="24"/>
      <c r="K11" s="24"/>
      <c r="L11" s="24">
        <f>SUM(L6:L10)</f>
        <v>84406</v>
      </c>
      <c r="M11" s="61">
        <f>SUM(M6:M10)</f>
        <v>84406</v>
      </c>
      <c r="N11" s="24"/>
      <c r="O11" s="11"/>
      <c r="P11" s="11"/>
      <c r="Q11" s="11"/>
      <c r="R11" s="11"/>
      <c r="S11" s="11"/>
      <c r="T11" s="54"/>
    </row>
    <row r="12" spans="1:20" ht="15.75">
      <c r="A12" s="55">
        <f t="shared" si="0"/>
        <v>12</v>
      </c>
      <c r="B12" s="13"/>
      <c r="C12" s="27">
        <f t="shared" ref="C12:H12" si="2">SUM(C6:C10)</f>
        <v>0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  <c r="I12" s="27"/>
      <c r="J12" s="27"/>
      <c r="K12" s="27"/>
      <c r="L12" s="27"/>
      <c r="M12" s="28"/>
      <c r="N12" s="24"/>
      <c r="O12" s="11"/>
      <c r="P12" s="11"/>
      <c r="Q12" s="11"/>
      <c r="R12" s="11"/>
      <c r="S12" s="11"/>
      <c r="T12" s="54"/>
    </row>
    <row r="13" spans="1:20" ht="15.75">
      <c r="A13" s="55">
        <f t="shared" si="0"/>
        <v>13</v>
      </c>
      <c r="B13" s="1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1"/>
      <c r="P13" s="11"/>
      <c r="Q13" s="11"/>
      <c r="R13" s="11"/>
      <c r="S13" s="11"/>
      <c r="T13" s="54"/>
    </row>
    <row r="14" spans="1:20" ht="15.75">
      <c r="A14" s="55">
        <f t="shared" si="0"/>
        <v>14</v>
      </c>
      <c r="B14" s="13" t="s">
        <v>34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1"/>
      <c r="P14" s="11"/>
      <c r="Q14" s="11"/>
      <c r="R14" s="11"/>
      <c r="S14" s="11"/>
      <c r="T14" s="54"/>
    </row>
    <row r="15" spans="1:20" ht="15.75">
      <c r="A15" s="55">
        <f t="shared" si="0"/>
        <v>15</v>
      </c>
      <c r="B15" s="13" t="s">
        <v>35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f t="shared" ref="M15" si="3">SUM(C15:H15)</f>
        <v>0</v>
      </c>
      <c r="N15" s="24"/>
      <c r="O15" s="11"/>
      <c r="P15" s="11"/>
      <c r="Q15" s="11"/>
      <c r="R15" s="11"/>
      <c r="S15" s="11"/>
      <c r="T15" s="54"/>
    </row>
    <row r="16" spans="1:20" ht="15.75">
      <c r="A16" s="55">
        <f t="shared" si="0"/>
        <v>16</v>
      </c>
      <c r="B16" s="13" t="s">
        <v>36</v>
      </c>
      <c r="C16" s="24">
        <v>38240</v>
      </c>
      <c r="D16" s="24">
        <v>4232</v>
      </c>
      <c r="E16" s="24">
        <v>7494</v>
      </c>
      <c r="F16" s="24"/>
      <c r="G16" s="24">
        <v>24581</v>
      </c>
      <c r="I16" s="24">
        <f>(11093+4467+521+493+656)</f>
        <v>17230</v>
      </c>
      <c r="J16" s="24"/>
      <c r="K16" s="24"/>
      <c r="L16" s="24"/>
      <c r="M16" s="24">
        <f>SUM(C16:K16)</f>
        <v>91777</v>
      </c>
      <c r="N16" s="24"/>
      <c r="O16" s="11"/>
      <c r="P16" s="11"/>
      <c r="Q16" s="11"/>
      <c r="R16" s="11"/>
      <c r="S16" s="11"/>
      <c r="T16" s="54"/>
    </row>
    <row r="17" spans="1:20" ht="15.75">
      <c r="A17" s="55">
        <f t="shared" si="0"/>
        <v>17</v>
      </c>
      <c r="B17" s="13" t="s">
        <v>37</v>
      </c>
      <c r="C17" s="24">
        <v>33753</v>
      </c>
      <c r="D17" s="24">
        <v>3736</v>
      </c>
      <c r="E17" s="24">
        <v>13489</v>
      </c>
      <c r="F17" s="24"/>
      <c r="G17" s="24">
        <v>21697</v>
      </c>
      <c r="I17" s="24"/>
      <c r="J17" s="24"/>
      <c r="K17" s="24"/>
      <c r="L17" s="24"/>
      <c r="M17" s="24">
        <f t="shared" ref="M17:M29" si="4">SUM(C17:K17)</f>
        <v>72675</v>
      </c>
      <c r="N17" s="24"/>
      <c r="O17" s="11"/>
      <c r="P17" s="11"/>
      <c r="Q17" s="11"/>
      <c r="R17" s="11"/>
      <c r="S17" s="11"/>
      <c r="T17" s="54"/>
    </row>
    <row r="18" spans="1:20" ht="15.75">
      <c r="A18" s="55">
        <f t="shared" si="0"/>
        <v>18</v>
      </c>
      <c r="B18" s="13" t="s">
        <v>38</v>
      </c>
      <c r="C18" s="24">
        <v>39753</v>
      </c>
      <c r="D18" s="24">
        <v>4400</v>
      </c>
      <c r="E18" s="24">
        <v>3497</v>
      </c>
      <c r="F18" s="24"/>
      <c r="G18" s="24">
        <v>25553</v>
      </c>
      <c r="I18" s="24">
        <v>492</v>
      </c>
      <c r="J18" s="24"/>
      <c r="K18" s="24"/>
      <c r="L18" s="24"/>
      <c r="M18" s="24">
        <f t="shared" si="4"/>
        <v>73695</v>
      </c>
      <c r="N18" s="24"/>
      <c r="O18" s="11"/>
      <c r="P18" s="11"/>
      <c r="Q18" s="11"/>
      <c r="R18" s="11"/>
      <c r="S18" s="11"/>
      <c r="T18" s="54"/>
    </row>
    <row r="19" spans="1:20" ht="15.75">
      <c r="A19" s="55">
        <f t="shared" si="0"/>
        <v>19</v>
      </c>
      <c r="B19" s="13" t="s">
        <v>39</v>
      </c>
      <c r="C19" s="24">
        <v>9095</v>
      </c>
      <c r="D19" s="24">
        <v>1007</v>
      </c>
      <c r="E19" s="24">
        <v>2997</v>
      </c>
      <c r="F19" s="24"/>
      <c r="G19" s="24">
        <v>5846</v>
      </c>
      <c r="I19" s="24">
        <v>164</v>
      </c>
      <c r="J19" s="24"/>
      <c r="K19" s="24"/>
      <c r="L19" s="24"/>
      <c r="M19" s="24">
        <f t="shared" si="4"/>
        <v>19109</v>
      </c>
      <c r="N19" s="24"/>
      <c r="O19" s="11"/>
      <c r="P19" s="11"/>
      <c r="Q19" s="11"/>
      <c r="R19" s="11"/>
      <c r="S19" s="11"/>
      <c r="T19" s="54"/>
    </row>
    <row r="20" spans="1:20" ht="15.75">
      <c r="A20" s="55">
        <f t="shared" si="0"/>
        <v>20</v>
      </c>
      <c r="B20" s="13" t="s">
        <v>40</v>
      </c>
      <c r="C20" s="24">
        <v>0</v>
      </c>
      <c r="D20" s="24"/>
      <c r="E20" s="24"/>
      <c r="F20" s="24"/>
      <c r="G20" s="24">
        <v>0</v>
      </c>
      <c r="I20" s="24"/>
      <c r="J20" s="24"/>
      <c r="K20" s="24"/>
      <c r="L20" s="24"/>
      <c r="M20" s="24">
        <f t="shared" si="4"/>
        <v>0</v>
      </c>
      <c r="N20" s="24"/>
      <c r="O20" s="11"/>
      <c r="P20" s="11"/>
      <c r="Q20" s="11"/>
      <c r="R20" s="11"/>
      <c r="S20" s="11"/>
      <c r="T20" s="54"/>
    </row>
    <row r="21" spans="1:20" ht="15.75">
      <c r="A21" s="55">
        <f t="shared" si="0"/>
        <v>21</v>
      </c>
      <c r="B21" s="13" t="s">
        <v>41</v>
      </c>
      <c r="C21" s="27">
        <v>43054</v>
      </c>
      <c r="D21" s="27">
        <v>4765</v>
      </c>
      <c r="E21" s="27">
        <v>4996</v>
      </c>
      <c r="F21" s="27"/>
      <c r="G21" s="27">
        <v>27675</v>
      </c>
      <c r="H21" s="28"/>
      <c r="I21" s="27">
        <v>324</v>
      </c>
      <c r="J21" s="27"/>
      <c r="K21" s="27">
        <f>(-66744+18327+27000-8458)</f>
        <v>-29875</v>
      </c>
      <c r="L21" s="27"/>
      <c r="M21" s="27">
        <f t="shared" si="4"/>
        <v>50939</v>
      </c>
      <c r="N21" s="24"/>
      <c r="O21" s="11"/>
      <c r="P21" s="11"/>
      <c r="Q21" s="11"/>
      <c r="R21" s="11"/>
      <c r="S21" s="11"/>
      <c r="T21" s="54"/>
    </row>
    <row r="22" spans="1:20" ht="15.75">
      <c r="A22" s="55">
        <f t="shared" si="0"/>
        <v>22</v>
      </c>
      <c r="B22" s="1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>
        <f t="shared" si="4"/>
        <v>0</v>
      </c>
      <c r="N22" s="24"/>
      <c r="O22" s="11"/>
      <c r="P22" s="11"/>
      <c r="Q22" s="11"/>
      <c r="R22" s="11"/>
      <c r="S22" s="11"/>
      <c r="T22" s="54"/>
    </row>
    <row r="23" spans="1:20" ht="15.75">
      <c r="A23" s="55">
        <f t="shared" si="0"/>
        <v>23</v>
      </c>
      <c r="B23" s="13" t="s">
        <v>42</v>
      </c>
      <c r="C23" s="24">
        <f>SUM(C14:C21)</f>
        <v>163895</v>
      </c>
      <c r="D23" s="24">
        <f>SUM(D14:D21)</f>
        <v>18140</v>
      </c>
      <c r="E23" s="24">
        <f t="shared" ref="E23:L23" si="5">SUM(E14:E21)</f>
        <v>32473</v>
      </c>
      <c r="F23" s="24">
        <f t="shared" si="5"/>
        <v>0</v>
      </c>
      <c r="G23" s="24">
        <f t="shared" si="5"/>
        <v>105352</v>
      </c>
      <c r="H23" s="24">
        <f t="shared" si="5"/>
        <v>0</v>
      </c>
      <c r="I23" s="24">
        <f>SUM(I14:I21)</f>
        <v>18210</v>
      </c>
      <c r="J23" s="24">
        <f t="shared" si="5"/>
        <v>0</v>
      </c>
      <c r="K23" s="24">
        <f t="shared" si="5"/>
        <v>-29875</v>
      </c>
      <c r="L23" s="24">
        <f t="shared" si="5"/>
        <v>0</v>
      </c>
      <c r="M23" s="24">
        <f t="shared" si="4"/>
        <v>308195</v>
      </c>
      <c r="N23" s="24"/>
      <c r="O23" s="11"/>
      <c r="P23" s="11"/>
      <c r="Q23" s="11"/>
      <c r="R23" s="11"/>
      <c r="S23" s="11"/>
      <c r="T23" s="54"/>
    </row>
    <row r="24" spans="1:20" ht="15.75">
      <c r="A24" s="55">
        <f t="shared" si="0"/>
        <v>24</v>
      </c>
      <c r="B24" s="1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>
        <f t="shared" si="4"/>
        <v>0</v>
      </c>
      <c r="N24" s="24"/>
      <c r="O24" s="11"/>
      <c r="P24" s="11"/>
      <c r="Q24" s="11"/>
      <c r="R24" s="11"/>
      <c r="S24" s="11"/>
      <c r="T24" s="54"/>
    </row>
    <row r="25" spans="1:20" ht="15.75">
      <c r="A25" s="55">
        <f t="shared" si="0"/>
        <v>25</v>
      </c>
      <c r="B25" s="13" t="s">
        <v>50</v>
      </c>
      <c r="C25" s="24"/>
      <c r="D25" s="24"/>
      <c r="E25" s="24">
        <v>323019</v>
      </c>
      <c r="F25" s="24"/>
      <c r="G25" s="24"/>
      <c r="H25" s="24"/>
      <c r="I25" s="24"/>
      <c r="J25" s="24"/>
      <c r="K25" s="24"/>
      <c r="L25" s="24"/>
      <c r="M25" s="24">
        <f t="shared" si="4"/>
        <v>323019</v>
      </c>
      <c r="N25" s="24"/>
      <c r="O25" s="11"/>
      <c r="P25" s="11"/>
      <c r="Q25" s="11"/>
      <c r="R25" s="11"/>
      <c r="S25" s="11"/>
      <c r="T25" s="54"/>
    </row>
    <row r="26" spans="1:20" ht="15.75">
      <c r="A26" s="55">
        <f t="shared" si="0"/>
        <v>26</v>
      </c>
      <c r="B26" s="13" t="s">
        <v>54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f t="shared" si="4"/>
        <v>0</v>
      </c>
      <c r="N26" s="24"/>
      <c r="O26" s="11"/>
      <c r="P26" s="11"/>
      <c r="Q26" s="11"/>
      <c r="R26" s="11"/>
      <c r="S26" s="11"/>
      <c r="T26" s="54"/>
    </row>
    <row r="27" spans="1:20" ht="15.75">
      <c r="A27" s="55">
        <f t="shared" si="0"/>
        <v>27</v>
      </c>
      <c r="B27" s="13" t="s">
        <v>55</v>
      </c>
      <c r="C27" s="24"/>
      <c r="D27" s="24"/>
      <c r="E27" s="24"/>
      <c r="F27" s="24">
        <v>538447</v>
      </c>
      <c r="G27" s="24"/>
      <c r="H27" s="24"/>
      <c r="I27" s="24"/>
      <c r="J27" s="24"/>
      <c r="K27" s="24"/>
      <c r="L27" s="24"/>
      <c r="M27" s="24">
        <f t="shared" si="4"/>
        <v>538447</v>
      </c>
      <c r="N27" s="24"/>
      <c r="O27" s="11"/>
      <c r="P27" s="11"/>
      <c r="Q27" s="11"/>
      <c r="R27" s="11"/>
      <c r="S27" s="11"/>
      <c r="T27" s="54"/>
    </row>
    <row r="28" spans="1:20" ht="15.75">
      <c r="A28" s="55">
        <f t="shared" si="0"/>
        <v>28</v>
      </c>
      <c r="B28" s="13" t="s">
        <v>56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>
        <f t="shared" si="4"/>
        <v>0</v>
      </c>
      <c r="N28" s="24"/>
      <c r="O28" s="11"/>
      <c r="P28" s="11"/>
      <c r="Q28" s="11"/>
      <c r="R28" s="11"/>
      <c r="S28" s="11"/>
      <c r="T28" s="54"/>
    </row>
    <row r="29" spans="1:20" ht="15.75">
      <c r="A29" s="55">
        <f t="shared" si="0"/>
        <v>29</v>
      </c>
      <c r="B29" s="13" t="s">
        <v>57</v>
      </c>
      <c r="C29" s="27"/>
      <c r="D29" s="27"/>
      <c r="E29" s="27"/>
      <c r="F29" s="27"/>
      <c r="G29" s="27"/>
      <c r="H29" s="27"/>
      <c r="I29" s="27"/>
      <c r="J29" s="27">
        <v>-64588</v>
      </c>
      <c r="K29" s="27"/>
      <c r="L29" s="27"/>
      <c r="M29" s="27">
        <f t="shared" si="4"/>
        <v>-64588</v>
      </c>
      <c r="N29" s="24"/>
      <c r="O29" s="11"/>
      <c r="P29" s="11"/>
      <c r="Q29" s="11"/>
      <c r="R29" s="11"/>
      <c r="S29" s="11"/>
      <c r="T29" s="54"/>
    </row>
    <row r="30" spans="1:20" ht="15.75">
      <c r="A30" s="55">
        <f t="shared" si="0"/>
        <v>30</v>
      </c>
      <c r="B30" s="1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1"/>
      <c r="P30" s="11"/>
      <c r="Q30" s="11"/>
      <c r="R30" s="11"/>
      <c r="S30" s="11"/>
      <c r="T30" s="54"/>
    </row>
    <row r="31" spans="1:20" ht="15.75">
      <c r="A31" s="55">
        <f t="shared" si="0"/>
        <v>31</v>
      </c>
      <c r="B31" s="13" t="s">
        <v>43</v>
      </c>
      <c r="C31" s="27">
        <f t="shared" ref="C31:M31" si="6">SUM(C23:C29)</f>
        <v>163895</v>
      </c>
      <c r="D31" s="27">
        <f t="shared" si="6"/>
        <v>18140</v>
      </c>
      <c r="E31" s="27">
        <f t="shared" si="6"/>
        <v>355492</v>
      </c>
      <c r="F31" s="27">
        <f t="shared" si="6"/>
        <v>538447</v>
      </c>
      <c r="G31" s="27">
        <f t="shared" si="6"/>
        <v>105352</v>
      </c>
      <c r="H31" s="27">
        <f t="shared" si="6"/>
        <v>0</v>
      </c>
      <c r="I31" s="27">
        <f t="shared" si="6"/>
        <v>18210</v>
      </c>
      <c r="J31" s="27">
        <f t="shared" si="6"/>
        <v>-64588</v>
      </c>
      <c r="K31" s="27">
        <f>SUM(K23:K29)</f>
        <v>-29875</v>
      </c>
      <c r="L31" s="27">
        <f t="shared" si="6"/>
        <v>0</v>
      </c>
      <c r="M31" s="27">
        <f t="shared" si="6"/>
        <v>1105073</v>
      </c>
      <c r="N31" s="24"/>
      <c r="O31" s="11"/>
      <c r="P31" s="11"/>
      <c r="Q31" s="11"/>
      <c r="R31" s="11"/>
      <c r="S31" s="11"/>
      <c r="T31" s="54"/>
    </row>
    <row r="32" spans="1:20" ht="15.75">
      <c r="A32" s="55">
        <f t="shared" si="0"/>
        <v>32</v>
      </c>
      <c r="B32" s="1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1"/>
      <c r="P32" s="11"/>
      <c r="Q32" s="11"/>
      <c r="R32" s="11"/>
      <c r="S32" s="11"/>
      <c r="T32" s="54"/>
    </row>
    <row r="33" spans="1:20" ht="15.75">
      <c r="A33" s="55">
        <f t="shared" si="0"/>
        <v>33</v>
      </c>
      <c r="B33" s="13" t="s">
        <v>44</v>
      </c>
      <c r="C33" s="24">
        <f t="shared" ref="C33:J33" si="7">+C12-C31</f>
        <v>-163895</v>
      </c>
      <c r="D33" s="24">
        <f t="shared" si="7"/>
        <v>-18140</v>
      </c>
      <c r="E33" s="24">
        <f t="shared" si="7"/>
        <v>-355492</v>
      </c>
      <c r="F33" s="24">
        <f t="shared" si="7"/>
        <v>-538447</v>
      </c>
      <c r="G33" s="24">
        <f t="shared" si="7"/>
        <v>-105352</v>
      </c>
      <c r="H33" s="24">
        <f t="shared" si="7"/>
        <v>0</v>
      </c>
      <c r="I33" s="24">
        <f t="shared" si="7"/>
        <v>-18210</v>
      </c>
      <c r="J33" s="24">
        <f t="shared" si="7"/>
        <v>64588</v>
      </c>
      <c r="K33" s="24">
        <f>+K12-K31</f>
        <v>29875</v>
      </c>
      <c r="L33" s="24">
        <f>+L11-L31</f>
        <v>84406</v>
      </c>
      <c r="M33" s="24">
        <f>+M11-M31</f>
        <v>-1020667</v>
      </c>
      <c r="N33" s="24"/>
      <c r="O33" s="11"/>
      <c r="P33" s="11"/>
      <c r="Q33" s="11"/>
      <c r="R33" s="11"/>
      <c r="S33" s="11"/>
      <c r="T33" s="54"/>
    </row>
    <row r="34" spans="1:20" ht="15.75">
      <c r="A34" s="55">
        <f t="shared" si="0"/>
        <v>34</v>
      </c>
      <c r="B34" s="1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1"/>
      <c r="P34" s="11"/>
      <c r="Q34" s="11"/>
      <c r="R34" s="11"/>
      <c r="S34" s="11"/>
      <c r="T34" s="54"/>
    </row>
    <row r="35" spans="1:20" ht="15.75">
      <c r="A35" s="55">
        <f t="shared" si="0"/>
        <v>35</v>
      </c>
      <c r="B35" s="13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>
        <f t="shared" ref="M35:M38" si="8">SUM(C35:H35)</f>
        <v>0</v>
      </c>
      <c r="N35" s="24"/>
      <c r="O35" s="11"/>
      <c r="P35" s="11"/>
      <c r="Q35" s="11"/>
      <c r="R35" s="11"/>
      <c r="S35" s="11"/>
      <c r="T35" s="54"/>
    </row>
    <row r="36" spans="1:20" ht="15.75">
      <c r="A36" s="55">
        <f t="shared" si="0"/>
        <v>36</v>
      </c>
      <c r="B36" s="13" t="s">
        <v>62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>
        <f t="shared" si="8"/>
        <v>0</v>
      </c>
      <c r="N36" s="24"/>
      <c r="O36" s="11"/>
      <c r="P36" s="11"/>
      <c r="Q36" s="11"/>
      <c r="R36" s="11"/>
      <c r="S36" s="11"/>
      <c r="T36" s="54"/>
    </row>
    <row r="37" spans="1:20" ht="15.75">
      <c r="A37" s="55">
        <f t="shared" si="0"/>
        <v>37</v>
      </c>
      <c r="B37" s="13" t="s">
        <v>46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>
        <f t="shared" si="8"/>
        <v>0</v>
      </c>
      <c r="N37" s="24"/>
      <c r="O37" s="11"/>
      <c r="P37" s="11"/>
      <c r="Q37" s="11"/>
      <c r="R37" s="11"/>
      <c r="S37" s="11"/>
      <c r="T37" s="54"/>
    </row>
    <row r="38" spans="1:20" ht="15.75">
      <c r="A38" s="55">
        <f t="shared" si="0"/>
        <v>38</v>
      </c>
      <c r="B38" s="13" t="s">
        <v>51</v>
      </c>
      <c r="C38" s="24"/>
      <c r="D38" s="24"/>
      <c r="E38" s="24"/>
      <c r="F38" s="24"/>
      <c r="G38" s="24"/>
      <c r="H38" s="24">
        <v>-4358339</v>
      </c>
      <c r="I38" s="24"/>
      <c r="J38" s="24"/>
      <c r="K38" s="24"/>
      <c r="L38" s="24"/>
      <c r="M38" s="24">
        <f t="shared" si="8"/>
        <v>-4358339</v>
      </c>
      <c r="N38" s="24"/>
      <c r="O38" s="11"/>
      <c r="P38" s="11"/>
      <c r="Q38" s="11"/>
      <c r="R38" s="11"/>
      <c r="S38" s="11"/>
      <c r="T38" s="54"/>
    </row>
    <row r="39" spans="1:20" ht="15.75">
      <c r="A39" s="55">
        <f t="shared" si="0"/>
        <v>39</v>
      </c>
      <c r="B39" s="13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>
        <f>SUM(C39:H39)</f>
        <v>0</v>
      </c>
      <c r="N39" s="24"/>
      <c r="O39" s="11"/>
      <c r="P39" s="11"/>
      <c r="Q39" s="11"/>
      <c r="R39" s="11"/>
      <c r="S39" s="11"/>
      <c r="T39" s="54"/>
    </row>
    <row r="40" spans="1:20" ht="15.75">
      <c r="A40" s="55">
        <f t="shared" si="0"/>
        <v>40</v>
      </c>
      <c r="B40" s="1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1"/>
      <c r="P40" s="11"/>
      <c r="Q40" s="11"/>
      <c r="R40" s="11"/>
      <c r="S40" s="11"/>
      <c r="T40" s="54"/>
    </row>
    <row r="41" spans="1:20" ht="16.5" thickBot="1">
      <c r="A41" s="55">
        <f t="shared" si="0"/>
        <v>41</v>
      </c>
      <c r="B41" s="13" t="s">
        <v>47</v>
      </c>
      <c r="C41" s="58">
        <f t="shared" ref="C41:M41" si="9">SUM(C33:C40)</f>
        <v>-163895</v>
      </c>
      <c r="D41" s="58">
        <f t="shared" si="9"/>
        <v>-18140</v>
      </c>
      <c r="E41" s="58">
        <f t="shared" si="9"/>
        <v>-355492</v>
      </c>
      <c r="F41" s="58">
        <f t="shared" si="9"/>
        <v>-538447</v>
      </c>
      <c r="G41" s="58">
        <f t="shared" si="9"/>
        <v>-105352</v>
      </c>
      <c r="H41" s="58">
        <f t="shared" si="9"/>
        <v>-4358339</v>
      </c>
      <c r="I41" s="58">
        <v>18209</v>
      </c>
      <c r="J41" s="58">
        <f>SUM(J33:J40)</f>
        <v>64588</v>
      </c>
      <c r="K41" s="58">
        <f t="shared" si="9"/>
        <v>29875</v>
      </c>
      <c r="L41" s="58">
        <f t="shared" si="9"/>
        <v>84406</v>
      </c>
      <c r="M41" s="58">
        <f t="shared" si="9"/>
        <v>-5379006</v>
      </c>
      <c r="N41" s="24"/>
      <c r="O41" s="11"/>
      <c r="P41" s="11"/>
      <c r="Q41" s="11"/>
      <c r="R41" s="11"/>
      <c r="S41" s="11"/>
      <c r="T41" s="54"/>
    </row>
    <row r="42" spans="1:20" ht="16.5" thickTop="1">
      <c r="A42" s="55">
        <f t="shared" si="0"/>
        <v>42</v>
      </c>
      <c r="B42" s="1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1"/>
      <c r="P42" s="11"/>
      <c r="Q42" s="11"/>
      <c r="R42" s="11"/>
      <c r="S42" s="11"/>
      <c r="T42" s="54"/>
    </row>
    <row r="43" spans="1:20">
      <c r="B43" s="5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4"/>
      <c r="P43" s="54"/>
      <c r="Q43" s="54"/>
      <c r="R43" s="54"/>
      <c r="S43" s="54"/>
      <c r="T43" s="54"/>
    </row>
  </sheetData>
  <printOptions horizontalCentered="1" verticalCentered="1"/>
  <pageMargins left="0.7" right="0.7" top="0.75" bottom="0.75" header="0.3" footer="0.3"/>
  <pageSetup scale="61" orientation="landscape" r:id="rId1"/>
  <headerFooter>
    <oddHeader>&amp;C&amp;"P-TIMES,Bold"&amp;14JACKSON  ENERGY COOPERATIVE
CASE NO. 2013-00219
SUMMARY OF ADJUSTMENTS FOR NORMAL RATE-MAKING PROCESS&amp;RExhibit 3g
Page 3 of 4
Witness:  Jim Adkins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adjusted is</vt:lpstr>
      <vt:lpstr>adjusted bs</vt:lpstr>
      <vt:lpstr>proposed rev</vt:lpstr>
      <vt:lpstr>adjustments</vt:lpstr>
      <vt:lpstr>'adjusted bs'!Print_Area</vt:lpstr>
      <vt:lpstr>'adjusted is'!Print_Area</vt:lpstr>
      <vt:lpstr>adjustments!Print_Area</vt:lpstr>
      <vt:lpstr>'proposed rev'!Print_Area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Marybeth Purvis</cp:lastModifiedBy>
  <cp:lastPrinted>2013-11-08T15:56:03Z</cp:lastPrinted>
  <dcterms:created xsi:type="dcterms:W3CDTF">2008-03-09T22:40:29Z</dcterms:created>
  <dcterms:modified xsi:type="dcterms:W3CDTF">2013-11-08T16:04:23Z</dcterms:modified>
</cp:coreProperties>
</file>