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Summary" sheetId="1" r:id="rId1"/>
    <sheet name="Rate Base" sheetId="2" r:id="rId2"/>
    <sheet name="Expenses" sheetId="3" r:id="rId3"/>
    <sheet name="Revenue" sheetId="4" r:id="rId4"/>
    <sheet name="Alloc Amt" sheetId="5" r:id="rId5"/>
    <sheet name="Alloc Pct" sheetId="6" r:id="rId6"/>
    <sheet name="Notes" sheetId="7" r:id="rId7"/>
  </sheets>
  <definedNames>
    <definedName name="ALLOC">'Alloc Pct'!$B$17:$I$110</definedName>
    <definedName name="_xlnm.Print_Area">'Rate Base'!$A$18:$E$247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<sst xmlns="http://schemas.openxmlformats.org/spreadsheetml/2006/main" count="985" uniqueCount="411">
  <si>
    <t>Operating Income:</t>
  </si>
  <si>
    <t>Expenses:</t>
  </si>
  <si>
    <t>Operating Income Before Income Tax</t>
  </si>
  <si>
    <t>Interest Expense</t>
  </si>
  <si>
    <t>State Tax @</t>
  </si>
  <si>
    <t>Federal @</t>
  </si>
  <si>
    <t>Net Operating Income</t>
  </si>
  <si>
    <t>Total Rate Base</t>
  </si>
  <si>
    <t>Rate of Return</t>
  </si>
  <si>
    <t>Indexed Rate of Return</t>
  </si>
  <si>
    <t>Equalized Rate of Return:</t>
  </si>
  <si>
    <t>Revenue</t>
  </si>
  <si>
    <t>Total    Rate Schedule Revenue</t>
  </si>
  <si>
    <t>Other Operating Revenue</t>
  </si>
  <si>
    <t>Total Operating Revenue</t>
  </si>
  <si>
    <t>O&amp;M Expenses</t>
  </si>
  <si>
    <t>Depreciation</t>
  </si>
  <si>
    <t>Taxes Other Than Income</t>
  </si>
  <si>
    <t>Total Expense Before Income Tax</t>
  </si>
  <si>
    <t>Net Income Increase</t>
  </si>
  <si>
    <t>Uncollectibles/PSC Fees</t>
  </si>
  <si>
    <t>Income Taxes</t>
  </si>
  <si>
    <t>Gross Revenue After Increase</t>
  </si>
  <si>
    <t>Revenue Increase</t>
  </si>
  <si>
    <t>Required Pct Increase in Total Rev @ Equal ROR</t>
  </si>
  <si>
    <t>Required Pct Increase in Base Rev @ Equal ROR</t>
  </si>
  <si>
    <t>Base Revenues</t>
  </si>
  <si>
    <t>Rider GCR</t>
  </si>
  <si>
    <t>Allocator</t>
  </si>
  <si>
    <t>Total  </t>
  </si>
  <si>
    <t>Company</t>
  </si>
  <si>
    <t>Residential</t>
  </si>
  <si>
    <t>Commercial &amp;</t>
  </si>
  <si>
    <t>Public Authority</t>
  </si>
  <si>
    <t>Firm</t>
  </si>
  <si>
    <t>Industrial</t>
  </si>
  <si>
    <t>Interruptible &amp;</t>
  </si>
  <si>
    <t>Transportation</t>
  </si>
  <si>
    <t>CLASSIFICATION OF GROSS PLANT IN SERVICE</t>
  </si>
  <si>
    <t>Line</t>
  </si>
  <si>
    <t>No.</t>
  </si>
  <si>
    <t>CLASSIFICATION OF RESERVE FOR DEPRECIATION AND AMORTIZATION</t>
  </si>
  <si>
    <t>CLASSIFICATION OF OTHER RATE BASE</t>
  </si>
  <si>
    <t>Acct.</t>
  </si>
  <si>
    <t>Intangible Plant:</t>
  </si>
  <si>
    <t>Total Intangible Plant:</t>
  </si>
  <si>
    <t>Production Plant:</t>
  </si>
  <si>
    <t>Total Production Plant</t>
  </si>
  <si>
    <t>Storage Plant:</t>
  </si>
  <si>
    <t>Total Storage Plant</t>
  </si>
  <si>
    <t>Transmission:</t>
  </si>
  <si>
    <t>Total Transmission Plant</t>
  </si>
  <si>
    <t>Distribution:</t>
  </si>
  <si>
    <t>Total Distribution Plant</t>
  </si>
  <si>
    <t>General:</t>
  </si>
  <si>
    <t>Total General Plant</t>
  </si>
  <si>
    <t>TOTAL DIRECT PLANT</t>
  </si>
  <si>
    <t>CWIP w/o AFUDC</t>
  </si>
  <si>
    <t>Kentucky Mid-States General Office:</t>
  </si>
  <si>
    <t>Shared Services General Office:</t>
  </si>
  <si>
    <t>Shared Services Customer Support:</t>
  </si>
  <si>
    <t>TOTAL PLANT IN SERVICE</t>
  </si>
  <si>
    <t>TOTAL CWIP W/O AFUDC</t>
  </si>
  <si>
    <t>TOTAL DIRECT RESERVE FOR DEPRECIATION</t>
  </si>
  <si>
    <t>TOTAL RESERVE FOR DEPRECIATION</t>
  </si>
  <si>
    <t>Rate Base Additions:</t>
  </si>
  <si>
    <t>Total Rate Base Additions</t>
  </si>
  <si>
    <t>Rate Base Deductions:</t>
  </si>
  <si>
    <t>Total Rate Base Deductions</t>
  </si>
  <si>
    <t>TOTAL OTHER RB</t>
  </si>
  <si>
    <t>Interest on Customer Deposits</t>
  </si>
  <si>
    <t>Total Rate</t>
  </si>
  <si>
    <t>Organization</t>
  </si>
  <si>
    <t>Franchises &amp; Consents</t>
  </si>
  <si>
    <t>Misc Intangible Plant</t>
  </si>
  <si>
    <t>Producing Leaseholds</t>
  </si>
  <si>
    <t>Rights of Ways</t>
  </si>
  <si>
    <t>Production Gas Wells Equipment</t>
  </si>
  <si>
    <t>Field Lines</t>
  </si>
  <si>
    <t>Tributary Lines</t>
  </si>
  <si>
    <t>Field Meas. &amp; Reg. Sta. Equip</t>
  </si>
  <si>
    <t>Purification Equipment</t>
  </si>
  <si>
    <t>Land</t>
  </si>
  <si>
    <t>Rights of Way</t>
  </si>
  <si>
    <t>Structures and Improvements</t>
  </si>
  <si>
    <t>Compression Station Equipment  </t>
  </si>
  <si>
    <t>Meas. &amp; Reg. Sta. Structues</t>
  </si>
  <si>
    <t>Other Structures</t>
  </si>
  <si>
    <t>Wells \ Rights of Way</t>
  </si>
  <si>
    <t>Well Construction</t>
  </si>
  <si>
    <t>Well Equipment</t>
  </si>
  <si>
    <t>Cushion Gas</t>
  </si>
  <si>
    <t>Leaseholds</t>
  </si>
  <si>
    <t>Storage Rights</t>
  </si>
  <si>
    <t>Compressor Station Equipment</t>
  </si>
  <si>
    <t>Meas &amp; Reg. Equipment</t>
  </si>
  <si>
    <t>Land &amp; Land Rights</t>
  </si>
  <si>
    <t>Structures &amp; Improvements</t>
  </si>
  <si>
    <t>Other Structues</t>
  </si>
  <si>
    <t>Mains Cathodic Protection</t>
  </si>
  <si>
    <t>Mains - Steel</t>
  </si>
  <si>
    <t>Meas. &amp; Reg. Equipment</t>
  </si>
  <si>
    <t>Land Rights</t>
  </si>
  <si>
    <t>Land Other</t>
  </si>
  <si>
    <t>Structures &amp; Improvements T.B.</t>
  </si>
  <si>
    <t>Improvements</t>
  </si>
  <si>
    <t xml:space="preserve">   Customer</t>
  </si>
  <si>
    <t xml:space="preserve">   Demand</t>
  </si>
  <si>
    <t>Mains - Plastic</t>
  </si>
  <si>
    <t>Meas &amp; Reg. Sta. Equip - General</t>
  </si>
  <si>
    <t>Meas &amp; Reg. Sta. Equip - City Gate</t>
  </si>
  <si>
    <t>Meas &amp; Reg. Sta. Equipment T.b.</t>
  </si>
  <si>
    <t>Services</t>
  </si>
  <si>
    <t>Meters</t>
  </si>
  <si>
    <t>Meter Installaitons</t>
  </si>
  <si>
    <t>House Regulators</t>
  </si>
  <si>
    <t>House Reg. Installations</t>
  </si>
  <si>
    <t>Ind. Meas. &amp; Reg. Sta. Equipment</t>
  </si>
  <si>
    <t>Other Prop. On Cust. Prem</t>
  </si>
  <si>
    <t>Structures Frame</t>
  </si>
  <si>
    <t>Structures-Brick</t>
  </si>
  <si>
    <t>Air Conditioning Equipment</t>
  </si>
  <si>
    <t>Improvement to leased Premises</t>
  </si>
  <si>
    <t>Office Furniture &amp; Equipment</t>
  </si>
  <si>
    <t>Remittance Processing Equip</t>
  </si>
  <si>
    <t>Office Machines</t>
  </si>
  <si>
    <t>Transportation Equipment</t>
  </si>
  <si>
    <t>Trucks</t>
  </si>
  <si>
    <t>Trailers</t>
  </si>
  <si>
    <t>Stores Equipment</t>
  </si>
  <si>
    <t>Tools, Shop &amp; Garage Equipment</t>
  </si>
  <si>
    <t>Power Operated Equipment</t>
  </si>
  <si>
    <t>Ditchers</t>
  </si>
  <si>
    <t>Backhoes</t>
  </si>
  <si>
    <t>Welders</t>
  </si>
  <si>
    <t>Communication Equipment</t>
  </si>
  <si>
    <t>Communication Equipment - Mobile Radios</t>
  </si>
  <si>
    <t>Communication Equipment - Fixed Radios</t>
  </si>
  <si>
    <t>Communication Equip. - Telemetering</t>
  </si>
  <si>
    <t>Miscellaneous Equipment</t>
  </si>
  <si>
    <t>Other Tangible Property</t>
  </si>
  <si>
    <t>Other Tangible Property  - Servers - H/W</t>
  </si>
  <si>
    <t>Other Tangible Property - Servers - S/W</t>
  </si>
  <si>
    <t>Other Tangible Property - Network - H/W</t>
  </si>
  <si>
    <t>Other Tang. Property - CPU</t>
  </si>
  <si>
    <t>Other Tangible Property - MF - Hardware</t>
  </si>
  <si>
    <t>Other Tang. Property - PC Hardware</t>
  </si>
  <si>
    <t>Other Tang. Property - PC Software</t>
  </si>
  <si>
    <t>Other Tang. Property - Mainframe S/W</t>
  </si>
  <si>
    <t>Other Tang. Property -  Application Software</t>
  </si>
  <si>
    <t>Other Tang. Property - General Startup Costs</t>
  </si>
  <si>
    <t>Other Tangible Property - Servers - H/W</t>
  </si>
  <si>
    <t>G-Structures &amp; Improvements</t>
  </si>
  <si>
    <t>G-Office Furniture &amp; Equip.</t>
  </si>
  <si>
    <t>Laboratory Equipment</t>
  </si>
  <si>
    <t>Other Tang. Property - Application Software</t>
  </si>
  <si>
    <t>CKV-Land &amp; Land Rights</t>
  </si>
  <si>
    <t>CKV-Structures &amp; Improvements</t>
  </si>
  <si>
    <t>CKV-Communication Equipment</t>
  </si>
  <si>
    <t>Other Tangible Property  - Servers - S/W</t>
  </si>
  <si>
    <t>CKV-Other Tangible Property</t>
  </si>
  <si>
    <t>CKV-Oth Tang Prop-PC Hardware</t>
  </si>
  <si>
    <t>CKV-Oth Tang Prop-PC Software</t>
  </si>
  <si>
    <t>Communication Equipment  - Mobile Radios</t>
  </si>
  <si>
    <t>Communication Equipment  - Fixed Radios</t>
  </si>
  <si>
    <t>Other Tangible Property  - Network - H/W</t>
  </si>
  <si>
    <t>AR 15 general plant amortization</t>
  </si>
  <si>
    <t>Retirement Work in Progress</t>
  </si>
  <si>
    <t>CKV-Land &amp; Land    Rights</t>
  </si>
  <si>
    <t>Materials and Supplies - KY Direct</t>
  </si>
  <si>
    <t>Materials and Supplies - KY Mid-States GO</t>
  </si>
  <si>
    <t>Materials and Supplies - Shared Services GO</t>
  </si>
  <si>
    <t>Materials and Supplies - Shared Services CS</t>
  </si>
  <si>
    <t>Gas Storage Inventory</t>
  </si>
  <si>
    <t>Prepayments - KY Direct</t>
  </si>
  <si>
    <t>Prepayments - KY Mid-States GO</t>
  </si>
  <si>
    <t>Prepayments - Shared Services GO</t>
  </si>
  <si>
    <t>Prepayments - Shared Services CS</t>
  </si>
  <si>
    <t>Cash Working Capital</t>
  </si>
  <si>
    <t>Customer Advances - KY Direct</t>
  </si>
  <si>
    <t>Customer Advances - KY Mid-States GO</t>
  </si>
  <si>
    <t>Customer Advances - Shared Services GO</t>
  </si>
  <si>
    <t>Customer Advances - Shared Services CS</t>
  </si>
  <si>
    <t>ADIT - KY Direct</t>
  </si>
  <si>
    <t>ADIT - KY Mid-States GO</t>
  </si>
  <si>
    <t>ADIT - Shared Services GO</t>
  </si>
  <si>
    <t>ADIT - Shared Services CS</t>
  </si>
  <si>
    <t>CLASSIFICATION OF O&amp;M EXPENSE</t>
  </si>
  <si>
    <t>CLASSIFICATION OF DEPRECIATION EXPENSE</t>
  </si>
  <si>
    <t>CLASSIFICATION OF TAXES, OTHER THAN INCOME &amp; NET DEDUCTIONS FOR INCOME TAX</t>
  </si>
  <si>
    <t>Production &amp; Gathering:</t>
  </si>
  <si>
    <t>Operation</t>
  </si>
  <si>
    <t>Maintenance</t>
  </si>
  <si>
    <t>Total Production &amp; Gathering</t>
  </si>
  <si>
    <t>Other Gas Supply Expenses:</t>
  </si>
  <si>
    <t>Total Other Gas Supply Expenses</t>
  </si>
  <si>
    <t>Underground Storage:</t>
  </si>
  <si>
    <t>Total Underground Storage Expense</t>
  </si>
  <si>
    <t>Total Transmission Expense</t>
  </si>
  <si>
    <t>Total Distribution</t>
  </si>
  <si>
    <t>Customer Accounts:</t>
  </si>
  <si>
    <t>Total Customer Accounts</t>
  </si>
  <si>
    <t>Customer Service and Information:</t>
  </si>
  <si>
    <t>Total    Customer Service and Information</t>
  </si>
  <si>
    <t>Sales:</t>
  </si>
  <si>
    <t>Total Sales</t>
  </si>
  <si>
    <t>Administrative &amp; General:</t>
  </si>
  <si>
    <t>Total A&amp;G</t>
  </si>
  <si>
    <t>TOTAL O&amp;M EXPENSE</t>
  </si>
  <si>
    <t>TOTAL DIRECT DEPRECIATION EXPENSE</t>
  </si>
  <si>
    <t>TOTAL DEPRECIATION EXPENSE</t>
  </si>
  <si>
    <t>Total Taxes, Other Than Income</t>
  </si>
  <si>
    <t>Op., Sup., &amp; Eng.</t>
  </si>
  <si>
    <t>Production Maps &amp; Records</t>
  </si>
  <si>
    <t>Field Lines Expenses</t>
  </si>
  <si>
    <t>Field Compressor Station Expense</t>
  </si>
  <si>
    <t>Field Compressor Sta. Fuel &amp; Pwr.</t>
  </si>
  <si>
    <t>Field Meas. &amp; Regul. Station Exp</t>
  </si>
  <si>
    <t>Purification Expense</t>
  </si>
  <si>
    <t>Other Expenses</t>
  </si>
  <si>
    <t>Maint. Sup., &amp; Eng.</t>
  </si>
  <si>
    <t>Field Line Maintenance</t>
  </si>
  <si>
    <t>Compressor Station Equip. Maint.</t>
  </si>
  <si>
    <t>Meas. &amp; Regul. Station Equip Maint</t>
  </si>
  <si>
    <t>Purification Equipment Maintenance</t>
  </si>
  <si>
    <t>Other Equipment Maintenance</t>
  </si>
  <si>
    <t>Gas Processed By Others</t>
  </si>
  <si>
    <t>Intercompany Gas Well-head Purchases</t>
  </si>
  <si>
    <t>Natural gas field line purchases</t>
  </si>
  <si>
    <t>Natural Gas City Gate Purchases</t>
  </si>
  <si>
    <t>Transportation to City Gate</t>
  </si>
  <si>
    <t>Transmission-Operation supervision and engineering</t>
  </si>
  <si>
    <t>Other Gas Purchases / Gas Cost Adjustments</t>
  </si>
  <si>
    <t>PGA for Commercial</t>
  </si>
  <si>
    <t>PGA for Industrial</t>
  </si>
  <si>
    <t>PGA for Public Authority</t>
  </si>
  <si>
    <t>PGA for Transportation Sales</t>
  </si>
  <si>
    <t>Unbilled PGA Costs</t>
  </si>
  <si>
    <t>PGA Offset to Unrecovered Gas Cost</t>
  </si>
  <si>
    <t>Exchange Gas</t>
  </si>
  <si>
    <t>Gas Withdrawn From Storage - Debit</t>
  </si>
  <si>
    <t>Gas Delivered to Storage</t>
  </si>
  <si>
    <t>Gas used for products extraction-Credit</t>
  </si>
  <si>
    <t>Gas Used for Other Utility Operations</t>
  </si>
  <si>
    <t>Other Gas Supply Expenses</t>
  </si>
  <si>
    <t>Transmission and compression of gas by others</t>
  </si>
  <si>
    <t>Maint. Of Purch. Gas Meas. Sta.</t>
  </si>
  <si>
    <t>Maps &amp; Records</t>
  </si>
  <si>
    <t>Wells Expense</t>
  </si>
  <si>
    <t>Lines Expense</t>
  </si>
  <si>
    <t>Compressor Station Expense</t>
  </si>
  <si>
    <t>Compressor Station Fuel &amp; Power</t>
  </si>
  <si>
    <t>Meas. &amp; Regul. Station Expenses</t>
  </si>
  <si>
    <t>Purification Expenses</t>
  </si>
  <si>
    <t>Other</t>
  </si>
  <si>
    <t>Storage Well Royalties</t>
  </si>
  <si>
    <t>Reservoirs &amp; Wells Maintenance</t>
  </si>
  <si>
    <t>Line Maintenance</t>
  </si>
  <si>
    <t>Compressor Station Equip Maint</t>
  </si>
  <si>
    <t>System Control &amp; Load Dispatching</t>
  </si>
  <si>
    <t>Communication Systems Expense</t>
  </si>
  <si>
    <t>Compressor Station Labor Expense</t>
  </si>
  <si>
    <t>Compressor Station Fuel Gas</t>
  </si>
  <si>
    <t>Mains Expense</t>
  </si>
  <si>
    <t>LDC Payment</t>
  </si>
  <si>
    <t>LDC Payment - A&amp;G</t>
  </si>
  <si>
    <t>Rents</t>
  </si>
  <si>
    <t>Mains</t>
  </si>
  <si>
    <t>Communication Equipment Maintenance</t>
  </si>
  <si>
    <t>Supervision and Engineering</t>
  </si>
  <si>
    <t>Distribution Load Dispatching</t>
  </si>
  <si>
    <t>Odorization</t>
  </si>
  <si>
    <t>Compressor Station Labor &amp; Expenses</t>
  </si>
  <si>
    <t>Mains &amp; Services</t>
  </si>
  <si>
    <t>Measuring and Regulating Station Exp. - Gen</t>
  </si>
  <si>
    <t>Measuring and Regulating Station Exp. - Ind.</t>
  </si>
  <si>
    <t>Measuring and Regulating Sta. Exp. - City Gate</t>
  </si>
  <si>
    <t>Meters and House Regulator Expense</t>
  </si>
  <si>
    <t>Customer Installations Expense</t>
  </si>
  <si>
    <t>Other Expense</t>
  </si>
  <si>
    <t>Maintenance Supervision and Engineering</t>
  </si>
  <si>
    <t>Maintenance of Structures and Improvements</t>
  </si>
  <si>
    <t>Maintenance of Mains</t>
  </si>
  <si>
    <t>Maintenance of compressor station equipment</t>
  </si>
  <si>
    <t>Maint. of Measuring and Regulating Station Equip. - General</t>
  </si>
  <si>
    <t>Maint. of Measuring and Regulating Station Equip. - Industrial</t>
  </si>
  <si>
    <t>Maint. of Measuring and Regulating Station Equip. - City Gate</t>
  </si>
  <si>
    <t>Maintenance of Services</t>
  </si>
  <si>
    <t>Maintenance of Meters and House Regulators</t>
  </si>
  <si>
    <t>Maintenance of Other Equipment</t>
  </si>
  <si>
    <t>Supervision</t>
  </si>
  <si>
    <t>Meter Reading Expense</t>
  </si>
  <si>
    <t>Customer Records and Collection Expenses</t>
  </si>
  <si>
    <t>Uncollectible Accounts</t>
  </si>
  <si>
    <t>Miscellaneous Customer Accounts Expenses</t>
  </si>
  <si>
    <t>Customer Assistance Expenses</t>
  </si>
  <si>
    <t>Informational and Instructional Advertising Expenses</t>
  </si>
  <si>
    <t>Miscellaneous Customer Service and Informational Expenses</t>
  </si>
  <si>
    <t>Demonstrating and Selling Expenses  </t>
  </si>
  <si>
    <t>Advertising Expenses</t>
  </si>
  <si>
    <t>Miscellaneous Sales Expenses</t>
  </si>
  <si>
    <t>Administrative and General Salaries</t>
  </si>
  <si>
    <t>Office Supplies and Expenses</t>
  </si>
  <si>
    <t>Administrative Expenses Transferred - Customer Support</t>
  </si>
  <si>
    <t>Administrative Expenses Transferred - General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</si>
  <si>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</si>
  <si>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</si>
  <si>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</si>
  <si>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</si>
  <si>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</si>
  <si>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</si>
  <si>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General Advertising Expenses</t>
  </si>
  <si>
    <t>Miscellaneous General Expense</t>
  </si>
  <si>
    <t>Maintenance of General Plant</t>
  </si>
  <si>
    <t>Other Tangible Property  - MF - Hardware</t>
  </si>
  <si>
    <t>Non Revenue Related:</t>
  </si>
  <si>
    <t xml:space="preserve">     Payroll Related</t>
  </si>
  <si>
    <t xml:space="preserve">     Property Related</t>
  </si>
  <si>
    <t xml:space="preserve">     DOT transmission User Tax</t>
  </si>
  <si>
    <t xml:space="preserve">     Other</t>
  </si>
  <si>
    <t>Total Non Revenue Related:</t>
  </si>
  <si>
    <t>Revenue Related:</t>
  </si>
  <si>
    <t xml:space="preserve">     State Gross Receipts - Tax</t>
  </si>
  <si>
    <t xml:space="preserve">     Local Gross Receipts - Tax</t>
  </si>
  <si>
    <t xml:space="preserve">     Public Service Commission Assessment</t>
  </si>
  <si>
    <t>Total Revenue Related:</t>
  </si>
  <si>
    <t>should be allocated on 31</t>
  </si>
  <si>
    <t>ALLOCATION OF REVENUES</t>
  </si>
  <si>
    <t>Rate Schedule Revenue:</t>
  </si>
  <si>
    <t>Other    Revenue:</t>
  </si>
  <si>
    <t>Total    Non-Rate Revenue</t>
  </si>
  <si>
    <t>TOTAL    REVENUE</t>
  </si>
  <si>
    <t>Base Revenue Increase</t>
  </si>
  <si>
    <t>Rider FF and Rider Tax</t>
  </si>
  <si>
    <t>Forfeited Discounts</t>
  </si>
  <si>
    <t>Misc. Service Revenues</t>
  </si>
  <si>
    <t>Revenue From Transportation of Gas of Others</t>
  </si>
  <si>
    <t>NTB</t>
  </si>
  <si>
    <t>Dir</t>
  </si>
  <si>
    <t>Mcf</t>
  </si>
  <si>
    <t>Winter Volumes</t>
  </si>
  <si>
    <t>Customers</t>
  </si>
  <si>
    <t>Peak Day</t>
  </si>
  <si>
    <t>Meter Investment</t>
  </si>
  <si>
    <t>Direct to Residential</t>
  </si>
  <si>
    <t>Direct to Commercial &amp; Public Authority</t>
  </si>
  <si>
    <t>Direct to Industrial</t>
  </si>
  <si>
    <t>Direct to I &amp; T</t>
  </si>
  <si>
    <t>P, S, T &amp; D Plant</t>
  </si>
  <si>
    <t>P, S, T &amp; D Plant - Customer</t>
  </si>
  <si>
    <t>Acct. 378 - General (Net Plant)</t>
  </si>
  <si>
    <t>Acct. 378 - City Gate (Net Plant)</t>
  </si>
  <si>
    <t>Allocated O&amp;M Expenses</t>
  </si>
  <si>
    <t>Allocated O&amp;M Expenses - Cust</t>
  </si>
  <si>
    <t>Allocated O&amp;M Expenses - Demand</t>
  </si>
  <si>
    <t>Allocated O&amp;M Expenses - Comm</t>
  </si>
  <si>
    <t>Customer Deposit Balances</t>
  </si>
  <si>
    <t>Allocated Net Plant</t>
  </si>
  <si>
    <t>Allocated Net Plant - Cust</t>
  </si>
  <si>
    <t>Allocated Net Plant - Demand</t>
  </si>
  <si>
    <t>Allocated Net Plant - Comm</t>
  </si>
  <si>
    <t>Composite of Accts. 871-879 &amp; 886-894</t>
  </si>
  <si>
    <t>Composite of Accts. 871-879 &amp; 886-893 - Cust</t>
  </si>
  <si>
    <t>Composite of Accts. 871-879 &amp; 886-893 - Demand</t>
  </si>
  <si>
    <t>Composite of Accts. 871-879 &amp; 886-893 - Comm</t>
  </si>
  <si>
    <t>Composite of Accts. 376 &amp; 380</t>
  </si>
  <si>
    <t>Composite of Accts. 376 &amp; 380 - Cust</t>
  </si>
  <si>
    <t>Composite of Accts. 376 &amp; 380 - Demand</t>
  </si>
  <si>
    <t>Composite of Accts. 376 &amp; 380 - Comm</t>
  </si>
  <si>
    <t>Composite of Accts. 374-379</t>
  </si>
  <si>
    <t>Composite of Accts. 374-379 - Cust</t>
  </si>
  <si>
    <t>Composite of Accts. 374-379 - Demand</t>
  </si>
  <si>
    <t>Composite of Accts. 374-379 - Comm</t>
  </si>
  <si>
    <t>Composite of Accts. 381-383</t>
  </si>
  <si>
    <t>Composite of Accts. 381-383 - Cust</t>
  </si>
  <si>
    <t>Composite of Accts. 381-383 - Demand</t>
  </si>
  <si>
    <t>Composite of Accts. 381-383 - Comm</t>
  </si>
  <si>
    <t>Account 380</t>
  </si>
  <si>
    <t>Account 380 - Cust</t>
  </si>
  <si>
    <t>Account 380 - Demand</t>
  </si>
  <si>
    <t>Account 380 - Comm</t>
  </si>
  <si>
    <t>GUD 9400 Allocation Factors</t>
  </si>
  <si>
    <t>Composite of Accts. 870-902, 905-916, 924 &amp; 928-930.1</t>
  </si>
  <si>
    <t>Composite of Accts. 870-902, 905-916, 924 &amp; 928-930.1 -    Cust</t>
  </si>
  <si>
    <t>Composite of Accts. 870-902, 905-916, 924 &amp; 928-930.1 -    Demand</t>
  </si>
  <si>
    <t>Composite of Accts. 870-902, 905-916, 924 &amp; 928-930.1 -    Comm</t>
  </si>
  <si>
    <t>Total Revenue</t>
  </si>
  <si>
    <t>Gas Costs</t>
  </si>
  <si>
    <t>Rate Base</t>
  </si>
  <si>
    <t>Rate Base - Cust</t>
  </si>
  <si>
    <t>Rate Base - Demand</t>
  </si>
  <si>
    <t>Rate Base - Comm</t>
  </si>
  <si>
    <t xml:space="preserve"> 50% Peak Demand/ 50% Winter MCF</t>
  </si>
  <si>
    <t>Distribution Mains ( Acct 376)</t>
  </si>
  <si>
    <t>O&amp;M Excluding Gas Costs and Uncollectibles</t>
  </si>
  <si>
    <t>Transmission Plant (Net)</t>
  </si>
  <si>
    <t>External</t>
  </si>
  <si>
    <t>Internal</t>
  </si>
  <si>
    <t>This scenario reflects only minor corrections to Raab's as-filed CCOSS.</t>
  </si>
  <si>
    <t>The corrections include the following:</t>
  </si>
  <si>
    <t>Acct 875 --- Raab classifies between customer and demand.  Within the customer piece of this account, Raab allocates all costs to the Int. &amp; Transp. class.</t>
  </si>
  <si>
    <t>Acct 877 --- Raab classifies between customer and demand.  within the customer piece of this account, Raab allocates all costs to the Int. &amp; Transp.</t>
  </si>
  <si>
    <t>Taxes Other Than Income - Payroll Based:  Raab allocates on total O&amp;M including Gas Costs and Uncollectibles</t>
  </si>
  <si>
    <t>DOT Transmission User Tax:  Raab allocates on total O&amp;M</t>
  </si>
  <si>
    <t>Taxes Other Than Income - PSC Assessment:  Raab allocates on MCF</t>
  </si>
  <si>
    <t>Materials &amp; Supplies:  Raab allocates on Total O&amp;M including Gas costs and uncollectibles.</t>
  </si>
  <si>
    <t xml:space="preserve">Correction:  GAW Allocates Acct 875 based on Acct 378-General </t>
  </si>
  <si>
    <t xml:space="preserve">Correction:  GAW Allocates Acct 877 based on Acct 378-City Gate </t>
  </si>
  <si>
    <t>Correction:  GAW allocates on O&amp;M excl. Gas Costs and Uncollectibles.</t>
  </si>
  <si>
    <t>Correction:  GAW allocates on Transmission Plant</t>
  </si>
  <si>
    <t>Correction:  GAW allocates on Total Revenue per KY Code 278.130 (1)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</si>
</sst>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0.0000%"/>
  </numFmts>
  <fonts count="4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2"/>
      <color indexed="10"/>
      <name val="Arial"/>
      <family val="0"/>
    </font>
    <font>
      <sz val="12"/>
      <color indexed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7:K48"/>
  <sheetViews>
    <sheetView tabSelected="1" zoomScale="87" zoomScaleNormal="87" zoomScalePageLayoutView="0" workbookViewId="0" topLeftCell="A1">
      <selection activeCell="A36" sqref="A36"/>
    </sheetView>
  </sheetViews>
  <sheetFormatPr defaultColWidth="8.88671875" defaultRowHeight="15"/>
  <cols>
    <col min="1" max="5" width="9.6640625" style="1" customWidth="1"/>
    <col min="6" max="7" width="12.10546875" style="1" bestFit="1" customWidth="1"/>
    <col min="8" max="8" width="13.5546875" style="1" bestFit="1" customWidth="1"/>
    <col min="9" max="9" width="10.10546875" style="1" bestFit="1" customWidth="1"/>
    <col min="10" max="10" width="10.6640625" style="1" customWidth="1"/>
    <col min="11" max="16384" width="9.6640625" style="1" customWidth="1"/>
  </cols>
  <sheetData>
    <row r="7" spans="6:10" ht="15">
      <c r="F7" s="1" t="s">
        <v>29</v>
      </c>
      <c r="H7" s="1" t="s">
        <v>32</v>
      </c>
      <c r="I7" s="1" t="s">
        <v>34</v>
      </c>
      <c r="J7" s="1" t="s">
        <v>36</v>
      </c>
    </row>
    <row r="8" spans="5:10" ht="15">
      <c r="E8" s="1" t="s">
        <v>28</v>
      </c>
      <c r="F8" s="1" t="s">
        <v>30</v>
      </c>
      <c r="G8" s="1" t="s">
        <v>31</v>
      </c>
      <c r="H8" s="1" t="s">
        <v>33</v>
      </c>
      <c r="I8" s="1" t="s">
        <v>35</v>
      </c>
      <c r="J8" s="1" t="s">
        <v>37</v>
      </c>
    </row>
    <row r="10" ht="15">
      <c r="A10" s="1" t="s">
        <v>0</v>
      </c>
    </row>
    <row r="11" ht="15">
      <c r="B11" s="1" t="s">
        <v>11</v>
      </c>
    </row>
    <row r="12" spans="3:10" ht="15">
      <c r="C12" s="2" t="s">
        <v>26</v>
      </c>
      <c r="F12" s="3">
        <f>SUM(G12:J12)</f>
        <v>63205352.938</v>
      </c>
      <c r="G12" s="3">
        <f>Revenue!G20</f>
        <v>36974249.56</v>
      </c>
      <c r="H12" s="3">
        <f>Revenue!H20</f>
        <v>13782947.97</v>
      </c>
      <c r="I12" s="3">
        <f>Revenue!I20</f>
        <v>524930.309</v>
      </c>
      <c r="J12" s="3">
        <f>Revenue!J20</f>
        <v>11923225.099</v>
      </c>
    </row>
    <row r="13" spans="3:10" ht="15">
      <c r="C13" s="2" t="s">
        <v>27</v>
      </c>
      <c r="F13" s="3">
        <f>SUM(G13:J13)</f>
        <v>90267316.343</v>
      </c>
      <c r="G13" s="3">
        <f>Revenue!G22</f>
        <v>55514753.158</v>
      </c>
      <c r="H13" s="3">
        <f>Revenue!H22</f>
        <v>31060527.091</v>
      </c>
      <c r="I13" s="3">
        <f>Revenue!I22</f>
        <v>2718228.946</v>
      </c>
      <c r="J13" s="3">
        <f>Revenue!J22</f>
        <v>973807.148</v>
      </c>
    </row>
    <row r="14" spans="2:10" ht="15">
      <c r="B14" s="2" t="s">
        <v>12</v>
      </c>
      <c r="F14" s="3">
        <f>SUM(G14:J14)</f>
        <v>153472669.281</v>
      </c>
      <c r="G14" s="3">
        <f>G13+G12</f>
        <v>92489002.718</v>
      </c>
      <c r="H14" s="3">
        <f>H13+H12</f>
        <v>44843475.061</v>
      </c>
      <c r="I14" s="3">
        <f>I13+I12</f>
        <v>3243159.255</v>
      </c>
      <c r="J14" s="3">
        <f>J13+J12</f>
        <v>12897032.247</v>
      </c>
    </row>
    <row r="15" spans="2:10" ht="15">
      <c r="B15" s="1" t="s">
        <v>13</v>
      </c>
      <c r="F15" s="3">
        <f>SUM(G15:J15)</f>
        <v>1902299.0000000005</v>
      </c>
      <c r="G15" s="3">
        <f>Revenue!G34</f>
        <v>1112818.3720884083</v>
      </c>
      <c r="H15" s="3">
        <f>Revenue!H34</f>
        <v>414827.0189409797</v>
      </c>
      <c r="I15" s="3">
        <f>Revenue!I34</f>
        <v>15798.889737391739</v>
      </c>
      <c r="J15" s="3">
        <f>Revenue!J34</f>
        <v>358854.71923322056</v>
      </c>
    </row>
    <row r="16" spans="2:10" ht="15">
      <c r="B16" s="1" t="s">
        <v>14</v>
      </c>
      <c r="F16" s="3">
        <f>SUM(G16:J16)</f>
        <v>155374968.281</v>
      </c>
      <c r="G16" s="3">
        <f>G15+G14</f>
        <v>93601821.0900884</v>
      </c>
      <c r="H16" s="3">
        <f>H15+H14</f>
        <v>45258302.079940975</v>
      </c>
      <c r="I16" s="3">
        <f>I15+I14</f>
        <v>3258958.1447373917</v>
      </c>
      <c r="J16" s="3">
        <f>J15+J14</f>
        <v>13255886.96623322</v>
      </c>
    </row>
    <row r="19" ht="15">
      <c r="A19" s="1" t="s">
        <v>1</v>
      </c>
    </row>
    <row r="20" spans="2:10" ht="15">
      <c r="B20" s="1" t="s">
        <v>15</v>
      </c>
      <c r="F20" s="3">
        <f>SUM(G20:J20)</f>
        <v>117022197</v>
      </c>
      <c r="G20" s="3">
        <f>Expenses!G179</f>
        <v>75970063.30658574</v>
      </c>
      <c r="H20" s="3">
        <f>Expenses!H179</f>
        <v>35257791.95820745</v>
      </c>
      <c r="I20" s="3">
        <f>Expenses!I179</f>
        <v>2942477.7581584253</v>
      </c>
      <c r="J20" s="3">
        <f>Expenses!J179</f>
        <v>2851863.977048387</v>
      </c>
    </row>
    <row r="21" spans="2:10" ht="15">
      <c r="B21" s="1" t="s">
        <v>16</v>
      </c>
      <c r="F21" s="3">
        <f>SUM(G21:J21)</f>
        <v>16518177.000000002</v>
      </c>
      <c r="G21" s="3">
        <f>Expenses!G397</f>
        <v>12321102.939706996</v>
      </c>
      <c r="H21" s="3">
        <f>Expenses!H397</f>
        <v>2971704.768454345</v>
      </c>
      <c r="I21" s="3">
        <f>Expenses!I397</f>
        <v>186119.49248857697</v>
      </c>
      <c r="J21" s="3">
        <f>Expenses!J397</f>
        <v>1039249.7993500845</v>
      </c>
    </row>
    <row r="22" spans="2:10" ht="15">
      <c r="B22" s="1" t="s">
        <v>17</v>
      </c>
      <c r="F22" s="3">
        <f>SUM(G22:J22)</f>
        <v>4662683</v>
      </c>
      <c r="G22" s="3">
        <f>Expenses!G418</f>
        <v>3363534.990542986</v>
      </c>
      <c r="H22" s="3">
        <f>Expenses!H418</f>
        <v>880878.2799626704</v>
      </c>
      <c r="I22" s="3">
        <f>Expenses!I418</f>
        <v>57044.05802953621</v>
      </c>
      <c r="J22" s="3">
        <f>Expenses!J418</f>
        <v>361225.67146480747</v>
      </c>
    </row>
    <row r="23" spans="2:10" ht="15">
      <c r="B23" s="1" t="s">
        <v>18</v>
      </c>
      <c r="F23" s="3">
        <f>SUM(G23:J23)</f>
        <v>138203057.00000003</v>
      </c>
      <c r="G23" s="3">
        <f>SUM(G20:G22)</f>
        <v>91654701.23683573</v>
      </c>
      <c r="H23" s="3">
        <f>SUM(H20:H22)</f>
        <v>39110375.00662447</v>
      </c>
      <c r="I23" s="3">
        <f>SUM(I20:I22)</f>
        <v>3185641.3086765385</v>
      </c>
      <c r="J23" s="3">
        <f>SUM(J20:J22)</f>
        <v>4252339.447863279</v>
      </c>
    </row>
    <row r="25" spans="1:10" ht="15">
      <c r="A25" s="1" t="s">
        <v>2</v>
      </c>
      <c r="F25" s="3">
        <f>SUM(G25:J25)</f>
        <v>17171911.280999966</v>
      </c>
      <c r="G25" s="3">
        <f>G16-G23</f>
        <v>1947119.8532526642</v>
      </c>
      <c r="H25" s="3">
        <f>H16-H23</f>
        <v>6147927.073316507</v>
      </c>
      <c r="I25" s="3">
        <f>I16-I23</f>
        <v>73316.83606085321</v>
      </c>
      <c r="J25" s="3">
        <f>J16-J23</f>
        <v>9003547.518369941</v>
      </c>
    </row>
    <row r="27" spans="1:10" ht="15">
      <c r="A27" s="4" t="s">
        <v>3</v>
      </c>
      <c r="F27" s="5">
        <f>SUM(G27:J27)</f>
        <v>7536845.999999999</v>
      </c>
      <c r="G27" s="5">
        <f>Expenses!G421</f>
        <v>5477464.498239268</v>
      </c>
      <c r="H27" s="5">
        <f>Expenses!H421</f>
        <v>1275213.199384306</v>
      </c>
      <c r="I27" s="5">
        <f>Expenses!I421</f>
        <v>77403.50391076985</v>
      </c>
      <c r="J27" s="5">
        <f>Expenses!J421</f>
        <v>706764.7984656559</v>
      </c>
    </row>
    <row r="29" spans="1:10" ht="15">
      <c r="A29" s="4" t="s">
        <v>4</v>
      </c>
      <c r="B29" s="6">
        <v>0.06</v>
      </c>
      <c r="F29" s="5">
        <f>(F25-F27)*$B29</f>
        <v>578103.9168599979</v>
      </c>
      <c r="G29" s="5">
        <f>(G25-G27)*$B29</f>
        <v>-211820.6786991962</v>
      </c>
      <c r="H29" s="5">
        <f>(H25-H27)*$B29</f>
        <v>292362.83243593207</v>
      </c>
      <c r="I29" s="5">
        <f>(I25-I27)*$B29</f>
        <v>-245.20007099499867</v>
      </c>
      <c r="J29" s="5">
        <f>(J25-J27)*$B29</f>
        <v>497806.96319425706</v>
      </c>
    </row>
    <row r="30" spans="1:10" ht="15">
      <c r="A30" s="1" t="s">
        <v>5</v>
      </c>
      <c r="B30" s="6">
        <v>0.35</v>
      </c>
      <c r="F30" s="5">
        <f>(+F25-F27-F29)*0.35</f>
        <v>3169936.4774489887</v>
      </c>
      <c r="G30" s="5">
        <f>(+G25-G27-G29)*0.35</f>
        <v>-1161483.3882005925</v>
      </c>
      <c r="H30" s="5">
        <f>(+H25-H27-H29)*0.35</f>
        <v>1603122.8645236942</v>
      </c>
      <c r="I30" s="5">
        <f>(+I25-I27-I29)*0.35</f>
        <v>-1344.5137226225759</v>
      </c>
      <c r="J30" s="5">
        <f>(+J25-J27-J29)*0.35</f>
        <v>2729641.51484851</v>
      </c>
    </row>
    <row r="32" spans="1:10" ht="15">
      <c r="A32" s="1" t="s">
        <v>6</v>
      </c>
      <c r="F32" s="5">
        <f>F25-F29-F30</f>
        <v>13423870.88669098</v>
      </c>
      <c r="G32" s="5">
        <f>G25-G29-G30</f>
        <v>3320423.920152453</v>
      </c>
      <c r="H32" s="5">
        <f>H25-H29-H30</f>
        <v>4252441.376356881</v>
      </c>
      <c r="I32" s="5">
        <f>I25-I29-I30</f>
        <v>74906.54985447078</v>
      </c>
      <c r="J32" s="5">
        <f>J25-J29-J30</f>
        <v>5776099.040327175</v>
      </c>
    </row>
    <row r="34" spans="1:10" ht="15">
      <c r="A34" s="4" t="s">
        <v>7</v>
      </c>
      <c r="F34" s="3">
        <f>SUM(G34:J34)</f>
        <v>252914290.16000015</v>
      </c>
      <c r="G34" s="3">
        <f>'Rate Base'!G505</f>
        <v>183807529.7609618</v>
      </c>
      <c r="H34" s="3">
        <f>'Rate Base'!H505</f>
        <v>42792388.37106988</v>
      </c>
      <c r="I34" s="3">
        <f>'Rate Base'!I505</f>
        <v>2597432.964331386</v>
      </c>
      <c r="J34" s="3">
        <f>'Rate Base'!J505</f>
        <v>23716939.063637085</v>
      </c>
    </row>
    <row r="36" spans="1:10" ht="15">
      <c r="A36" s="1" t="s">
        <v>8</v>
      </c>
      <c r="F36" s="6">
        <f>F32/F34</f>
        <v>0.05307675923807505</v>
      </c>
      <c r="G36" s="6">
        <f>G32/G34</f>
        <v>0.018064678440924596</v>
      </c>
      <c r="H36" s="6">
        <f>H32/H34</f>
        <v>0.0993737797358321</v>
      </c>
      <c r="I36" s="6">
        <f>I32/I34</f>
        <v>0.02883868453319361</v>
      </c>
      <c r="J36" s="6">
        <f>J32/J34</f>
        <v>0.2435431918439726</v>
      </c>
    </row>
    <row r="37" spans="1:10" ht="15">
      <c r="A37" s="1" t="s">
        <v>9</v>
      </c>
      <c r="G37" s="7">
        <f>G36/$F36</f>
        <v>0.3403500647033806</v>
      </c>
      <c r="H37" s="7">
        <f>H36/$F36</f>
        <v>1.8722653975554993</v>
      </c>
      <c r="I37" s="7">
        <f>I36/$F36</f>
        <v>0.5433392118730931</v>
      </c>
      <c r="J37" s="7">
        <f>J36/$F36</f>
        <v>4.588509082695933</v>
      </c>
    </row>
    <row r="39" ht="15">
      <c r="A39" s="1" t="s">
        <v>10</v>
      </c>
    </row>
    <row r="40" spans="2:11" ht="15">
      <c r="B40" s="1" t="s">
        <v>19</v>
      </c>
      <c r="F40" s="5">
        <f>(+F34*F45)-F32</f>
        <v>8149718.063957034</v>
      </c>
      <c r="G40" s="5">
        <f>(+G34*G45)-G32</f>
        <v>12358358.36845759</v>
      </c>
      <c r="H40" s="5">
        <f>(+H34*H45)-H32</f>
        <v>-602250.6483046203</v>
      </c>
      <c r="I40" s="5">
        <f>(+I34*I45)-I32</f>
        <v>146654.48200299643</v>
      </c>
      <c r="J40" s="5">
        <f>(+J34*J45)-J32</f>
        <v>-3753044.1381989312</v>
      </c>
      <c r="K40" s="5"/>
    </row>
    <row r="41" spans="2:11" ht="15">
      <c r="B41" s="1" t="s">
        <v>20</v>
      </c>
      <c r="D41" s="1">
        <v>0.006622</v>
      </c>
      <c r="F41" s="5">
        <f>((F40+F42)*$D41)/(1-$D41)</f>
        <v>88915.20074661657</v>
      </c>
      <c r="G41" s="5">
        <f>((G40+G42)*$D41)/(1-$D41)</f>
        <v>134832.3839679552</v>
      </c>
      <c r="H41" s="5">
        <f>((H40+H42)*$D41)/(1-$D41)</f>
        <v>-6570.685865884403</v>
      </c>
      <c r="I41" s="5">
        <f>((I40+I42)*$D41)/(1-$D41)</f>
        <v>1600.0323698751502</v>
      </c>
      <c r="J41" s="5">
        <f>((J40+J42)*$D41)/(1-$D41)</f>
        <v>-40946.52972532938</v>
      </c>
      <c r="K41" s="5"/>
    </row>
    <row r="42" spans="2:11" ht="15">
      <c r="B42" s="1" t="s">
        <v>21</v>
      </c>
      <c r="F42" s="5">
        <f>(+F40/(1-$B29-$B30+$B29*$B30))*($B29+$B30-$B29*$B30)</f>
        <v>5188609.372961188</v>
      </c>
      <c r="G42" s="5">
        <f>(+G40/(1-$B29-$B30+$B29*$B30))*($B29+$B30-$B29*$B30)</f>
        <v>7868087.406432081</v>
      </c>
      <c r="H42" s="5">
        <f>(+H40/(1-$B29-$B30+$B29*$B30))*($B29+$B30-$B29*$B30)</f>
        <v>-383429.6271530233</v>
      </c>
      <c r="I42" s="5">
        <f>(+I40/(1-$B29-$B30+$B29*$B30))*($B29+$B30-$B29*$B30)</f>
        <v>93369.22012956727</v>
      </c>
      <c r="J42" s="5">
        <f>(+J40/(1-$B29-$B30+$B29*$B30))*($B29+$B30-$B29*$B30)</f>
        <v>-2389417.6264474373</v>
      </c>
      <c r="K42" s="5"/>
    </row>
    <row r="43" spans="2:11" ht="15">
      <c r="B43" s="1" t="s">
        <v>22</v>
      </c>
      <c r="F43" s="5">
        <f>F42+F41+F40+F16</f>
        <v>168802210.9186648</v>
      </c>
      <c r="G43" s="5">
        <f>G42+G41+G40+G16</f>
        <v>113963099.24894603</v>
      </c>
      <c r="H43" s="5">
        <f>H42+H41+H40+H16</f>
        <v>44266051.118617445</v>
      </c>
      <c r="I43" s="5">
        <f>I42+I41+I40+I16</f>
        <v>3500581.8792398307</v>
      </c>
      <c r="J43" s="5">
        <f>J42+J41+J40+J16</f>
        <v>7072478.671861522</v>
      </c>
      <c r="K43" s="5"/>
    </row>
    <row r="44" spans="2:10" ht="15">
      <c r="B44" s="1" t="s">
        <v>23</v>
      </c>
      <c r="F44" s="5">
        <f>F43-F16</f>
        <v>13427242.637664825</v>
      </c>
      <c r="G44" s="5">
        <f>G43-G16</f>
        <v>20361278.15885763</v>
      </c>
      <c r="H44" s="5">
        <f>H43-H16</f>
        <v>-992250.9613235295</v>
      </c>
      <c r="I44" s="5">
        <f>I43-I16</f>
        <v>241623.73450243892</v>
      </c>
      <c r="J44" s="5">
        <f>J43-J16</f>
        <v>-6183408.294371698</v>
      </c>
    </row>
    <row r="45" spans="2:10" ht="15">
      <c r="B45" s="1" t="s">
        <v>8</v>
      </c>
      <c r="D45" s="6">
        <v>0.0853</v>
      </c>
      <c r="F45" s="6">
        <f>$D45</f>
        <v>0.0853</v>
      </c>
      <c r="G45" s="6">
        <f>$D45</f>
        <v>0.0853</v>
      </c>
      <c r="H45" s="6">
        <f>$D45</f>
        <v>0.0853</v>
      </c>
      <c r="I45" s="6">
        <f>$D45</f>
        <v>0.0853</v>
      </c>
      <c r="J45" s="6">
        <f>$D45</f>
        <v>0.0853</v>
      </c>
    </row>
    <row r="47" spans="2:10" ht="15">
      <c r="B47" s="4" t="s">
        <v>24</v>
      </c>
      <c r="F47" s="6">
        <f>F44/F16</f>
        <v>0.08641831297678065</v>
      </c>
      <c r="G47" s="6">
        <f>G44/G16</f>
        <v>0.21753079076592569</v>
      </c>
      <c r="H47" s="6">
        <f>H44/H16</f>
        <v>-0.021924175581551634</v>
      </c>
      <c r="I47" s="6">
        <f>I44/I16</f>
        <v>0.07414140463651431</v>
      </c>
      <c r="J47" s="6">
        <f>J44/J16</f>
        <v>-0.46646507397978887</v>
      </c>
    </row>
    <row r="48" spans="2:10" ht="15">
      <c r="B48" s="4" t="s">
        <v>25</v>
      </c>
      <c r="F48" s="6">
        <f>F44/F12</f>
        <v>0.21243837766139845</v>
      </c>
      <c r="G48" s="6">
        <f>G44/G12</f>
        <v>0.5506880707833256</v>
      </c>
      <c r="H48" s="6">
        <f>H44/H12</f>
        <v>-0.07199119981322323</v>
      </c>
      <c r="I48" s="6">
        <f>I44/I12</f>
        <v>0.4602967867539135</v>
      </c>
      <c r="J48" s="6">
        <f>J44/J12</f>
        <v>-0.5186019925842296</v>
      </c>
    </row>
  </sheetData>
  <sheetProtection/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5"/>
  <sheetViews>
    <sheetView zoomScale="87" zoomScaleNormal="87" zoomScalePageLayoutView="0" workbookViewId="0" topLeftCell="A91">
      <selection activeCell="E482" sqref="E482"/>
    </sheetView>
  </sheetViews>
  <sheetFormatPr defaultColWidth="8.88671875" defaultRowHeight="15"/>
  <cols>
    <col min="1" max="1" width="4.6640625" style="1" customWidth="1"/>
    <col min="2" max="3" width="7.6640625" style="1" customWidth="1"/>
    <col min="4" max="4" width="34.6640625" style="1" customWidth="1"/>
    <col min="5" max="5" width="7.6640625" style="1" customWidth="1"/>
    <col min="6" max="6" width="13.6640625" style="1" customWidth="1"/>
    <col min="7" max="7" width="11.10546875" style="1" bestFit="1" customWidth="1"/>
    <col min="8" max="8" width="12.6640625" style="1" customWidth="1"/>
    <col min="9" max="9" width="9.6640625" style="1" customWidth="1"/>
    <col min="10" max="10" width="12.6640625" style="1" customWidth="1"/>
    <col min="11" max="16384" width="9.6640625" style="1" customWidth="1"/>
  </cols>
  <sheetData>
    <row r="1" spans="7:10" ht="15">
      <c r="G1" s="1">
        <v>4</v>
      </c>
      <c r="H1" s="1">
        <v>5</v>
      </c>
      <c r="I1" s="1">
        <v>6</v>
      </c>
      <c r="J1" s="1">
        <v>7</v>
      </c>
    </row>
    <row r="11" ht="15.75">
      <c r="A11" s="8" t="s">
        <v>38</v>
      </c>
    </row>
    <row r="15" spans="1:10" ht="15">
      <c r="A15" s="1" t="s">
        <v>39</v>
      </c>
      <c r="B15" s="1" t="s">
        <v>43</v>
      </c>
      <c r="F15" s="1" t="s">
        <v>29</v>
      </c>
      <c r="H15" s="1" t="s">
        <v>32</v>
      </c>
      <c r="I15" s="1" t="s">
        <v>34</v>
      </c>
      <c r="J15" s="1" t="s">
        <v>36</v>
      </c>
    </row>
    <row r="16" spans="1:10" ht="15">
      <c r="A16" s="1" t="s">
        <v>40</v>
      </c>
      <c r="B16" s="1" t="s">
        <v>40</v>
      </c>
      <c r="E16" s="1" t="s">
        <v>28</v>
      </c>
      <c r="F16" s="1" t="s">
        <v>30</v>
      </c>
      <c r="G16" s="1" t="s">
        <v>31</v>
      </c>
      <c r="H16" s="1" t="s">
        <v>33</v>
      </c>
      <c r="I16" s="1" t="s">
        <v>35</v>
      </c>
      <c r="J16" s="1" t="s">
        <v>37</v>
      </c>
    </row>
    <row r="18" spans="1:6" ht="15">
      <c r="A18" s="9">
        <v>1</v>
      </c>
      <c r="B18" s="10"/>
      <c r="C18" s="2" t="s">
        <v>44</v>
      </c>
      <c r="D18" s="2"/>
      <c r="E18" s="2"/>
      <c r="F18" s="10"/>
    </row>
    <row r="19" spans="1:6" ht="15">
      <c r="A19" s="9">
        <v>2</v>
      </c>
      <c r="F19" s="11"/>
    </row>
    <row r="20" spans="1:10" ht="15">
      <c r="A20" s="9">
        <v>3</v>
      </c>
      <c r="B20" s="9">
        <v>30100</v>
      </c>
      <c r="D20" s="2" t="s">
        <v>72</v>
      </c>
      <c r="E20" s="2">
        <v>10</v>
      </c>
      <c r="F20" s="11">
        <v>8329.72</v>
      </c>
      <c r="G20" s="12">
        <f aca="true" t="shared" si="0" ref="G20:J21">INDEX(ALLOC,($E20)+1,(G$1)+1)*$F20</f>
        <v>6182.996463107312</v>
      </c>
      <c r="H20" s="12">
        <f t="shared" si="0"/>
        <v>1375.784801884161</v>
      </c>
      <c r="I20" s="12">
        <f t="shared" si="0"/>
        <v>80.32027078931752</v>
      </c>
      <c r="J20" s="12">
        <f t="shared" si="0"/>
        <v>690.6184642192093</v>
      </c>
    </row>
    <row r="21" spans="1:10" ht="15">
      <c r="A21" s="9">
        <v>4</v>
      </c>
      <c r="B21" s="9">
        <v>30200</v>
      </c>
      <c r="D21" s="13" t="s">
        <v>73</v>
      </c>
      <c r="E21" s="2">
        <v>10</v>
      </c>
      <c r="F21" s="11">
        <v>119852.69</v>
      </c>
      <c r="G21" s="12">
        <f t="shared" si="0"/>
        <v>88964.42597877205</v>
      </c>
      <c r="H21" s="12">
        <f t="shared" si="0"/>
        <v>19795.564480790927</v>
      </c>
      <c r="I21" s="12">
        <f t="shared" si="0"/>
        <v>1155.6931704340757</v>
      </c>
      <c r="J21" s="12">
        <f t="shared" si="0"/>
        <v>9937.006370002951</v>
      </c>
    </row>
    <row r="22" spans="1:6" ht="15">
      <c r="A22" s="9">
        <v>5</v>
      </c>
      <c r="B22" s="9">
        <v>30300</v>
      </c>
      <c r="D22" s="2" t="s">
        <v>74</v>
      </c>
      <c r="E22" s="2"/>
      <c r="F22" s="9">
        <v>0</v>
      </c>
    </row>
    <row r="23" spans="1:6" ht="15">
      <c r="A23" s="9">
        <v>6</v>
      </c>
      <c r="F23" s="10"/>
    </row>
    <row r="24" spans="1:10" ht="15">
      <c r="A24" s="9">
        <v>7</v>
      </c>
      <c r="C24" s="2" t="s">
        <v>45</v>
      </c>
      <c r="D24" s="2"/>
      <c r="E24" s="2"/>
      <c r="F24" s="14">
        <f>SUM(F20:F22)</f>
        <v>128182.41</v>
      </c>
      <c r="G24" s="14">
        <f>SUM(G20:G22)</f>
        <v>95147.42244187936</v>
      </c>
      <c r="H24" s="14">
        <f>SUM(H20:H22)</f>
        <v>21171.349282675088</v>
      </c>
      <c r="I24" s="14">
        <f>SUM(I20:I22)</f>
        <v>1236.013441223393</v>
      </c>
      <c r="J24" s="14">
        <f>SUM(J20:J22)</f>
        <v>10627.62483422216</v>
      </c>
    </row>
    <row r="25" spans="1:6" ht="15">
      <c r="A25" s="9">
        <v>8</v>
      </c>
      <c r="F25" s="10"/>
    </row>
    <row r="26" spans="1:6" ht="15">
      <c r="A26" s="9">
        <v>9</v>
      </c>
      <c r="C26" s="2" t="s">
        <v>46</v>
      </c>
      <c r="D26" s="2"/>
      <c r="E26" s="2"/>
      <c r="F26" s="10"/>
    </row>
    <row r="27" spans="1:6" ht="15">
      <c r="A27" s="9">
        <v>10</v>
      </c>
      <c r="F27" s="10"/>
    </row>
    <row r="28" spans="1:10" ht="15">
      <c r="A28" s="9">
        <v>11</v>
      </c>
      <c r="B28" s="9">
        <v>32520</v>
      </c>
      <c r="D28" s="2" t="s">
        <v>75</v>
      </c>
      <c r="E28" s="2">
        <v>4</v>
      </c>
      <c r="F28" s="11">
        <v>2352.5</v>
      </c>
      <c r="G28" s="12">
        <f aca="true" t="shared" si="1" ref="G28:J34">INDEX(ALLOC,($E28)+1,(G$1)+1)*$F28</f>
        <v>1006.6029290770415</v>
      </c>
      <c r="H28" s="12">
        <f t="shared" si="1"/>
        <v>452.4328166709088</v>
      </c>
      <c r="I28" s="12">
        <f t="shared" si="1"/>
        <v>40.728551467182385</v>
      </c>
      <c r="J28" s="12">
        <f t="shared" si="1"/>
        <v>852.7357027848675</v>
      </c>
    </row>
    <row r="29" spans="1:10" ht="15">
      <c r="A29" s="9">
        <v>12</v>
      </c>
      <c r="B29" s="9">
        <v>32540</v>
      </c>
      <c r="D29" s="2" t="s">
        <v>76</v>
      </c>
      <c r="E29" s="2">
        <v>4</v>
      </c>
      <c r="F29" s="11">
        <v>83422.32</v>
      </c>
      <c r="G29" s="12">
        <f t="shared" si="1"/>
        <v>35695.28232195633</v>
      </c>
      <c r="H29" s="12">
        <f t="shared" si="1"/>
        <v>16043.781173569347</v>
      </c>
      <c r="I29" s="12">
        <f t="shared" si="1"/>
        <v>1444.2806604173256</v>
      </c>
      <c r="J29" s="12">
        <f t="shared" si="1"/>
        <v>30238.975844057008</v>
      </c>
    </row>
    <row r="30" spans="1:10" ht="15">
      <c r="A30" s="9">
        <v>13</v>
      </c>
      <c r="B30" s="9">
        <v>33100</v>
      </c>
      <c r="D30" s="13" t="s">
        <v>77</v>
      </c>
      <c r="E30" s="2">
        <v>4</v>
      </c>
      <c r="F30" s="11">
        <v>3492.47</v>
      </c>
      <c r="G30" s="12">
        <f t="shared" si="1"/>
        <v>1494.380672354387</v>
      </c>
      <c r="H30" s="12">
        <f t="shared" si="1"/>
        <v>671.6718551492661</v>
      </c>
      <c r="I30" s="12">
        <f t="shared" si="1"/>
        <v>60.46471589483122</v>
      </c>
      <c r="J30" s="12">
        <f t="shared" si="1"/>
        <v>1265.9527566015158</v>
      </c>
    </row>
    <row r="31" spans="1:10" ht="15">
      <c r="A31" s="9">
        <v>14</v>
      </c>
      <c r="B31" s="9">
        <v>33201</v>
      </c>
      <c r="D31" s="2" t="s">
        <v>78</v>
      </c>
      <c r="E31" s="2">
        <v>4</v>
      </c>
      <c r="F31" s="11">
        <v>47162.67</v>
      </c>
      <c r="G31" s="12">
        <f t="shared" si="1"/>
        <v>20180.268550518136</v>
      </c>
      <c r="H31" s="12">
        <f t="shared" si="1"/>
        <v>9070.325028616608</v>
      </c>
      <c r="I31" s="12">
        <f t="shared" si="1"/>
        <v>816.5216715939378</v>
      </c>
      <c r="J31" s="12">
        <f t="shared" si="1"/>
        <v>17095.554749271323</v>
      </c>
    </row>
    <row r="32" spans="1:10" ht="15">
      <c r="A32" s="9">
        <v>15</v>
      </c>
      <c r="B32" s="9">
        <v>33202</v>
      </c>
      <c r="D32" s="2" t="s">
        <v>79</v>
      </c>
      <c r="E32" s="2">
        <v>4</v>
      </c>
      <c r="F32" s="11">
        <v>528218</v>
      </c>
      <c r="G32" s="12">
        <f t="shared" si="1"/>
        <v>226017.3372970103</v>
      </c>
      <c r="H32" s="12">
        <f t="shared" si="1"/>
        <v>101586.88950319834</v>
      </c>
      <c r="I32" s="12">
        <f t="shared" si="1"/>
        <v>9144.97513236648</v>
      </c>
      <c r="J32" s="12">
        <f t="shared" si="1"/>
        <v>191468.7980674249</v>
      </c>
    </row>
    <row r="33" spans="1:10" ht="15">
      <c r="A33" s="9">
        <v>16</v>
      </c>
      <c r="B33" s="9">
        <v>33400</v>
      </c>
      <c r="D33" s="13" t="s">
        <v>80</v>
      </c>
      <c r="E33" s="2">
        <v>4</v>
      </c>
      <c r="F33" s="11">
        <v>192384.43</v>
      </c>
      <c r="G33" s="12">
        <f t="shared" si="1"/>
        <v>82318.69532277026</v>
      </c>
      <c r="H33" s="12">
        <f t="shared" si="1"/>
        <v>36999.37494092552</v>
      </c>
      <c r="I33" s="12">
        <f t="shared" si="1"/>
        <v>3330.728654086948</v>
      </c>
      <c r="J33" s="12">
        <f t="shared" si="1"/>
        <v>69735.63108221727</v>
      </c>
    </row>
    <row r="34" spans="1:10" ht="15">
      <c r="A34" s="9">
        <v>17</v>
      </c>
      <c r="B34" s="9">
        <v>33600</v>
      </c>
      <c r="D34" s="2" t="s">
        <v>81</v>
      </c>
      <c r="E34" s="2">
        <v>4</v>
      </c>
      <c r="F34" s="11">
        <v>44369.3</v>
      </c>
      <c r="G34" s="12">
        <f t="shared" si="1"/>
        <v>18985.023311837613</v>
      </c>
      <c r="H34" s="12">
        <f t="shared" si="1"/>
        <v>8533.10409042149</v>
      </c>
      <c r="I34" s="12">
        <f t="shared" si="1"/>
        <v>768.1603904836792</v>
      </c>
      <c r="J34" s="12">
        <f t="shared" si="1"/>
        <v>16083.012207257225</v>
      </c>
    </row>
    <row r="35" spans="1:6" ht="15">
      <c r="A35" s="9">
        <v>18</v>
      </c>
      <c r="F35" s="10"/>
    </row>
    <row r="36" spans="1:10" ht="15">
      <c r="A36" s="9">
        <v>19</v>
      </c>
      <c r="C36" s="2" t="s">
        <v>47</v>
      </c>
      <c r="D36" s="2"/>
      <c r="E36" s="2"/>
      <c r="F36" s="14">
        <f>SUM(F28:F34)</f>
        <v>901401.69</v>
      </c>
      <c r="G36" s="14">
        <f>SUM(G28:G34)</f>
        <v>385697.59040552407</v>
      </c>
      <c r="H36" s="14">
        <f>SUM(H28:H34)</f>
        <v>173357.57940855148</v>
      </c>
      <c r="I36" s="14">
        <f>SUM(I28:I34)</f>
        <v>15605.859776310384</v>
      </c>
      <c r="J36" s="14">
        <f>SUM(J28:J34)</f>
        <v>326740.6604096141</v>
      </c>
    </row>
    <row r="37" spans="1:6" ht="15">
      <c r="A37" s="9">
        <v>20</v>
      </c>
      <c r="F37" s="10"/>
    </row>
    <row r="38" spans="1:6" ht="15">
      <c r="A38" s="9">
        <v>21</v>
      </c>
      <c r="C38" s="2" t="s">
        <v>48</v>
      </c>
      <c r="D38" s="2"/>
      <c r="E38" s="2"/>
      <c r="F38" s="10"/>
    </row>
    <row r="39" spans="1:6" ht="15">
      <c r="A39" s="9">
        <v>22</v>
      </c>
      <c r="F39" s="10"/>
    </row>
    <row r="40" spans="1:10" ht="15">
      <c r="A40" s="9">
        <v>23</v>
      </c>
      <c r="B40" s="9">
        <v>35010</v>
      </c>
      <c r="D40" s="2" t="s">
        <v>82</v>
      </c>
      <c r="E40" s="2">
        <v>55</v>
      </c>
      <c r="F40" s="11">
        <v>261126.69</v>
      </c>
      <c r="G40" s="12">
        <f aca="true" t="shared" si="2" ref="G40:J56">INDEX(ALLOC,($E40)+1,(G$1)+1)*$F40</f>
        <v>96764.25282442902</v>
      </c>
      <c r="H40" s="12">
        <f t="shared" si="2"/>
        <v>45447.67827189457</v>
      </c>
      <c r="I40" s="12">
        <f t="shared" si="2"/>
        <v>4220.227080589575</v>
      </c>
      <c r="J40" s="12">
        <f t="shared" si="2"/>
        <v>114694.53182308686</v>
      </c>
    </row>
    <row r="41" spans="1:10" ht="15">
      <c r="A41" s="9">
        <v>24</v>
      </c>
      <c r="B41" s="9">
        <v>35020</v>
      </c>
      <c r="D41" s="2" t="s">
        <v>83</v>
      </c>
      <c r="E41" s="2">
        <v>55</v>
      </c>
      <c r="F41" s="11">
        <v>4681.58</v>
      </c>
      <c r="G41" s="12">
        <f t="shared" si="2"/>
        <v>1734.8268410930739</v>
      </c>
      <c r="H41" s="12">
        <f t="shared" si="2"/>
        <v>814.8035026374981</v>
      </c>
      <c r="I41" s="12">
        <f t="shared" si="2"/>
        <v>75.66185860184012</v>
      </c>
      <c r="J41" s="12">
        <f t="shared" si="2"/>
        <v>2056.287797667588</v>
      </c>
    </row>
    <row r="42" spans="1:10" ht="15">
      <c r="A42" s="9">
        <v>25</v>
      </c>
      <c r="B42" s="9">
        <v>35100</v>
      </c>
      <c r="D42" s="13" t="s">
        <v>84</v>
      </c>
      <c r="E42" s="2">
        <v>55</v>
      </c>
      <c r="F42" s="11">
        <v>17916.19</v>
      </c>
      <c r="G42" s="12">
        <f t="shared" si="2"/>
        <v>6639.102034382264</v>
      </c>
      <c r="H42" s="12">
        <f t="shared" si="2"/>
        <v>3118.2152961006577</v>
      </c>
      <c r="I42" s="12">
        <f t="shared" si="2"/>
        <v>289.5544312953537</v>
      </c>
      <c r="J42" s="12">
        <f t="shared" si="2"/>
        <v>7869.318238221725</v>
      </c>
    </row>
    <row r="43" spans="1:10" ht="15">
      <c r="A43" s="9">
        <v>26</v>
      </c>
      <c r="B43" s="9">
        <v>35102</v>
      </c>
      <c r="D43" s="13" t="s">
        <v>85</v>
      </c>
      <c r="E43" s="2">
        <v>55</v>
      </c>
      <c r="F43" s="11">
        <v>153261.3</v>
      </c>
      <c r="G43" s="12">
        <f t="shared" si="2"/>
        <v>56793.180281190944</v>
      </c>
      <c r="H43" s="12">
        <f t="shared" si="2"/>
        <v>26674.2945883177</v>
      </c>
      <c r="I43" s="12">
        <f t="shared" si="2"/>
        <v>2476.948980842835</v>
      </c>
      <c r="J43" s="12">
        <f t="shared" si="2"/>
        <v>67316.87614964851</v>
      </c>
    </row>
    <row r="44" spans="1:10" ht="15">
      <c r="A44" s="9">
        <v>27</v>
      </c>
      <c r="B44" s="9">
        <v>35103</v>
      </c>
      <c r="D44" s="13" t="s">
        <v>86</v>
      </c>
      <c r="E44" s="2">
        <v>55</v>
      </c>
      <c r="F44" s="11">
        <v>23138.38</v>
      </c>
      <c r="G44" s="12">
        <f t="shared" si="2"/>
        <v>8574.259690833258</v>
      </c>
      <c r="H44" s="12">
        <f t="shared" si="2"/>
        <v>4027.1090250209195</v>
      </c>
      <c r="I44" s="12">
        <f t="shared" si="2"/>
        <v>373.95341654647484</v>
      </c>
      <c r="J44" s="12">
        <f t="shared" si="2"/>
        <v>10163.057867599351</v>
      </c>
    </row>
    <row r="45" spans="1:10" ht="15">
      <c r="A45" s="9">
        <v>28</v>
      </c>
      <c r="B45" s="9">
        <v>35104</v>
      </c>
      <c r="D45" s="2" t="s">
        <v>87</v>
      </c>
      <c r="E45" s="2">
        <v>55</v>
      </c>
      <c r="F45" s="11">
        <v>137442.53</v>
      </c>
      <c r="G45" s="12">
        <f t="shared" si="2"/>
        <v>50931.307411544825</v>
      </c>
      <c r="H45" s="12">
        <f t="shared" si="2"/>
        <v>23921.123820453653</v>
      </c>
      <c r="I45" s="12">
        <f t="shared" si="2"/>
        <v>2221.2922284227056</v>
      </c>
      <c r="J45" s="12">
        <f t="shared" si="2"/>
        <v>60368.806539578814</v>
      </c>
    </row>
    <row r="46" spans="1:10" ht="15">
      <c r="A46" s="9">
        <v>29</v>
      </c>
      <c r="B46" s="9">
        <v>35200</v>
      </c>
      <c r="D46" s="2" t="s">
        <v>88</v>
      </c>
      <c r="E46" s="2">
        <v>55</v>
      </c>
      <c r="F46" s="11">
        <v>4442222.12</v>
      </c>
      <c r="G46" s="12">
        <f t="shared" si="2"/>
        <v>1646129.3340866498</v>
      </c>
      <c r="H46" s="12">
        <f t="shared" si="2"/>
        <v>773144.5671909425</v>
      </c>
      <c r="I46" s="12">
        <f t="shared" si="2"/>
        <v>71793.45048496587</v>
      </c>
      <c r="J46" s="12">
        <f t="shared" si="2"/>
        <v>1951154.768237442</v>
      </c>
    </row>
    <row r="47" spans="1:10" ht="15">
      <c r="A47" s="9">
        <v>30</v>
      </c>
      <c r="B47" s="9">
        <v>35201</v>
      </c>
      <c r="D47" s="2" t="s">
        <v>89</v>
      </c>
      <c r="E47" s="2">
        <v>55</v>
      </c>
      <c r="F47" s="11">
        <v>1340862.52</v>
      </c>
      <c r="G47" s="12">
        <f t="shared" si="2"/>
        <v>496875.902988243</v>
      </c>
      <c r="H47" s="12">
        <f t="shared" si="2"/>
        <v>233369.819131862</v>
      </c>
      <c r="I47" s="12">
        <f t="shared" si="2"/>
        <v>21670.49380609688</v>
      </c>
      <c r="J47" s="12">
        <f t="shared" si="2"/>
        <v>588946.3040737982</v>
      </c>
    </row>
    <row r="48" spans="1:10" ht="15">
      <c r="A48" s="9">
        <v>31</v>
      </c>
      <c r="B48" s="9">
        <v>35202</v>
      </c>
      <c r="D48" s="2" t="s">
        <v>90</v>
      </c>
      <c r="E48" s="2">
        <v>55</v>
      </c>
      <c r="F48" s="11">
        <v>455308.8</v>
      </c>
      <c r="G48" s="12">
        <f t="shared" si="2"/>
        <v>168721.2281379103</v>
      </c>
      <c r="H48" s="12">
        <f t="shared" si="2"/>
        <v>79244.01698180445</v>
      </c>
      <c r="I48" s="12">
        <f t="shared" si="2"/>
        <v>7358.52213265041</v>
      </c>
      <c r="J48" s="12">
        <f t="shared" si="2"/>
        <v>199985.03274763483</v>
      </c>
    </row>
    <row r="49" spans="1:10" ht="15">
      <c r="A49" s="9">
        <v>32</v>
      </c>
      <c r="B49" s="9">
        <v>35203</v>
      </c>
      <c r="D49" s="2" t="s">
        <v>91</v>
      </c>
      <c r="E49" s="2">
        <v>55</v>
      </c>
      <c r="F49" s="11">
        <v>1694832.96</v>
      </c>
      <c r="G49" s="12">
        <f t="shared" si="2"/>
        <v>628044.7434791725</v>
      </c>
      <c r="H49" s="12">
        <f t="shared" si="2"/>
        <v>294976.446454718</v>
      </c>
      <c r="I49" s="12">
        <f t="shared" si="2"/>
        <v>27391.22513622712</v>
      </c>
      <c r="J49" s="12">
        <f t="shared" si="2"/>
        <v>744420.5449298825</v>
      </c>
    </row>
    <row r="50" spans="1:10" ht="15">
      <c r="A50" s="9">
        <v>33</v>
      </c>
      <c r="B50" s="9">
        <v>35210</v>
      </c>
      <c r="D50" s="2" t="s">
        <v>92</v>
      </c>
      <c r="E50" s="2">
        <v>55</v>
      </c>
      <c r="F50" s="11">
        <v>178530.09</v>
      </c>
      <c r="G50" s="12">
        <f t="shared" si="2"/>
        <v>66156.89405601574</v>
      </c>
      <c r="H50" s="12">
        <f t="shared" si="2"/>
        <v>31072.18987140832</v>
      </c>
      <c r="I50" s="12">
        <f t="shared" si="2"/>
        <v>2885.3332476971004</v>
      </c>
      <c r="J50" s="12">
        <f t="shared" si="2"/>
        <v>78415.67282487884</v>
      </c>
    </row>
    <row r="51" spans="1:10" ht="15">
      <c r="A51" s="9">
        <v>34</v>
      </c>
      <c r="B51" s="9">
        <v>35211</v>
      </c>
      <c r="D51" s="2" t="s">
        <v>93</v>
      </c>
      <c r="E51" s="2">
        <v>55</v>
      </c>
      <c r="F51" s="11">
        <v>54614.27</v>
      </c>
      <c r="G51" s="12">
        <f t="shared" si="2"/>
        <v>20238.103696338465</v>
      </c>
      <c r="H51" s="12">
        <f t="shared" si="2"/>
        <v>9505.316258611416</v>
      </c>
      <c r="I51" s="12">
        <f t="shared" si="2"/>
        <v>882.6543975287657</v>
      </c>
      <c r="J51" s="12">
        <f t="shared" si="2"/>
        <v>23988.195647521352</v>
      </c>
    </row>
    <row r="52" spans="1:10" ht="15">
      <c r="A52" s="9">
        <v>35</v>
      </c>
      <c r="B52" s="9">
        <v>35301</v>
      </c>
      <c r="D52" s="2" t="s">
        <v>78</v>
      </c>
      <c r="E52" s="2">
        <v>55</v>
      </c>
      <c r="F52" s="11">
        <v>178496.9</v>
      </c>
      <c r="G52" s="12">
        <f t="shared" si="2"/>
        <v>66144.59502388217</v>
      </c>
      <c r="H52" s="12">
        <f t="shared" si="2"/>
        <v>31066.41333266445</v>
      </c>
      <c r="I52" s="12">
        <f t="shared" si="2"/>
        <v>2884.796843943027</v>
      </c>
      <c r="J52" s="12">
        <f t="shared" si="2"/>
        <v>78401.09479951035</v>
      </c>
    </row>
    <row r="53" spans="1:10" ht="15">
      <c r="A53" s="9">
        <v>36</v>
      </c>
      <c r="B53" s="9">
        <v>35302</v>
      </c>
      <c r="D53" s="2" t="s">
        <v>79</v>
      </c>
      <c r="E53" s="2">
        <v>55</v>
      </c>
      <c r="F53" s="11">
        <v>209458.21</v>
      </c>
      <c r="G53" s="12">
        <f t="shared" si="2"/>
        <v>77617.75400512427</v>
      </c>
      <c r="H53" s="12">
        <f t="shared" si="2"/>
        <v>36455.06071971015</v>
      </c>
      <c r="I53" s="12">
        <f t="shared" si="2"/>
        <v>3385.1813849201626</v>
      </c>
      <c r="J53" s="12">
        <f t="shared" si="2"/>
        <v>92000.21389024542</v>
      </c>
    </row>
    <row r="54" spans="1:10" ht="15">
      <c r="A54" s="9">
        <v>37</v>
      </c>
      <c r="B54" s="9">
        <v>35400</v>
      </c>
      <c r="D54" s="13" t="s">
        <v>94</v>
      </c>
      <c r="E54" s="2">
        <v>55</v>
      </c>
      <c r="F54" s="11">
        <v>923446.05</v>
      </c>
      <c r="G54" s="12">
        <f t="shared" si="2"/>
        <v>342196.2230361068</v>
      </c>
      <c r="H54" s="12">
        <f t="shared" si="2"/>
        <v>160720.7558210609</v>
      </c>
      <c r="I54" s="12">
        <f t="shared" si="2"/>
        <v>14924.37263947808</v>
      </c>
      <c r="J54" s="12">
        <f t="shared" si="2"/>
        <v>405604.69850335433</v>
      </c>
    </row>
    <row r="55" spans="1:10" ht="15">
      <c r="A55" s="9">
        <v>38</v>
      </c>
      <c r="B55" s="9">
        <v>35500</v>
      </c>
      <c r="D55" s="13" t="s">
        <v>95</v>
      </c>
      <c r="E55" s="2">
        <v>55</v>
      </c>
      <c r="F55" s="11">
        <v>240883.03</v>
      </c>
      <c r="G55" s="12">
        <f t="shared" si="2"/>
        <v>89262.67328718683</v>
      </c>
      <c r="H55" s="12">
        <f t="shared" si="2"/>
        <v>41924.37949793308</v>
      </c>
      <c r="I55" s="12">
        <f t="shared" si="2"/>
        <v>3893.056992605662</v>
      </c>
      <c r="J55" s="12">
        <f t="shared" si="2"/>
        <v>105802.92022227444</v>
      </c>
    </row>
    <row r="56" spans="1:10" ht="15">
      <c r="A56" s="9">
        <v>39</v>
      </c>
      <c r="B56" s="9">
        <v>35600</v>
      </c>
      <c r="D56" s="2" t="s">
        <v>81</v>
      </c>
      <c r="E56" s="2">
        <v>55</v>
      </c>
      <c r="F56" s="11">
        <v>163979.47</v>
      </c>
      <c r="G56" s="12">
        <f t="shared" si="2"/>
        <v>60764.95241867414</v>
      </c>
      <c r="H56" s="12">
        <f t="shared" si="2"/>
        <v>28539.733704569942</v>
      </c>
      <c r="I56" s="12">
        <f t="shared" si="2"/>
        <v>2650.171837871976</v>
      </c>
      <c r="J56" s="12">
        <f t="shared" si="2"/>
        <v>72024.61203888395</v>
      </c>
    </row>
    <row r="57" spans="1:6" ht="15">
      <c r="A57" s="9">
        <v>40</v>
      </c>
      <c r="F57" s="10"/>
    </row>
    <row r="58" spans="1:10" ht="15">
      <c r="A58" s="9">
        <v>41</v>
      </c>
      <c r="C58" s="2" t="s">
        <v>49</v>
      </c>
      <c r="D58" s="2"/>
      <c r="E58" s="2"/>
      <c r="F58" s="14">
        <f>SUM(F40:F56)</f>
        <v>10480201.090000002</v>
      </c>
      <c r="G58" s="14">
        <f>SUM(G40:G56)</f>
        <v>3883589.333298777</v>
      </c>
      <c r="H58" s="14">
        <f>SUM(H40:H56)</f>
        <v>1824021.92346971</v>
      </c>
      <c r="I58" s="14">
        <f>SUM(I40:I56)</f>
        <v>169376.89690028384</v>
      </c>
      <c r="J58" s="14">
        <f>SUM(J40:J56)</f>
        <v>4603212.936331228</v>
      </c>
    </row>
    <row r="59" spans="1:6" ht="15">
      <c r="A59" s="9">
        <v>42</v>
      </c>
      <c r="F59" s="10"/>
    </row>
    <row r="60" spans="1:6" ht="15">
      <c r="A60" s="9">
        <v>43</v>
      </c>
      <c r="C60" s="2" t="s">
        <v>50</v>
      </c>
      <c r="D60" s="2"/>
      <c r="E60" s="2"/>
      <c r="F60" s="10"/>
    </row>
    <row r="61" spans="1:6" ht="15">
      <c r="A61" s="9">
        <v>44</v>
      </c>
      <c r="F61" s="10"/>
    </row>
    <row r="62" spans="1:10" ht="15">
      <c r="A62" s="9">
        <v>45</v>
      </c>
      <c r="B62" s="9">
        <v>36510</v>
      </c>
      <c r="D62" s="2" t="s">
        <v>96</v>
      </c>
      <c r="E62" s="2">
        <v>4</v>
      </c>
      <c r="F62" s="11">
        <v>26970.37</v>
      </c>
      <c r="G62" s="12">
        <f aca="true" t="shared" si="3" ref="G62:J69">INDEX(ALLOC,($E62)+1,(G$1)+1)*$F62</f>
        <v>11540.256510219582</v>
      </c>
      <c r="H62" s="12">
        <f t="shared" si="3"/>
        <v>5186.941749524581</v>
      </c>
      <c r="I62" s="12">
        <f t="shared" si="3"/>
        <v>466.93479389328445</v>
      </c>
      <c r="J62" s="12">
        <f t="shared" si="3"/>
        <v>9776.236946362553</v>
      </c>
    </row>
    <row r="63" spans="1:10" ht="15">
      <c r="A63" s="9">
        <v>46</v>
      </c>
      <c r="B63" s="9">
        <v>36520</v>
      </c>
      <c r="D63" s="2" t="s">
        <v>83</v>
      </c>
      <c r="E63" s="2">
        <v>4</v>
      </c>
      <c r="F63" s="11">
        <v>867772</v>
      </c>
      <c r="G63" s="12">
        <f t="shared" si="3"/>
        <v>371307.9009441201</v>
      </c>
      <c r="H63" s="12">
        <f t="shared" si="3"/>
        <v>166889.91718943586</v>
      </c>
      <c r="I63" s="12">
        <f t="shared" si="3"/>
        <v>15023.632970788434</v>
      </c>
      <c r="J63" s="12">
        <f t="shared" si="3"/>
        <v>314550.54889565567</v>
      </c>
    </row>
    <row r="64" spans="1:10" ht="15">
      <c r="A64" s="9">
        <v>47</v>
      </c>
      <c r="B64" s="9">
        <v>36602</v>
      </c>
      <c r="D64" s="13" t="s">
        <v>97</v>
      </c>
      <c r="E64" s="2">
        <v>4</v>
      </c>
      <c r="F64" s="11">
        <v>49001.72</v>
      </c>
      <c r="G64" s="12">
        <f t="shared" si="3"/>
        <v>20967.17316973987</v>
      </c>
      <c r="H64" s="12">
        <f t="shared" si="3"/>
        <v>9424.011137648971</v>
      </c>
      <c r="I64" s="12">
        <f t="shared" si="3"/>
        <v>848.3609245485485</v>
      </c>
      <c r="J64" s="12">
        <f t="shared" si="3"/>
        <v>17762.174768062614</v>
      </c>
    </row>
    <row r="65" spans="1:10" ht="15">
      <c r="A65" s="9">
        <v>48</v>
      </c>
      <c r="B65" s="9">
        <v>36603</v>
      </c>
      <c r="D65" s="2" t="s">
        <v>98</v>
      </c>
      <c r="E65" s="2">
        <v>4</v>
      </c>
      <c r="F65" s="11">
        <v>60826.29</v>
      </c>
      <c r="G65" s="12">
        <f t="shared" si="3"/>
        <v>26026.746728539663</v>
      </c>
      <c r="H65" s="12">
        <f t="shared" si="3"/>
        <v>11698.11252384337</v>
      </c>
      <c r="I65" s="12">
        <f t="shared" si="3"/>
        <v>1053.0782923794945</v>
      </c>
      <c r="J65" s="12">
        <f t="shared" si="3"/>
        <v>22048.352455237473</v>
      </c>
    </row>
    <row r="66" spans="1:10" ht="15">
      <c r="A66" s="9">
        <v>49</v>
      </c>
      <c r="B66" s="9">
        <v>36700</v>
      </c>
      <c r="D66" s="13" t="s">
        <v>99</v>
      </c>
      <c r="E66" s="2">
        <v>4</v>
      </c>
      <c r="F66" s="11">
        <v>406035.22</v>
      </c>
      <c r="G66" s="12">
        <f t="shared" si="3"/>
        <v>173736.97843164334</v>
      </c>
      <c r="H66" s="12">
        <f t="shared" si="3"/>
        <v>78088.69638775435</v>
      </c>
      <c r="I66" s="12">
        <f t="shared" si="3"/>
        <v>7029.6392583458955</v>
      </c>
      <c r="J66" s="12">
        <f t="shared" si="3"/>
        <v>147179.90592225644</v>
      </c>
    </row>
    <row r="67" spans="1:10" ht="15">
      <c r="A67" s="9">
        <v>50</v>
      </c>
      <c r="B67" s="9">
        <v>36701</v>
      </c>
      <c r="D67" s="2" t="s">
        <v>100</v>
      </c>
      <c r="E67" s="2">
        <v>4</v>
      </c>
      <c r="F67" s="11">
        <v>27830934.77</v>
      </c>
      <c r="G67" s="12">
        <f t="shared" si="3"/>
        <v>11908480.534934783</v>
      </c>
      <c r="H67" s="12">
        <f t="shared" si="3"/>
        <v>5352445.572189343</v>
      </c>
      <c r="I67" s="12">
        <f t="shared" si="3"/>
        <v>481833.6489520683</v>
      </c>
      <c r="J67" s="12">
        <f t="shared" si="3"/>
        <v>10088175.013923805</v>
      </c>
    </row>
    <row r="68" spans="1:10" ht="15">
      <c r="A68" s="9">
        <v>51</v>
      </c>
      <c r="B68" s="9">
        <v>36900</v>
      </c>
      <c r="D68" s="13" t="s">
        <v>101</v>
      </c>
      <c r="E68" s="2">
        <v>4</v>
      </c>
      <c r="F68" s="11">
        <v>578023.1</v>
      </c>
      <c r="G68" s="12">
        <f t="shared" si="3"/>
        <v>247328.26590188805</v>
      </c>
      <c r="H68" s="12">
        <f t="shared" si="3"/>
        <v>111165.40668814043</v>
      </c>
      <c r="I68" s="12">
        <f t="shared" si="3"/>
        <v>10007.244878882171</v>
      </c>
      <c r="J68" s="12">
        <f t="shared" si="3"/>
        <v>209522.18253108935</v>
      </c>
    </row>
    <row r="69" spans="1:10" ht="15">
      <c r="A69" s="9">
        <v>52</v>
      </c>
      <c r="B69" s="9">
        <v>36901</v>
      </c>
      <c r="D69" s="13" t="s">
        <v>101</v>
      </c>
      <c r="E69" s="2">
        <v>4</v>
      </c>
      <c r="F69" s="11">
        <v>2274015.66</v>
      </c>
      <c r="G69" s="12">
        <f t="shared" si="3"/>
        <v>973020.5416038521</v>
      </c>
      <c r="H69" s="12">
        <f t="shared" si="3"/>
        <v>437338.7078459323</v>
      </c>
      <c r="I69" s="12">
        <f t="shared" si="3"/>
        <v>39369.76146460732</v>
      </c>
      <c r="J69" s="12">
        <f t="shared" si="3"/>
        <v>824286.6490856087</v>
      </c>
    </row>
    <row r="70" spans="1:6" ht="15">
      <c r="A70" s="9">
        <v>53</v>
      </c>
      <c r="F70" s="10"/>
    </row>
    <row r="71" spans="1:10" ht="15">
      <c r="A71" s="9">
        <v>54</v>
      </c>
      <c r="C71" s="2" t="s">
        <v>51</v>
      </c>
      <c r="D71" s="2"/>
      <c r="E71" s="2"/>
      <c r="F71" s="14">
        <f>SUM(F62:F69)</f>
        <v>32093579.130000003</v>
      </c>
      <c r="G71" s="14">
        <f>SUM(G62:G69)</f>
        <v>13732408.398224786</v>
      </c>
      <c r="H71" s="14">
        <f>SUM(H62:H69)</f>
        <v>6172237.365711623</v>
      </c>
      <c r="I71" s="14">
        <f>SUM(I62:I69)</f>
        <v>555632.3015355135</v>
      </c>
      <c r="J71" s="14">
        <f>SUM(J62:J69)</f>
        <v>11633301.064528078</v>
      </c>
    </row>
    <row r="72" spans="1:6" ht="15">
      <c r="A72" s="9">
        <v>55</v>
      </c>
      <c r="B72" s="10"/>
      <c r="C72" s="10"/>
      <c r="D72" s="10"/>
      <c r="E72" s="10"/>
      <c r="F72" s="10"/>
    </row>
    <row r="73" spans="1:6" ht="15">
      <c r="A73" s="9">
        <v>56</v>
      </c>
      <c r="C73" s="2" t="s">
        <v>52</v>
      </c>
      <c r="D73" s="2"/>
      <c r="E73" s="2"/>
      <c r="F73" s="10"/>
    </row>
    <row r="74" spans="1:6" ht="15">
      <c r="A74" s="9">
        <v>57</v>
      </c>
      <c r="F74" s="10"/>
    </row>
    <row r="75" spans="1:10" ht="15">
      <c r="A75" s="9">
        <v>58</v>
      </c>
      <c r="B75" s="9">
        <v>37400</v>
      </c>
      <c r="D75" s="2" t="s">
        <v>96</v>
      </c>
      <c r="E75" s="2">
        <v>56</v>
      </c>
      <c r="F75" s="11">
        <v>531819.13</v>
      </c>
      <c r="G75" s="12">
        <f aca="true" t="shared" si="4" ref="G75:J83">INDEX(ALLOC,($E75)+1,(G$1)+1)*$F75</f>
        <v>437169.10315165773</v>
      </c>
      <c r="H75" s="12">
        <f t="shared" si="4"/>
        <v>64391.05400257395</v>
      </c>
      <c r="I75" s="12">
        <f t="shared" si="4"/>
        <v>1854.0890935764694</v>
      </c>
      <c r="J75" s="12">
        <f t="shared" si="4"/>
        <v>28404.883752191898</v>
      </c>
    </row>
    <row r="76" spans="1:10" ht="15">
      <c r="A76" s="9">
        <v>59</v>
      </c>
      <c r="B76" s="9">
        <v>37401</v>
      </c>
      <c r="D76" s="2" t="s">
        <v>82</v>
      </c>
      <c r="E76" s="2">
        <v>56</v>
      </c>
      <c r="F76" s="11">
        <v>37326.42</v>
      </c>
      <c r="G76" s="12">
        <f t="shared" si="4"/>
        <v>30683.284287389397</v>
      </c>
      <c r="H76" s="12">
        <f t="shared" si="4"/>
        <v>4519.370196297294</v>
      </c>
      <c r="I76" s="12">
        <f t="shared" si="4"/>
        <v>130.13166379376875</v>
      </c>
      <c r="J76" s="12">
        <f t="shared" si="4"/>
        <v>1993.633852519541</v>
      </c>
    </row>
    <row r="77" spans="1:10" ht="15">
      <c r="A77" s="9">
        <v>60</v>
      </c>
      <c r="B77" s="9">
        <v>37402</v>
      </c>
      <c r="D77" s="2" t="s">
        <v>102</v>
      </c>
      <c r="E77" s="2">
        <v>56</v>
      </c>
      <c r="F77" s="11">
        <v>253400.6</v>
      </c>
      <c r="G77" s="12">
        <f t="shared" si="4"/>
        <v>208301.8582654068</v>
      </c>
      <c r="H77" s="12">
        <f t="shared" si="4"/>
        <v>30680.97930001999</v>
      </c>
      <c r="I77" s="12">
        <f t="shared" si="4"/>
        <v>883.4343525132944</v>
      </c>
      <c r="J77" s="12">
        <f t="shared" si="4"/>
        <v>13534.328082059927</v>
      </c>
    </row>
    <row r="78" spans="1:10" ht="15">
      <c r="A78" s="9">
        <v>61</v>
      </c>
      <c r="B78" s="9">
        <v>37403</v>
      </c>
      <c r="D78" s="2" t="s">
        <v>103</v>
      </c>
      <c r="E78" s="2">
        <v>56</v>
      </c>
      <c r="F78" s="11">
        <v>2783.89</v>
      </c>
      <c r="G78" s="12">
        <f t="shared" si="4"/>
        <v>2288.42970461192</v>
      </c>
      <c r="H78" s="12">
        <f t="shared" si="4"/>
        <v>337.06499299343665</v>
      </c>
      <c r="I78" s="12">
        <f t="shared" si="4"/>
        <v>9.705517901765958</v>
      </c>
      <c r="J78" s="12">
        <f t="shared" si="4"/>
        <v>148.6897844928773</v>
      </c>
    </row>
    <row r="79" spans="1:10" ht="15">
      <c r="A79" s="9">
        <v>62</v>
      </c>
      <c r="B79" s="9">
        <v>37500</v>
      </c>
      <c r="D79" s="13" t="s">
        <v>97</v>
      </c>
      <c r="E79" s="13">
        <v>56</v>
      </c>
      <c r="F79" s="11">
        <v>343072.96</v>
      </c>
      <c r="G79" s="12">
        <f t="shared" si="4"/>
        <v>282014.8614036967</v>
      </c>
      <c r="H79" s="12">
        <f t="shared" si="4"/>
        <v>41538.23781063101</v>
      </c>
      <c r="I79" s="12">
        <f t="shared" si="4"/>
        <v>1196.0604603241638</v>
      </c>
      <c r="J79" s="12">
        <f t="shared" si="4"/>
        <v>18323.800325348173</v>
      </c>
    </row>
    <row r="80" spans="1:10" ht="15">
      <c r="A80" s="9">
        <v>63</v>
      </c>
      <c r="B80" s="9">
        <v>37501</v>
      </c>
      <c r="D80" s="13" t="s">
        <v>104</v>
      </c>
      <c r="E80" s="13">
        <v>56</v>
      </c>
      <c r="F80" s="11">
        <v>101506.5</v>
      </c>
      <c r="G80" s="12">
        <f t="shared" si="4"/>
        <v>83440.97281544525</v>
      </c>
      <c r="H80" s="12">
        <f t="shared" si="4"/>
        <v>12290.100439057678</v>
      </c>
      <c r="I80" s="12">
        <f t="shared" si="4"/>
        <v>353.88364946014616</v>
      </c>
      <c r="J80" s="12">
        <f t="shared" si="4"/>
        <v>5421.54309603693</v>
      </c>
    </row>
    <row r="81" spans="1:10" ht="15">
      <c r="A81" s="9">
        <v>64</v>
      </c>
      <c r="B81" s="9">
        <v>37502</v>
      </c>
      <c r="D81" s="2" t="s">
        <v>102</v>
      </c>
      <c r="E81" s="2">
        <v>56</v>
      </c>
      <c r="F81" s="11">
        <v>46591.01</v>
      </c>
      <c r="G81" s="12">
        <f t="shared" si="4"/>
        <v>38299.017293022</v>
      </c>
      <c r="H81" s="12">
        <f t="shared" si="4"/>
        <v>5641.09877157759</v>
      </c>
      <c r="I81" s="12">
        <f t="shared" si="4"/>
        <v>162.43094433198036</v>
      </c>
      <c r="J81" s="12">
        <f t="shared" si="4"/>
        <v>2488.4629910684303</v>
      </c>
    </row>
    <row r="82" spans="1:10" ht="15">
      <c r="A82" s="9">
        <v>65</v>
      </c>
      <c r="B82" s="9">
        <v>37503</v>
      </c>
      <c r="D82" s="2" t="s">
        <v>105</v>
      </c>
      <c r="E82" s="2">
        <v>56</v>
      </c>
      <c r="F82" s="11">
        <v>4005.08</v>
      </c>
      <c r="G82" s="12">
        <f t="shared" si="4"/>
        <v>3292.2795230225006</v>
      </c>
      <c r="H82" s="12">
        <f t="shared" si="4"/>
        <v>484.9229898229288</v>
      </c>
      <c r="I82" s="12">
        <f t="shared" si="4"/>
        <v>13.962971108055564</v>
      </c>
      <c r="J82" s="12">
        <f t="shared" si="4"/>
        <v>213.91451604651513</v>
      </c>
    </row>
    <row r="83" spans="1:10" ht="15">
      <c r="A83" s="9">
        <v>66</v>
      </c>
      <c r="B83" s="9">
        <v>37600</v>
      </c>
      <c r="D83" s="13" t="s">
        <v>99</v>
      </c>
      <c r="E83" s="13">
        <v>56</v>
      </c>
      <c r="F83" s="11">
        <v>11318115.49</v>
      </c>
      <c r="G83" s="12">
        <f t="shared" si="4"/>
        <v>9303784.160848416</v>
      </c>
      <c r="H83" s="12">
        <f t="shared" si="4"/>
        <v>1370363.2393290529</v>
      </c>
      <c r="I83" s="12">
        <f t="shared" si="4"/>
        <v>39458.51757880146</v>
      </c>
      <c r="J83" s="12">
        <f t="shared" si="4"/>
        <v>604509.5722437296</v>
      </c>
    </row>
    <row r="84" spans="1:6" ht="15">
      <c r="A84" s="9">
        <v>67</v>
      </c>
      <c r="B84" s="9">
        <v>37601</v>
      </c>
      <c r="D84" s="2" t="s">
        <v>100</v>
      </c>
      <c r="E84" s="2"/>
      <c r="F84" s="11">
        <v>97584394.04</v>
      </c>
    </row>
    <row r="85" spans="1:10" ht="15">
      <c r="A85" s="9"/>
      <c r="B85" s="9"/>
      <c r="C85" s="6">
        <f>1-C86</f>
        <v>0.8555978200000001</v>
      </c>
      <c r="D85" s="13" t="s">
        <v>106</v>
      </c>
      <c r="E85" s="2">
        <v>3</v>
      </c>
      <c r="F85" s="11">
        <f>F84*C85</f>
        <v>83492994.806645</v>
      </c>
      <c r="G85" s="12">
        <f aca="true" t="shared" si="5" ref="G85:J86">INDEX(ALLOC,($E85)+1,(G$1)+1)*$F85</f>
        <v>74187380.97733302</v>
      </c>
      <c r="H85" s="12">
        <f t="shared" si="5"/>
        <v>9105165.694973713</v>
      </c>
      <c r="I85" s="12">
        <f t="shared" si="5"/>
        <v>96247.2404558117</v>
      </c>
      <c r="J85" s="12">
        <f t="shared" si="5"/>
        <v>104200.89388246059</v>
      </c>
    </row>
    <row r="86" spans="1:10" ht="15">
      <c r="A86" s="9"/>
      <c r="B86" s="9"/>
      <c r="C86" s="6">
        <v>0.14440218</v>
      </c>
      <c r="D86" s="2" t="s">
        <v>107</v>
      </c>
      <c r="E86" s="2">
        <v>4</v>
      </c>
      <c r="F86" s="11">
        <f>C86*F84</f>
        <v>14091399.233355008</v>
      </c>
      <c r="G86" s="12">
        <f t="shared" si="5"/>
        <v>6029519.125648939</v>
      </c>
      <c r="H86" s="12">
        <f t="shared" si="5"/>
        <v>2710058.0004170416</v>
      </c>
      <c r="I86" s="12">
        <f t="shared" si="5"/>
        <v>243962.7115495489</v>
      </c>
      <c r="J86" s="12">
        <f t="shared" si="5"/>
        <v>5107859.39573948</v>
      </c>
    </row>
    <row r="87" spans="1:6" ht="15">
      <c r="A87" s="9">
        <v>68</v>
      </c>
      <c r="B87" s="9">
        <v>37602</v>
      </c>
      <c r="D87" s="2" t="s">
        <v>108</v>
      </c>
      <c r="E87" s="2"/>
      <c r="F87" s="11">
        <v>65722013</v>
      </c>
    </row>
    <row r="88" spans="1:10" ht="15">
      <c r="A88" s="9"/>
      <c r="B88" s="9"/>
      <c r="C88" s="6">
        <f>1-C89</f>
        <v>0.8555978200000001</v>
      </c>
      <c r="D88" s="13" t="s">
        <v>106</v>
      </c>
      <c r="E88" s="2">
        <v>3</v>
      </c>
      <c r="F88" s="11">
        <f>C88*F87</f>
        <v>56231611.04881167</v>
      </c>
      <c r="G88" s="12">
        <f>INDEX(ALLOC,($E88)+1,(G$1)+1)*$F88</f>
        <v>49964382.7785584</v>
      </c>
      <c r="H88" s="12">
        <f>INDEX(ALLOC,($E88)+1,(H$1)+1)*$F88</f>
        <v>6132228.662781133</v>
      </c>
      <c r="I88" s="12">
        <f>INDEX(ALLOC,($E88)+1,(I$1)+1)*$F88</f>
        <v>64821.45481026529</v>
      </c>
      <c r="J88" s="12">
        <f>INDEX(ALLOC,($E88)+1,(J$1)+1)*$F88</f>
        <v>70178.15266186486</v>
      </c>
    </row>
    <row r="89" spans="1:10" ht="15">
      <c r="A89" s="9"/>
      <c r="B89" s="9"/>
      <c r="C89" s="6">
        <v>0.14440218</v>
      </c>
      <c r="D89" s="2" t="s">
        <v>107</v>
      </c>
      <c r="E89" s="2">
        <v>4</v>
      </c>
      <c r="F89" s="11">
        <f>C89*F87</f>
        <v>9490401.951188339</v>
      </c>
      <c r="G89" s="12">
        <f ca="1">INDEX(ALLOC,($E89)+1,(G$1)+1)*$F89</f>
        <v>4060814.6236704155</v>
      </c>
      <c r="H89" s="12">
        <f ca="1">INDEX(ALLOC,($E89)+1,(H$1)+1)*$F89</f>
        <v>1825194.170505942</v>
      </c>
      <c r="I89" s="12">
        <f ca="1">INDEX(ALLOC,($E89)+1,(I$1)+1)*$F89</f>
        <v>164306.1952447279</v>
      </c>
      <c r="J89" s="12">
        <f ca="1">INDEX(ALLOC,($E89)+1,(J$1)+1)*$F89</f>
        <v>3440086.9617672544</v>
      </c>
    </row>
    <row r="90" spans="1:10" ht="15">
      <c r="A90" s="9">
        <v>69</v>
      </c>
      <c r="B90" s="9">
        <v>37800</v>
      </c>
      <c r="D90" s="13" t="s">
        <v>109</v>
      </c>
      <c r="E90" s="13">
        <v>56</v>
      </c>
      <c r="F90" s="11">
        <v>5367159.58</v>
      </c>
      <c r="G90" s="12">
        <f aca="true" t="shared" si="6" ref="G90:J98">INDEX(ALLOC,($E90)+1,(G$1)+1)*$F90</f>
        <v>4411944.22633956</v>
      </c>
      <c r="H90" s="12">
        <f t="shared" si="6"/>
        <v>649839.4714688283</v>
      </c>
      <c r="I90" s="12">
        <f t="shared" si="6"/>
        <v>18711.609792529398</v>
      </c>
      <c r="J90" s="12">
        <f t="shared" si="6"/>
        <v>286664.27239908255</v>
      </c>
    </row>
    <row r="91" spans="1:10" ht="15">
      <c r="A91" s="9">
        <v>70</v>
      </c>
      <c r="B91" s="9">
        <v>37900</v>
      </c>
      <c r="D91" s="13" t="s">
        <v>110</v>
      </c>
      <c r="E91" s="13">
        <v>56</v>
      </c>
      <c r="F91" s="11">
        <v>2272990.67</v>
      </c>
      <c r="G91" s="12">
        <f t="shared" si="6"/>
        <v>1868457.2190473583</v>
      </c>
      <c r="H91" s="12">
        <f t="shared" si="6"/>
        <v>275206.8451906134</v>
      </c>
      <c r="I91" s="12">
        <f t="shared" si="6"/>
        <v>7924.361824005977</v>
      </c>
      <c r="J91" s="12">
        <f t="shared" si="6"/>
        <v>121402.24393802226</v>
      </c>
    </row>
    <row r="92" spans="1:10" ht="15">
      <c r="A92" s="9">
        <v>71</v>
      </c>
      <c r="B92" s="9">
        <v>37905</v>
      </c>
      <c r="D92" s="13" t="s">
        <v>111</v>
      </c>
      <c r="E92" s="13">
        <v>56</v>
      </c>
      <c r="F92" s="11">
        <v>1394627.83</v>
      </c>
      <c r="G92" s="12">
        <f t="shared" si="6"/>
        <v>1146420.2080723245</v>
      </c>
      <c r="H92" s="12">
        <f t="shared" si="6"/>
        <v>168857.32545014416</v>
      </c>
      <c r="I92" s="12">
        <f t="shared" si="6"/>
        <v>4862.112141775003</v>
      </c>
      <c r="J92" s="12">
        <f t="shared" si="6"/>
        <v>74488.1843357565</v>
      </c>
    </row>
    <row r="93" spans="1:10" ht="15">
      <c r="A93" s="9">
        <v>72</v>
      </c>
      <c r="B93" s="9">
        <v>38000</v>
      </c>
      <c r="D93" s="2" t="s">
        <v>112</v>
      </c>
      <c r="E93" s="2">
        <v>3</v>
      </c>
      <c r="F93" s="11">
        <v>98853417.31</v>
      </c>
      <c r="G93" s="12">
        <f t="shared" si="6"/>
        <v>87835825.6027557</v>
      </c>
      <c r="H93" s="12">
        <f t="shared" si="6"/>
        <v>10780266.610466555</v>
      </c>
      <c r="I93" s="12">
        <f t="shared" si="6"/>
        <v>113954.0945650334</v>
      </c>
      <c r="J93" s="12">
        <f t="shared" si="6"/>
        <v>123371.00221272817</v>
      </c>
    </row>
    <row r="94" spans="1:10" ht="15">
      <c r="A94" s="9">
        <v>73</v>
      </c>
      <c r="B94" s="9">
        <v>38100</v>
      </c>
      <c r="D94" s="2" t="s">
        <v>113</v>
      </c>
      <c r="E94" s="2">
        <v>5</v>
      </c>
      <c r="F94" s="11">
        <v>22574136.23</v>
      </c>
      <c r="G94" s="12">
        <f t="shared" si="6"/>
        <v>13562204.746307664</v>
      </c>
      <c r="H94" s="12">
        <f t="shared" si="6"/>
        <v>7593304.610148802</v>
      </c>
      <c r="I94" s="12">
        <f t="shared" si="6"/>
        <v>704185.6504473098</v>
      </c>
      <c r="J94" s="12">
        <f t="shared" si="6"/>
        <v>714441.2230962235</v>
      </c>
    </row>
    <row r="95" spans="1:10" ht="15">
      <c r="A95" s="9">
        <v>74</v>
      </c>
      <c r="B95" s="9">
        <v>38200</v>
      </c>
      <c r="D95" s="2" t="s">
        <v>114</v>
      </c>
      <c r="E95" s="2">
        <v>5</v>
      </c>
      <c r="F95" s="11">
        <v>49157105.81</v>
      </c>
      <c r="G95" s="12">
        <f t="shared" si="6"/>
        <v>29532856.847259756</v>
      </c>
      <c r="H95" s="12">
        <f t="shared" si="6"/>
        <v>16535068.024999045</v>
      </c>
      <c r="I95" s="12">
        <f t="shared" si="6"/>
        <v>1533424.2770679905</v>
      </c>
      <c r="J95" s="12">
        <f t="shared" si="6"/>
        <v>1555756.6606732078</v>
      </c>
    </row>
    <row r="96" spans="1:10" ht="15">
      <c r="A96" s="9">
        <v>75</v>
      </c>
      <c r="B96" s="9">
        <v>38300</v>
      </c>
      <c r="D96" s="2" t="s">
        <v>115</v>
      </c>
      <c r="E96" s="2">
        <v>5</v>
      </c>
      <c r="F96" s="11">
        <v>7239801.06</v>
      </c>
      <c r="G96" s="12">
        <f t="shared" si="6"/>
        <v>4349564.621115749</v>
      </c>
      <c r="H96" s="12">
        <f t="shared" si="6"/>
        <v>2435265.482822781</v>
      </c>
      <c r="I96" s="12">
        <f t="shared" si="6"/>
        <v>225840.93435964984</v>
      </c>
      <c r="J96" s="12">
        <f t="shared" si="6"/>
        <v>229130.02170181976</v>
      </c>
    </row>
    <row r="97" spans="1:10" ht="15">
      <c r="A97" s="9">
        <v>76</v>
      </c>
      <c r="B97" s="9">
        <v>38400</v>
      </c>
      <c r="D97" s="2" t="s">
        <v>116</v>
      </c>
      <c r="E97" s="2">
        <v>5</v>
      </c>
      <c r="F97" s="11">
        <v>154276.36</v>
      </c>
      <c r="G97" s="12">
        <f t="shared" si="6"/>
        <v>92686.9387389654</v>
      </c>
      <c r="H97" s="12">
        <f t="shared" si="6"/>
        <v>51894.22902782651</v>
      </c>
      <c r="I97" s="12">
        <f t="shared" si="6"/>
        <v>4812.551754288909</v>
      </c>
      <c r="J97" s="12">
        <f t="shared" si="6"/>
        <v>4882.640478919148</v>
      </c>
    </row>
    <row r="98" spans="1:10" ht="15">
      <c r="A98" s="9">
        <v>77</v>
      </c>
      <c r="B98" s="9">
        <v>38500</v>
      </c>
      <c r="D98" s="13" t="s">
        <v>117</v>
      </c>
      <c r="E98" s="13">
        <v>9</v>
      </c>
      <c r="F98" s="11">
        <v>5045015.33</v>
      </c>
      <c r="G98" s="12">
        <f t="shared" si="6"/>
        <v>0</v>
      </c>
      <c r="H98" s="12">
        <f t="shared" si="6"/>
        <v>0</v>
      </c>
      <c r="I98" s="12">
        <f t="shared" si="6"/>
        <v>0</v>
      </c>
      <c r="J98" s="12">
        <f t="shared" si="6"/>
        <v>5045015.33</v>
      </c>
    </row>
    <row r="99" spans="1:6" ht="15">
      <c r="A99" s="9">
        <v>78</v>
      </c>
      <c r="B99" s="9">
        <v>38600</v>
      </c>
      <c r="D99" s="13" t="s">
        <v>118</v>
      </c>
      <c r="E99" s="13"/>
      <c r="F99" s="9">
        <v>0</v>
      </c>
    </row>
    <row r="100" spans="1:6" ht="15">
      <c r="A100" s="9">
        <v>79</v>
      </c>
      <c r="F100" s="10"/>
    </row>
    <row r="101" spans="1:10" ht="15">
      <c r="A101" s="9">
        <v>80</v>
      </c>
      <c r="C101" s="2" t="s">
        <v>53</v>
      </c>
      <c r="D101" s="2"/>
      <c r="E101" s="2"/>
      <c r="F101" s="14">
        <f>SUM(F75:F83)+F85+F86+F88+F89+SUM(F90:F99)</f>
        <v>368003558.3000001</v>
      </c>
      <c r="G101" s="14">
        <f>SUM(G75:G83)+G85+G86+G88+G89+SUM(G90:G99)</f>
        <v>287431331.8821405</v>
      </c>
      <c r="H101" s="14">
        <f>SUM(H75:H83)+H85+H86+H88+H89+SUM(H90:H99)</f>
        <v>59792595.196084455</v>
      </c>
      <c r="I101" s="14">
        <f>SUM(I75:I83)+I85+I86+I88+I89+SUM(I90:I99)</f>
        <v>3227115.410244748</v>
      </c>
      <c r="J101" s="14">
        <f>SUM(J75:J83)+J85+J86+J88+J89+SUM(J90:J99)</f>
        <v>17552515.811530314</v>
      </c>
    </row>
    <row r="102" spans="1:6" ht="15">
      <c r="A102" s="9">
        <v>81</v>
      </c>
      <c r="F102" s="10"/>
    </row>
    <row r="103" spans="1:6" ht="15">
      <c r="A103" s="9">
        <v>82</v>
      </c>
      <c r="C103" s="2" t="s">
        <v>54</v>
      </c>
      <c r="D103" s="2"/>
      <c r="E103" s="2"/>
      <c r="F103" s="10"/>
    </row>
    <row r="104" spans="1:6" ht="15">
      <c r="A104" s="9">
        <v>83</v>
      </c>
      <c r="F104" s="10"/>
    </row>
    <row r="105" spans="1:10" ht="15">
      <c r="A105" s="9">
        <v>84</v>
      </c>
      <c r="B105" s="9">
        <v>38900</v>
      </c>
      <c r="D105" s="2" t="s">
        <v>96</v>
      </c>
      <c r="E105" s="2">
        <v>10</v>
      </c>
      <c r="F105" s="11">
        <v>786215.9</v>
      </c>
      <c r="G105" s="12">
        <f aca="true" t="shared" si="7" ref="G105:J124">INDEX(ALLOC,($E105)+1,(G$1)+1)*$F105</f>
        <v>583593.4615975965</v>
      </c>
      <c r="H105" s="12">
        <f t="shared" si="7"/>
        <v>129855.9718957753</v>
      </c>
      <c r="I105" s="12">
        <f t="shared" si="7"/>
        <v>7581.176076370753</v>
      </c>
      <c r="J105" s="12">
        <f t="shared" si="7"/>
        <v>65185.29043025737</v>
      </c>
    </row>
    <row r="106" spans="1:10" ht="15">
      <c r="A106" s="9">
        <v>85</v>
      </c>
      <c r="B106" s="9">
        <v>39000</v>
      </c>
      <c r="D106" s="13" t="s">
        <v>97</v>
      </c>
      <c r="E106" s="2">
        <v>10</v>
      </c>
      <c r="F106" s="11">
        <v>3619683.81</v>
      </c>
      <c r="G106" s="12">
        <f t="shared" si="7"/>
        <v>2686824.0702924947</v>
      </c>
      <c r="H106" s="12">
        <f t="shared" si="7"/>
        <v>597847.943679278</v>
      </c>
      <c r="I106" s="12">
        <f t="shared" si="7"/>
        <v>34903.21208767025</v>
      </c>
      <c r="J106" s="12">
        <f t="shared" si="7"/>
        <v>300108.583940557</v>
      </c>
    </row>
    <row r="107" spans="1:10" ht="15">
      <c r="A107" s="9">
        <v>86</v>
      </c>
      <c r="B107" s="9">
        <v>39001</v>
      </c>
      <c r="D107" s="2" t="s">
        <v>119</v>
      </c>
      <c r="E107" s="2">
        <v>10</v>
      </c>
      <c r="F107" s="9">
        <v>0</v>
      </c>
      <c r="G107" s="12">
        <f t="shared" si="7"/>
        <v>0</v>
      </c>
      <c r="H107" s="12">
        <f t="shared" si="7"/>
        <v>0</v>
      </c>
      <c r="I107" s="12">
        <f t="shared" si="7"/>
        <v>0</v>
      </c>
      <c r="J107" s="12">
        <f t="shared" si="7"/>
        <v>0</v>
      </c>
    </row>
    <row r="108" spans="1:10" ht="15">
      <c r="A108" s="9">
        <v>87</v>
      </c>
      <c r="B108" s="9">
        <v>39002</v>
      </c>
      <c r="D108" s="2" t="s">
        <v>120</v>
      </c>
      <c r="E108" s="2">
        <v>10</v>
      </c>
      <c r="F108" s="11">
        <v>178755.36</v>
      </c>
      <c r="G108" s="12">
        <f t="shared" si="7"/>
        <v>132686.7840265308</v>
      </c>
      <c r="H108" s="12">
        <f t="shared" si="7"/>
        <v>29524.270628944538</v>
      </c>
      <c r="I108" s="12">
        <f t="shared" si="7"/>
        <v>1723.668853243799</v>
      </c>
      <c r="J108" s="12">
        <f t="shared" si="7"/>
        <v>14820.636491280842</v>
      </c>
    </row>
    <row r="109" spans="1:10" ht="15">
      <c r="A109" s="9">
        <v>88</v>
      </c>
      <c r="B109" s="9">
        <v>39003</v>
      </c>
      <c r="D109" s="2" t="s">
        <v>105</v>
      </c>
      <c r="E109" s="2">
        <v>10</v>
      </c>
      <c r="F109" s="11">
        <v>725021.86</v>
      </c>
      <c r="G109" s="12">
        <f t="shared" si="7"/>
        <v>538170.2621523273</v>
      </c>
      <c r="H109" s="12">
        <f t="shared" si="7"/>
        <v>119748.80980654644</v>
      </c>
      <c r="I109" s="12">
        <f t="shared" si="7"/>
        <v>6991.1055981923355</v>
      </c>
      <c r="J109" s="12">
        <f t="shared" si="7"/>
        <v>60111.6824429338</v>
      </c>
    </row>
    <row r="110" spans="1:10" ht="15">
      <c r="A110" s="9">
        <v>89</v>
      </c>
      <c r="B110" s="9">
        <v>39004</v>
      </c>
      <c r="D110" s="13" t="s">
        <v>121</v>
      </c>
      <c r="E110" s="2">
        <v>10</v>
      </c>
      <c r="F110" s="11">
        <v>7461.49</v>
      </c>
      <c r="G110" s="12">
        <f t="shared" si="7"/>
        <v>5538.525458179935</v>
      </c>
      <c r="H110" s="12">
        <f t="shared" si="7"/>
        <v>1232.3829061974052</v>
      </c>
      <c r="I110" s="12">
        <f t="shared" si="7"/>
        <v>71.94826444247643</v>
      </c>
      <c r="J110" s="12">
        <f t="shared" si="7"/>
        <v>618.6333711801823</v>
      </c>
    </row>
    <row r="111" spans="1:10" ht="15">
      <c r="A111" s="9">
        <v>90</v>
      </c>
      <c r="B111" s="9">
        <v>39009</v>
      </c>
      <c r="D111" s="13" t="s">
        <v>122</v>
      </c>
      <c r="E111" s="2">
        <v>10</v>
      </c>
      <c r="F111" s="11">
        <v>1279375.74</v>
      </c>
      <c r="G111" s="12">
        <f t="shared" si="7"/>
        <v>949656.8522597757</v>
      </c>
      <c r="H111" s="12">
        <f t="shared" si="7"/>
        <v>211309.1075079717</v>
      </c>
      <c r="I111" s="12">
        <f t="shared" si="7"/>
        <v>12336.525822966858</v>
      </c>
      <c r="J111" s="12">
        <f t="shared" si="7"/>
        <v>106073.2544092856</v>
      </c>
    </row>
    <row r="112" spans="1:10" ht="15">
      <c r="A112" s="9">
        <v>91</v>
      </c>
      <c r="B112" s="9">
        <v>39100</v>
      </c>
      <c r="D112" s="13" t="s">
        <v>123</v>
      </c>
      <c r="E112" s="2">
        <v>10</v>
      </c>
      <c r="F112" s="11">
        <v>1475298.35</v>
      </c>
      <c r="G112" s="12">
        <f t="shared" si="7"/>
        <v>1095086.5671448805</v>
      </c>
      <c r="H112" s="12">
        <f t="shared" si="7"/>
        <v>243668.82058157778</v>
      </c>
      <c r="I112" s="12">
        <f t="shared" si="7"/>
        <v>14225.73183336695</v>
      </c>
      <c r="J112" s="12">
        <f t="shared" si="7"/>
        <v>122317.23044017488</v>
      </c>
    </row>
    <row r="113" spans="1:10" ht="15">
      <c r="A113" s="9">
        <v>92</v>
      </c>
      <c r="B113" s="9">
        <v>39102</v>
      </c>
      <c r="D113" s="13" t="s">
        <v>124</v>
      </c>
      <c r="E113" s="2">
        <v>10</v>
      </c>
      <c r="F113" s="9">
        <v>0</v>
      </c>
      <c r="G113" s="12">
        <f t="shared" si="7"/>
        <v>0</v>
      </c>
      <c r="H113" s="12">
        <f t="shared" si="7"/>
        <v>0</v>
      </c>
      <c r="I113" s="12">
        <f t="shared" si="7"/>
        <v>0</v>
      </c>
      <c r="J113" s="12">
        <f t="shared" si="7"/>
        <v>0</v>
      </c>
    </row>
    <row r="114" spans="1:10" ht="15">
      <c r="A114" s="9">
        <v>93</v>
      </c>
      <c r="B114" s="9">
        <v>39103</v>
      </c>
      <c r="D114" s="2" t="s">
        <v>125</v>
      </c>
      <c r="E114" s="2">
        <v>10</v>
      </c>
      <c r="F114" s="9">
        <v>0</v>
      </c>
      <c r="G114" s="12">
        <f t="shared" si="7"/>
        <v>0</v>
      </c>
      <c r="H114" s="12">
        <f t="shared" si="7"/>
        <v>0</v>
      </c>
      <c r="I114" s="12">
        <f t="shared" si="7"/>
        <v>0</v>
      </c>
      <c r="J114" s="12">
        <f t="shared" si="7"/>
        <v>0</v>
      </c>
    </row>
    <row r="115" spans="1:10" ht="15">
      <c r="A115" s="9">
        <v>94</v>
      </c>
      <c r="B115" s="9">
        <v>39200</v>
      </c>
      <c r="D115" s="2" t="s">
        <v>126</v>
      </c>
      <c r="E115" s="2">
        <v>10</v>
      </c>
      <c r="F115" s="11">
        <v>395444.28</v>
      </c>
      <c r="G115" s="12">
        <f t="shared" si="7"/>
        <v>293530.9451693476</v>
      </c>
      <c r="H115" s="12">
        <f t="shared" si="7"/>
        <v>65313.86774297633</v>
      </c>
      <c r="I115" s="12">
        <f t="shared" si="7"/>
        <v>3813.116365458467</v>
      </c>
      <c r="J115" s="12">
        <f t="shared" si="7"/>
        <v>32786.35072221767</v>
      </c>
    </row>
    <row r="116" spans="1:10" ht="15">
      <c r="A116" s="9">
        <v>95</v>
      </c>
      <c r="B116" s="9">
        <v>39201</v>
      </c>
      <c r="D116" s="2" t="s">
        <v>127</v>
      </c>
      <c r="E116" s="2">
        <v>10</v>
      </c>
      <c r="F116" s="9">
        <v>0</v>
      </c>
      <c r="G116" s="12">
        <f t="shared" si="7"/>
        <v>0</v>
      </c>
      <c r="H116" s="12">
        <f t="shared" si="7"/>
        <v>0</v>
      </c>
      <c r="I116" s="12">
        <f t="shared" si="7"/>
        <v>0</v>
      </c>
      <c r="J116" s="12">
        <f t="shared" si="7"/>
        <v>0</v>
      </c>
    </row>
    <row r="117" spans="1:10" ht="15">
      <c r="A117" s="9">
        <v>96</v>
      </c>
      <c r="B117" s="9">
        <v>39202</v>
      </c>
      <c r="D117" s="2" t="s">
        <v>128</v>
      </c>
      <c r="E117" s="2">
        <v>10</v>
      </c>
      <c r="F117" s="11">
        <v>33191.91</v>
      </c>
      <c r="G117" s="12">
        <f t="shared" si="7"/>
        <v>24637.738379414463</v>
      </c>
      <c r="H117" s="12">
        <f t="shared" si="7"/>
        <v>5482.168106911987</v>
      </c>
      <c r="I117" s="12">
        <f t="shared" si="7"/>
        <v>320.056760517119</v>
      </c>
      <c r="J117" s="12">
        <f t="shared" si="7"/>
        <v>2751.9467531564346</v>
      </c>
    </row>
    <row r="118" spans="1:10" ht="15">
      <c r="A118" s="9">
        <v>97</v>
      </c>
      <c r="B118" s="9">
        <v>39300</v>
      </c>
      <c r="D118" s="2" t="s">
        <v>129</v>
      </c>
      <c r="E118" s="2">
        <v>10</v>
      </c>
      <c r="F118" s="9">
        <v>0</v>
      </c>
      <c r="G118" s="12">
        <f t="shared" si="7"/>
        <v>0</v>
      </c>
      <c r="H118" s="12">
        <f t="shared" si="7"/>
        <v>0</v>
      </c>
      <c r="I118" s="12">
        <f t="shared" si="7"/>
        <v>0</v>
      </c>
      <c r="J118" s="12">
        <f t="shared" si="7"/>
        <v>0</v>
      </c>
    </row>
    <row r="119" spans="1:10" ht="15">
      <c r="A119" s="9">
        <v>98</v>
      </c>
      <c r="B119" s="9">
        <v>39400</v>
      </c>
      <c r="D119" s="13" t="s">
        <v>130</v>
      </c>
      <c r="E119" s="2">
        <v>10</v>
      </c>
      <c r="F119" s="11">
        <v>2197414.98</v>
      </c>
      <c r="G119" s="12">
        <f t="shared" si="7"/>
        <v>1631100.331021814</v>
      </c>
      <c r="H119" s="12">
        <f t="shared" si="7"/>
        <v>362937.78577390214</v>
      </c>
      <c r="I119" s="12">
        <f t="shared" si="7"/>
        <v>21188.82342144787</v>
      </c>
      <c r="J119" s="12">
        <f t="shared" si="7"/>
        <v>182188.03978283596</v>
      </c>
    </row>
    <row r="120" spans="1:10" ht="15">
      <c r="A120" s="9">
        <v>99</v>
      </c>
      <c r="B120" s="9">
        <v>39600</v>
      </c>
      <c r="D120" s="2" t="s">
        <v>131</v>
      </c>
      <c r="E120" s="2">
        <v>10</v>
      </c>
      <c r="F120" s="9">
        <v>0</v>
      </c>
      <c r="G120" s="12">
        <f t="shared" si="7"/>
        <v>0</v>
      </c>
      <c r="H120" s="12">
        <f t="shared" si="7"/>
        <v>0</v>
      </c>
      <c r="I120" s="12">
        <f t="shared" si="7"/>
        <v>0</v>
      </c>
      <c r="J120" s="12">
        <f t="shared" si="7"/>
        <v>0</v>
      </c>
    </row>
    <row r="121" spans="1:10" ht="15">
      <c r="A121" s="9">
        <v>100</v>
      </c>
      <c r="B121" s="9">
        <v>39603</v>
      </c>
      <c r="D121" s="2" t="s">
        <v>132</v>
      </c>
      <c r="E121" s="2">
        <v>10</v>
      </c>
      <c r="F121" s="11">
        <v>53703.66</v>
      </c>
      <c r="G121" s="12">
        <f t="shared" si="7"/>
        <v>39863.22947661117</v>
      </c>
      <c r="H121" s="12">
        <f t="shared" si="7"/>
        <v>8870.007543297297</v>
      </c>
      <c r="I121" s="12">
        <f t="shared" si="7"/>
        <v>517.8436386310033</v>
      </c>
      <c r="J121" s="12">
        <f t="shared" si="7"/>
        <v>4452.579341460527</v>
      </c>
    </row>
    <row r="122" spans="1:10" ht="15">
      <c r="A122" s="9">
        <v>101</v>
      </c>
      <c r="B122" s="9">
        <v>39604</v>
      </c>
      <c r="D122" s="2" t="s">
        <v>133</v>
      </c>
      <c r="E122" s="2">
        <v>10</v>
      </c>
      <c r="F122" s="11">
        <v>62747.29</v>
      </c>
      <c r="G122" s="12">
        <f t="shared" si="7"/>
        <v>46576.148074553385</v>
      </c>
      <c r="H122" s="12">
        <f t="shared" si="7"/>
        <v>10363.705855829248</v>
      </c>
      <c r="I122" s="12">
        <f t="shared" si="7"/>
        <v>605.047867646912</v>
      </c>
      <c r="J122" s="12">
        <f t="shared" si="7"/>
        <v>5202.388201970456</v>
      </c>
    </row>
    <row r="123" spans="1:10" ht="15">
      <c r="A123" s="9">
        <v>102</v>
      </c>
      <c r="B123" s="9">
        <v>39605</v>
      </c>
      <c r="D123" s="2" t="s">
        <v>134</v>
      </c>
      <c r="E123" s="2">
        <v>10</v>
      </c>
      <c r="F123" s="11">
        <v>33235.94</v>
      </c>
      <c r="G123" s="12">
        <f t="shared" si="7"/>
        <v>24670.421030724545</v>
      </c>
      <c r="H123" s="12">
        <f t="shared" si="7"/>
        <v>5489.440356738746</v>
      </c>
      <c r="I123" s="12">
        <f t="shared" si="7"/>
        <v>320.48132479093056</v>
      </c>
      <c r="J123" s="12">
        <f t="shared" si="7"/>
        <v>2755.597287745781</v>
      </c>
    </row>
    <row r="124" spans="1:10" ht="15">
      <c r="A124" s="9">
        <v>103</v>
      </c>
      <c r="B124" s="9">
        <v>39700</v>
      </c>
      <c r="D124" s="2" t="s">
        <v>135</v>
      </c>
      <c r="E124" s="2">
        <v>10</v>
      </c>
      <c r="F124" s="11">
        <v>376276.84</v>
      </c>
      <c r="G124" s="12">
        <f t="shared" si="7"/>
        <v>279303.3104197015</v>
      </c>
      <c r="H124" s="12">
        <f t="shared" si="7"/>
        <v>62148.0623325872</v>
      </c>
      <c r="I124" s="12">
        <f t="shared" si="7"/>
        <v>3628.292149141713</v>
      </c>
      <c r="J124" s="12">
        <f t="shared" si="7"/>
        <v>31197.175098569598</v>
      </c>
    </row>
    <row r="125" spans="1:10" ht="15">
      <c r="A125" s="9">
        <v>104</v>
      </c>
      <c r="B125" s="9">
        <v>39701</v>
      </c>
      <c r="D125" s="13" t="s">
        <v>136</v>
      </c>
      <c r="E125" s="2">
        <v>10</v>
      </c>
      <c r="F125" s="9">
        <v>0</v>
      </c>
      <c r="G125" s="12">
        <f aca="true" t="shared" si="8" ref="G125:J139">INDEX(ALLOC,($E125)+1,(G$1)+1)*$F125</f>
        <v>0</v>
      </c>
      <c r="H125" s="12">
        <f t="shared" si="8"/>
        <v>0</v>
      </c>
      <c r="I125" s="12">
        <f t="shared" si="8"/>
        <v>0</v>
      </c>
      <c r="J125" s="12">
        <f t="shared" si="8"/>
        <v>0</v>
      </c>
    </row>
    <row r="126" spans="1:10" ht="15">
      <c r="A126" s="9">
        <v>105</v>
      </c>
      <c r="B126" s="9">
        <v>39702</v>
      </c>
      <c r="C126" s="10"/>
      <c r="D126" s="13" t="s">
        <v>137</v>
      </c>
      <c r="E126" s="2">
        <v>10</v>
      </c>
      <c r="F126" s="9">
        <v>0</v>
      </c>
      <c r="G126" s="12">
        <f t="shared" si="8"/>
        <v>0</v>
      </c>
      <c r="H126" s="12">
        <f t="shared" si="8"/>
        <v>0</v>
      </c>
      <c r="I126" s="12">
        <f t="shared" si="8"/>
        <v>0</v>
      </c>
      <c r="J126" s="12">
        <f t="shared" si="8"/>
        <v>0</v>
      </c>
    </row>
    <row r="127" spans="1:10" ht="15">
      <c r="A127" s="9">
        <v>106</v>
      </c>
      <c r="B127" s="9">
        <v>39705</v>
      </c>
      <c r="D127" s="13" t="s">
        <v>138</v>
      </c>
      <c r="E127" s="2">
        <v>10</v>
      </c>
      <c r="F127" s="11">
        <v>66315.61</v>
      </c>
      <c r="G127" s="12">
        <f t="shared" si="8"/>
        <v>49224.84574257045</v>
      </c>
      <c r="H127" s="12">
        <f t="shared" si="8"/>
        <v>10953.070255143906</v>
      </c>
      <c r="I127" s="12">
        <f t="shared" si="8"/>
        <v>639.4557983652239</v>
      </c>
      <c r="J127" s="12">
        <f t="shared" si="8"/>
        <v>5498.238203920424</v>
      </c>
    </row>
    <row r="128" spans="1:10" ht="15">
      <c r="A128" s="9">
        <v>107</v>
      </c>
      <c r="B128" s="9">
        <v>39800</v>
      </c>
      <c r="D128" s="2" t="s">
        <v>139</v>
      </c>
      <c r="E128" s="2">
        <v>10</v>
      </c>
      <c r="F128" s="11">
        <v>2521971.46</v>
      </c>
      <c r="G128" s="12">
        <f t="shared" si="8"/>
        <v>1872012.5787226441</v>
      </c>
      <c r="H128" s="12">
        <f t="shared" si="8"/>
        <v>416543.41387869086</v>
      </c>
      <c r="I128" s="12">
        <f t="shared" si="8"/>
        <v>24318.396127376487</v>
      </c>
      <c r="J128" s="12">
        <f t="shared" si="8"/>
        <v>209097.07127128847</v>
      </c>
    </row>
    <row r="129" spans="1:10" ht="15">
      <c r="A129" s="9">
        <v>108</v>
      </c>
      <c r="B129" s="9">
        <v>39900</v>
      </c>
      <c r="D129" s="2" t="s">
        <v>140</v>
      </c>
      <c r="E129" s="2">
        <v>10</v>
      </c>
      <c r="F129" s="9">
        <v>0</v>
      </c>
      <c r="G129" s="12">
        <f t="shared" si="8"/>
        <v>0</v>
      </c>
      <c r="H129" s="12">
        <f t="shared" si="8"/>
        <v>0</v>
      </c>
      <c r="I129" s="12">
        <f t="shared" si="8"/>
        <v>0</v>
      </c>
      <c r="J129" s="12">
        <f t="shared" si="8"/>
        <v>0</v>
      </c>
    </row>
    <row r="130" spans="1:10" ht="15">
      <c r="A130" s="9">
        <v>109</v>
      </c>
      <c r="B130" s="9">
        <v>39901</v>
      </c>
      <c r="D130" s="13" t="s">
        <v>141</v>
      </c>
      <c r="E130" s="2">
        <v>10</v>
      </c>
      <c r="F130" s="11">
        <v>175990.09</v>
      </c>
      <c r="G130" s="12">
        <f t="shared" si="8"/>
        <v>130634.17545991192</v>
      </c>
      <c r="H130" s="12">
        <f t="shared" si="8"/>
        <v>29067.542618986674</v>
      </c>
      <c r="I130" s="12">
        <f t="shared" si="8"/>
        <v>1697.0044233223161</v>
      </c>
      <c r="J130" s="12">
        <f t="shared" si="8"/>
        <v>14591.367497779087</v>
      </c>
    </row>
    <row r="131" spans="1:10" ht="15">
      <c r="A131" s="9">
        <v>110</v>
      </c>
      <c r="B131" s="9">
        <v>39902</v>
      </c>
      <c r="D131" s="13" t="s">
        <v>142</v>
      </c>
      <c r="E131" s="2">
        <v>10</v>
      </c>
      <c r="F131" s="11">
        <v>73565.98</v>
      </c>
      <c r="G131" s="12">
        <f t="shared" si="8"/>
        <v>54606.660745502035</v>
      </c>
      <c r="H131" s="12">
        <f t="shared" si="8"/>
        <v>12150.583359310296</v>
      </c>
      <c r="I131" s="12">
        <f t="shared" si="8"/>
        <v>709.368314238836</v>
      </c>
      <c r="J131" s="12">
        <f t="shared" si="8"/>
        <v>6099.367580948827</v>
      </c>
    </row>
    <row r="132" spans="1:10" ht="15">
      <c r="A132" s="9">
        <v>111</v>
      </c>
      <c r="B132" s="9">
        <v>39903</v>
      </c>
      <c r="D132" s="13" t="s">
        <v>143</v>
      </c>
      <c r="E132" s="2">
        <v>10</v>
      </c>
      <c r="F132" s="9">
        <v>0</v>
      </c>
      <c r="G132" s="12">
        <f t="shared" si="8"/>
        <v>0</v>
      </c>
      <c r="H132" s="12">
        <f t="shared" si="8"/>
        <v>0</v>
      </c>
      <c r="I132" s="12">
        <f t="shared" si="8"/>
        <v>0</v>
      </c>
      <c r="J132" s="12">
        <f t="shared" si="8"/>
        <v>0</v>
      </c>
    </row>
    <row r="133" spans="1:10" ht="15">
      <c r="A133" s="9">
        <v>112</v>
      </c>
      <c r="B133" s="9">
        <v>39904</v>
      </c>
      <c r="D133" s="13" t="s">
        <v>144</v>
      </c>
      <c r="E133" s="2">
        <v>10</v>
      </c>
      <c r="F133" s="9">
        <v>0</v>
      </c>
      <c r="G133" s="12">
        <f t="shared" si="8"/>
        <v>0</v>
      </c>
      <c r="H133" s="12">
        <f t="shared" si="8"/>
        <v>0</v>
      </c>
      <c r="I133" s="12">
        <f t="shared" si="8"/>
        <v>0</v>
      </c>
      <c r="J133" s="12">
        <f t="shared" si="8"/>
        <v>0</v>
      </c>
    </row>
    <row r="134" spans="1:10" ht="15">
      <c r="A134" s="9">
        <v>113</v>
      </c>
      <c r="B134" s="9">
        <v>39905</v>
      </c>
      <c r="D134" s="13" t="s">
        <v>145</v>
      </c>
      <c r="E134" s="2">
        <v>10</v>
      </c>
      <c r="F134" s="9">
        <v>0</v>
      </c>
      <c r="G134" s="12">
        <f t="shared" si="8"/>
        <v>0</v>
      </c>
      <c r="H134" s="12">
        <f t="shared" si="8"/>
        <v>0</v>
      </c>
      <c r="I134" s="12">
        <f t="shared" si="8"/>
        <v>0</v>
      </c>
      <c r="J134" s="12">
        <f t="shared" si="8"/>
        <v>0</v>
      </c>
    </row>
    <row r="135" spans="1:10" ht="15">
      <c r="A135" s="9">
        <v>114</v>
      </c>
      <c r="B135" s="9">
        <v>39906</v>
      </c>
      <c r="D135" s="13" t="s">
        <v>146</v>
      </c>
      <c r="E135" s="2">
        <v>10</v>
      </c>
      <c r="F135" s="11">
        <v>195649.47</v>
      </c>
      <c r="G135" s="12">
        <f t="shared" si="8"/>
        <v>145226.96813564203</v>
      </c>
      <c r="H135" s="12">
        <f t="shared" si="8"/>
        <v>32314.59968914815</v>
      </c>
      <c r="I135" s="12">
        <f t="shared" si="8"/>
        <v>1886.572226939976</v>
      </c>
      <c r="J135" s="12">
        <f t="shared" si="8"/>
        <v>16221.32994826984</v>
      </c>
    </row>
    <row r="136" spans="1:10" ht="15">
      <c r="A136" s="9">
        <v>115</v>
      </c>
      <c r="B136" s="9">
        <v>39907</v>
      </c>
      <c r="D136" s="13" t="s">
        <v>147</v>
      </c>
      <c r="E136" s="2">
        <v>10</v>
      </c>
      <c r="F136" s="9">
        <v>0</v>
      </c>
      <c r="G136" s="12">
        <f t="shared" si="8"/>
        <v>0</v>
      </c>
      <c r="H136" s="12">
        <f t="shared" si="8"/>
        <v>0</v>
      </c>
      <c r="I136" s="12">
        <f t="shared" si="8"/>
        <v>0</v>
      </c>
      <c r="J136" s="12">
        <f t="shared" si="8"/>
        <v>0</v>
      </c>
    </row>
    <row r="137" spans="1:10" ht="15">
      <c r="A137" s="9">
        <v>116</v>
      </c>
      <c r="B137" s="9">
        <v>39908</v>
      </c>
      <c r="D137" s="13" t="s">
        <v>148</v>
      </c>
      <c r="E137" s="2">
        <v>10</v>
      </c>
      <c r="F137" s="9">
        <v>0</v>
      </c>
      <c r="G137" s="12">
        <f t="shared" si="8"/>
        <v>0</v>
      </c>
      <c r="H137" s="12">
        <f t="shared" si="8"/>
        <v>0</v>
      </c>
      <c r="I137" s="12">
        <f t="shared" si="8"/>
        <v>0</v>
      </c>
      <c r="J137" s="12">
        <f t="shared" si="8"/>
        <v>0</v>
      </c>
    </row>
    <row r="138" spans="1:10" ht="15">
      <c r="A138" s="9">
        <v>117</v>
      </c>
      <c r="B138" s="9">
        <v>39909</v>
      </c>
      <c r="D138" s="13" t="s">
        <v>149</v>
      </c>
      <c r="E138" s="2">
        <v>10</v>
      </c>
      <c r="F138" s="9">
        <v>0</v>
      </c>
      <c r="G138" s="12">
        <f t="shared" si="8"/>
        <v>0</v>
      </c>
      <c r="H138" s="12">
        <f t="shared" si="8"/>
        <v>0</v>
      </c>
      <c r="I138" s="12">
        <f t="shared" si="8"/>
        <v>0</v>
      </c>
      <c r="J138" s="12">
        <f t="shared" si="8"/>
        <v>0</v>
      </c>
    </row>
    <row r="139" spans="1:10" ht="15">
      <c r="A139" s="9">
        <v>118</v>
      </c>
      <c r="B139" s="9">
        <v>39924</v>
      </c>
      <c r="D139" s="13" t="s">
        <v>150</v>
      </c>
      <c r="E139" s="2">
        <v>10</v>
      </c>
      <c r="F139" s="9">
        <v>0</v>
      </c>
      <c r="G139" s="12">
        <f t="shared" si="8"/>
        <v>0</v>
      </c>
      <c r="H139" s="12">
        <f t="shared" si="8"/>
        <v>0</v>
      </c>
      <c r="I139" s="12">
        <f t="shared" si="8"/>
        <v>0</v>
      </c>
      <c r="J139" s="12">
        <f t="shared" si="8"/>
        <v>0</v>
      </c>
    </row>
    <row r="140" spans="1:6" ht="15">
      <c r="A140" s="9">
        <v>119</v>
      </c>
      <c r="F140" s="10"/>
    </row>
    <row r="141" spans="1:10" ht="15">
      <c r="A141" s="9">
        <v>120</v>
      </c>
      <c r="C141" s="2" t="s">
        <v>55</v>
      </c>
      <c r="D141" s="2"/>
      <c r="E141" s="2"/>
      <c r="F141" s="14">
        <f>SUM(F105:F139)</f>
        <v>14257320.020000001</v>
      </c>
      <c r="G141" s="14">
        <f>SUM(G105:G139)</f>
        <v>10582943.875310222</v>
      </c>
      <c r="H141" s="14">
        <f>SUM(H105:H139)</f>
        <v>2354821.554519814</v>
      </c>
      <c r="I141" s="14">
        <f>SUM(I105:I139)</f>
        <v>137477.8269541303</v>
      </c>
      <c r="J141" s="14">
        <f>SUM(J105:J139)</f>
        <v>1182076.7632158329</v>
      </c>
    </row>
    <row r="142" spans="1:6" ht="15">
      <c r="A142" s="9">
        <v>121</v>
      </c>
      <c r="F142" s="10"/>
    </row>
    <row r="143" spans="1:10" ht="15">
      <c r="A143" s="9">
        <v>122</v>
      </c>
      <c r="C143" s="2" t="s">
        <v>56</v>
      </c>
      <c r="D143" s="2"/>
      <c r="E143" s="2"/>
      <c r="F143" s="14">
        <f>SUM(F141+F101+F71+F58+F36+F24)</f>
        <v>425864242.64000005</v>
      </c>
      <c r="G143" s="14">
        <f>SUM(G141+G101+G71+G58+G36+G24)</f>
        <v>316111118.50182176</v>
      </c>
      <c r="H143" s="14">
        <f>SUM(H141+H101+H71+H58+H36+H24)</f>
        <v>70338204.96847685</v>
      </c>
      <c r="I143" s="14">
        <f>SUM(I141+I101+I71+I58+I36+I24)</f>
        <v>4106444.3088522083</v>
      </c>
      <c r="J143" s="14">
        <f>SUM(J141+J101+J71+J58+J36+J24)</f>
        <v>35308474.86084929</v>
      </c>
    </row>
    <row r="144" spans="1:6" ht="15">
      <c r="A144" s="9">
        <v>123</v>
      </c>
      <c r="F144" s="10"/>
    </row>
    <row r="145" spans="1:10" ht="15">
      <c r="A145" s="9">
        <v>124</v>
      </c>
      <c r="C145" s="2" t="s">
        <v>57</v>
      </c>
      <c r="D145" s="2"/>
      <c r="E145" s="2">
        <v>10</v>
      </c>
      <c r="F145" s="15">
        <v>7949585.89</v>
      </c>
      <c r="G145" s="12">
        <f>INDEX(ALLOC,($E145)+1,(G$1)+1)*$F145</f>
        <v>5900829.972800741</v>
      </c>
      <c r="H145" s="12">
        <f>INDEX(ALLOC,($E145)+1,(H$1)+1)*$F145</f>
        <v>1312999.6504966281</v>
      </c>
      <c r="I145" s="12">
        <f>INDEX(ALLOC,($E145)+1,(I$1)+1)*$F145</f>
        <v>76654.78447627745</v>
      </c>
      <c r="J145" s="12">
        <f>INDEX(ALLOC,($E145)+1,(J$1)+1)*$F145</f>
        <v>659101.4822263528</v>
      </c>
    </row>
    <row r="146" spans="1:6" ht="15">
      <c r="A146" s="9">
        <v>125</v>
      </c>
      <c r="F146" s="10"/>
    </row>
    <row r="147" spans="1:6" ht="15">
      <c r="A147" s="9">
        <v>126</v>
      </c>
      <c r="C147" s="2" t="s">
        <v>58</v>
      </c>
      <c r="D147" s="2"/>
      <c r="E147" s="2"/>
      <c r="F147" s="10"/>
    </row>
    <row r="148" spans="1:6" ht="15">
      <c r="A148" s="9">
        <v>127</v>
      </c>
      <c r="F148" s="10"/>
    </row>
    <row r="149" spans="1:6" ht="15">
      <c r="A149" s="9">
        <v>128</v>
      </c>
      <c r="C149" s="2" t="s">
        <v>44</v>
      </c>
      <c r="D149" s="2"/>
      <c r="E149" s="2"/>
      <c r="F149" s="10"/>
    </row>
    <row r="150" spans="1:6" ht="15">
      <c r="A150" s="9">
        <v>129</v>
      </c>
      <c r="F150" s="10"/>
    </row>
    <row r="151" spans="1:10" ht="15">
      <c r="A151" s="9">
        <v>130</v>
      </c>
      <c r="B151" s="9">
        <v>30100</v>
      </c>
      <c r="D151" s="2" t="s">
        <v>72</v>
      </c>
      <c r="E151" s="2">
        <v>10</v>
      </c>
      <c r="F151" s="11">
        <v>92660.93</v>
      </c>
      <c r="G151" s="12">
        <f>INDEX(ALLOC,($E151)+1,(G$1)+1)*$F151</f>
        <v>68780.48751437433</v>
      </c>
      <c r="H151" s="12">
        <f>INDEX(ALLOC,($E151)+1,(H$1)+1)*$F151</f>
        <v>15304.415901429113</v>
      </c>
      <c r="I151" s="12">
        <f>INDEX(ALLOC,($E151)+1,(I$1)+1)*$F151</f>
        <v>893.4935375006597</v>
      </c>
      <c r="J151" s="12">
        <f>INDEX(ALLOC,($E151)+1,(J$1)+1)*$F151</f>
        <v>7682.533046695886</v>
      </c>
    </row>
    <row r="152" spans="1:6" ht="15">
      <c r="A152" s="9">
        <v>131</v>
      </c>
      <c r="B152" s="9">
        <v>30200</v>
      </c>
      <c r="D152" s="13" t="s">
        <v>73</v>
      </c>
      <c r="E152" s="13"/>
      <c r="F152" s="9">
        <v>0</v>
      </c>
    </row>
    <row r="153" spans="1:10" ht="15">
      <c r="A153" s="9">
        <v>132</v>
      </c>
      <c r="B153" s="9">
        <v>30300</v>
      </c>
      <c r="D153" s="2" t="s">
        <v>74</v>
      </c>
      <c r="E153" s="2">
        <v>10</v>
      </c>
      <c r="F153" s="11">
        <v>554813.51</v>
      </c>
      <c r="G153" s="12">
        <f>INDEX(ALLOC,($E153)+1,(G$1)+1)*$F153</f>
        <v>411827.7649205679</v>
      </c>
      <c r="H153" s="12">
        <f>INDEX(ALLOC,($E153)+1,(H$1)+1)*$F153</f>
        <v>91636.21285445442</v>
      </c>
      <c r="I153" s="12">
        <f>INDEX(ALLOC,($E153)+1,(I$1)+1)*$F153</f>
        <v>5349.852259232211</v>
      </c>
      <c r="J153" s="12">
        <f>INDEX(ALLOC,($E153)+1,(J$1)+1)*$F153</f>
        <v>45999.67996574542</v>
      </c>
    </row>
    <row r="154" spans="1:6" ht="15">
      <c r="A154" s="9">
        <v>133</v>
      </c>
      <c r="F154" s="10"/>
    </row>
    <row r="155" spans="1:10" ht="15">
      <c r="A155" s="9">
        <v>134</v>
      </c>
      <c r="C155" s="2" t="s">
        <v>45</v>
      </c>
      <c r="D155" s="2"/>
      <c r="E155" s="2"/>
      <c r="F155" s="14">
        <f>SUM(F151:F153)</f>
        <v>647474.44</v>
      </c>
      <c r="G155" s="14">
        <f>SUM(G151:G153)</f>
        <v>480608.25243494223</v>
      </c>
      <c r="H155" s="14">
        <f>SUM(H151:H153)</f>
        <v>106940.62875588353</v>
      </c>
      <c r="I155" s="14">
        <f>SUM(I151:I153)</f>
        <v>6243.34579673287</v>
      </c>
      <c r="J155" s="14">
        <f>SUM(J151:J153)</f>
        <v>53682.2130124413</v>
      </c>
    </row>
    <row r="156" spans="1:6" ht="15">
      <c r="A156" s="9">
        <v>135</v>
      </c>
      <c r="F156" s="10"/>
    </row>
    <row r="157" spans="1:6" ht="15">
      <c r="A157" s="9">
        <v>136</v>
      </c>
      <c r="C157" s="2" t="s">
        <v>54</v>
      </c>
      <c r="D157" s="2"/>
      <c r="E157" s="2"/>
      <c r="F157" s="10"/>
    </row>
    <row r="158" spans="1:6" ht="15">
      <c r="A158" s="9">
        <v>137</v>
      </c>
      <c r="F158" s="10"/>
    </row>
    <row r="159" spans="1:10" ht="15">
      <c r="A159" s="9">
        <v>138</v>
      </c>
      <c r="B159" s="1">
        <v>37400</v>
      </c>
      <c r="D159" s="2" t="s">
        <v>96</v>
      </c>
      <c r="E159" s="2">
        <v>10</v>
      </c>
      <c r="F159" s="9">
        <v>0</v>
      </c>
      <c r="G159" s="12">
        <f aca="true" t="shared" si="9" ref="G159:J176">INDEX(ALLOC,($E159)+1,(G$1)+1)*$F159</f>
        <v>0</v>
      </c>
      <c r="H159" s="12">
        <f t="shared" si="9"/>
        <v>0</v>
      </c>
      <c r="I159" s="12">
        <f t="shared" si="9"/>
        <v>0</v>
      </c>
      <c r="J159" s="12">
        <f t="shared" si="9"/>
        <v>0</v>
      </c>
    </row>
    <row r="160" spans="1:10" ht="15">
      <c r="A160" s="9">
        <v>139</v>
      </c>
      <c r="B160" s="1">
        <v>39001</v>
      </c>
      <c r="D160" s="2" t="s">
        <v>119</v>
      </c>
      <c r="E160" s="2">
        <v>10</v>
      </c>
      <c r="F160" s="11">
        <v>89675.35</v>
      </c>
      <c r="G160" s="12">
        <f t="shared" si="9"/>
        <v>66564.34692617643</v>
      </c>
      <c r="H160" s="12">
        <f t="shared" si="9"/>
        <v>14811.300215810714</v>
      </c>
      <c r="I160" s="12">
        <f t="shared" si="9"/>
        <v>864.7047433919539</v>
      </c>
      <c r="J160" s="12">
        <f t="shared" si="9"/>
        <v>7434.998114620908</v>
      </c>
    </row>
    <row r="161" spans="1:10" ht="15">
      <c r="A161" s="9">
        <v>140</v>
      </c>
      <c r="B161" s="1">
        <v>39004</v>
      </c>
      <c r="D161" s="13" t="s">
        <v>121</v>
      </c>
      <c r="E161" s="2">
        <v>10</v>
      </c>
      <c r="F161" s="11">
        <v>2885.7</v>
      </c>
      <c r="G161" s="12">
        <f t="shared" si="9"/>
        <v>2142.001519089329</v>
      </c>
      <c r="H161" s="12">
        <f t="shared" si="9"/>
        <v>476.6189263020994</v>
      </c>
      <c r="I161" s="12">
        <f t="shared" si="9"/>
        <v>27.825689869135285</v>
      </c>
      <c r="J161" s="12">
        <f t="shared" si="9"/>
        <v>239.25386473943567</v>
      </c>
    </row>
    <row r="162" spans="1:10" ht="15">
      <c r="A162" s="9">
        <v>141</v>
      </c>
      <c r="B162" s="1">
        <v>39009</v>
      </c>
      <c r="D162" s="13" t="s">
        <v>122</v>
      </c>
      <c r="E162" s="2">
        <v>10</v>
      </c>
      <c r="F162" s="11">
        <v>19418.32</v>
      </c>
      <c r="G162" s="12">
        <f t="shared" si="9"/>
        <v>14413.858314503485</v>
      </c>
      <c r="H162" s="12">
        <f t="shared" si="9"/>
        <v>3207.2422043145802</v>
      </c>
      <c r="I162" s="12">
        <f t="shared" si="9"/>
        <v>187.24335519964902</v>
      </c>
      <c r="J162" s="12">
        <f t="shared" si="9"/>
        <v>1609.9761259822847</v>
      </c>
    </row>
    <row r="163" spans="1:10" ht="15">
      <c r="A163" s="9">
        <v>142</v>
      </c>
      <c r="B163" s="1">
        <v>39100</v>
      </c>
      <c r="D163" s="13" t="s">
        <v>123</v>
      </c>
      <c r="E163" s="2">
        <v>10</v>
      </c>
      <c r="F163" s="11">
        <v>44068.91</v>
      </c>
      <c r="G163" s="12">
        <f t="shared" si="9"/>
        <v>32711.53348047647</v>
      </c>
      <c r="H163" s="12">
        <f t="shared" si="9"/>
        <v>7278.676427731176</v>
      </c>
      <c r="I163" s="12">
        <f t="shared" si="9"/>
        <v>424.9394679040908</v>
      </c>
      <c r="J163" s="12">
        <f t="shared" si="9"/>
        <v>3653.7606238882645</v>
      </c>
    </row>
    <row r="164" spans="1:10" ht="15">
      <c r="A164" s="9">
        <v>143</v>
      </c>
      <c r="B164" s="1">
        <v>39200</v>
      </c>
      <c r="D164" s="2" t="s">
        <v>126</v>
      </c>
      <c r="E164" s="2">
        <v>10</v>
      </c>
      <c r="F164" s="11">
        <v>2054.98</v>
      </c>
      <c r="G164" s="12">
        <f t="shared" si="9"/>
        <v>1525.373490556257</v>
      </c>
      <c r="H164" s="12">
        <f t="shared" si="9"/>
        <v>339.4123994775231</v>
      </c>
      <c r="I164" s="12">
        <f t="shared" si="9"/>
        <v>19.815377955877477</v>
      </c>
      <c r="J164" s="12">
        <f t="shared" si="9"/>
        <v>170.37873201034256</v>
      </c>
    </row>
    <row r="165" spans="1:10" ht="15">
      <c r="A165" s="9">
        <v>144</v>
      </c>
      <c r="B165" s="1">
        <v>39300</v>
      </c>
      <c r="D165" s="2" t="s">
        <v>129</v>
      </c>
      <c r="E165" s="2">
        <v>10</v>
      </c>
      <c r="F165" s="11">
        <v>2080.67</v>
      </c>
      <c r="G165" s="12">
        <f t="shared" si="9"/>
        <v>1544.4427004621393</v>
      </c>
      <c r="H165" s="12">
        <f t="shared" si="9"/>
        <v>343.6555086769204</v>
      </c>
      <c r="I165" s="12">
        <f t="shared" si="9"/>
        <v>20.06309669751316</v>
      </c>
      <c r="J165" s="12">
        <f t="shared" si="9"/>
        <v>172.50869416342712</v>
      </c>
    </row>
    <row r="166" spans="1:10" ht="15">
      <c r="A166" s="9">
        <v>145</v>
      </c>
      <c r="B166" s="1">
        <v>39400</v>
      </c>
      <c r="D166" s="13" t="s">
        <v>130</v>
      </c>
      <c r="E166" s="2">
        <v>10</v>
      </c>
      <c r="F166" s="11">
        <v>71284.16</v>
      </c>
      <c r="G166" s="12">
        <f t="shared" si="9"/>
        <v>52912.9081356367</v>
      </c>
      <c r="H166" s="12">
        <f t="shared" si="9"/>
        <v>11773.704751549734</v>
      </c>
      <c r="I166" s="12">
        <f t="shared" si="9"/>
        <v>687.365605829372</v>
      </c>
      <c r="J166" s="12">
        <f t="shared" si="9"/>
        <v>5910.181506984195</v>
      </c>
    </row>
    <row r="167" spans="1:10" ht="15">
      <c r="A167" s="9">
        <v>146</v>
      </c>
      <c r="B167" s="1">
        <v>39600</v>
      </c>
      <c r="D167" s="2" t="s">
        <v>131</v>
      </c>
      <c r="E167" s="2">
        <v>10</v>
      </c>
      <c r="F167" s="11">
        <v>9767.78</v>
      </c>
      <c r="G167" s="12">
        <f t="shared" si="9"/>
        <v>7250.441694608023</v>
      </c>
      <c r="H167" s="12">
        <f t="shared" si="9"/>
        <v>1613.303120890987</v>
      </c>
      <c r="I167" s="12">
        <f t="shared" si="9"/>
        <v>94.18692760506715</v>
      </c>
      <c r="J167" s="12">
        <f t="shared" si="9"/>
        <v>809.8482568959231</v>
      </c>
    </row>
    <row r="168" spans="1:10" ht="15">
      <c r="A168" s="9">
        <v>147</v>
      </c>
      <c r="B168" s="1">
        <v>39700</v>
      </c>
      <c r="D168" s="2" t="s">
        <v>135</v>
      </c>
      <c r="E168" s="2">
        <v>10</v>
      </c>
      <c r="F168" s="11">
        <v>18999.65</v>
      </c>
      <c r="G168" s="12">
        <f t="shared" si="9"/>
        <v>14103.08734870762</v>
      </c>
      <c r="H168" s="12">
        <f t="shared" si="9"/>
        <v>3138.0922421303962</v>
      </c>
      <c r="I168" s="12">
        <f t="shared" si="9"/>
        <v>183.20628219222937</v>
      </c>
      <c r="J168" s="12">
        <f t="shared" si="9"/>
        <v>1575.2641269697542</v>
      </c>
    </row>
    <row r="169" spans="1:10" ht="15">
      <c r="A169" s="9">
        <v>148</v>
      </c>
      <c r="B169" s="1">
        <v>39800</v>
      </c>
      <c r="D169" s="2" t="s">
        <v>139</v>
      </c>
      <c r="E169" s="2">
        <v>10</v>
      </c>
      <c r="F169" s="11">
        <v>412511.44</v>
      </c>
      <c r="G169" s="12">
        <f t="shared" si="9"/>
        <v>306199.58107971266</v>
      </c>
      <c r="H169" s="12">
        <f t="shared" si="9"/>
        <v>68132.77874350519</v>
      </c>
      <c r="I169" s="12">
        <f t="shared" si="9"/>
        <v>3977.688393426347</v>
      </c>
      <c r="J169" s="12">
        <f t="shared" si="9"/>
        <v>34201.3917833558</v>
      </c>
    </row>
    <row r="170" spans="1:10" ht="15">
      <c r="A170" s="9">
        <v>149</v>
      </c>
      <c r="B170" s="1">
        <v>39900</v>
      </c>
      <c r="D170" s="2" t="s">
        <v>140</v>
      </c>
      <c r="E170" s="2">
        <v>10</v>
      </c>
      <c r="F170" s="11">
        <v>38499.22</v>
      </c>
      <c r="G170" s="12">
        <f t="shared" si="9"/>
        <v>28577.256029301137</v>
      </c>
      <c r="H170" s="12">
        <f t="shared" si="9"/>
        <v>6358.754167054203</v>
      </c>
      <c r="I170" s="12">
        <f t="shared" si="9"/>
        <v>371.23309974134895</v>
      </c>
      <c r="J170" s="12">
        <f t="shared" si="9"/>
        <v>3191.9767039033086</v>
      </c>
    </row>
    <row r="171" spans="1:10" ht="15">
      <c r="A171" s="9">
        <v>150</v>
      </c>
      <c r="B171" s="1">
        <v>39901</v>
      </c>
      <c r="D171" s="13" t="s">
        <v>151</v>
      </c>
      <c r="E171" s="2">
        <v>10</v>
      </c>
      <c r="F171" s="11">
        <v>172108.46</v>
      </c>
      <c r="G171" s="12">
        <f t="shared" si="9"/>
        <v>127752.9135974374</v>
      </c>
      <c r="H171" s="12">
        <f t="shared" si="9"/>
        <v>28426.430125344916</v>
      </c>
      <c r="I171" s="12">
        <f t="shared" si="9"/>
        <v>1659.5753653583101</v>
      </c>
      <c r="J171" s="12">
        <f t="shared" si="9"/>
        <v>14269.540911859367</v>
      </c>
    </row>
    <row r="172" spans="1:10" ht="15">
      <c r="A172" s="9">
        <v>151</v>
      </c>
      <c r="B172" s="1">
        <v>39902</v>
      </c>
      <c r="D172" s="13" t="s">
        <v>142</v>
      </c>
      <c r="E172" s="2">
        <v>10</v>
      </c>
      <c r="F172" s="11">
        <v>4136.85</v>
      </c>
      <c r="G172" s="12">
        <f t="shared" si="9"/>
        <v>3070.706928732957</v>
      </c>
      <c r="H172" s="12">
        <f t="shared" si="9"/>
        <v>683.2661071049798</v>
      </c>
      <c r="I172" s="12">
        <f t="shared" si="9"/>
        <v>39.89004578962897</v>
      </c>
      <c r="J172" s="12">
        <f t="shared" si="9"/>
        <v>342.9869183724346</v>
      </c>
    </row>
    <row r="173" spans="1:10" ht="15">
      <c r="A173" s="9">
        <v>152</v>
      </c>
      <c r="B173" s="1">
        <v>39903</v>
      </c>
      <c r="D173" s="13" t="s">
        <v>143</v>
      </c>
      <c r="E173" s="2">
        <v>10</v>
      </c>
      <c r="F173" s="11">
        <v>108269.99</v>
      </c>
      <c r="G173" s="12">
        <f t="shared" si="9"/>
        <v>80366.8028734056</v>
      </c>
      <c r="H173" s="12">
        <f t="shared" si="9"/>
        <v>17882.4986604772</v>
      </c>
      <c r="I173" s="12">
        <f t="shared" si="9"/>
        <v>1044.00567067761</v>
      </c>
      <c r="J173" s="12">
        <f t="shared" si="9"/>
        <v>8976.682795439601</v>
      </c>
    </row>
    <row r="174" spans="1:10" ht="15">
      <c r="A174" s="9">
        <v>153</v>
      </c>
      <c r="B174" s="1">
        <v>39906</v>
      </c>
      <c r="D174" s="13" t="s">
        <v>146</v>
      </c>
      <c r="E174" s="2">
        <v>10</v>
      </c>
      <c r="F174" s="11">
        <v>341887.23</v>
      </c>
      <c r="G174" s="12">
        <f t="shared" si="9"/>
        <v>253776.54157301277</v>
      </c>
      <c r="H174" s="12">
        <f t="shared" si="9"/>
        <v>56468.07515646079</v>
      </c>
      <c r="I174" s="12">
        <f t="shared" si="9"/>
        <v>3296.686430397382</v>
      </c>
      <c r="J174" s="12">
        <f t="shared" si="9"/>
        <v>28345.92684012903</v>
      </c>
    </row>
    <row r="175" spans="1:10" ht="15">
      <c r="A175" s="9">
        <v>154</v>
      </c>
      <c r="B175" s="1">
        <v>39907</v>
      </c>
      <c r="D175" s="13" t="s">
        <v>147</v>
      </c>
      <c r="E175" s="2">
        <v>10</v>
      </c>
      <c r="F175" s="9">
        <v>0</v>
      </c>
      <c r="G175" s="12">
        <f t="shared" si="9"/>
        <v>0</v>
      </c>
      <c r="H175" s="12">
        <f t="shared" si="9"/>
        <v>0</v>
      </c>
      <c r="I175" s="12">
        <f t="shared" si="9"/>
        <v>0</v>
      </c>
      <c r="J175" s="12">
        <f t="shared" si="9"/>
        <v>0</v>
      </c>
    </row>
    <row r="176" spans="1:10" ht="15">
      <c r="A176" s="9">
        <v>155</v>
      </c>
      <c r="B176" s="1">
        <v>39908</v>
      </c>
      <c r="D176" s="13" t="s">
        <v>148</v>
      </c>
      <c r="E176" s="2">
        <v>10</v>
      </c>
      <c r="F176" s="9">
        <v>0</v>
      </c>
      <c r="G176" s="12">
        <f t="shared" si="9"/>
        <v>0</v>
      </c>
      <c r="H176" s="12">
        <f t="shared" si="9"/>
        <v>0</v>
      </c>
      <c r="I176" s="12">
        <f t="shared" si="9"/>
        <v>0</v>
      </c>
      <c r="J176" s="12">
        <f t="shared" si="9"/>
        <v>0</v>
      </c>
    </row>
    <row r="177" spans="1:6" ht="15">
      <c r="A177" s="9">
        <v>156</v>
      </c>
      <c r="F177" s="10"/>
    </row>
    <row r="178" spans="1:10" ht="15">
      <c r="A178" s="9">
        <v>157</v>
      </c>
      <c r="C178" s="2" t="s">
        <v>55</v>
      </c>
      <c r="D178" s="2"/>
      <c r="E178" s="2"/>
      <c r="F178" s="14">
        <f>SUM(F159:F176)</f>
        <v>1337648.71</v>
      </c>
      <c r="G178" s="14">
        <f>SUM(G159:G176)</f>
        <v>992911.7956918189</v>
      </c>
      <c r="H178" s="14">
        <f>SUM(H159:H176)</f>
        <v>220933.8087568314</v>
      </c>
      <c r="I178" s="14">
        <f>SUM(I159:I176)</f>
        <v>12898.429552035515</v>
      </c>
      <c r="J178" s="14">
        <f>SUM(J159:J176)</f>
        <v>110904.67599931407</v>
      </c>
    </row>
    <row r="179" spans="1:6" ht="15">
      <c r="A179" s="9">
        <v>158</v>
      </c>
      <c r="F179" s="10"/>
    </row>
    <row r="180" spans="1:10" ht="15">
      <c r="A180" s="9">
        <v>159</v>
      </c>
      <c r="B180" s="10"/>
      <c r="C180" s="2" t="s">
        <v>57</v>
      </c>
      <c r="D180" s="2"/>
      <c r="E180" s="2">
        <v>10</v>
      </c>
      <c r="F180" s="16">
        <v>169180.47</v>
      </c>
      <c r="G180" s="12">
        <f>INDEX(ALLOC,($E180)+1,(G$1)+1)*$F180</f>
        <v>125579.5209967241</v>
      </c>
      <c r="H180" s="12">
        <f>INDEX(ALLOC,($E180)+1,(H$1)+1)*$F180</f>
        <v>27942.826337694336</v>
      </c>
      <c r="I180" s="12">
        <f>INDEX(ALLOC,($E180)+1,(I$1)+1)*$F180</f>
        <v>1631.341889362909</v>
      </c>
      <c r="J180" s="12">
        <f>INDEX(ALLOC,($E180)+1,(J$1)+1)*$F180</f>
        <v>14026.78077621865</v>
      </c>
    </row>
    <row r="181" spans="1:6" ht="15">
      <c r="A181" s="9">
        <v>160</v>
      </c>
      <c r="F181" s="10"/>
    </row>
    <row r="182" spans="1:6" ht="15">
      <c r="A182" s="9">
        <v>161</v>
      </c>
      <c r="C182" s="2" t="s">
        <v>59</v>
      </c>
      <c r="D182" s="2"/>
      <c r="E182" s="2"/>
      <c r="F182" s="10"/>
    </row>
    <row r="183" spans="1:6" ht="15">
      <c r="A183" s="9">
        <v>162</v>
      </c>
      <c r="F183" s="10"/>
    </row>
    <row r="184" spans="1:6" ht="15">
      <c r="A184" s="9">
        <v>163</v>
      </c>
      <c r="C184" s="2" t="s">
        <v>54</v>
      </c>
      <c r="D184" s="2"/>
      <c r="E184" s="2"/>
      <c r="F184" s="10"/>
    </row>
    <row r="185" spans="1:6" ht="15">
      <c r="A185" s="9">
        <v>164</v>
      </c>
      <c r="F185" s="10"/>
    </row>
    <row r="186" spans="1:10" ht="15">
      <c r="A186" s="9">
        <v>165</v>
      </c>
      <c r="B186" s="1">
        <v>39000</v>
      </c>
      <c r="D186" s="13" t="s">
        <v>97</v>
      </c>
      <c r="E186" s="13">
        <v>10</v>
      </c>
      <c r="F186" s="11">
        <v>6926.93</v>
      </c>
      <c r="G186" s="12">
        <f aca="true" t="shared" si="10" ref="G186:J209">INDEX(ALLOC,($E186)+1,(G$1)+1)*$F186</f>
        <v>5141.731497600392</v>
      </c>
      <c r="H186" s="12">
        <f t="shared" si="10"/>
        <v>1144.0918803651807</v>
      </c>
      <c r="I186" s="12">
        <f t="shared" si="10"/>
        <v>66.79370895283962</v>
      </c>
      <c r="J186" s="12">
        <f t="shared" si="10"/>
        <v>574.3129130815882</v>
      </c>
    </row>
    <row r="187" spans="1:10" ht="15">
      <c r="A187" s="9">
        <v>166</v>
      </c>
      <c r="B187" s="1">
        <v>39005</v>
      </c>
      <c r="D187" s="13" t="s">
        <v>152</v>
      </c>
      <c r="E187" s="13">
        <v>10</v>
      </c>
      <c r="F187" s="11">
        <v>128243.48</v>
      </c>
      <c r="G187" s="12">
        <f t="shared" si="10"/>
        <v>95192.7535687362</v>
      </c>
      <c r="H187" s="12">
        <f t="shared" si="10"/>
        <v>21181.43595759946</v>
      </c>
      <c r="I187" s="12">
        <f t="shared" si="10"/>
        <v>1236.602315631789</v>
      </c>
      <c r="J187" s="12">
        <f t="shared" si="10"/>
        <v>10632.688158032548</v>
      </c>
    </row>
    <row r="188" spans="1:10" ht="15">
      <c r="A188" s="9">
        <v>167</v>
      </c>
      <c r="B188" s="1">
        <v>39009</v>
      </c>
      <c r="D188" s="13" t="s">
        <v>122</v>
      </c>
      <c r="E188" s="13">
        <v>10</v>
      </c>
      <c r="F188" s="11">
        <v>516608.83</v>
      </c>
      <c r="G188" s="12">
        <f t="shared" si="10"/>
        <v>383469.1404633057</v>
      </c>
      <c r="H188" s="12">
        <f t="shared" si="10"/>
        <v>85326.10661980935</v>
      </c>
      <c r="I188" s="12">
        <f t="shared" si="10"/>
        <v>4981.459294880561</v>
      </c>
      <c r="J188" s="12">
        <f t="shared" si="10"/>
        <v>42832.12362200441</v>
      </c>
    </row>
    <row r="189" spans="1:10" ht="15">
      <c r="A189" s="9">
        <v>168</v>
      </c>
      <c r="B189" s="1">
        <v>39100</v>
      </c>
      <c r="D189" s="13" t="s">
        <v>123</v>
      </c>
      <c r="E189" s="13">
        <v>10</v>
      </c>
      <c r="F189" s="11">
        <v>530190.52</v>
      </c>
      <c r="G189" s="12">
        <f t="shared" si="10"/>
        <v>393550.57672202983</v>
      </c>
      <c r="H189" s="12">
        <f t="shared" si="10"/>
        <v>87569.33720690016</v>
      </c>
      <c r="I189" s="12">
        <f t="shared" si="10"/>
        <v>5112.42228266125</v>
      </c>
      <c r="J189" s="12">
        <f t="shared" si="10"/>
        <v>43958.18378840873</v>
      </c>
    </row>
    <row r="190" spans="1:10" ht="15">
      <c r="A190" s="9">
        <v>169</v>
      </c>
      <c r="B190" s="1">
        <v>39102</v>
      </c>
      <c r="D190" s="13" t="s">
        <v>124</v>
      </c>
      <c r="E190" s="13">
        <v>10</v>
      </c>
      <c r="F190" s="9">
        <v>0</v>
      </c>
      <c r="G190" s="12">
        <f t="shared" si="10"/>
        <v>0</v>
      </c>
      <c r="H190" s="12">
        <f t="shared" si="10"/>
        <v>0</v>
      </c>
      <c r="I190" s="12">
        <f t="shared" si="10"/>
        <v>0</v>
      </c>
      <c r="J190" s="12">
        <f t="shared" si="10"/>
        <v>0</v>
      </c>
    </row>
    <row r="191" spans="1:10" ht="15">
      <c r="A191" s="9">
        <v>170</v>
      </c>
      <c r="B191" s="1">
        <v>39103</v>
      </c>
      <c r="D191" s="2" t="s">
        <v>125</v>
      </c>
      <c r="E191" s="13">
        <v>10</v>
      </c>
      <c r="F191" s="9">
        <v>0</v>
      </c>
      <c r="G191" s="12">
        <f t="shared" si="10"/>
        <v>0</v>
      </c>
      <c r="H191" s="12">
        <f t="shared" si="10"/>
        <v>0</v>
      </c>
      <c r="I191" s="12">
        <f t="shared" si="10"/>
        <v>0</v>
      </c>
      <c r="J191" s="12">
        <f t="shared" si="10"/>
        <v>0</v>
      </c>
    </row>
    <row r="192" spans="1:10" ht="15">
      <c r="A192" s="9">
        <v>171</v>
      </c>
      <c r="B192" s="1">
        <v>39104</v>
      </c>
      <c r="D192" s="13" t="s">
        <v>153</v>
      </c>
      <c r="E192" s="13">
        <v>10</v>
      </c>
      <c r="F192" s="9">
        <v>892.95</v>
      </c>
      <c r="G192" s="12">
        <f t="shared" si="10"/>
        <v>662.8202018473219</v>
      </c>
      <c r="H192" s="12">
        <f t="shared" si="10"/>
        <v>147.48479406780322</v>
      </c>
      <c r="I192" s="12">
        <f t="shared" si="10"/>
        <v>8.610371753350783</v>
      </c>
      <c r="J192" s="12">
        <f t="shared" si="10"/>
        <v>74.03463233152411</v>
      </c>
    </row>
    <row r="193" spans="1:10" ht="15">
      <c r="A193" s="9">
        <v>172</v>
      </c>
      <c r="B193" s="1">
        <v>39200</v>
      </c>
      <c r="D193" s="2" t="s">
        <v>126</v>
      </c>
      <c r="E193" s="13">
        <v>10</v>
      </c>
      <c r="F193" s="11">
        <v>5502.8</v>
      </c>
      <c r="G193" s="12">
        <f t="shared" si="10"/>
        <v>4084.62624640287</v>
      </c>
      <c r="H193" s="12">
        <f t="shared" si="10"/>
        <v>908.8743208424968</v>
      </c>
      <c r="I193" s="12">
        <f t="shared" si="10"/>
        <v>53.06137374359</v>
      </c>
      <c r="J193" s="12">
        <f t="shared" si="10"/>
        <v>456.238059011043</v>
      </c>
    </row>
    <row r="194" spans="1:10" ht="15">
      <c r="A194" s="9">
        <v>173</v>
      </c>
      <c r="B194" s="1">
        <v>39300</v>
      </c>
      <c r="D194" s="2" t="s">
        <v>129</v>
      </c>
      <c r="E194" s="13">
        <v>10</v>
      </c>
      <c r="F194" s="9">
        <v>0</v>
      </c>
      <c r="G194" s="12">
        <f t="shared" si="10"/>
        <v>0</v>
      </c>
      <c r="H194" s="12">
        <f t="shared" si="10"/>
        <v>0</v>
      </c>
      <c r="I194" s="12">
        <f t="shared" si="10"/>
        <v>0</v>
      </c>
      <c r="J194" s="12">
        <f t="shared" si="10"/>
        <v>0</v>
      </c>
    </row>
    <row r="195" spans="1:10" ht="15">
      <c r="A195" s="9">
        <v>174</v>
      </c>
      <c r="B195" s="1">
        <v>39400</v>
      </c>
      <c r="D195" s="13" t="s">
        <v>130</v>
      </c>
      <c r="E195" s="13">
        <v>10</v>
      </c>
      <c r="F195" s="11">
        <v>14141.67</v>
      </c>
      <c r="G195" s="12">
        <f t="shared" si="10"/>
        <v>10497.099013223828</v>
      </c>
      <c r="H195" s="12">
        <f t="shared" si="10"/>
        <v>2335.720127358565</v>
      </c>
      <c r="I195" s="12">
        <f t="shared" si="10"/>
        <v>136.3626585063085</v>
      </c>
      <c r="J195" s="12">
        <f t="shared" si="10"/>
        <v>1172.488200911299</v>
      </c>
    </row>
    <row r="196" spans="1:10" ht="15">
      <c r="A196" s="9">
        <v>175</v>
      </c>
      <c r="B196" s="1">
        <v>39500</v>
      </c>
      <c r="D196" s="2" t="s">
        <v>154</v>
      </c>
      <c r="E196" s="13">
        <v>10</v>
      </c>
      <c r="F196" s="11">
        <v>2347.15</v>
      </c>
      <c r="G196" s="12">
        <f t="shared" si="10"/>
        <v>1742.2458556088714</v>
      </c>
      <c r="H196" s="12">
        <f t="shared" si="10"/>
        <v>387.66888895934187</v>
      </c>
      <c r="I196" s="12">
        <f t="shared" si="10"/>
        <v>22.63266035150601</v>
      </c>
      <c r="J196" s="12">
        <f t="shared" si="10"/>
        <v>194.60259508028085</v>
      </c>
    </row>
    <row r="197" spans="1:10" ht="15">
      <c r="A197" s="9">
        <v>176</v>
      </c>
      <c r="B197" s="1">
        <v>39700</v>
      </c>
      <c r="D197" s="2" t="s">
        <v>135</v>
      </c>
      <c r="E197" s="13">
        <v>10</v>
      </c>
      <c r="F197" s="11">
        <v>158859.79</v>
      </c>
      <c r="G197" s="12">
        <f t="shared" si="10"/>
        <v>117918.67190013234</v>
      </c>
      <c r="H197" s="12">
        <f t="shared" si="10"/>
        <v>26238.203050343764</v>
      </c>
      <c r="I197" s="12">
        <f t="shared" si="10"/>
        <v>1531.8235607360293</v>
      </c>
      <c r="J197" s="12">
        <f t="shared" si="10"/>
        <v>13171.091488787872</v>
      </c>
    </row>
    <row r="198" spans="1:10" ht="15">
      <c r="A198" s="9">
        <v>177</v>
      </c>
      <c r="B198" s="1">
        <v>39800</v>
      </c>
      <c r="D198" s="2" t="s">
        <v>139</v>
      </c>
      <c r="E198" s="13">
        <v>10</v>
      </c>
      <c r="F198" s="11">
        <v>21545.96</v>
      </c>
      <c r="G198" s="12">
        <f t="shared" si="10"/>
        <v>15993.16597367638</v>
      </c>
      <c r="H198" s="12">
        <f t="shared" si="10"/>
        <v>3558.655550247074</v>
      </c>
      <c r="I198" s="12">
        <f t="shared" si="10"/>
        <v>207.75936545475764</v>
      </c>
      <c r="J198" s="12">
        <f t="shared" si="10"/>
        <v>1786.3791106217873</v>
      </c>
    </row>
    <row r="199" spans="1:10" ht="15">
      <c r="A199" s="9">
        <v>178</v>
      </c>
      <c r="B199" s="1">
        <v>39900</v>
      </c>
      <c r="D199" s="2" t="s">
        <v>140</v>
      </c>
      <c r="E199" s="13">
        <v>10</v>
      </c>
      <c r="F199" s="11">
        <v>9006.48</v>
      </c>
      <c r="G199" s="12">
        <f t="shared" si="10"/>
        <v>6685.342842862274</v>
      </c>
      <c r="H199" s="12">
        <f t="shared" si="10"/>
        <v>1487.5624033549338</v>
      </c>
      <c r="I199" s="12">
        <f t="shared" si="10"/>
        <v>86.846005923197</v>
      </c>
      <c r="J199" s="12">
        <f t="shared" si="10"/>
        <v>746.7287478595947</v>
      </c>
    </row>
    <row r="200" spans="1:10" ht="15">
      <c r="A200" s="9">
        <v>179</v>
      </c>
      <c r="B200" s="1">
        <v>39901</v>
      </c>
      <c r="D200" s="13" t="s">
        <v>141</v>
      </c>
      <c r="E200" s="13">
        <v>10</v>
      </c>
      <c r="F200" s="11">
        <v>1668561.99</v>
      </c>
      <c r="G200" s="12">
        <f t="shared" si="10"/>
        <v>1238542.5779792476</v>
      </c>
      <c r="H200" s="12">
        <f t="shared" si="10"/>
        <v>275589.3627689276</v>
      </c>
      <c r="I200" s="12">
        <f t="shared" si="10"/>
        <v>16089.298423664004</v>
      </c>
      <c r="J200" s="12">
        <f t="shared" si="10"/>
        <v>138340.75082816082</v>
      </c>
    </row>
    <row r="201" spans="1:10" ht="15">
      <c r="A201" s="9">
        <v>180</v>
      </c>
      <c r="B201" s="1">
        <v>39902</v>
      </c>
      <c r="D201" s="13" t="s">
        <v>142</v>
      </c>
      <c r="E201" s="13">
        <v>10</v>
      </c>
      <c r="F201" s="11">
        <v>858973.99</v>
      </c>
      <c r="G201" s="12">
        <f t="shared" si="10"/>
        <v>637600.4405995851</v>
      </c>
      <c r="H201" s="12">
        <f t="shared" si="10"/>
        <v>141873.11946329498</v>
      </c>
      <c r="I201" s="12">
        <f t="shared" si="10"/>
        <v>8282.754219563265</v>
      </c>
      <c r="J201" s="12">
        <f t="shared" si="10"/>
        <v>71217.6757175567</v>
      </c>
    </row>
    <row r="202" spans="1:10" ht="15">
      <c r="A202" s="9">
        <v>181</v>
      </c>
      <c r="B202" s="1">
        <v>39903</v>
      </c>
      <c r="D202" s="13" t="s">
        <v>143</v>
      </c>
      <c r="E202" s="13">
        <v>10</v>
      </c>
      <c r="F202" s="11">
        <v>201952.98</v>
      </c>
      <c r="G202" s="12">
        <f t="shared" si="10"/>
        <v>149905.94654489966</v>
      </c>
      <c r="H202" s="12">
        <f t="shared" si="10"/>
        <v>33355.7239113939</v>
      </c>
      <c r="I202" s="12">
        <f t="shared" si="10"/>
        <v>1947.3545377647301</v>
      </c>
      <c r="J202" s="12">
        <f t="shared" si="10"/>
        <v>16743.955005941698</v>
      </c>
    </row>
    <row r="203" spans="1:10" ht="15">
      <c r="A203" s="9">
        <v>182</v>
      </c>
      <c r="B203" s="1">
        <v>39904</v>
      </c>
      <c r="D203" s="13" t="s">
        <v>144</v>
      </c>
      <c r="E203" s="13">
        <v>10</v>
      </c>
      <c r="F203" s="9">
        <v>0</v>
      </c>
      <c r="G203" s="12">
        <f t="shared" si="10"/>
        <v>0</v>
      </c>
      <c r="H203" s="12">
        <f t="shared" si="10"/>
        <v>0</v>
      </c>
      <c r="I203" s="12">
        <f t="shared" si="10"/>
        <v>0</v>
      </c>
      <c r="J203" s="12">
        <f t="shared" si="10"/>
        <v>0</v>
      </c>
    </row>
    <row r="204" spans="1:10" ht="15">
      <c r="A204" s="9">
        <v>183</v>
      </c>
      <c r="B204" s="1">
        <v>39905</v>
      </c>
      <c r="D204" s="13" t="s">
        <v>145</v>
      </c>
      <c r="E204" s="13">
        <v>10</v>
      </c>
      <c r="F204" s="9">
        <v>0</v>
      </c>
      <c r="G204" s="12">
        <f t="shared" si="10"/>
        <v>0</v>
      </c>
      <c r="H204" s="12">
        <f t="shared" si="10"/>
        <v>0</v>
      </c>
      <c r="I204" s="12">
        <f t="shared" si="10"/>
        <v>0</v>
      </c>
      <c r="J204" s="12">
        <f t="shared" si="10"/>
        <v>0</v>
      </c>
    </row>
    <row r="205" spans="1:10" ht="15">
      <c r="A205" s="9">
        <v>184</v>
      </c>
      <c r="B205" s="1">
        <v>39906</v>
      </c>
      <c r="D205" s="13" t="s">
        <v>146</v>
      </c>
      <c r="E205" s="13">
        <v>10</v>
      </c>
      <c r="F205" s="11">
        <v>145811.37</v>
      </c>
      <c r="G205" s="12">
        <f t="shared" si="10"/>
        <v>108233.07205894454</v>
      </c>
      <c r="H205" s="12">
        <f t="shared" si="10"/>
        <v>24083.050425213347</v>
      </c>
      <c r="I205" s="12">
        <f t="shared" si="10"/>
        <v>1406.0026894735201</v>
      </c>
      <c r="J205" s="12">
        <f t="shared" si="10"/>
        <v>12089.244826368578</v>
      </c>
    </row>
    <row r="206" spans="1:10" ht="15">
      <c r="A206" s="9">
        <v>185</v>
      </c>
      <c r="B206" s="1">
        <v>39907</v>
      </c>
      <c r="D206" s="13" t="s">
        <v>147</v>
      </c>
      <c r="E206" s="13">
        <v>10</v>
      </c>
      <c r="F206" s="11">
        <v>53909.52</v>
      </c>
      <c r="G206" s="12">
        <f t="shared" si="10"/>
        <v>40016.035531544025</v>
      </c>
      <c r="H206" s="12">
        <f t="shared" si="10"/>
        <v>8904.008573261792</v>
      </c>
      <c r="I206" s="12">
        <f t="shared" si="10"/>
        <v>519.8286670526895</v>
      </c>
      <c r="J206" s="12">
        <f t="shared" si="10"/>
        <v>4469.647228141492</v>
      </c>
    </row>
    <row r="207" spans="1:10" ht="15">
      <c r="A207" s="9">
        <v>186</v>
      </c>
      <c r="B207" s="1">
        <v>39908</v>
      </c>
      <c r="D207" s="13" t="s">
        <v>148</v>
      </c>
      <c r="E207" s="13">
        <v>10</v>
      </c>
      <c r="F207" s="11">
        <v>5761471.77</v>
      </c>
      <c r="G207" s="12">
        <f t="shared" si="10"/>
        <v>4276633.4974288</v>
      </c>
      <c r="H207" s="12">
        <f t="shared" si="10"/>
        <v>951598.0486319632</v>
      </c>
      <c r="I207" s="12">
        <f t="shared" si="10"/>
        <v>55555.6456533243</v>
      </c>
      <c r="J207" s="12">
        <f t="shared" si="10"/>
        <v>477684.5782859122</v>
      </c>
    </row>
    <row r="208" spans="1:10" ht="15">
      <c r="A208" s="9">
        <v>187</v>
      </c>
      <c r="B208" s="1">
        <v>39909</v>
      </c>
      <c r="D208" s="13" t="s">
        <v>155</v>
      </c>
      <c r="E208" s="13">
        <v>10</v>
      </c>
      <c r="F208" s="11">
        <v>145121.21</v>
      </c>
      <c r="G208" s="12">
        <f t="shared" si="10"/>
        <v>107720.77910804366</v>
      </c>
      <c r="H208" s="12">
        <f t="shared" si="10"/>
        <v>23969.05960212825</v>
      </c>
      <c r="I208" s="12">
        <f t="shared" si="10"/>
        <v>1399.3477433183125</v>
      </c>
      <c r="J208" s="12">
        <f t="shared" si="10"/>
        <v>12032.023546509768</v>
      </c>
    </row>
    <row r="209" spans="1:10" ht="15">
      <c r="A209" s="9">
        <v>188</v>
      </c>
      <c r="B209" s="1">
        <v>39924</v>
      </c>
      <c r="D209" s="13" t="s">
        <v>150</v>
      </c>
      <c r="E209" s="13">
        <v>10</v>
      </c>
      <c r="F209" s="9">
        <v>0</v>
      </c>
      <c r="G209" s="12">
        <f t="shared" si="10"/>
        <v>0</v>
      </c>
      <c r="H209" s="12">
        <f t="shared" si="10"/>
        <v>0</v>
      </c>
      <c r="I209" s="12">
        <f t="shared" si="10"/>
        <v>0</v>
      </c>
      <c r="J209" s="12">
        <f t="shared" si="10"/>
        <v>0</v>
      </c>
    </row>
    <row r="210" spans="1:6" ht="15">
      <c r="A210" s="9">
        <v>189</v>
      </c>
      <c r="F210" s="10"/>
    </row>
    <row r="211" spans="1:10" ht="15">
      <c r="A211" s="9">
        <v>190</v>
      </c>
      <c r="C211" s="2" t="s">
        <v>55</v>
      </c>
      <c r="D211" s="2"/>
      <c r="E211" s="2"/>
      <c r="F211" s="14">
        <f>SUM(F186:F209)</f>
        <v>10230069.39</v>
      </c>
      <c r="G211" s="14">
        <f>SUM(G186:G209)</f>
        <v>7593590.52353649</v>
      </c>
      <c r="H211" s="14">
        <f>SUM(H186:H209)</f>
        <v>1689657.514176031</v>
      </c>
      <c r="I211" s="14">
        <f>SUM(I186:I209)</f>
        <v>98644.605532756</v>
      </c>
      <c r="J211" s="14">
        <f>SUM(J186:J209)</f>
        <v>848176.7467547219</v>
      </c>
    </row>
    <row r="212" spans="1:6" ht="15">
      <c r="A212" s="9">
        <v>191</v>
      </c>
      <c r="F212" s="10"/>
    </row>
    <row r="213" spans="1:10" ht="15">
      <c r="A213" s="9">
        <v>192</v>
      </c>
      <c r="C213" s="2" t="s">
        <v>57</v>
      </c>
      <c r="D213" s="2"/>
      <c r="E213" s="2">
        <v>10</v>
      </c>
      <c r="F213" s="15">
        <v>357844.96</v>
      </c>
      <c r="G213" s="12">
        <f>INDEX(ALLOC,($E213)+1,(G$1)+1)*$F213</f>
        <v>265621.66819782386</v>
      </c>
      <c r="H213" s="12">
        <f>INDEX(ALLOC,($E213)+1,(H$1)+1)*$F213</f>
        <v>59103.74627224512</v>
      </c>
      <c r="I213" s="12">
        <f>INDEX(ALLOC,($E213)+1,(I$1)+1)*$F213</f>
        <v>3450.560653634516</v>
      </c>
      <c r="J213" s="12">
        <f>INDEX(ALLOC,($E213)+1,(J$1)+1)*$F213</f>
        <v>29668.98487629649</v>
      </c>
    </row>
    <row r="214" spans="1:6" ht="15">
      <c r="A214" s="9">
        <v>193</v>
      </c>
      <c r="F214" s="10"/>
    </row>
    <row r="215" spans="1:6" ht="15">
      <c r="A215" s="9">
        <v>194</v>
      </c>
      <c r="C215" s="2" t="s">
        <v>60</v>
      </c>
      <c r="D215" s="2"/>
      <c r="E215" s="2"/>
      <c r="F215" s="10"/>
    </row>
    <row r="216" spans="1:6" ht="15">
      <c r="A216" s="9">
        <v>195</v>
      </c>
      <c r="F216" s="10"/>
    </row>
    <row r="217" spans="1:6" ht="15">
      <c r="A217" s="9">
        <v>196</v>
      </c>
      <c r="C217" s="2" t="s">
        <v>54</v>
      </c>
      <c r="D217" s="2"/>
      <c r="E217" s="2"/>
      <c r="F217" s="10"/>
    </row>
    <row r="218" spans="1:6" ht="15">
      <c r="A218" s="9">
        <v>197</v>
      </c>
      <c r="F218" s="10"/>
    </row>
    <row r="219" spans="1:10" ht="15">
      <c r="A219" s="9">
        <v>198</v>
      </c>
      <c r="B219" s="1">
        <v>38900</v>
      </c>
      <c r="D219" s="2" t="s">
        <v>82</v>
      </c>
      <c r="E219" s="2">
        <v>10</v>
      </c>
      <c r="F219" s="11">
        <v>164344.78</v>
      </c>
      <c r="G219" s="12">
        <f aca="true" t="shared" si="11" ref="G219:J238">INDEX(ALLOC,($E219)+1,(G$1)+1)*$F219</f>
        <v>121990.07811428826</v>
      </c>
      <c r="H219" s="12">
        <f t="shared" si="11"/>
        <v>27144.135768428718</v>
      </c>
      <c r="I219" s="12">
        <f t="shared" si="11"/>
        <v>1584.7131995326151</v>
      </c>
      <c r="J219" s="12">
        <f t="shared" si="11"/>
        <v>13625.852917750395</v>
      </c>
    </row>
    <row r="220" spans="1:10" ht="15">
      <c r="A220" s="9">
        <v>199</v>
      </c>
      <c r="B220" s="1">
        <v>38910</v>
      </c>
      <c r="D220" s="13" t="s">
        <v>156</v>
      </c>
      <c r="E220" s="2">
        <v>10</v>
      </c>
      <c r="F220" s="11">
        <v>14992.68</v>
      </c>
      <c r="G220" s="12">
        <f t="shared" si="11"/>
        <v>11128.78793194726</v>
      </c>
      <c r="H220" s="12">
        <f t="shared" si="11"/>
        <v>2476.2778681051254</v>
      </c>
      <c r="I220" s="12">
        <f t="shared" si="11"/>
        <v>144.56861904812948</v>
      </c>
      <c r="J220" s="12">
        <f t="shared" si="11"/>
        <v>1243.0455808994845</v>
      </c>
    </row>
    <row r="221" spans="1:10" ht="15">
      <c r="A221" s="9">
        <v>200</v>
      </c>
      <c r="B221" s="1">
        <v>39000</v>
      </c>
      <c r="D221" s="13" t="s">
        <v>97</v>
      </c>
      <c r="E221" s="2">
        <v>10</v>
      </c>
      <c r="F221" s="11">
        <v>755563.69</v>
      </c>
      <c r="G221" s="12">
        <f t="shared" si="11"/>
        <v>560840.8953629064</v>
      </c>
      <c r="H221" s="12">
        <f t="shared" si="11"/>
        <v>124793.27535109411</v>
      </c>
      <c r="I221" s="12">
        <f t="shared" si="11"/>
        <v>7285.608661440716</v>
      </c>
      <c r="J221" s="12">
        <f t="shared" si="11"/>
        <v>62643.91062455865</v>
      </c>
    </row>
    <row r="222" spans="1:10" ht="15">
      <c r="A222" s="9">
        <v>201</v>
      </c>
      <c r="B222" s="1">
        <v>39009</v>
      </c>
      <c r="D222" s="13" t="s">
        <v>122</v>
      </c>
      <c r="E222" s="2">
        <v>10</v>
      </c>
      <c r="F222" s="11">
        <v>259244.9</v>
      </c>
      <c r="G222" s="12">
        <f t="shared" si="11"/>
        <v>192432.67478121817</v>
      </c>
      <c r="H222" s="12">
        <f t="shared" si="11"/>
        <v>42818.38925990059</v>
      </c>
      <c r="I222" s="12">
        <f t="shared" si="11"/>
        <v>2499.7983808278723</v>
      </c>
      <c r="J222" s="12">
        <f t="shared" si="11"/>
        <v>21494.037578053343</v>
      </c>
    </row>
    <row r="223" spans="1:10" ht="15">
      <c r="A223" s="9">
        <v>202</v>
      </c>
      <c r="B223" s="1">
        <v>39010</v>
      </c>
      <c r="D223" s="13" t="s">
        <v>157</v>
      </c>
      <c r="E223" s="2">
        <v>10</v>
      </c>
      <c r="F223" s="11">
        <v>82629.31</v>
      </c>
      <c r="G223" s="12">
        <f t="shared" si="11"/>
        <v>61334.202287591615</v>
      </c>
      <c r="H223" s="12">
        <f t="shared" si="11"/>
        <v>13647.535437946886</v>
      </c>
      <c r="I223" s="12">
        <f t="shared" si="11"/>
        <v>796.7625027413242</v>
      </c>
      <c r="J223" s="12">
        <f t="shared" si="11"/>
        <v>6850.809771720172</v>
      </c>
    </row>
    <row r="224" spans="1:10" ht="15">
      <c r="A224" s="9">
        <v>203</v>
      </c>
      <c r="B224" s="1">
        <v>39100</v>
      </c>
      <c r="D224" s="13" t="s">
        <v>123</v>
      </c>
      <c r="E224" s="2">
        <v>10</v>
      </c>
      <c r="F224" s="11">
        <v>65363.03</v>
      </c>
      <c r="G224" s="12">
        <f t="shared" si="11"/>
        <v>48517.763299123755</v>
      </c>
      <c r="H224" s="12">
        <f t="shared" si="11"/>
        <v>10795.736624892372</v>
      </c>
      <c r="I224" s="12">
        <f t="shared" si="11"/>
        <v>630.2704375669632</v>
      </c>
      <c r="J224" s="12">
        <f t="shared" si="11"/>
        <v>5419.25963841691</v>
      </c>
    </row>
    <row r="225" spans="1:10" ht="15">
      <c r="A225" s="9">
        <v>204</v>
      </c>
      <c r="B225" s="1">
        <v>39700</v>
      </c>
      <c r="D225" s="2" t="s">
        <v>135</v>
      </c>
      <c r="E225" s="2">
        <v>10</v>
      </c>
      <c r="F225" s="11">
        <v>118380.43</v>
      </c>
      <c r="G225" s="12">
        <f t="shared" si="11"/>
        <v>87871.59472240636</v>
      </c>
      <c r="H225" s="12">
        <f t="shared" si="11"/>
        <v>19552.397491693813</v>
      </c>
      <c r="I225" s="12">
        <f t="shared" si="11"/>
        <v>1141.4967362355335</v>
      </c>
      <c r="J225" s="12">
        <f t="shared" si="11"/>
        <v>9814.941049664287</v>
      </c>
    </row>
    <row r="226" spans="1:10" ht="15">
      <c r="A226" s="9">
        <v>205</v>
      </c>
      <c r="B226" s="1">
        <v>39710</v>
      </c>
      <c r="D226" s="13" t="s">
        <v>158</v>
      </c>
      <c r="E226" s="2">
        <v>10</v>
      </c>
      <c r="F226" s="11">
        <v>2157.96</v>
      </c>
      <c r="G226" s="12">
        <f t="shared" si="11"/>
        <v>1601.8136320941226</v>
      </c>
      <c r="H226" s="12">
        <f t="shared" si="11"/>
        <v>356.4211727493775</v>
      </c>
      <c r="I226" s="12">
        <f t="shared" si="11"/>
        <v>20.80837429739723</v>
      </c>
      <c r="J226" s="12">
        <f t="shared" si="11"/>
        <v>178.9168208591027</v>
      </c>
    </row>
    <row r="227" spans="1:10" ht="15">
      <c r="A227" s="9">
        <v>206</v>
      </c>
      <c r="B227" s="1">
        <v>39800</v>
      </c>
      <c r="D227" s="2" t="s">
        <v>139</v>
      </c>
      <c r="E227" s="2">
        <v>10</v>
      </c>
      <c r="F227" s="11">
        <v>5452.06</v>
      </c>
      <c r="G227" s="12">
        <f t="shared" si="11"/>
        <v>4046.962886705538</v>
      </c>
      <c r="H227" s="12">
        <f t="shared" si="11"/>
        <v>900.4938085506548</v>
      </c>
      <c r="I227" s="12">
        <f t="shared" si="11"/>
        <v>52.57210753297908</v>
      </c>
      <c r="J227" s="12">
        <f t="shared" si="11"/>
        <v>452.0311972108285</v>
      </c>
    </row>
    <row r="228" spans="1:10" ht="15">
      <c r="A228" s="9">
        <v>207</v>
      </c>
      <c r="B228" s="1">
        <v>39900</v>
      </c>
      <c r="D228" s="2" t="s">
        <v>140</v>
      </c>
      <c r="E228" s="2">
        <v>10</v>
      </c>
      <c r="F228" s="9">
        <v>0</v>
      </c>
      <c r="G228" s="12">
        <f t="shared" si="11"/>
        <v>0</v>
      </c>
      <c r="H228" s="12">
        <f t="shared" si="11"/>
        <v>0</v>
      </c>
      <c r="I228" s="12">
        <f t="shared" si="11"/>
        <v>0</v>
      </c>
      <c r="J228" s="12">
        <f t="shared" si="11"/>
        <v>0</v>
      </c>
    </row>
    <row r="229" spans="1:10" ht="15">
      <c r="A229" s="9">
        <v>208</v>
      </c>
      <c r="B229" s="1">
        <v>39901</v>
      </c>
      <c r="D229" s="13" t="s">
        <v>141</v>
      </c>
      <c r="E229" s="2">
        <v>10</v>
      </c>
      <c r="F229" s="11">
        <v>332188.13</v>
      </c>
      <c r="G229" s="12">
        <f t="shared" si="11"/>
        <v>246577.07976693477</v>
      </c>
      <c r="H229" s="12">
        <f t="shared" si="11"/>
        <v>54866.11562217217</v>
      </c>
      <c r="I229" s="12">
        <f t="shared" si="11"/>
        <v>3203.161757489689</v>
      </c>
      <c r="J229" s="12">
        <f t="shared" si="11"/>
        <v>27541.77285340336</v>
      </c>
    </row>
    <row r="230" spans="1:10" ht="15">
      <c r="A230" s="9">
        <v>209</v>
      </c>
      <c r="B230" s="1">
        <v>39902</v>
      </c>
      <c r="D230" s="13" t="s">
        <v>159</v>
      </c>
      <c r="E230" s="2">
        <v>10</v>
      </c>
      <c r="F230" s="11">
        <v>154557.08</v>
      </c>
      <c r="G230" s="12">
        <f t="shared" si="11"/>
        <v>114724.85017361853</v>
      </c>
      <c r="H230" s="12">
        <f t="shared" si="11"/>
        <v>25527.542544958826</v>
      </c>
      <c r="I230" s="12">
        <f t="shared" si="11"/>
        <v>1490.3341910659915</v>
      </c>
      <c r="J230" s="12">
        <f t="shared" si="11"/>
        <v>12814.353090356633</v>
      </c>
    </row>
    <row r="231" spans="1:10" ht="15">
      <c r="A231" s="9">
        <v>210</v>
      </c>
      <c r="B231" s="1">
        <v>39903</v>
      </c>
      <c r="D231" s="13" t="s">
        <v>143</v>
      </c>
      <c r="E231" s="2">
        <v>10</v>
      </c>
      <c r="F231" s="11">
        <v>110823.38</v>
      </c>
      <c r="G231" s="12">
        <f t="shared" si="11"/>
        <v>82262.13685089027</v>
      </c>
      <c r="H231" s="12">
        <f t="shared" si="11"/>
        <v>18304.23134240204</v>
      </c>
      <c r="I231" s="12">
        <f t="shared" si="11"/>
        <v>1068.6270236439443</v>
      </c>
      <c r="J231" s="12">
        <f t="shared" si="11"/>
        <v>9188.384783063757</v>
      </c>
    </row>
    <row r="232" spans="1:10" ht="15">
      <c r="A232" s="9">
        <v>211</v>
      </c>
      <c r="B232" s="1">
        <v>39906</v>
      </c>
      <c r="D232" s="13" t="s">
        <v>146</v>
      </c>
      <c r="E232" s="2">
        <v>10</v>
      </c>
      <c r="F232" s="11">
        <v>71419.53</v>
      </c>
      <c r="G232" s="12">
        <f t="shared" si="11"/>
        <v>53013.39077265341</v>
      </c>
      <c r="H232" s="12">
        <f t="shared" si="11"/>
        <v>11796.063244828147</v>
      </c>
      <c r="I232" s="12">
        <f t="shared" si="11"/>
        <v>688.6709264231915</v>
      </c>
      <c r="J232" s="12">
        <f t="shared" si="11"/>
        <v>5921.405056095252</v>
      </c>
    </row>
    <row r="233" spans="1:10" ht="15">
      <c r="A233" s="9">
        <v>212</v>
      </c>
      <c r="B233" s="1">
        <v>39907</v>
      </c>
      <c r="D233" s="13" t="s">
        <v>147</v>
      </c>
      <c r="E233" s="2">
        <v>10</v>
      </c>
      <c r="F233" s="11">
        <v>28966.97</v>
      </c>
      <c r="G233" s="12">
        <f t="shared" si="11"/>
        <v>21501.643879618478</v>
      </c>
      <c r="H233" s="12">
        <f t="shared" si="11"/>
        <v>4784.352545179723</v>
      </c>
      <c r="I233" s="12">
        <f t="shared" si="11"/>
        <v>279.31729690146096</v>
      </c>
      <c r="J233" s="12">
        <f t="shared" si="11"/>
        <v>2401.65627830034</v>
      </c>
    </row>
    <row r="234" spans="1:10" ht="15">
      <c r="A234" s="9">
        <v>213</v>
      </c>
      <c r="B234" s="10">
        <v>39908</v>
      </c>
      <c r="C234" s="10"/>
      <c r="D234" s="13" t="s">
        <v>148</v>
      </c>
      <c r="E234" s="2">
        <v>10</v>
      </c>
      <c r="F234" s="11">
        <v>5586708.57</v>
      </c>
      <c r="G234" s="12">
        <f t="shared" si="11"/>
        <v>4146910.019631069</v>
      </c>
      <c r="H234" s="12">
        <f t="shared" si="11"/>
        <v>922733.1462716629</v>
      </c>
      <c r="I234" s="12">
        <f t="shared" si="11"/>
        <v>53870.4716561182</v>
      </c>
      <c r="J234" s="12">
        <f t="shared" si="11"/>
        <v>463194.9324411499</v>
      </c>
    </row>
    <row r="235" spans="1:10" ht="15">
      <c r="A235" s="9">
        <v>214</v>
      </c>
      <c r="B235" s="1">
        <v>39910</v>
      </c>
      <c r="D235" s="13" t="s">
        <v>160</v>
      </c>
      <c r="E235" s="2">
        <v>10</v>
      </c>
      <c r="F235" s="9">
        <v>945.05</v>
      </c>
      <c r="G235" s="12">
        <f t="shared" si="11"/>
        <v>701.4930642878229</v>
      </c>
      <c r="H235" s="12">
        <f t="shared" si="11"/>
        <v>156.08993183691967</v>
      </c>
      <c r="I235" s="12">
        <f t="shared" si="11"/>
        <v>9.112751918365147</v>
      </c>
      <c r="J235" s="12">
        <f t="shared" si="11"/>
        <v>78.35425195689216</v>
      </c>
    </row>
    <row r="236" spans="1:10" ht="15">
      <c r="A236" s="9">
        <v>215</v>
      </c>
      <c r="B236" s="1">
        <v>39916</v>
      </c>
      <c r="D236" s="2" t="s">
        <v>161</v>
      </c>
      <c r="E236" s="2">
        <v>10</v>
      </c>
      <c r="F236" s="11">
        <v>1541.4</v>
      </c>
      <c r="G236" s="12">
        <f t="shared" si="11"/>
        <v>1144.1525943529448</v>
      </c>
      <c r="H236" s="12">
        <f t="shared" si="11"/>
        <v>254.58655196384106</v>
      </c>
      <c r="I236" s="12">
        <f t="shared" si="11"/>
        <v>14.863124498140879</v>
      </c>
      <c r="J236" s="12">
        <f t="shared" si="11"/>
        <v>127.79772918507335</v>
      </c>
    </row>
    <row r="237" spans="1:10" ht="15">
      <c r="A237" s="9">
        <v>216</v>
      </c>
      <c r="B237" s="1">
        <v>39917</v>
      </c>
      <c r="D237" s="2" t="s">
        <v>162</v>
      </c>
      <c r="E237" s="2">
        <v>10</v>
      </c>
      <c r="F237" s="9">
        <v>719.32</v>
      </c>
      <c r="G237" s="12">
        <f t="shared" si="11"/>
        <v>533.9378773647076</v>
      </c>
      <c r="H237" s="12">
        <f t="shared" si="11"/>
        <v>118.80705758312583</v>
      </c>
      <c r="I237" s="12">
        <f t="shared" si="11"/>
        <v>6.936124765799077</v>
      </c>
      <c r="J237" s="12">
        <f t="shared" si="11"/>
        <v>59.638940286367564</v>
      </c>
    </row>
    <row r="238" spans="1:10" ht="15">
      <c r="A238" s="9">
        <v>217</v>
      </c>
      <c r="B238" s="1">
        <v>39924</v>
      </c>
      <c r="D238" s="13" t="s">
        <v>150</v>
      </c>
      <c r="E238" s="2">
        <v>10</v>
      </c>
      <c r="F238" s="9">
        <v>0</v>
      </c>
      <c r="G238" s="12">
        <f t="shared" si="11"/>
        <v>0</v>
      </c>
      <c r="H238" s="12">
        <f t="shared" si="11"/>
        <v>0</v>
      </c>
      <c r="I238" s="12">
        <f t="shared" si="11"/>
        <v>0</v>
      </c>
      <c r="J238" s="12">
        <f t="shared" si="11"/>
        <v>0</v>
      </c>
    </row>
    <row r="239" spans="1:6" ht="15">
      <c r="A239" s="9">
        <v>218</v>
      </c>
      <c r="F239" s="10"/>
    </row>
    <row r="240" spans="1:10" ht="15">
      <c r="A240" s="9">
        <v>219</v>
      </c>
      <c r="C240" s="2" t="s">
        <v>55</v>
      </c>
      <c r="D240" s="2"/>
      <c r="E240" s="2"/>
      <c r="F240" s="14">
        <f>SUM(F219:F238)</f>
        <v>7755998.2700000005</v>
      </c>
      <c r="G240" s="14">
        <f>SUM(G219:G238)</f>
        <v>5757133.477629072</v>
      </c>
      <c r="H240" s="14">
        <f>SUM(H219:H238)</f>
        <v>1281025.5978959491</v>
      </c>
      <c r="I240" s="14">
        <f>SUM(I219:I238)</f>
        <v>74788.0938720483</v>
      </c>
      <c r="J240" s="14">
        <f>SUM(J219:J238)</f>
        <v>643051.1006029308</v>
      </c>
    </row>
    <row r="241" spans="1:6" ht="15">
      <c r="A241" s="9">
        <v>220</v>
      </c>
      <c r="F241" s="10"/>
    </row>
    <row r="242" spans="1:10" ht="15">
      <c r="A242" s="9">
        <v>221</v>
      </c>
      <c r="C242" s="2" t="s">
        <v>57</v>
      </c>
      <c r="D242" s="2"/>
      <c r="E242" s="2">
        <v>10</v>
      </c>
      <c r="F242" s="15">
        <v>65180.37</v>
      </c>
      <c r="G242" s="12">
        <f>INDEX(ALLOC,($E242)+1,(G$1)+1)*$F242</f>
        <v>48382.178173339074</v>
      </c>
      <c r="H242" s="12">
        <f>INDEX(ALLOC,($E242)+1,(H$1)+1)*$F242</f>
        <v>10765.56744130491</v>
      </c>
      <c r="I242" s="12">
        <f>INDEX(ALLOC,($E242)+1,(I$1)+1)*$F242</f>
        <v>628.5091177792181</v>
      </c>
      <c r="J242" s="12">
        <f>INDEX(ALLOC,($E242)+1,(J$1)+1)*$F242</f>
        <v>5404.1152675768</v>
      </c>
    </row>
    <row r="243" spans="1:6" ht="15">
      <c r="A243" s="9">
        <v>222</v>
      </c>
      <c r="F243" s="10"/>
    </row>
    <row r="244" spans="1:10" ht="15">
      <c r="A244" s="9">
        <v>223</v>
      </c>
      <c r="C244" s="2" t="s">
        <v>61</v>
      </c>
      <c r="D244" s="2"/>
      <c r="E244" s="2"/>
      <c r="F244" s="14">
        <f>F143+F155+F178+F211+F240</f>
        <v>445835433.45</v>
      </c>
      <c r="G244" s="14">
        <f>G143+G155+G178+G211+G240</f>
        <v>330935362.55111414</v>
      </c>
      <c r="H244" s="14">
        <f>H143+H155+H178+H211+H240</f>
        <v>73636762.51806153</v>
      </c>
      <c r="I244" s="14">
        <f>I143+I155+I178+I211+I240</f>
        <v>4299018.78360578</v>
      </c>
      <c r="J244" s="14">
        <f>J143+J155+J178+J211+J240</f>
        <v>36964289.5972187</v>
      </c>
    </row>
    <row r="245" spans="1:6" ht="15">
      <c r="A245" s="9">
        <v>224</v>
      </c>
      <c r="F245" s="10"/>
    </row>
    <row r="246" spans="1:10" ht="15">
      <c r="A246" s="9">
        <v>225</v>
      </c>
      <c r="C246" s="2" t="s">
        <v>62</v>
      </c>
      <c r="D246" s="2"/>
      <c r="E246" s="2"/>
      <c r="F246" s="14">
        <f>F145+F180+F213+F242</f>
        <v>8541791.69</v>
      </c>
      <c r="G246" s="14">
        <f>G145+G180+G213+G242</f>
        <v>6340413.340168628</v>
      </c>
      <c r="H246" s="14">
        <f>H145+H180+H213+H242</f>
        <v>1410811.7905478727</v>
      </c>
      <c r="I246" s="14">
        <f>I145+I180+I213+I242</f>
        <v>82365.1961370541</v>
      </c>
      <c r="J246" s="14">
        <f>J145+J180+J213+J242</f>
        <v>708201.3631464447</v>
      </c>
    </row>
    <row r="247" spans="1:6" ht="15">
      <c r="A247" s="10"/>
      <c r="F247" s="10"/>
    </row>
    <row r="248" spans="1:5" ht="15">
      <c r="A248" s="10"/>
      <c r="B248" s="10"/>
      <c r="C248" s="10"/>
      <c r="D248" s="10"/>
      <c r="E248" s="10"/>
    </row>
    <row r="250" ht="15.75">
      <c r="A250" s="8" t="s">
        <v>41</v>
      </c>
    </row>
    <row r="252" spans="1:7" ht="15">
      <c r="A252" s="9">
        <v>1</v>
      </c>
      <c r="C252" s="2" t="s">
        <v>44</v>
      </c>
      <c r="D252" s="2"/>
      <c r="E252" s="2"/>
      <c r="F252" s="2"/>
      <c r="G252" s="2"/>
    </row>
    <row r="253" ht="15">
      <c r="A253" s="9">
        <v>2</v>
      </c>
    </row>
    <row r="254" spans="1:10" ht="15">
      <c r="A254" s="9">
        <v>3</v>
      </c>
      <c r="B254" s="9">
        <v>30100</v>
      </c>
      <c r="D254" s="2" t="s">
        <v>72</v>
      </c>
      <c r="E254" s="2">
        <v>10</v>
      </c>
      <c r="F254" s="17">
        <v>8329.72</v>
      </c>
      <c r="G254" s="12">
        <f aca="true" t="shared" si="12" ref="G254:J255">INDEX(ALLOC,($E254)+1,(G$1)+1)*$F254</f>
        <v>6182.996463107312</v>
      </c>
      <c r="H254" s="12">
        <f t="shared" si="12"/>
        <v>1375.784801884161</v>
      </c>
      <c r="I254" s="12">
        <f t="shared" si="12"/>
        <v>80.32027078931752</v>
      </c>
      <c r="J254" s="12">
        <f t="shared" si="12"/>
        <v>690.6184642192093</v>
      </c>
    </row>
    <row r="255" spans="1:10" ht="15">
      <c r="A255" s="9">
        <v>4</v>
      </c>
      <c r="B255" s="9">
        <v>30200</v>
      </c>
      <c r="D255" s="13" t="s">
        <v>73</v>
      </c>
      <c r="E255" s="13">
        <v>10</v>
      </c>
      <c r="F255" s="17">
        <v>119852.69</v>
      </c>
      <c r="G255" s="12">
        <f t="shared" si="12"/>
        <v>88964.42597877205</v>
      </c>
      <c r="H255" s="12">
        <f t="shared" si="12"/>
        <v>19795.564480790927</v>
      </c>
      <c r="I255" s="12">
        <f t="shared" si="12"/>
        <v>1155.6931704340757</v>
      </c>
      <c r="J255" s="12">
        <f t="shared" si="12"/>
        <v>9937.006370002951</v>
      </c>
    </row>
    <row r="256" spans="1:7" ht="15">
      <c r="A256" s="9">
        <v>5</v>
      </c>
      <c r="B256" s="9">
        <v>30300</v>
      </c>
      <c r="D256" s="2" t="s">
        <v>74</v>
      </c>
      <c r="E256" s="2"/>
      <c r="F256" s="13">
        <v>0</v>
      </c>
      <c r="G256" s="2"/>
    </row>
    <row r="257" ht="15">
      <c r="A257" s="9">
        <v>6</v>
      </c>
    </row>
    <row r="258" spans="1:10" ht="15">
      <c r="A258" s="9">
        <v>7</v>
      </c>
      <c r="C258" s="13" t="s">
        <v>45</v>
      </c>
      <c r="D258" s="2"/>
      <c r="E258" s="2"/>
      <c r="F258" s="18">
        <f>SUM(F254:F256)</f>
        <v>128182.41</v>
      </c>
      <c r="G258" s="18">
        <f>SUM(G254:G256)</f>
        <v>95147.42244187936</v>
      </c>
      <c r="H258" s="18">
        <f>SUM(H254:H256)</f>
        <v>21171.349282675088</v>
      </c>
      <c r="I258" s="18">
        <f>SUM(I254:I256)</f>
        <v>1236.013441223393</v>
      </c>
      <c r="J258" s="18">
        <f>SUM(J254:J256)</f>
        <v>10627.62483422216</v>
      </c>
    </row>
    <row r="259" ht="15">
      <c r="A259" s="9">
        <v>8</v>
      </c>
    </row>
    <row r="260" spans="1:7" ht="15">
      <c r="A260" s="9">
        <v>9</v>
      </c>
      <c r="C260" s="13" t="s">
        <v>46</v>
      </c>
      <c r="D260" s="2"/>
      <c r="E260" s="2"/>
      <c r="F260" s="2"/>
      <c r="G260" s="2"/>
    </row>
    <row r="261" ht="15">
      <c r="A261" s="9">
        <v>10</v>
      </c>
    </row>
    <row r="262" spans="1:10" ht="15">
      <c r="A262" s="9">
        <v>11</v>
      </c>
      <c r="B262" s="9">
        <v>32520</v>
      </c>
      <c r="D262" s="2" t="s">
        <v>75</v>
      </c>
      <c r="E262" s="2">
        <v>4</v>
      </c>
      <c r="F262" s="13">
        <v>903.88</v>
      </c>
      <c r="G262" s="12">
        <f aca="true" t="shared" si="13" ref="G262:J268">INDEX(ALLOC,($E262)+1,(G$1)+1)*$F262</f>
        <v>386.75802573184114</v>
      </c>
      <c r="H262" s="12">
        <f t="shared" si="13"/>
        <v>173.8342080053139</v>
      </c>
      <c r="I262" s="12">
        <f t="shared" si="13"/>
        <v>15.648766461278134</v>
      </c>
      <c r="J262" s="12">
        <f t="shared" si="13"/>
        <v>327.63899980156685</v>
      </c>
    </row>
    <row r="263" spans="1:10" ht="15">
      <c r="A263" s="9">
        <v>12</v>
      </c>
      <c r="B263" s="9">
        <v>32540</v>
      </c>
      <c r="D263" s="2" t="s">
        <v>76</v>
      </c>
      <c r="E263" s="2">
        <v>4</v>
      </c>
      <c r="F263" s="17">
        <v>12962.6</v>
      </c>
      <c r="G263" s="12">
        <f t="shared" si="13"/>
        <v>5546.521202318409</v>
      </c>
      <c r="H263" s="12">
        <f t="shared" si="13"/>
        <v>2492.9673238590103</v>
      </c>
      <c r="I263" s="12">
        <f t="shared" si="13"/>
        <v>224.41994527034998</v>
      </c>
      <c r="J263" s="12">
        <f t="shared" si="13"/>
        <v>4698.691528552231</v>
      </c>
    </row>
    <row r="264" spans="1:10" ht="15">
      <c r="A264" s="9">
        <v>13</v>
      </c>
      <c r="B264" s="9">
        <v>33100</v>
      </c>
      <c r="D264" s="13" t="s">
        <v>77</v>
      </c>
      <c r="E264" s="2">
        <v>4</v>
      </c>
      <c r="F264" s="17">
        <v>3492.47</v>
      </c>
      <c r="G264" s="12">
        <f t="shared" si="13"/>
        <v>1494.380672354387</v>
      </c>
      <c r="H264" s="12">
        <f t="shared" si="13"/>
        <v>671.6718551492661</v>
      </c>
      <c r="I264" s="12">
        <f t="shared" si="13"/>
        <v>60.46471589483122</v>
      </c>
      <c r="J264" s="12">
        <f t="shared" si="13"/>
        <v>1265.9527566015158</v>
      </c>
    </row>
    <row r="265" spans="1:10" ht="15">
      <c r="A265" s="9">
        <v>14</v>
      </c>
      <c r="B265" s="9">
        <v>33201</v>
      </c>
      <c r="D265" s="2" t="s">
        <v>78</v>
      </c>
      <c r="E265" s="2">
        <v>4</v>
      </c>
      <c r="F265" s="17">
        <v>47162.67</v>
      </c>
      <c r="G265" s="12">
        <f t="shared" si="13"/>
        <v>20180.268550518136</v>
      </c>
      <c r="H265" s="12">
        <f t="shared" si="13"/>
        <v>9070.325028616608</v>
      </c>
      <c r="I265" s="12">
        <f t="shared" si="13"/>
        <v>816.5216715939378</v>
      </c>
      <c r="J265" s="12">
        <f t="shared" si="13"/>
        <v>17095.554749271323</v>
      </c>
    </row>
    <row r="266" spans="1:10" ht="15">
      <c r="A266" s="9">
        <v>15</v>
      </c>
      <c r="B266" s="9">
        <v>33202</v>
      </c>
      <c r="D266" s="2" t="s">
        <v>79</v>
      </c>
      <c r="E266" s="2">
        <v>4</v>
      </c>
      <c r="F266" s="17">
        <v>529956.16</v>
      </c>
      <c r="G266" s="12">
        <f t="shared" si="13"/>
        <v>226761.07244991342</v>
      </c>
      <c r="H266" s="12">
        <f t="shared" si="13"/>
        <v>101921.17244671575</v>
      </c>
      <c r="I266" s="12">
        <f t="shared" si="13"/>
        <v>9175.067688803547</v>
      </c>
      <c r="J266" s="12">
        <f t="shared" si="13"/>
        <v>192098.84741456734</v>
      </c>
    </row>
    <row r="267" spans="1:10" ht="15">
      <c r="A267" s="9">
        <v>16</v>
      </c>
      <c r="B267" s="9">
        <v>33400</v>
      </c>
      <c r="D267" s="13" t="s">
        <v>80</v>
      </c>
      <c r="E267" s="2">
        <v>4</v>
      </c>
      <c r="F267" s="17">
        <v>191853.8</v>
      </c>
      <c r="G267" s="12">
        <f t="shared" si="13"/>
        <v>82091.645923299</v>
      </c>
      <c r="H267" s="12">
        <f t="shared" si="13"/>
        <v>36897.32417556523</v>
      </c>
      <c r="I267" s="12">
        <f t="shared" si="13"/>
        <v>3321.5419202867224</v>
      </c>
      <c r="J267" s="12">
        <f t="shared" si="13"/>
        <v>69543.28798084905</v>
      </c>
    </row>
    <row r="268" spans="1:10" ht="15">
      <c r="A268" s="9">
        <v>17</v>
      </c>
      <c r="B268" s="9">
        <v>33600</v>
      </c>
      <c r="D268" s="2" t="s">
        <v>81</v>
      </c>
      <c r="E268" s="2">
        <v>4</v>
      </c>
      <c r="F268" s="17">
        <v>15287.01</v>
      </c>
      <c r="G268" s="12">
        <f t="shared" si="13"/>
        <v>6541.104800352827</v>
      </c>
      <c r="H268" s="12">
        <f t="shared" si="13"/>
        <v>2939.9978715308603</v>
      </c>
      <c r="I268" s="12">
        <f t="shared" si="13"/>
        <v>264.66217792320157</v>
      </c>
      <c r="J268" s="12">
        <f t="shared" si="13"/>
        <v>5541.245150193113</v>
      </c>
    </row>
    <row r="269" ht="15">
      <c r="A269" s="9">
        <v>18</v>
      </c>
    </row>
    <row r="270" spans="1:10" ht="15">
      <c r="A270" s="9">
        <v>19</v>
      </c>
      <c r="C270" s="13" t="s">
        <v>47</v>
      </c>
      <c r="D270" s="2"/>
      <c r="E270" s="2"/>
      <c r="F270" s="18">
        <f>SUM(F262:F268)</f>
        <v>801618.5900000001</v>
      </c>
      <c r="G270" s="18">
        <f>SUM(G262:G268)</f>
        <v>343001.75162448804</v>
      </c>
      <c r="H270" s="18">
        <f>SUM(H262:H268)</f>
        <v>154167.292909442</v>
      </c>
      <c r="I270" s="18">
        <f>SUM(I262:I268)</f>
        <v>13878.326886233866</v>
      </c>
      <c r="J270" s="18">
        <f>SUM(J262:J268)</f>
        <v>290571.21857983613</v>
      </c>
    </row>
    <row r="271" ht="15">
      <c r="A271" s="9">
        <v>20</v>
      </c>
    </row>
    <row r="272" spans="1:7" ht="15">
      <c r="A272" s="9">
        <v>21</v>
      </c>
      <c r="C272" s="13" t="s">
        <v>48</v>
      </c>
      <c r="D272" s="2"/>
      <c r="E272" s="2"/>
      <c r="F272" s="2"/>
      <c r="G272" s="2"/>
    </row>
    <row r="273" ht="15">
      <c r="A273" s="9">
        <v>22</v>
      </c>
    </row>
    <row r="274" spans="1:7" ht="15">
      <c r="A274" s="9">
        <v>23</v>
      </c>
      <c r="B274" s="9">
        <v>35010</v>
      </c>
      <c r="D274" s="2" t="s">
        <v>82</v>
      </c>
      <c r="E274" s="2">
        <v>55</v>
      </c>
      <c r="F274" s="13">
        <v>0</v>
      </c>
      <c r="G274" s="2"/>
    </row>
    <row r="275" spans="1:10" ht="15">
      <c r="A275" s="9">
        <v>24</v>
      </c>
      <c r="B275" s="9">
        <v>35020</v>
      </c>
      <c r="D275" s="2" t="s">
        <v>83</v>
      </c>
      <c r="E275" s="2">
        <v>55</v>
      </c>
      <c r="F275" s="17">
        <v>4681.58</v>
      </c>
      <c r="G275" s="12">
        <f aca="true" t="shared" si="14" ref="G275:J290">INDEX(ALLOC,($E275)+1,(G$1)+1)*$F275</f>
        <v>1734.8268410930739</v>
      </c>
      <c r="H275" s="12">
        <f t="shared" si="14"/>
        <v>814.8035026374981</v>
      </c>
      <c r="I275" s="12">
        <f t="shared" si="14"/>
        <v>75.66185860184012</v>
      </c>
      <c r="J275" s="12">
        <f t="shared" si="14"/>
        <v>2056.287797667588</v>
      </c>
    </row>
    <row r="276" spans="1:10" ht="15">
      <c r="A276" s="9">
        <v>25</v>
      </c>
      <c r="B276" s="9">
        <v>35100</v>
      </c>
      <c r="D276" s="13" t="s">
        <v>84</v>
      </c>
      <c r="E276" s="2">
        <v>55</v>
      </c>
      <c r="F276" s="17">
        <v>5641.09</v>
      </c>
      <c r="G276" s="12">
        <f t="shared" si="14"/>
        <v>2090.387079793943</v>
      </c>
      <c r="H276" s="12">
        <f t="shared" si="14"/>
        <v>981.8009925481065</v>
      </c>
      <c r="I276" s="12">
        <f t="shared" si="14"/>
        <v>91.16908264736571</v>
      </c>
      <c r="J276" s="12">
        <f t="shared" si="14"/>
        <v>2477.732845010585</v>
      </c>
    </row>
    <row r="277" spans="1:10" ht="15">
      <c r="A277" s="9">
        <v>26</v>
      </c>
      <c r="B277" s="9">
        <v>35102</v>
      </c>
      <c r="D277" s="13" t="s">
        <v>85</v>
      </c>
      <c r="E277" s="2">
        <v>55</v>
      </c>
      <c r="F277" s="17">
        <v>122115.36</v>
      </c>
      <c r="G277" s="12">
        <f t="shared" si="14"/>
        <v>45251.60399645921</v>
      </c>
      <c r="H277" s="12">
        <f t="shared" si="14"/>
        <v>21253.51335528583</v>
      </c>
      <c r="I277" s="12">
        <f t="shared" si="14"/>
        <v>1973.580522266586</v>
      </c>
      <c r="J277" s="12">
        <f t="shared" si="14"/>
        <v>53636.662125988376</v>
      </c>
    </row>
    <row r="278" spans="1:10" ht="15">
      <c r="A278" s="9">
        <v>27</v>
      </c>
      <c r="B278" s="9">
        <v>35103</v>
      </c>
      <c r="D278" s="13" t="s">
        <v>86</v>
      </c>
      <c r="E278" s="2">
        <v>55</v>
      </c>
      <c r="F278" s="17">
        <v>24295.3</v>
      </c>
      <c r="G278" s="12">
        <f t="shared" si="14"/>
        <v>9002.97304593931</v>
      </c>
      <c r="H278" s="12">
        <f t="shared" si="14"/>
        <v>4228.464650316519</v>
      </c>
      <c r="I278" s="12">
        <f t="shared" si="14"/>
        <v>392.6511035354061</v>
      </c>
      <c r="J278" s="12">
        <f t="shared" si="14"/>
        <v>10671.211200208765</v>
      </c>
    </row>
    <row r="279" spans="1:10" ht="15">
      <c r="A279" s="9">
        <v>28</v>
      </c>
      <c r="B279" s="9">
        <v>35104</v>
      </c>
      <c r="D279" s="2" t="s">
        <v>87</v>
      </c>
      <c r="E279" s="2">
        <v>55</v>
      </c>
      <c r="F279" s="17">
        <v>141033.98</v>
      </c>
      <c r="G279" s="12">
        <f t="shared" si="14"/>
        <v>52262.170893199254</v>
      </c>
      <c r="H279" s="12">
        <f t="shared" si="14"/>
        <v>24546.1961335504</v>
      </c>
      <c r="I279" s="12">
        <f t="shared" si="14"/>
        <v>2279.3358338028506</v>
      </c>
      <c r="J279" s="12">
        <f t="shared" si="14"/>
        <v>61946.27713944751</v>
      </c>
    </row>
    <row r="280" spans="1:10" ht="15">
      <c r="A280" s="9">
        <v>29</v>
      </c>
      <c r="B280" s="9">
        <v>35200</v>
      </c>
      <c r="D280" s="2" t="s">
        <v>88</v>
      </c>
      <c r="E280" s="2">
        <v>55</v>
      </c>
      <c r="F280" s="17">
        <v>589835.67</v>
      </c>
      <c r="G280" s="12">
        <f t="shared" si="14"/>
        <v>218572.09577751887</v>
      </c>
      <c r="H280" s="12">
        <f t="shared" si="14"/>
        <v>102657.68605824007</v>
      </c>
      <c r="I280" s="12">
        <f t="shared" si="14"/>
        <v>9532.69260844878</v>
      </c>
      <c r="J280" s="12">
        <f t="shared" si="14"/>
        <v>259073.19555579234</v>
      </c>
    </row>
    <row r="281" spans="1:10" ht="15">
      <c r="A281" s="9">
        <v>30</v>
      </c>
      <c r="B281" s="9">
        <v>35201</v>
      </c>
      <c r="D281" s="2" t="s">
        <v>89</v>
      </c>
      <c r="E281" s="2">
        <v>55</v>
      </c>
      <c r="F281" s="17">
        <v>1182091.49</v>
      </c>
      <c r="G281" s="12">
        <f t="shared" si="14"/>
        <v>438041.0129656451</v>
      </c>
      <c r="H281" s="12">
        <f t="shared" si="14"/>
        <v>205736.5860435962</v>
      </c>
      <c r="I281" s="12">
        <f t="shared" si="14"/>
        <v>19104.498731372423</v>
      </c>
      <c r="J281" s="12">
        <f t="shared" si="14"/>
        <v>519209.3922593863</v>
      </c>
    </row>
    <row r="282" spans="1:10" ht="15">
      <c r="A282" s="9">
        <v>31</v>
      </c>
      <c r="B282" s="9">
        <v>35202</v>
      </c>
      <c r="D282" s="2" t="s">
        <v>90</v>
      </c>
      <c r="E282" s="2">
        <v>55</v>
      </c>
      <c r="F282" s="17">
        <v>573861.67</v>
      </c>
      <c r="G282" s="12">
        <f t="shared" si="14"/>
        <v>212652.70019747523</v>
      </c>
      <c r="H282" s="12">
        <f t="shared" si="14"/>
        <v>99877.49835427444</v>
      </c>
      <c r="I282" s="12">
        <f t="shared" si="14"/>
        <v>9274.527089691053</v>
      </c>
      <c r="J282" s="12">
        <f t="shared" si="14"/>
        <v>252056.94435855935</v>
      </c>
    </row>
    <row r="283" spans="1:10" ht="15">
      <c r="A283" s="9">
        <v>32</v>
      </c>
      <c r="B283" s="9">
        <v>35203</v>
      </c>
      <c r="D283" s="2" t="s">
        <v>91</v>
      </c>
      <c r="E283" s="2">
        <v>55</v>
      </c>
      <c r="F283" s="17">
        <v>270382.44</v>
      </c>
      <c r="G283" s="12">
        <f t="shared" si="14"/>
        <v>100194.1041853899</v>
      </c>
      <c r="H283" s="12">
        <f t="shared" si="14"/>
        <v>47058.59115163539</v>
      </c>
      <c r="I283" s="12">
        <f t="shared" si="14"/>
        <v>4369.814879527963</v>
      </c>
      <c r="J283" s="12">
        <f t="shared" si="14"/>
        <v>118759.92978344677</v>
      </c>
    </row>
    <row r="284" spans="1:10" ht="15">
      <c r="A284" s="9">
        <v>33</v>
      </c>
      <c r="B284" s="9">
        <v>35210</v>
      </c>
      <c r="D284" s="2" t="s">
        <v>92</v>
      </c>
      <c r="E284" s="2">
        <v>55</v>
      </c>
      <c r="F284" s="17">
        <v>178619.35</v>
      </c>
      <c r="G284" s="12">
        <f t="shared" si="14"/>
        <v>66189.9706335464</v>
      </c>
      <c r="H284" s="12">
        <f t="shared" si="14"/>
        <v>31087.725088289255</v>
      </c>
      <c r="I284" s="12">
        <f t="shared" si="14"/>
        <v>2886.775832785639</v>
      </c>
      <c r="J284" s="12">
        <f t="shared" si="14"/>
        <v>78454.87844537872</v>
      </c>
    </row>
    <row r="285" spans="1:10" ht="15">
      <c r="A285" s="9">
        <v>34</v>
      </c>
      <c r="B285" s="9">
        <v>35211</v>
      </c>
      <c r="D285" s="2" t="s">
        <v>93</v>
      </c>
      <c r="E285" s="2">
        <v>55</v>
      </c>
      <c r="F285" s="17">
        <v>53698.68</v>
      </c>
      <c r="G285" s="12">
        <f t="shared" si="14"/>
        <v>19898.818645685395</v>
      </c>
      <c r="H285" s="12">
        <f t="shared" si="14"/>
        <v>9345.962805508007</v>
      </c>
      <c r="I285" s="12">
        <f t="shared" si="14"/>
        <v>867.8569912861599</v>
      </c>
      <c r="J285" s="12">
        <f t="shared" si="14"/>
        <v>23586.041557520442</v>
      </c>
    </row>
    <row r="286" spans="1:10" ht="15">
      <c r="A286" s="9">
        <v>35</v>
      </c>
      <c r="B286" s="9">
        <v>35301</v>
      </c>
      <c r="D286" s="2" t="s">
        <v>78</v>
      </c>
      <c r="E286" s="2">
        <v>55</v>
      </c>
      <c r="F286" s="17">
        <v>187421.92</v>
      </c>
      <c r="G286" s="12">
        <f t="shared" si="14"/>
        <v>69451.88962384469</v>
      </c>
      <c r="H286" s="12">
        <f t="shared" si="14"/>
        <v>32619.76445709461</v>
      </c>
      <c r="I286" s="12">
        <f t="shared" si="14"/>
        <v>3029.039514421497</v>
      </c>
      <c r="J286" s="12">
        <f t="shared" si="14"/>
        <v>82321.22640463922</v>
      </c>
    </row>
    <row r="287" spans="1:10" ht="15">
      <c r="A287" s="9">
        <v>36</v>
      </c>
      <c r="B287" s="9">
        <v>35302</v>
      </c>
      <c r="D287" s="2" t="s">
        <v>79</v>
      </c>
      <c r="E287" s="2">
        <v>55</v>
      </c>
      <c r="F287" s="17">
        <v>219931.12</v>
      </c>
      <c r="G287" s="12">
        <f t="shared" si="14"/>
        <v>81498.64152009829</v>
      </c>
      <c r="H287" s="12">
        <f t="shared" si="14"/>
        <v>38277.81366867338</v>
      </c>
      <c r="I287" s="12">
        <f t="shared" si="14"/>
        <v>3554.440446085367</v>
      </c>
      <c r="J287" s="12">
        <f t="shared" si="14"/>
        <v>96600.22436514297</v>
      </c>
    </row>
    <row r="288" spans="1:10" ht="15">
      <c r="A288" s="9">
        <v>37</v>
      </c>
      <c r="B288" s="9">
        <v>35400</v>
      </c>
      <c r="D288" s="13" t="s">
        <v>94</v>
      </c>
      <c r="E288" s="2">
        <v>55</v>
      </c>
      <c r="F288" s="17">
        <v>388074.85</v>
      </c>
      <c r="G288" s="12">
        <f t="shared" si="14"/>
        <v>143806.72040917136</v>
      </c>
      <c r="H288" s="12">
        <f t="shared" si="14"/>
        <v>67542.31414725834</v>
      </c>
      <c r="I288" s="12">
        <f t="shared" si="14"/>
        <v>6271.913419749383</v>
      </c>
      <c r="J288" s="12">
        <f t="shared" si="14"/>
        <v>170453.9020238209</v>
      </c>
    </row>
    <row r="289" spans="1:10" ht="15">
      <c r="A289" s="9">
        <v>38</v>
      </c>
      <c r="B289" s="9">
        <v>35500</v>
      </c>
      <c r="D289" s="13" t="s">
        <v>95</v>
      </c>
      <c r="E289" s="2">
        <v>55</v>
      </c>
      <c r="F289" s="17">
        <v>240237.75</v>
      </c>
      <c r="G289" s="12">
        <f t="shared" si="14"/>
        <v>89023.55549703469</v>
      </c>
      <c r="H289" s="12">
        <f t="shared" si="14"/>
        <v>41812.07202819382</v>
      </c>
      <c r="I289" s="12">
        <f t="shared" si="14"/>
        <v>3882.628230495734</v>
      </c>
      <c r="J289" s="12">
        <f t="shared" si="14"/>
        <v>105519.49424427577</v>
      </c>
    </row>
    <row r="290" spans="1:10" ht="15">
      <c r="A290" s="9">
        <v>39</v>
      </c>
      <c r="B290" s="9">
        <v>35600</v>
      </c>
      <c r="D290" s="2" t="s">
        <v>81</v>
      </c>
      <c r="E290" s="2">
        <v>55</v>
      </c>
      <c r="F290" s="17">
        <v>163999.03</v>
      </c>
      <c r="G290" s="12">
        <f t="shared" si="14"/>
        <v>60772.200658159905</v>
      </c>
      <c r="H290" s="12">
        <f t="shared" si="14"/>
        <v>28543.138016044184</v>
      </c>
      <c r="I290" s="12">
        <f t="shared" si="14"/>
        <v>2650.487958915353</v>
      </c>
      <c r="J290" s="12">
        <f t="shared" si="14"/>
        <v>72033.20336688057</v>
      </c>
    </row>
    <row r="291" ht="15">
      <c r="A291" s="9">
        <v>40</v>
      </c>
    </row>
    <row r="292" spans="1:10" ht="15">
      <c r="A292" s="9">
        <v>41</v>
      </c>
      <c r="C292" s="13" t="s">
        <v>49</v>
      </c>
      <c r="D292" s="2"/>
      <c r="E292" s="2"/>
      <c r="F292" s="18">
        <f>SUM(F274:F290)</f>
        <v>4345921.28</v>
      </c>
      <c r="G292" s="18">
        <f>SUM(G274:G290)</f>
        <v>1610443.6719700547</v>
      </c>
      <c r="H292" s="18">
        <f>SUM(H274:H290)</f>
        <v>756383.9304531461</v>
      </c>
      <c r="I292" s="18">
        <f>SUM(I274:I290)</f>
        <v>70237.0741036334</v>
      </c>
      <c r="J292" s="18">
        <f>SUM(J274:J290)</f>
        <v>1908856.603473166</v>
      </c>
    </row>
    <row r="293" ht="15">
      <c r="A293" s="9">
        <v>42</v>
      </c>
    </row>
    <row r="294" spans="1:7" ht="15">
      <c r="A294" s="9">
        <v>43</v>
      </c>
      <c r="C294" s="2" t="s">
        <v>50</v>
      </c>
      <c r="D294" s="2"/>
      <c r="E294" s="2"/>
      <c r="F294" s="2"/>
      <c r="G294" s="2"/>
    </row>
    <row r="295" ht="15">
      <c r="A295" s="9">
        <v>44</v>
      </c>
    </row>
    <row r="296" spans="1:10" ht="15">
      <c r="A296" s="9">
        <v>45</v>
      </c>
      <c r="B296" s="9">
        <v>36510</v>
      </c>
      <c r="D296" s="2" t="s">
        <v>96</v>
      </c>
      <c r="E296" s="2">
        <v>4</v>
      </c>
      <c r="F296" s="13">
        <v>15.94</v>
      </c>
      <c r="G296" s="12">
        <f aca="true" t="shared" si="15" ref="G296:J303">INDEX(ALLOC,($E296)+1,(G$1)+1)*$F296</f>
        <v>6.8205103887303045</v>
      </c>
      <c r="H296" s="12">
        <f t="shared" si="15"/>
        <v>3.065580912958251</v>
      </c>
      <c r="I296" s="12">
        <f t="shared" si="15"/>
        <v>0.2759673157861369</v>
      </c>
      <c r="J296" s="12">
        <f t="shared" si="15"/>
        <v>5.777941382525308</v>
      </c>
    </row>
    <row r="297" spans="1:10" ht="15">
      <c r="A297" s="9">
        <v>46</v>
      </c>
      <c r="B297" s="9">
        <v>36520</v>
      </c>
      <c r="D297" s="2" t="s">
        <v>83</v>
      </c>
      <c r="E297" s="2">
        <v>4</v>
      </c>
      <c r="F297" s="17">
        <v>434585.34</v>
      </c>
      <c r="G297" s="12">
        <f t="shared" si="15"/>
        <v>185953.18859848756</v>
      </c>
      <c r="H297" s="12">
        <f t="shared" si="15"/>
        <v>83579.45566847378</v>
      </c>
      <c r="I297" s="12">
        <f t="shared" si="15"/>
        <v>7523.924075270119</v>
      </c>
      <c r="J297" s="12">
        <f t="shared" si="15"/>
        <v>157528.77165776858</v>
      </c>
    </row>
    <row r="298" spans="1:10" ht="15">
      <c r="A298" s="9">
        <v>47</v>
      </c>
      <c r="B298" s="9">
        <v>36602</v>
      </c>
      <c r="D298" s="13" t="s">
        <v>97</v>
      </c>
      <c r="E298" s="2">
        <v>4</v>
      </c>
      <c r="F298" s="17">
        <v>-1441.08</v>
      </c>
      <c r="G298" s="12">
        <f t="shared" si="15"/>
        <v>-616.6186393344709</v>
      </c>
      <c r="H298" s="12">
        <f t="shared" si="15"/>
        <v>-277.1485158121629</v>
      </c>
      <c r="I298" s="12">
        <f t="shared" si="15"/>
        <v>-24.9492458866428</v>
      </c>
      <c r="J298" s="12">
        <f t="shared" si="15"/>
        <v>-522.3635989667234</v>
      </c>
    </row>
    <row r="299" spans="1:10" ht="15">
      <c r="A299" s="9">
        <v>48</v>
      </c>
      <c r="B299" s="9">
        <v>36603</v>
      </c>
      <c r="D299" s="2" t="s">
        <v>98</v>
      </c>
      <c r="E299" s="2">
        <v>4</v>
      </c>
      <c r="F299" s="17">
        <v>60585.07</v>
      </c>
      <c r="G299" s="12">
        <f t="shared" si="15"/>
        <v>25923.531953384736</v>
      </c>
      <c r="H299" s="12">
        <f t="shared" si="15"/>
        <v>11651.721091733974</v>
      </c>
      <c r="I299" s="12">
        <f t="shared" si="15"/>
        <v>1048.9020793359607</v>
      </c>
      <c r="J299" s="12">
        <f t="shared" si="15"/>
        <v>21960.91487554533</v>
      </c>
    </row>
    <row r="300" spans="1:10" ht="15">
      <c r="A300" s="9">
        <v>49</v>
      </c>
      <c r="B300" s="9">
        <v>36700</v>
      </c>
      <c r="D300" s="13" t="s">
        <v>99</v>
      </c>
      <c r="E300" s="2">
        <v>4</v>
      </c>
      <c r="F300" s="17">
        <v>303100.51</v>
      </c>
      <c r="G300" s="12">
        <f t="shared" si="15"/>
        <v>129692.60836163448</v>
      </c>
      <c r="H300" s="12">
        <f t="shared" si="15"/>
        <v>58292.29223111114</v>
      </c>
      <c r="I300" s="12">
        <f t="shared" si="15"/>
        <v>5247.542920834953</v>
      </c>
      <c r="J300" s="12">
        <f t="shared" si="15"/>
        <v>109868.06648641946</v>
      </c>
    </row>
    <row r="301" spans="1:10" ht="15">
      <c r="A301" s="9">
        <v>50</v>
      </c>
      <c r="B301" s="9">
        <v>36701</v>
      </c>
      <c r="D301" s="2" t="s">
        <v>100</v>
      </c>
      <c r="E301" s="2">
        <v>4</v>
      </c>
      <c r="F301" s="17">
        <v>17004632.35</v>
      </c>
      <c r="G301" s="12">
        <f t="shared" si="15"/>
        <v>7276052.170621984</v>
      </c>
      <c r="H301" s="12">
        <f t="shared" si="15"/>
        <v>3270331.014054731</v>
      </c>
      <c r="I301" s="12">
        <f t="shared" si="15"/>
        <v>294399.1684792729</v>
      </c>
      <c r="J301" s="12">
        <f t="shared" si="15"/>
        <v>6163849.996844014</v>
      </c>
    </row>
    <row r="302" spans="1:10" ht="15">
      <c r="A302" s="9">
        <v>51</v>
      </c>
      <c r="B302" s="9">
        <v>36900</v>
      </c>
      <c r="D302" s="13" t="s">
        <v>101</v>
      </c>
      <c r="E302" s="2">
        <v>4</v>
      </c>
      <c r="F302" s="17">
        <v>242951.56</v>
      </c>
      <c r="G302" s="12">
        <f t="shared" si="15"/>
        <v>103955.68625710376</v>
      </c>
      <c r="H302" s="12">
        <f t="shared" si="15"/>
        <v>46724.44574086771</v>
      </c>
      <c r="I302" s="12">
        <f t="shared" si="15"/>
        <v>4206.191334959511</v>
      </c>
      <c r="J302" s="12">
        <f t="shared" si="15"/>
        <v>88065.23666706902</v>
      </c>
    </row>
    <row r="303" spans="1:10" ht="15">
      <c r="A303" s="9">
        <v>52</v>
      </c>
      <c r="B303" s="9">
        <v>36901</v>
      </c>
      <c r="D303" s="13" t="s">
        <v>101</v>
      </c>
      <c r="E303" s="2">
        <v>4</v>
      </c>
      <c r="F303" s="17">
        <v>1805541.91</v>
      </c>
      <c r="G303" s="12">
        <f t="shared" si="15"/>
        <v>772566.9607555179</v>
      </c>
      <c r="H303" s="12">
        <f t="shared" si="15"/>
        <v>347241.83292610943</v>
      </c>
      <c r="I303" s="12">
        <f t="shared" si="15"/>
        <v>31259.131395362285</v>
      </c>
      <c r="J303" s="12">
        <f t="shared" si="15"/>
        <v>654473.9849230103</v>
      </c>
    </row>
    <row r="304" ht="15">
      <c r="A304" s="9">
        <v>53</v>
      </c>
    </row>
    <row r="305" spans="1:10" ht="15">
      <c r="A305" s="9">
        <v>54</v>
      </c>
      <c r="C305" s="13" t="s">
        <v>51</v>
      </c>
      <c r="D305" s="2"/>
      <c r="E305" s="2"/>
      <c r="F305" s="18">
        <f>SUM(F296:F303)</f>
        <v>19849971.6</v>
      </c>
      <c r="G305" s="18">
        <f ca="1">SUM(G296:G303)</f>
        <v>8493534.348419167</v>
      </c>
      <c r="H305" s="18">
        <f ca="1">SUM(H296:H303)</f>
        <v>3817546.6787781278</v>
      </c>
      <c r="I305" s="18">
        <f ca="1">SUM(I296:I303)</f>
        <v>343660.18700646487</v>
      </c>
      <c r="J305" s="18">
        <f ca="1">SUM(J296:J303)</f>
        <v>7195230.385796242</v>
      </c>
    </row>
    <row r="306" ht="15">
      <c r="A306" s="9">
        <v>55</v>
      </c>
    </row>
    <row r="307" spans="1:7" ht="15">
      <c r="A307" s="9">
        <v>56</v>
      </c>
      <c r="C307" s="2" t="s">
        <v>52</v>
      </c>
      <c r="D307" s="2"/>
      <c r="E307" s="2"/>
      <c r="F307" s="2"/>
      <c r="G307" s="2"/>
    </row>
    <row r="308" ht="15">
      <c r="A308" s="9">
        <v>57</v>
      </c>
    </row>
    <row r="309" spans="1:10" ht="15">
      <c r="A309" s="9">
        <v>58</v>
      </c>
      <c r="B309" s="9">
        <v>37400</v>
      </c>
      <c r="D309" s="2" t="s">
        <v>96</v>
      </c>
      <c r="E309" s="13">
        <v>56</v>
      </c>
      <c r="F309" s="17">
        <v>57144.57</v>
      </c>
      <c r="G309" s="12">
        <f aca="true" t="shared" si="16" ref="G309:J316">INDEX(ALLOC,($E309)+1,(G$1)+1)*$F309</f>
        <v>46974.31703309944</v>
      </c>
      <c r="H309" s="12">
        <f t="shared" si="16"/>
        <v>6918.89194137087</v>
      </c>
      <c r="I309" s="12">
        <f t="shared" si="16"/>
        <v>199.22398051780706</v>
      </c>
      <c r="J309" s="12">
        <f t="shared" si="16"/>
        <v>3052.137045011887</v>
      </c>
    </row>
    <row r="310" spans="1:10" ht="15">
      <c r="A310" s="9">
        <v>59</v>
      </c>
      <c r="B310" s="9">
        <v>37401</v>
      </c>
      <c r="D310" s="2" t="s">
        <v>82</v>
      </c>
      <c r="E310" s="13">
        <v>56</v>
      </c>
      <c r="F310" s="17">
        <v>-7250.38</v>
      </c>
      <c r="G310" s="12">
        <f t="shared" si="16"/>
        <v>-5960.000201776713</v>
      </c>
      <c r="H310" s="12">
        <f t="shared" si="16"/>
        <v>-877.8541120158316</v>
      </c>
      <c r="I310" s="12">
        <f t="shared" si="16"/>
        <v>-25.277109686304367</v>
      </c>
      <c r="J310" s="12">
        <f t="shared" si="16"/>
        <v>-387.2485765211513</v>
      </c>
    </row>
    <row r="311" spans="1:10" ht="15">
      <c r="A311" s="9">
        <v>60</v>
      </c>
      <c r="B311" s="9">
        <v>37402</v>
      </c>
      <c r="D311" s="2" t="s">
        <v>102</v>
      </c>
      <c r="E311" s="13">
        <v>56</v>
      </c>
      <c r="F311" s="17">
        <v>57119.58</v>
      </c>
      <c r="G311" s="12">
        <f t="shared" si="16"/>
        <v>46953.7746056622</v>
      </c>
      <c r="H311" s="12">
        <f t="shared" si="16"/>
        <v>6915.866227648378</v>
      </c>
      <c r="I311" s="12">
        <f t="shared" si="16"/>
        <v>199.13685750203953</v>
      </c>
      <c r="J311" s="12">
        <f t="shared" si="16"/>
        <v>3050.8023091873833</v>
      </c>
    </row>
    <row r="312" spans="1:10" ht="15">
      <c r="A312" s="9">
        <v>61</v>
      </c>
      <c r="B312" s="9">
        <v>37403</v>
      </c>
      <c r="D312" s="2" t="s">
        <v>103</v>
      </c>
      <c r="E312" s="13">
        <v>56</v>
      </c>
      <c r="F312" s="13">
        <v>0</v>
      </c>
      <c r="G312" s="12">
        <f t="shared" si="16"/>
        <v>0</v>
      </c>
      <c r="H312" s="12">
        <f t="shared" si="16"/>
        <v>0</v>
      </c>
      <c r="I312" s="12">
        <f t="shared" si="16"/>
        <v>0</v>
      </c>
      <c r="J312" s="12">
        <f t="shared" si="16"/>
        <v>0</v>
      </c>
    </row>
    <row r="313" spans="1:10" ht="15">
      <c r="A313" s="9">
        <v>62</v>
      </c>
      <c r="B313" s="9">
        <v>37500</v>
      </c>
      <c r="D313" s="13" t="s">
        <v>97</v>
      </c>
      <c r="E313" s="13">
        <v>56</v>
      </c>
      <c r="F313" s="17">
        <v>101365.27</v>
      </c>
      <c r="G313" s="12">
        <f t="shared" si="16"/>
        <v>83324.87809647922</v>
      </c>
      <c r="H313" s="12">
        <f t="shared" si="16"/>
        <v>12273.000737215843</v>
      </c>
      <c r="I313" s="12">
        <f t="shared" si="16"/>
        <v>353.3912771705563</v>
      </c>
      <c r="J313" s="12">
        <f t="shared" si="16"/>
        <v>5413.999889134385</v>
      </c>
    </row>
    <row r="314" spans="1:10" ht="15">
      <c r="A314" s="9">
        <v>63</v>
      </c>
      <c r="B314" s="9">
        <v>37501</v>
      </c>
      <c r="D314" s="13" t="s">
        <v>104</v>
      </c>
      <c r="E314" s="13">
        <v>56</v>
      </c>
      <c r="F314" s="17">
        <v>98146.16</v>
      </c>
      <c r="G314" s="12">
        <f t="shared" si="16"/>
        <v>80678.68627625167</v>
      </c>
      <c r="H314" s="12">
        <f t="shared" si="16"/>
        <v>11883.240621121062</v>
      </c>
      <c r="I314" s="12">
        <f t="shared" si="16"/>
        <v>342.1684451862631</v>
      </c>
      <c r="J314" s="12">
        <f t="shared" si="16"/>
        <v>5242.064657441011</v>
      </c>
    </row>
    <row r="315" spans="1:10" ht="15">
      <c r="A315" s="9">
        <v>64</v>
      </c>
      <c r="B315" s="9">
        <v>37502</v>
      </c>
      <c r="D315" s="2" t="s">
        <v>102</v>
      </c>
      <c r="E315" s="13">
        <v>56</v>
      </c>
      <c r="F315" s="17">
        <v>46640.68</v>
      </c>
      <c r="G315" s="12">
        <f t="shared" si="16"/>
        <v>38339.84731986504</v>
      </c>
      <c r="H315" s="12">
        <f t="shared" si="16"/>
        <v>5647.112665158868</v>
      </c>
      <c r="I315" s="12">
        <f t="shared" si="16"/>
        <v>162.60410960581686</v>
      </c>
      <c r="J315" s="12">
        <f t="shared" si="16"/>
        <v>2491.1159053702745</v>
      </c>
    </row>
    <row r="316" spans="1:10" ht="15">
      <c r="A316" s="9">
        <v>65</v>
      </c>
      <c r="B316" s="9">
        <v>37503</v>
      </c>
      <c r="D316" s="2" t="s">
        <v>105</v>
      </c>
      <c r="E316" s="13">
        <v>56</v>
      </c>
      <c r="F316" s="17">
        <v>1091.91</v>
      </c>
      <c r="G316" s="12">
        <f t="shared" si="16"/>
        <v>897.5783090433896</v>
      </c>
      <c r="H316" s="12">
        <f t="shared" si="16"/>
        <v>132.20516489497194</v>
      </c>
      <c r="I316" s="12">
        <f t="shared" si="16"/>
        <v>3.8067423828230527</v>
      </c>
      <c r="J316" s="12">
        <f t="shared" si="16"/>
        <v>58.3197836788155</v>
      </c>
    </row>
    <row r="317" spans="1:10" ht="15">
      <c r="A317" s="9">
        <v>66</v>
      </c>
      <c r="B317" s="9">
        <v>37600</v>
      </c>
      <c r="D317" s="13" t="s">
        <v>99</v>
      </c>
      <c r="E317" s="13">
        <v>56</v>
      </c>
      <c r="F317" s="17">
        <v>2463162.31</v>
      </c>
      <c r="G317" s="12">
        <f ca="1">INDEX(ALLOC,($E317)+1,(G$1)+1)*$F317</f>
        <v>2024783.2340661862</v>
      </c>
      <c r="H317" s="12">
        <f ca="1">INDEX(ALLOC,($E317)+1,(H$1)+1)*$F317</f>
        <v>298232.2529847973</v>
      </c>
      <c r="I317" s="12">
        <f ca="1">INDEX(ALLOC,($E317)+1,(I$1)+1)*$F317</f>
        <v>8587.360094924796</v>
      </c>
      <c r="J317" s="12">
        <f ca="1">INDEX(ALLOC,($E317)+1,(J$1)+1)*$F317</f>
        <v>131559.4628540919</v>
      </c>
    </row>
    <row r="318" spans="1:10" ht="15">
      <c r="A318" s="9">
        <v>67</v>
      </c>
      <c r="B318" s="9">
        <v>37601</v>
      </c>
      <c r="D318" s="2" t="s">
        <v>100</v>
      </c>
      <c r="E318" s="13">
        <v>56</v>
      </c>
      <c r="F318" s="17">
        <v>43447798.83</v>
      </c>
      <c r="G318" s="12">
        <f aca="true" t="shared" si="17" ref="G318:J321">INDEX(ALLOC,($E318)+1,(G$1)+1)*$F318</f>
        <v>35715216.277430154</v>
      </c>
      <c r="H318" s="12">
        <f t="shared" si="17"/>
        <v>5260528.256581329</v>
      </c>
      <c r="I318" s="12">
        <f t="shared" si="17"/>
        <v>151472.71958909693</v>
      </c>
      <c r="J318" s="12">
        <f t="shared" si="17"/>
        <v>2320581.576399422</v>
      </c>
    </row>
    <row r="319" spans="1:10" ht="15">
      <c r="A319" s="9">
        <v>68</v>
      </c>
      <c r="B319" s="9">
        <v>37602</v>
      </c>
      <c r="D319" s="2" t="s">
        <v>108</v>
      </c>
      <c r="E319" s="13">
        <v>56</v>
      </c>
      <c r="F319" s="17">
        <v>13236019.09</v>
      </c>
      <c r="G319" s="12">
        <f t="shared" si="17"/>
        <v>10880350.608812286</v>
      </c>
      <c r="H319" s="12">
        <f t="shared" si="17"/>
        <v>1602577.2145565534</v>
      </c>
      <c r="I319" s="12">
        <f t="shared" si="17"/>
        <v>46144.93396869523</v>
      </c>
      <c r="J319" s="12">
        <f t="shared" si="17"/>
        <v>706946.3326624652</v>
      </c>
    </row>
    <row r="320" spans="1:10" ht="15">
      <c r="A320" s="9">
        <v>69</v>
      </c>
      <c r="B320" s="9">
        <v>37800</v>
      </c>
      <c r="D320" s="13" t="s">
        <v>109</v>
      </c>
      <c r="E320" s="13">
        <v>56</v>
      </c>
      <c r="F320" s="17">
        <v>1727151.8</v>
      </c>
      <c r="G320" s="12">
        <f t="shared" si="17"/>
        <v>1419763.5263943425</v>
      </c>
      <c r="H320" s="12">
        <f t="shared" si="17"/>
        <v>209118.32341277908</v>
      </c>
      <c r="I320" s="12">
        <f t="shared" si="17"/>
        <v>6021.395498373607</v>
      </c>
      <c r="J320" s="12">
        <f t="shared" si="17"/>
        <v>92248.55469450486</v>
      </c>
    </row>
    <row r="321" spans="1:10" ht="15">
      <c r="A321" s="9">
        <v>70</v>
      </c>
      <c r="B321" s="9">
        <v>37900</v>
      </c>
      <c r="D321" s="13" t="s">
        <v>110</v>
      </c>
      <c r="E321" s="13">
        <v>56</v>
      </c>
      <c r="F321" s="17">
        <v>397965.65</v>
      </c>
      <c r="G321" s="12">
        <f t="shared" si="17"/>
        <v>327138.0747354209</v>
      </c>
      <c r="H321" s="12">
        <f t="shared" si="17"/>
        <v>48184.47892297414</v>
      </c>
      <c r="I321" s="12">
        <f t="shared" si="17"/>
        <v>1387.4336774667554</v>
      </c>
      <c r="J321" s="12">
        <f t="shared" si="17"/>
        <v>21255.662664138254</v>
      </c>
    </row>
    <row r="322" spans="1:10" ht="15">
      <c r="A322" s="9">
        <v>71</v>
      </c>
      <c r="B322" s="9">
        <v>37905</v>
      </c>
      <c r="D322" s="13" t="s">
        <v>111</v>
      </c>
      <c r="E322" s="13">
        <v>56</v>
      </c>
      <c r="F322" s="17">
        <v>1207741.99</v>
      </c>
      <c r="G322" s="12">
        <f ca="1">INDEX(ALLOC,($E322)+1,(G$1)+1)*$F322</f>
        <v>992795.2057815188</v>
      </c>
      <c r="H322" s="12">
        <f ca="1">INDEX(ALLOC,($E322)+1,(H$1)+1)*$F322</f>
        <v>146229.75239583073</v>
      </c>
      <c r="I322" s="12">
        <f ca="1">INDEX(ALLOC,($E322)+1,(I$1)+1)*$F322</f>
        <v>4210.569205198281</v>
      </c>
      <c r="J322" s="12">
        <f ca="1">INDEX(ALLOC,($E322)+1,(J$1)+1)*$F322</f>
        <v>64506.46261745212</v>
      </c>
    </row>
    <row r="323" spans="1:10" ht="15">
      <c r="A323" s="9">
        <v>72</v>
      </c>
      <c r="B323" s="9">
        <v>38000</v>
      </c>
      <c r="D323" s="2" t="s">
        <v>112</v>
      </c>
      <c r="E323" s="2">
        <v>3</v>
      </c>
      <c r="F323" s="17">
        <v>47464179.56</v>
      </c>
      <c r="G323" s="12">
        <f aca="true" t="shared" si="18" ref="G323:J328">INDEX(ALLOC,($E323)+1,(G$1)+1)*$F323</f>
        <v>42174115.08532948</v>
      </c>
      <c r="H323" s="12">
        <f t="shared" si="18"/>
        <v>5176113.5227046525</v>
      </c>
      <c r="I323" s="12">
        <f t="shared" si="18"/>
        <v>54714.72563331221</v>
      </c>
      <c r="J323" s="12">
        <f t="shared" si="18"/>
        <v>59236.22633255922</v>
      </c>
    </row>
    <row r="324" spans="1:10" ht="15">
      <c r="A324" s="9">
        <v>73</v>
      </c>
      <c r="B324" s="9">
        <v>38100</v>
      </c>
      <c r="D324" s="2" t="s">
        <v>113</v>
      </c>
      <c r="E324" s="2">
        <v>5</v>
      </c>
      <c r="F324" s="17">
        <v>8831959.93</v>
      </c>
      <c r="G324" s="12">
        <f t="shared" si="18"/>
        <v>5306109.950849937</v>
      </c>
      <c r="H324" s="12">
        <f t="shared" si="18"/>
        <v>2970822.952862037</v>
      </c>
      <c r="I324" s="12">
        <f t="shared" si="18"/>
        <v>275507.30555822584</v>
      </c>
      <c r="J324" s="12">
        <f t="shared" si="18"/>
        <v>279519.72072979895</v>
      </c>
    </row>
    <row r="325" spans="1:10" ht="15">
      <c r="A325" s="9">
        <v>74</v>
      </c>
      <c r="B325" s="9">
        <v>38200</v>
      </c>
      <c r="D325" s="2" t="s">
        <v>114</v>
      </c>
      <c r="E325" s="2">
        <v>5</v>
      </c>
      <c r="F325" s="17">
        <v>10090015.65</v>
      </c>
      <c r="G325" s="12">
        <f t="shared" si="18"/>
        <v>6061931.085402535</v>
      </c>
      <c r="H325" s="12">
        <f t="shared" si="18"/>
        <v>3393997.5187089834</v>
      </c>
      <c r="I325" s="12">
        <f t="shared" si="18"/>
        <v>314751.5440292346</v>
      </c>
      <c r="J325" s="12">
        <f t="shared" si="18"/>
        <v>319335.501859246</v>
      </c>
    </row>
    <row r="326" spans="1:10" ht="15">
      <c r="A326" s="9">
        <v>75</v>
      </c>
      <c r="B326" s="9">
        <v>38300</v>
      </c>
      <c r="D326" s="2" t="s">
        <v>115</v>
      </c>
      <c r="E326" s="2">
        <v>5</v>
      </c>
      <c r="F326" s="17">
        <v>3231320.28</v>
      </c>
      <c r="G326" s="12">
        <f t="shared" si="18"/>
        <v>1941329.08527487</v>
      </c>
      <c r="H326" s="12">
        <f t="shared" si="18"/>
        <v>1086925.2727545588</v>
      </c>
      <c r="I326" s="12">
        <f t="shared" si="18"/>
        <v>100798.95638050657</v>
      </c>
      <c r="J326" s="12">
        <f t="shared" si="18"/>
        <v>102266.9655900642</v>
      </c>
    </row>
    <row r="327" spans="1:10" ht="15">
      <c r="A327" s="9">
        <v>76</v>
      </c>
      <c r="B327" s="9">
        <v>38400</v>
      </c>
      <c r="D327" s="2" t="s">
        <v>116</v>
      </c>
      <c r="E327" s="2">
        <v>5</v>
      </c>
      <c r="F327" s="17">
        <v>122845.1</v>
      </c>
      <c r="G327" s="12">
        <f t="shared" si="18"/>
        <v>73803.5059816169</v>
      </c>
      <c r="H327" s="12">
        <f t="shared" si="18"/>
        <v>41321.637056683554</v>
      </c>
      <c r="I327" s="12">
        <f t="shared" si="18"/>
        <v>3832.073828490616</v>
      </c>
      <c r="J327" s="12">
        <f t="shared" si="18"/>
        <v>3887.883133208942</v>
      </c>
    </row>
    <row r="328" spans="1:10" ht="15">
      <c r="A328" s="9">
        <v>77</v>
      </c>
      <c r="B328" s="9">
        <v>38500</v>
      </c>
      <c r="D328" s="13" t="s">
        <v>117</v>
      </c>
      <c r="E328" s="13">
        <v>9</v>
      </c>
      <c r="F328" s="17">
        <v>2894604.66</v>
      </c>
      <c r="G328" s="12">
        <f t="shared" si="18"/>
        <v>0</v>
      </c>
      <c r="H328" s="12">
        <f t="shared" si="18"/>
        <v>0</v>
      </c>
      <c r="I328" s="12">
        <f t="shared" si="18"/>
        <v>0</v>
      </c>
      <c r="J328" s="12">
        <f t="shared" si="18"/>
        <v>2894604.66</v>
      </c>
    </row>
    <row r="329" spans="1:7" ht="15">
      <c r="A329" s="9">
        <v>78</v>
      </c>
      <c r="B329" s="9">
        <v>38600</v>
      </c>
      <c r="D329" s="13" t="s">
        <v>118</v>
      </c>
      <c r="E329" s="13"/>
      <c r="F329" s="13">
        <v>0</v>
      </c>
      <c r="G329" s="2"/>
    </row>
    <row r="330" ht="15">
      <c r="A330" s="9">
        <v>79</v>
      </c>
    </row>
    <row r="331" spans="1:10" ht="15">
      <c r="A331" s="9">
        <v>80</v>
      </c>
      <c r="C331" s="13" t="s">
        <v>53</v>
      </c>
      <c r="D331" s="2"/>
      <c r="E331" s="2"/>
      <c r="F331" s="18">
        <f>SUM(F309:F329)</f>
        <v>135469022.64</v>
      </c>
      <c r="G331" s="18">
        <f>SUM(G309:G329)</f>
        <v>107208544.72149698</v>
      </c>
      <c r="H331" s="18">
        <f>SUM(H309:H329)</f>
        <v>20276943.64618657</v>
      </c>
      <c r="I331" s="18">
        <f>SUM(I309:I329)</f>
        <v>968664.0717662043</v>
      </c>
      <c r="J331" s="18">
        <f>SUM(J309:J329)</f>
        <v>7014870.200550254</v>
      </c>
    </row>
    <row r="332" ht="15">
      <c r="A332" s="9">
        <v>81</v>
      </c>
    </row>
    <row r="333" spans="1:7" ht="15">
      <c r="A333" s="9">
        <v>82</v>
      </c>
      <c r="C333" s="2" t="s">
        <v>54</v>
      </c>
      <c r="D333" s="2"/>
      <c r="E333" s="2"/>
      <c r="F333" s="2"/>
      <c r="G333" s="2"/>
    </row>
    <row r="334" ht="15">
      <c r="A334" s="9">
        <v>83</v>
      </c>
    </row>
    <row r="335" spans="1:10" ht="15">
      <c r="A335" s="9">
        <v>84</v>
      </c>
      <c r="B335" s="1">
        <v>38900</v>
      </c>
      <c r="D335" s="2" t="s">
        <v>96</v>
      </c>
      <c r="E335" s="2">
        <v>10</v>
      </c>
      <c r="F335" s="17">
        <v>25654.04</v>
      </c>
      <c r="G335" s="12">
        <f aca="true" t="shared" si="19" ref="G335:J365">INDEX(ALLOC,($E335)+1,(G$1)+1)*$F335</f>
        <v>19042.51746570275</v>
      </c>
      <c r="H335" s="12">
        <f t="shared" si="19"/>
        <v>4237.169837512947</v>
      </c>
      <c r="I335" s="12">
        <f t="shared" si="19"/>
        <v>247.37199325307256</v>
      </c>
      <c r="J335" s="12">
        <f t="shared" si="19"/>
        <v>2126.980703531231</v>
      </c>
    </row>
    <row r="336" spans="1:10" ht="15">
      <c r="A336" s="9">
        <v>85</v>
      </c>
      <c r="B336" s="1">
        <v>39000</v>
      </c>
      <c r="D336" s="2" t="s">
        <v>119</v>
      </c>
      <c r="E336" s="2">
        <v>10</v>
      </c>
      <c r="F336" s="17">
        <v>612960.16</v>
      </c>
      <c r="G336" s="12">
        <f t="shared" si="19"/>
        <v>454988.943362525</v>
      </c>
      <c r="H336" s="12">
        <f t="shared" si="19"/>
        <v>101240.05036045435</v>
      </c>
      <c r="I336" s="12">
        <f t="shared" si="19"/>
        <v>5910.537933359513</v>
      </c>
      <c r="J336" s="12">
        <f t="shared" si="19"/>
        <v>50820.62834366111</v>
      </c>
    </row>
    <row r="337" spans="1:10" ht="15">
      <c r="A337" s="9">
        <v>86</v>
      </c>
      <c r="B337" s="1">
        <v>39002</v>
      </c>
      <c r="D337" s="2" t="s">
        <v>105</v>
      </c>
      <c r="E337" s="2">
        <v>10</v>
      </c>
      <c r="F337" s="17">
        <v>179031.65</v>
      </c>
      <c r="G337" s="12">
        <f t="shared" si="19"/>
        <v>132891.86896249407</v>
      </c>
      <c r="H337" s="12">
        <f t="shared" si="19"/>
        <v>29569.904285647593</v>
      </c>
      <c r="I337" s="12">
        <f t="shared" si="19"/>
        <v>1726.3330109365404</v>
      </c>
      <c r="J337" s="12">
        <f t="shared" si="19"/>
        <v>14843.543740921783</v>
      </c>
    </row>
    <row r="338" spans="1:10" ht="15">
      <c r="A338" s="9">
        <v>87</v>
      </c>
      <c r="B338" s="1">
        <v>39003</v>
      </c>
      <c r="D338" s="13" t="s">
        <v>121</v>
      </c>
      <c r="E338" s="2">
        <v>10</v>
      </c>
      <c r="F338" s="17">
        <v>538255.79</v>
      </c>
      <c r="G338" s="12">
        <f t="shared" si="19"/>
        <v>399537.2768612909</v>
      </c>
      <c r="H338" s="12">
        <f t="shared" si="19"/>
        <v>88901.44391505989</v>
      </c>
      <c r="I338" s="12">
        <f t="shared" si="19"/>
        <v>5190.192564302045</v>
      </c>
      <c r="J338" s="12">
        <f t="shared" si="19"/>
        <v>44626.87665934716</v>
      </c>
    </row>
    <row r="339" spans="1:10" ht="15">
      <c r="A339" s="9">
        <v>88</v>
      </c>
      <c r="B339" s="1">
        <v>39004</v>
      </c>
      <c r="D339" s="13" t="s">
        <v>122</v>
      </c>
      <c r="E339" s="2">
        <v>10</v>
      </c>
      <c r="F339" s="17">
        <v>7480.4</v>
      </c>
      <c r="G339" s="12">
        <f t="shared" si="19"/>
        <v>5552.561999998551</v>
      </c>
      <c r="H339" s="12">
        <f t="shared" si="19"/>
        <v>1235.5061913262725</v>
      </c>
      <c r="I339" s="12">
        <f t="shared" si="19"/>
        <v>72.13060626436553</v>
      </c>
      <c r="J339" s="12">
        <f t="shared" si="19"/>
        <v>620.2012024108101</v>
      </c>
    </row>
    <row r="340" spans="1:10" ht="15">
      <c r="A340" s="9">
        <v>89</v>
      </c>
      <c r="B340" s="1">
        <v>39009</v>
      </c>
      <c r="D340" s="13" t="s">
        <v>123</v>
      </c>
      <c r="E340" s="2">
        <v>10</v>
      </c>
      <c r="F340" s="17">
        <v>1277362.76</v>
      </c>
      <c r="G340" s="12">
        <f t="shared" si="19"/>
        <v>948162.6545892291</v>
      </c>
      <c r="H340" s="12">
        <f t="shared" si="19"/>
        <v>210976.63207176296</v>
      </c>
      <c r="I340" s="12">
        <f t="shared" si="19"/>
        <v>12317.115434779322</v>
      </c>
      <c r="J340" s="12">
        <f t="shared" si="19"/>
        <v>105906.35790422853</v>
      </c>
    </row>
    <row r="341" spans="1:10" ht="15">
      <c r="A341" s="9">
        <v>90</v>
      </c>
      <c r="B341" s="1">
        <v>39100</v>
      </c>
      <c r="D341" s="13" t="s">
        <v>124</v>
      </c>
      <c r="E341" s="2">
        <v>10</v>
      </c>
      <c r="F341" s="17">
        <v>280044.81</v>
      </c>
      <c r="G341" s="12">
        <f t="shared" si="19"/>
        <v>207872.06169493802</v>
      </c>
      <c r="H341" s="12">
        <f t="shared" si="19"/>
        <v>46253.822870941345</v>
      </c>
      <c r="I341" s="12">
        <f t="shared" si="19"/>
        <v>2700.3638744571217</v>
      </c>
      <c r="J341" s="12">
        <f t="shared" si="19"/>
        <v>23218.5615596635</v>
      </c>
    </row>
    <row r="342" spans="1:10" ht="15">
      <c r="A342" s="9">
        <v>91</v>
      </c>
      <c r="B342" s="1">
        <v>39103</v>
      </c>
      <c r="D342" s="2" t="s">
        <v>126</v>
      </c>
      <c r="E342" s="2">
        <v>10</v>
      </c>
      <c r="F342" s="17">
        <v>-107598.31</v>
      </c>
      <c r="G342" s="12">
        <f t="shared" si="19"/>
        <v>-79868.22728330894</v>
      </c>
      <c r="H342" s="12">
        <f t="shared" si="19"/>
        <v>-17771.56010123036</v>
      </c>
      <c r="I342" s="12">
        <f t="shared" si="19"/>
        <v>-1037.5289200204727</v>
      </c>
      <c r="J342" s="12">
        <f t="shared" si="19"/>
        <v>-8920.99369544023</v>
      </c>
    </row>
    <row r="343" spans="1:10" ht="15">
      <c r="A343" s="9">
        <v>92</v>
      </c>
      <c r="B343" s="1">
        <v>39200</v>
      </c>
      <c r="D343" s="2" t="s">
        <v>127</v>
      </c>
      <c r="E343" s="2">
        <v>10</v>
      </c>
      <c r="F343" s="17">
        <v>403129.75</v>
      </c>
      <c r="G343" s="12">
        <f t="shared" si="19"/>
        <v>299235.7268219502</v>
      </c>
      <c r="H343" s="12">
        <f t="shared" si="19"/>
        <v>66583.24448329133</v>
      </c>
      <c r="I343" s="12">
        <f t="shared" si="19"/>
        <v>3887.2243824798284</v>
      </c>
      <c r="J343" s="12">
        <f t="shared" si="19"/>
        <v>33423.554312278655</v>
      </c>
    </row>
    <row r="344" spans="1:10" ht="15">
      <c r="A344" s="9">
        <v>93</v>
      </c>
      <c r="B344" s="1">
        <v>39201</v>
      </c>
      <c r="D344" s="2" t="s">
        <v>128</v>
      </c>
      <c r="E344" s="2">
        <v>10</v>
      </c>
      <c r="F344" s="17">
        <v>4972.75</v>
      </c>
      <c r="G344" s="12">
        <f t="shared" si="19"/>
        <v>3691.1799750672153</v>
      </c>
      <c r="H344" s="12">
        <f t="shared" si="19"/>
        <v>821.3281927327043</v>
      </c>
      <c r="I344" s="12">
        <f t="shared" si="19"/>
        <v>47.95030644098226</v>
      </c>
      <c r="J344" s="12">
        <f t="shared" si="19"/>
        <v>412.2915257590979</v>
      </c>
    </row>
    <row r="345" spans="1:10" ht="15">
      <c r="A345" s="9">
        <v>94</v>
      </c>
      <c r="B345" s="1">
        <v>39202</v>
      </c>
      <c r="D345" s="2" t="s">
        <v>129</v>
      </c>
      <c r="E345" s="2">
        <v>10</v>
      </c>
      <c r="F345" s="17">
        <v>48607.11</v>
      </c>
      <c r="G345" s="12">
        <f t="shared" si="19"/>
        <v>36080.155060658464</v>
      </c>
      <c r="H345" s="12">
        <f t="shared" si="19"/>
        <v>8028.231825500933</v>
      </c>
      <c r="I345" s="12">
        <f t="shared" si="19"/>
        <v>468.6995766347661</v>
      </c>
      <c r="J345" s="12">
        <f t="shared" si="19"/>
        <v>4030.023537205833</v>
      </c>
    </row>
    <row r="346" spans="1:10" ht="15">
      <c r="A346" s="9">
        <v>95</v>
      </c>
      <c r="B346" s="1">
        <v>39400</v>
      </c>
      <c r="D346" s="2" t="s">
        <v>131</v>
      </c>
      <c r="E346" s="2">
        <v>10</v>
      </c>
      <c r="F346" s="17">
        <v>385060.97</v>
      </c>
      <c r="G346" s="12">
        <f t="shared" si="19"/>
        <v>285823.60698686994</v>
      </c>
      <c r="H346" s="12">
        <f t="shared" si="19"/>
        <v>63598.90012206567</v>
      </c>
      <c r="I346" s="12">
        <f t="shared" si="19"/>
        <v>3712.994119946081</v>
      </c>
      <c r="J346" s="12">
        <f t="shared" si="19"/>
        <v>31925.468771118238</v>
      </c>
    </row>
    <row r="347" spans="1:10" ht="15">
      <c r="A347" s="9">
        <v>96</v>
      </c>
      <c r="B347" s="1">
        <v>39603</v>
      </c>
      <c r="D347" s="2" t="s">
        <v>133</v>
      </c>
      <c r="E347" s="2">
        <v>10</v>
      </c>
      <c r="F347" s="17">
        <v>-161532.36</v>
      </c>
      <c r="G347" s="12">
        <f t="shared" si="19"/>
        <v>-119902.47097830143</v>
      </c>
      <c r="H347" s="12">
        <f t="shared" si="19"/>
        <v>-26679.620191372698</v>
      </c>
      <c r="I347" s="12">
        <f t="shared" si="19"/>
        <v>-1557.5941203831007</v>
      </c>
      <c r="J347" s="12">
        <f t="shared" si="19"/>
        <v>-13392.674709942761</v>
      </c>
    </row>
    <row r="348" spans="1:10" ht="15">
      <c r="A348" s="9">
        <v>97</v>
      </c>
      <c r="B348" s="1">
        <v>39604</v>
      </c>
      <c r="D348" s="2" t="s">
        <v>134</v>
      </c>
      <c r="E348" s="2">
        <v>10</v>
      </c>
      <c r="F348" s="17">
        <v>-13233.42</v>
      </c>
      <c r="G348" s="12">
        <f t="shared" si="19"/>
        <v>-9822.92190551586</v>
      </c>
      <c r="H348" s="12">
        <f t="shared" si="19"/>
        <v>-2185.7082966714243</v>
      </c>
      <c r="I348" s="12">
        <f t="shared" si="19"/>
        <v>-127.60475476591894</v>
      </c>
      <c r="J348" s="12">
        <f t="shared" si="19"/>
        <v>-1097.1850430467973</v>
      </c>
    </row>
    <row r="349" spans="1:10" ht="15">
      <c r="A349" s="9">
        <v>98</v>
      </c>
      <c r="B349" s="1">
        <v>39605</v>
      </c>
      <c r="D349" s="2" t="s">
        <v>135</v>
      </c>
      <c r="E349" s="2">
        <v>10</v>
      </c>
      <c r="F349" s="17">
        <v>21394.86</v>
      </c>
      <c r="G349" s="12">
        <f t="shared" si="19"/>
        <v>15881.00724978464</v>
      </c>
      <c r="H349" s="12">
        <f t="shared" si="19"/>
        <v>3533.698999058716</v>
      </c>
      <c r="I349" s="12">
        <f t="shared" si="19"/>
        <v>206.30236655008068</v>
      </c>
      <c r="J349" s="12">
        <f t="shared" si="19"/>
        <v>1773.8513846065644</v>
      </c>
    </row>
    <row r="350" spans="1:10" ht="15">
      <c r="A350" s="9">
        <v>99</v>
      </c>
      <c r="B350" s="1">
        <v>39700</v>
      </c>
      <c r="D350" s="13" t="s">
        <v>163</v>
      </c>
      <c r="E350" s="2">
        <v>10</v>
      </c>
      <c r="F350" s="17">
        <v>-215751.56</v>
      </c>
      <c r="G350" s="12">
        <f t="shared" si="19"/>
        <v>-160148.37622271635</v>
      </c>
      <c r="H350" s="12">
        <f t="shared" si="19"/>
        <v>-35634.77730713622</v>
      </c>
      <c r="I350" s="12">
        <f t="shared" si="19"/>
        <v>-2080.4089119943633</v>
      </c>
      <c r="J350" s="12">
        <f t="shared" si="19"/>
        <v>-17887.997558153045</v>
      </c>
    </row>
    <row r="351" spans="1:10" ht="15">
      <c r="A351" s="9">
        <v>100</v>
      </c>
      <c r="B351" s="1">
        <v>39701</v>
      </c>
      <c r="D351" s="13" t="s">
        <v>164</v>
      </c>
      <c r="E351" s="2">
        <v>10</v>
      </c>
      <c r="F351" s="17">
        <v>-22087.21</v>
      </c>
      <c r="G351" s="12">
        <f t="shared" si="19"/>
        <v>-16394.9257970146</v>
      </c>
      <c r="H351" s="12">
        <f t="shared" si="19"/>
        <v>-3648.0515352285383</v>
      </c>
      <c r="I351" s="12">
        <f t="shared" si="19"/>
        <v>-212.97843002892316</v>
      </c>
      <c r="J351" s="12">
        <f t="shared" si="19"/>
        <v>-1831.254237727938</v>
      </c>
    </row>
    <row r="352" spans="1:10" ht="15">
      <c r="A352" s="9">
        <v>101</v>
      </c>
      <c r="B352" s="1">
        <v>39702</v>
      </c>
      <c r="D352" s="13" t="s">
        <v>138</v>
      </c>
      <c r="E352" s="2">
        <v>10</v>
      </c>
      <c r="F352" s="17">
        <v>-34135.78</v>
      </c>
      <c r="G352" s="12">
        <f t="shared" si="19"/>
        <v>-25338.355551616296</v>
      </c>
      <c r="H352" s="12">
        <f t="shared" si="19"/>
        <v>-5638.063143114211</v>
      </c>
      <c r="I352" s="12">
        <f t="shared" si="19"/>
        <v>-329.15813415151644</v>
      </c>
      <c r="J352" s="12">
        <f t="shared" si="19"/>
        <v>-2830.2031711179725</v>
      </c>
    </row>
    <row r="353" spans="1:10" ht="15">
      <c r="A353" s="9">
        <v>102</v>
      </c>
      <c r="B353" s="1">
        <v>39705</v>
      </c>
      <c r="D353" s="2" t="s">
        <v>139</v>
      </c>
      <c r="E353" s="2">
        <v>10</v>
      </c>
      <c r="F353" s="17">
        <v>-122518.11</v>
      </c>
      <c r="G353" s="12">
        <f t="shared" si="19"/>
        <v>-90942.91774472522</v>
      </c>
      <c r="H353" s="12">
        <f t="shared" si="19"/>
        <v>-20235.800686406248</v>
      </c>
      <c r="I353" s="12">
        <f t="shared" si="19"/>
        <v>-1181.394785394394</v>
      </c>
      <c r="J353" s="12">
        <f t="shared" si="19"/>
        <v>-10157.996783474131</v>
      </c>
    </row>
    <row r="354" spans="1:10" ht="15">
      <c r="A354" s="9">
        <v>103</v>
      </c>
      <c r="B354" s="1">
        <v>39800</v>
      </c>
      <c r="D354" s="2" t="s">
        <v>140</v>
      </c>
      <c r="E354" s="2">
        <v>10</v>
      </c>
      <c r="F354" s="17">
        <v>581115.22</v>
      </c>
      <c r="G354" s="12">
        <f t="shared" si="19"/>
        <v>431351.0357992618</v>
      </c>
      <c r="H354" s="12">
        <f t="shared" si="19"/>
        <v>95980.35562054555</v>
      </c>
      <c r="I354" s="12">
        <f t="shared" si="19"/>
        <v>5603.469483991518</v>
      </c>
      <c r="J354" s="12">
        <f t="shared" si="19"/>
        <v>48180.359096201064</v>
      </c>
    </row>
    <row r="355" spans="1:10" ht="15">
      <c r="A355" s="9">
        <v>104</v>
      </c>
      <c r="B355" s="1">
        <v>39900</v>
      </c>
      <c r="D355" s="13" t="s">
        <v>151</v>
      </c>
      <c r="E355" s="2">
        <v>10</v>
      </c>
      <c r="F355" s="13">
        <v>0</v>
      </c>
      <c r="G355" s="12">
        <f t="shared" si="19"/>
        <v>0</v>
      </c>
      <c r="H355" s="12">
        <f t="shared" si="19"/>
        <v>0</v>
      </c>
      <c r="I355" s="12">
        <f t="shared" si="19"/>
        <v>0</v>
      </c>
      <c r="J355" s="12">
        <f t="shared" si="19"/>
        <v>0</v>
      </c>
    </row>
    <row r="356" spans="1:10" ht="15">
      <c r="A356" s="9">
        <v>105</v>
      </c>
      <c r="B356" s="1">
        <v>39901</v>
      </c>
      <c r="D356" s="13" t="s">
        <v>142</v>
      </c>
      <c r="E356" s="2">
        <v>10</v>
      </c>
      <c r="F356" s="17">
        <v>175990.09</v>
      </c>
      <c r="G356" s="12">
        <f t="shared" si="19"/>
        <v>130634.17545991192</v>
      </c>
      <c r="H356" s="12">
        <f t="shared" si="19"/>
        <v>29067.542618986674</v>
      </c>
      <c r="I356" s="12">
        <f t="shared" si="19"/>
        <v>1697.0044233223161</v>
      </c>
      <c r="J356" s="12">
        <f t="shared" si="19"/>
        <v>14591.367497779087</v>
      </c>
    </row>
    <row r="357" spans="1:10" ht="15">
      <c r="A357" s="9">
        <v>106</v>
      </c>
      <c r="B357" s="1">
        <v>39902</v>
      </c>
      <c r="D357" s="13" t="s">
        <v>165</v>
      </c>
      <c r="E357" s="2">
        <v>10</v>
      </c>
      <c r="F357" s="17">
        <v>78554.22</v>
      </c>
      <c r="G357" s="12">
        <f t="shared" si="19"/>
        <v>58309.33865990137</v>
      </c>
      <c r="H357" s="12">
        <f t="shared" si="19"/>
        <v>12974.46997016284</v>
      </c>
      <c r="I357" s="12">
        <f t="shared" si="19"/>
        <v>757.4679847634281</v>
      </c>
      <c r="J357" s="12">
        <f t="shared" si="19"/>
        <v>6512.943385172358</v>
      </c>
    </row>
    <row r="358" spans="1:10" ht="15">
      <c r="A358" s="9">
        <v>107</v>
      </c>
      <c r="B358" s="1">
        <v>39903</v>
      </c>
      <c r="D358" s="13" t="s">
        <v>144</v>
      </c>
      <c r="E358" s="2">
        <v>10</v>
      </c>
      <c r="F358" s="13">
        <v>0</v>
      </c>
      <c r="G358" s="12">
        <f t="shared" si="19"/>
        <v>0</v>
      </c>
      <c r="H358" s="12">
        <f t="shared" si="19"/>
        <v>0</v>
      </c>
      <c r="I358" s="12">
        <f t="shared" si="19"/>
        <v>0</v>
      </c>
      <c r="J358" s="12">
        <f t="shared" si="19"/>
        <v>0</v>
      </c>
    </row>
    <row r="359" spans="1:10" ht="15">
      <c r="A359" s="9">
        <v>108</v>
      </c>
      <c r="B359" s="1">
        <v>39904</v>
      </c>
      <c r="D359" s="13" t="s">
        <v>145</v>
      </c>
      <c r="E359" s="2">
        <v>10</v>
      </c>
      <c r="F359" s="13">
        <v>0</v>
      </c>
      <c r="G359" s="12">
        <f t="shared" si="19"/>
        <v>0</v>
      </c>
      <c r="H359" s="12">
        <f t="shared" si="19"/>
        <v>0</v>
      </c>
      <c r="I359" s="12">
        <f t="shared" si="19"/>
        <v>0</v>
      </c>
      <c r="J359" s="12">
        <f t="shared" si="19"/>
        <v>0</v>
      </c>
    </row>
    <row r="360" spans="1:10" ht="15">
      <c r="A360" s="9">
        <v>109</v>
      </c>
      <c r="B360" s="1">
        <v>39905</v>
      </c>
      <c r="D360" s="13" t="s">
        <v>146</v>
      </c>
      <c r="E360" s="2">
        <v>10</v>
      </c>
      <c r="F360" s="13">
        <v>0</v>
      </c>
      <c r="G360" s="12">
        <f t="shared" si="19"/>
        <v>0</v>
      </c>
      <c r="H360" s="12">
        <f t="shared" si="19"/>
        <v>0</v>
      </c>
      <c r="I360" s="12">
        <f t="shared" si="19"/>
        <v>0</v>
      </c>
      <c r="J360" s="12">
        <f t="shared" si="19"/>
        <v>0</v>
      </c>
    </row>
    <row r="361" spans="1:10" ht="15">
      <c r="A361" s="9">
        <v>110</v>
      </c>
      <c r="B361" s="1">
        <v>39906</v>
      </c>
      <c r="D361" s="13" t="s">
        <v>147</v>
      </c>
      <c r="E361" s="2">
        <v>10</v>
      </c>
      <c r="F361" s="17">
        <v>-2045235.21</v>
      </c>
      <c r="G361" s="12">
        <f t="shared" si="19"/>
        <v>-1518140.113911697</v>
      </c>
      <c r="H361" s="12">
        <f t="shared" si="19"/>
        <v>-337802.89351819275</v>
      </c>
      <c r="I361" s="12">
        <f t="shared" si="19"/>
        <v>-19721.41271195751</v>
      </c>
      <c r="J361" s="12">
        <f t="shared" si="19"/>
        <v>-169570.78985815274</v>
      </c>
    </row>
    <row r="362" spans="1:10" ht="15">
      <c r="A362" s="9">
        <v>111</v>
      </c>
      <c r="B362" s="1">
        <v>39907</v>
      </c>
      <c r="D362" s="13" t="s">
        <v>148</v>
      </c>
      <c r="E362" s="2">
        <v>10</v>
      </c>
      <c r="F362" s="13">
        <v>0</v>
      </c>
      <c r="G362" s="12">
        <f t="shared" si="19"/>
        <v>0</v>
      </c>
      <c r="H362" s="12">
        <f t="shared" si="19"/>
        <v>0</v>
      </c>
      <c r="I362" s="12">
        <f t="shared" si="19"/>
        <v>0</v>
      </c>
      <c r="J362" s="12">
        <f t="shared" si="19"/>
        <v>0</v>
      </c>
    </row>
    <row r="363" spans="1:10" ht="15">
      <c r="A363" s="9">
        <v>112</v>
      </c>
      <c r="B363" s="1">
        <v>39908</v>
      </c>
      <c r="D363" s="13" t="s">
        <v>155</v>
      </c>
      <c r="E363" s="2">
        <v>10</v>
      </c>
      <c r="F363" s="13">
        <v>0</v>
      </c>
      <c r="G363" s="12">
        <f t="shared" si="19"/>
        <v>0</v>
      </c>
      <c r="H363" s="12">
        <f t="shared" si="19"/>
        <v>0</v>
      </c>
      <c r="I363" s="12">
        <f t="shared" si="19"/>
        <v>0</v>
      </c>
      <c r="J363" s="12">
        <f t="shared" si="19"/>
        <v>0</v>
      </c>
    </row>
    <row r="364" spans="1:10" ht="15">
      <c r="A364" s="9">
        <v>113</v>
      </c>
      <c r="D364" s="13" t="s">
        <v>166</v>
      </c>
      <c r="E364" s="2">
        <v>10</v>
      </c>
      <c r="F364" s="17">
        <v>119746.51</v>
      </c>
      <c r="G364" s="12">
        <f t="shared" si="19"/>
        <v>88885.61053666202</v>
      </c>
      <c r="H364" s="12">
        <f t="shared" si="19"/>
        <v>19778.027176984306</v>
      </c>
      <c r="I364" s="12">
        <f t="shared" si="19"/>
        <v>1154.6693177292536</v>
      </c>
      <c r="J364" s="12">
        <f t="shared" si="19"/>
        <v>9928.202968624417</v>
      </c>
    </row>
    <row r="365" spans="1:10" ht="15">
      <c r="A365" s="9">
        <v>114</v>
      </c>
      <c r="D365" s="13" t="s">
        <v>167</v>
      </c>
      <c r="E365" s="2">
        <v>10</v>
      </c>
      <c r="F365" s="17">
        <v>-4706121.49</v>
      </c>
      <c r="G365" s="12">
        <f t="shared" si="19"/>
        <v>-3493266.5837054923</v>
      </c>
      <c r="H365" s="12">
        <f t="shared" si="19"/>
        <v>-777290.2836784963</v>
      </c>
      <c r="I365" s="12">
        <f t="shared" si="19"/>
        <v>-45379.31076245378</v>
      </c>
      <c r="J365" s="12">
        <f t="shared" si="19"/>
        <v>-390185.31185355777</v>
      </c>
    </row>
    <row r="366" ht="15">
      <c r="A366" s="9">
        <v>115</v>
      </c>
    </row>
    <row r="367" spans="1:10" ht="15">
      <c r="A367" s="9">
        <v>116</v>
      </c>
      <c r="C367" s="13" t="s">
        <v>55</v>
      </c>
      <c r="D367" s="2"/>
      <c r="E367" s="2"/>
      <c r="F367" s="18">
        <f>SUM(F335:F365)</f>
        <v>-2688852.3599999994</v>
      </c>
      <c r="G367" s="18">
        <f>SUM(G335:G365)</f>
        <v>-1995885.171614142</v>
      </c>
      <c r="H367" s="18">
        <f>SUM(H335:H365)</f>
        <v>-444106.42991581466</v>
      </c>
      <c r="I367" s="18">
        <f>SUM(I335:I365)</f>
        <v>-25927.564151939743</v>
      </c>
      <c r="J367" s="18">
        <f>SUM(J335:J365)</f>
        <v>-222933.19431810407</v>
      </c>
    </row>
    <row r="368" ht="15">
      <c r="A368" s="9">
        <v>117</v>
      </c>
    </row>
    <row r="369" spans="1:10" ht="15">
      <c r="A369" s="9">
        <v>118</v>
      </c>
      <c r="C369" s="13" t="s">
        <v>63</v>
      </c>
      <c r="D369" s="2"/>
      <c r="E369" s="2"/>
      <c r="F369" s="18">
        <f>F258+F270+F292+F305+F331+F367</f>
        <v>157905864.15999997</v>
      </c>
      <c r="G369" s="18">
        <f>G258+G270+G292+G305+G331+G367</f>
        <v>115754786.74433844</v>
      </c>
      <c r="H369" s="18">
        <f>H258+H270+H292+H305+H331+H367</f>
        <v>24582106.46769415</v>
      </c>
      <c r="I369" s="18">
        <f>I258+I270+I292+I305+I331+I367</f>
        <v>1371748.1090518201</v>
      </c>
      <c r="J369" s="18">
        <f>J258+J270+J292+J305+J331+J367</f>
        <v>16197222.838915616</v>
      </c>
    </row>
    <row r="370" ht="15">
      <c r="A370" s="9">
        <v>119</v>
      </c>
    </row>
    <row r="371" spans="1:7" ht="15">
      <c r="A371" s="9">
        <v>120</v>
      </c>
      <c r="C371" s="13" t="s">
        <v>58</v>
      </c>
      <c r="D371" s="2"/>
      <c r="E371" s="2"/>
      <c r="F371" s="2"/>
      <c r="G371" s="2"/>
    </row>
    <row r="372" ht="15">
      <c r="A372" s="9">
        <v>121</v>
      </c>
    </row>
    <row r="373" spans="1:7" ht="15">
      <c r="A373" s="9">
        <v>122</v>
      </c>
      <c r="C373" s="13" t="s">
        <v>44</v>
      </c>
      <c r="D373" s="2"/>
      <c r="E373" s="2"/>
      <c r="F373" s="2"/>
      <c r="G373" s="2"/>
    </row>
    <row r="374" ht="15">
      <c r="A374" s="9">
        <v>123</v>
      </c>
    </row>
    <row r="375" spans="1:7" ht="15">
      <c r="A375" s="9">
        <v>124</v>
      </c>
      <c r="B375" s="9">
        <v>30100</v>
      </c>
      <c r="D375" s="2" t="s">
        <v>72</v>
      </c>
      <c r="E375" s="2"/>
      <c r="F375" s="13">
        <v>0</v>
      </c>
      <c r="G375" s="2"/>
    </row>
    <row r="376" spans="1:7" ht="15">
      <c r="A376" s="9">
        <v>125</v>
      </c>
      <c r="B376" s="9">
        <v>30200</v>
      </c>
      <c r="D376" s="13" t="s">
        <v>73</v>
      </c>
      <c r="E376" s="13"/>
      <c r="F376" s="13">
        <v>0</v>
      </c>
      <c r="G376" s="2"/>
    </row>
    <row r="377" spans="1:7" ht="15">
      <c r="A377" s="9">
        <v>126</v>
      </c>
      <c r="B377" s="9">
        <v>30300</v>
      </c>
      <c r="D377" s="2" t="s">
        <v>74</v>
      </c>
      <c r="E377" s="2"/>
      <c r="F377" s="13">
        <v>0</v>
      </c>
      <c r="G377" s="2"/>
    </row>
    <row r="378" ht="15">
      <c r="A378" s="9">
        <v>127</v>
      </c>
    </row>
    <row r="379" spans="1:10" ht="15">
      <c r="A379" s="9">
        <v>128</v>
      </c>
      <c r="C379" s="13" t="s">
        <v>45</v>
      </c>
      <c r="D379" s="2"/>
      <c r="E379" s="2"/>
      <c r="F379" s="19">
        <f>SUM(F375:F377)</f>
        <v>0</v>
      </c>
      <c r="G379" s="19">
        <f>SUM(G375:G377)</f>
        <v>0</v>
      </c>
      <c r="H379" s="19">
        <f>SUM(H375:H377)</f>
        <v>0</v>
      </c>
      <c r="I379" s="19">
        <f>SUM(I375:I377)</f>
        <v>0</v>
      </c>
      <c r="J379" s="19">
        <f>SUM(J375:J377)</f>
        <v>0</v>
      </c>
    </row>
    <row r="380" ht="15">
      <c r="A380" s="9">
        <v>129</v>
      </c>
    </row>
    <row r="381" spans="1:7" ht="15">
      <c r="A381" s="9">
        <v>130</v>
      </c>
      <c r="C381" s="2" t="s">
        <v>54</v>
      </c>
      <c r="D381" s="2"/>
      <c r="E381" s="2"/>
      <c r="F381" s="2"/>
      <c r="G381" s="2"/>
    </row>
    <row r="382" ht="15">
      <c r="A382" s="9">
        <v>131</v>
      </c>
    </row>
    <row r="383" spans="1:10" ht="15">
      <c r="A383" s="9">
        <v>132</v>
      </c>
      <c r="B383" s="1">
        <v>37400</v>
      </c>
      <c r="D383" s="2" t="s">
        <v>96</v>
      </c>
      <c r="E383" s="2">
        <v>10</v>
      </c>
      <c r="F383" s="13">
        <v>0</v>
      </c>
      <c r="G383" s="12">
        <f aca="true" t="shared" si="20" ref="G383:J401">INDEX(ALLOC,($E383)+1,(G$1)+1)*$F383</f>
        <v>0</v>
      </c>
      <c r="H383" s="12">
        <f t="shared" si="20"/>
        <v>0</v>
      </c>
      <c r="I383" s="12">
        <f t="shared" si="20"/>
        <v>0</v>
      </c>
      <c r="J383" s="12">
        <f t="shared" si="20"/>
        <v>0</v>
      </c>
    </row>
    <row r="384" spans="1:10" ht="15">
      <c r="A384" s="9">
        <v>133</v>
      </c>
      <c r="B384" s="1">
        <v>39001</v>
      </c>
      <c r="D384" s="2" t="s">
        <v>119</v>
      </c>
      <c r="E384" s="2">
        <v>10</v>
      </c>
      <c r="F384" s="17">
        <v>24928.66</v>
      </c>
      <c r="G384" s="12">
        <f t="shared" si="20"/>
        <v>18504.08136287951</v>
      </c>
      <c r="H384" s="12">
        <f t="shared" si="20"/>
        <v>4117.361875229613</v>
      </c>
      <c r="I384" s="12">
        <f t="shared" si="20"/>
        <v>240.37743424926987</v>
      </c>
      <c r="J384" s="12">
        <f t="shared" si="20"/>
        <v>2066.8393276416055</v>
      </c>
    </row>
    <row r="385" spans="1:10" ht="15">
      <c r="A385" s="9">
        <v>134</v>
      </c>
      <c r="B385" s="1">
        <v>39004</v>
      </c>
      <c r="D385" s="13" t="s">
        <v>121</v>
      </c>
      <c r="E385" s="2">
        <v>10</v>
      </c>
      <c r="F385" s="17">
        <v>2885.7</v>
      </c>
      <c r="G385" s="12">
        <f t="shared" si="20"/>
        <v>2142.001519089329</v>
      </c>
      <c r="H385" s="12">
        <f t="shared" si="20"/>
        <v>476.6189263020994</v>
      </c>
      <c r="I385" s="12">
        <f t="shared" si="20"/>
        <v>27.825689869135285</v>
      </c>
      <c r="J385" s="12">
        <f t="shared" si="20"/>
        <v>239.25386473943567</v>
      </c>
    </row>
    <row r="386" spans="1:10" ht="15">
      <c r="A386" s="9">
        <v>135</v>
      </c>
      <c r="B386" s="1">
        <v>39009</v>
      </c>
      <c r="D386" s="13" t="s">
        <v>122</v>
      </c>
      <c r="E386" s="2">
        <v>10</v>
      </c>
      <c r="F386" s="17">
        <v>24544.18</v>
      </c>
      <c r="G386" s="12">
        <f t="shared" si="20"/>
        <v>18218.68899913433</v>
      </c>
      <c r="H386" s="12">
        <f t="shared" si="20"/>
        <v>4053.858931477792</v>
      </c>
      <c r="I386" s="12">
        <f t="shared" si="20"/>
        <v>236.67004219850745</v>
      </c>
      <c r="J386" s="12">
        <f t="shared" si="20"/>
        <v>2034.962027189369</v>
      </c>
    </row>
    <row r="387" spans="1:10" ht="15">
      <c r="A387" s="9">
        <v>136</v>
      </c>
      <c r="B387" s="1">
        <v>39100</v>
      </c>
      <c r="D387" s="13" t="s">
        <v>123</v>
      </c>
      <c r="E387" s="2">
        <v>10</v>
      </c>
      <c r="F387" s="17">
        <v>35135.86</v>
      </c>
      <c r="G387" s="12">
        <f t="shared" si="20"/>
        <v>26080.69636293101</v>
      </c>
      <c r="H387" s="12">
        <f t="shared" si="20"/>
        <v>5803.24214849114</v>
      </c>
      <c r="I387" s="12">
        <f t="shared" si="20"/>
        <v>338.80151909254454</v>
      </c>
      <c r="J387" s="12">
        <f t="shared" si="20"/>
        <v>2913.1199694853062</v>
      </c>
    </row>
    <row r="388" spans="1:10" ht="15">
      <c r="A388" s="9">
        <v>137</v>
      </c>
      <c r="B388" s="1">
        <v>39200</v>
      </c>
      <c r="D388" s="2" t="s">
        <v>126</v>
      </c>
      <c r="E388" s="2">
        <v>10</v>
      </c>
      <c r="F388" s="17">
        <v>3829.17</v>
      </c>
      <c r="G388" s="12">
        <f t="shared" si="20"/>
        <v>2842.3217787196477</v>
      </c>
      <c r="H388" s="12">
        <f t="shared" si="20"/>
        <v>632.4478961874797</v>
      </c>
      <c r="I388" s="12">
        <f t="shared" si="20"/>
        <v>36.923206458119964</v>
      </c>
      <c r="J388" s="12">
        <f t="shared" si="20"/>
        <v>317.4771186347524</v>
      </c>
    </row>
    <row r="389" spans="1:10" ht="15">
      <c r="A389" s="9">
        <v>138</v>
      </c>
      <c r="B389" s="1">
        <v>39300</v>
      </c>
      <c r="D389" s="2" t="s">
        <v>129</v>
      </c>
      <c r="E389" s="2">
        <v>10</v>
      </c>
      <c r="F389" s="17">
        <v>1785.22</v>
      </c>
      <c r="G389" s="12">
        <f t="shared" si="20"/>
        <v>1325.1356523230595</v>
      </c>
      <c r="H389" s="12">
        <f t="shared" si="20"/>
        <v>294.8572753969692</v>
      </c>
      <c r="I389" s="12">
        <f t="shared" si="20"/>
        <v>17.214186529499845</v>
      </c>
      <c r="J389" s="12">
        <f t="shared" si="20"/>
        <v>148.0128857504714</v>
      </c>
    </row>
    <row r="390" spans="1:10" ht="15">
      <c r="A390" s="9">
        <v>139</v>
      </c>
      <c r="B390" s="1">
        <v>39400</v>
      </c>
      <c r="D390" s="13" t="s">
        <v>130</v>
      </c>
      <c r="E390" s="2">
        <v>10</v>
      </c>
      <c r="F390" s="17">
        <v>31963.4</v>
      </c>
      <c r="G390" s="12">
        <f t="shared" si="20"/>
        <v>23725.838221318874</v>
      </c>
      <c r="H390" s="12">
        <f t="shared" si="20"/>
        <v>5279.260279642557</v>
      </c>
      <c r="I390" s="12">
        <f t="shared" si="20"/>
        <v>308.21071336698856</v>
      </c>
      <c r="J390" s="12">
        <f t="shared" si="20"/>
        <v>2650.0907856715803</v>
      </c>
    </row>
    <row r="391" spans="1:10" ht="15">
      <c r="A391" s="9">
        <v>140</v>
      </c>
      <c r="B391" s="1">
        <v>39600</v>
      </c>
      <c r="D391" s="2" t="s">
        <v>131</v>
      </c>
      <c r="E391" s="2">
        <v>10</v>
      </c>
      <c r="F391" s="17">
        <v>7736.97</v>
      </c>
      <c r="G391" s="12">
        <f t="shared" si="20"/>
        <v>5743.009146185872</v>
      </c>
      <c r="H391" s="12">
        <f t="shared" si="20"/>
        <v>1277.8827786088486</v>
      </c>
      <c r="I391" s="12">
        <f t="shared" si="20"/>
        <v>74.6046116182568</v>
      </c>
      <c r="J391" s="12">
        <f t="shared" si="20"/>
        <v>641.4734635870228</v>
      </c>
    </row>
    <row r="392" spans="1:10" ht="15">
      <c r="A392" s="9">
        <v>141</v>
      </c>
      <c r="B392" s="1">
        <v>39700</v>
      </c>
      <c r="D392" s="2" t="s">
        <v>135</v>
      </c>
      <c r="E392" s="2">
        <v>10</v>
      </c>
      <c r="F392" s="17">
        <v>-6551.11</v>
      </c>
      <c r="G392" s="12">
        <f t="shared" si="20"/>
        <v>-4862.767291028623</v>
      </c>
      <c r="H392" s="12">
        <f t="shared" si="20"/>
        <v>-1082.0192723730624</v>
      </c>
      <c r="I392" s="12">
        <f t="shared" si="20"/>
        <v>-63.16982193526384</v>
      </c>
      <c r="J392" s="12">
        <f t="shared" si="20"/>
        <v>-543.1536146630503</v>
      </c>
    </row>
    <row r="393" spans="1:10" ht="15">
      <c r="A393" s="9">
        <v>142</v>
      </c>
      <c r="B393" s="1">
        <v>39800</v>
      </c>
      <c r="D393" s="2" t="s">
        <v>139</v>
      </c>
      <c r="E393" s="2">
        <v>10</v>
      </c>
      <c r="F393" s="17">
        <v>222014.27</v>
      </c>
      <c r="G393" s="12">
        <f t="shared" si="20"/>
        <v>164797.06954967894</v>
      </c>
      <c r="H393" s="12">
        <f t="shared" si="20"/>
        <v>36669.16276506373</v>
      </c>
      <c r="I393" s="12">
        <f t="shared" si="20"/>
        <v>2140.7978041870138</v>
      </c>
      <c r="J393" s="12">
        <f t="shared" si="20"/>
        <v>18407.239881070294</v>
      </c>
    </row>
    <row r="394" spans="1:10" ht="15">
      <c r="A394" s="9">
        <v>143</v>
      </c>
      <c r="B394" s="1">
        <v>39900</v>
      </c>
      <c r="D394" s="2" t="s">
        <v>140</v>
      </c>
      <c r="E394" s="2">
        <v>10</v>
      </c>
      <c r="F394" s="17">
        <v>38499.22</v>
      </c>
      <c r="G394" s="12">
        <f t="shared" si="20"/>
        <v>28577.256029301137</v>
      </c>
      <c r="H394" s="12">
        <f t="shared" si="20"/>
        <v>6358.754167054203</v>
      </c>
      <c r="I394" s="12">
        <f t="shared" si="20"/>
        <v>371.23309974134895</v>
      </c>
      <c r="J394" s="12">
        <f t="shared" si="20"/>
        <v>3191.9767039033086</v>
      </c>
    </row>
    <row r="395" spans="1:10" ht="15">
      <c r="A395" s="9">
        <v>144</v>
      </c>
      <c r="B395" s="1">
        <v>39901</v>
      </c>
      <c r="D395" s="13" t="s">
        <v>151</v>
      </c>
      <c r="E395" s="2">
        <v>10</v>
      </c>
      <c r="F395" s="17">
        <v>101982.82</v>
      </c>
      <c r="G395" s="12">
        <f t="shared" si="20"/>
        <v>75699.95334269456</v>
      </c>
      <c r="H395" s="12">
        <f t="shared" si="20"/>
        <v>16844.073247274588</v>
      </c>
      <c r="I395" s="12">
        <f t="shared" si="20"/>
        <v>983.3809201579678</v>
      </c>
      <c r="J395" s="12">
        <f t="shared" si="20"/>
        <v>8455.412489872897</v>
      </c>
    </row>
    <row r="396" spans="1:10" ht="15">
      <c r="A396" s="9">
        <v>145</v>
      </c>
      <c r="B396" s="1">
        <v>39902</v>
      </c>
      <c r="D396" s="13" t="s">
        <v>142</v>
      </c>
      <c r="E396" s="2">
        <v>10</v>
      </c>
      <c r="F396" s="17">
        <v>5759</v>
      </c>
      <c r="G396" s="12">
        <f t="shared" si="20"/>
        <v>4274.798748461534</v>
      </c>
      <c r="H396" s="12">
        <f t="shared" si="20"/>
        <v>951.1897967819907</v>
      </c>
      <c r="I396" s="12">
        <f t="shared" si="20"/>
        <v>55.53181133047445</v>
      </c>
      <c r="J396" s="12">
        <f t="shared" si="20"/>
        <v>477.4796434260007</v>
      </c>
    </row>
    <row r="397" spans="1:10" ht="15">
      <c r="A397" s="9">
        <v>146</v>
      </c>
      <c r="B397" s="1">
        <v>39903</v>
      </c>
      <c r="D397" s="13" t="s">
        <v>143</v>
      </c>
      <c r="E397" s="2">
        <v>10</v>
      </c>
      <c r="F397" s="17">
        <v>108269.99</v>
      </c>
      <c r="G397" s="12">
        <f t="shared" si="20"/>
        <v>80366.8028734056</v>
      </c>
      <c r="H397" s="12">
        <f t="shared" si="20"/>
        <v>17882.4986604772</v>
      </c>
      <c r="I397" s="12">
        <f t="shared" si="20"/>
        <v>1044.00567067761</v>
      </c>
      <c r="J397" s="12">
        <f t="shared" si="20"/>
        <v>8976.682795439601</v>
      </c>
    </row>
    <row r="398" spans="1:10" ht="15">
      <c r="A398" s="9">
        <v>147</v>
      </c>
      <c r="B398" s="1">
        <v>39906</v>
      </c>
      <c r="D398" s="13" t="s">
        <v>146</v>
      </c>
      <c r="E398" s="2">
        <v>10</v>
      </c>
      <c r="F398" s="17">
        <v>-360590.36</v>
      </c>
      <c r="G398" s="12">
        <f t="shared" si="20"/>
        <v>-267659.5276324525</v>
      </c>
      <c r="H398" s="12">
        <f t="shared" si="20"/>
        <v>-59557.192437913676</v>
      </c>
      <c r="I398" s="12">
        <f t="shared" si="20"/>
        <v>-3477.033484825119</v>
      </c>
      <c r="J398" s="12">
        <f t="shared" si="20"/>
        <v>-29896.606444808684</v>
      </c>
    </row>
    <row r="399" spans="1:10" ht="15">
      <c r="A399" s="9">
        <v>148</v>
      </c>
      <c r="B399" s="1">
        <v>39907</v>
      </c>
      <c r="D399" s="13" t="s">
        <v>147</v>
      </c>
      <c r="E399" s="2">
        <v>10</v>
      </c>
      <c r="F399" s="13">
        <v>0</v>
      </c>
      <c r="G399" s="12">
        <f t="shared" si="20"/>
        <v>0</v>
      </c>
      <c r="H399" s="12">
        <f t="shared" si="20"/>
        <v>0</v>
      </c>
      <c r="I399" s="12">
        <f t="shared" si="20"/>
        <v>0</v>
      </c>
      <c r="J399" s="12">
        <f t="shared" si="20"/>
        <v>0</v>
      </c>
    </row>
    <row r="400" spans="1:10" ht="15">
      <c r="A400" s="9">
        <v>149</v>
      </c>
      <c r="B400" s="1">
        <v>39908</v>
      </c>
      <c r="D400" s="13" t="s">
        <v>148</v>
      </c>
      <c r="E400" s="2">
        <v>10</v>
      </c>
      <c r="F400" s="17">
        <v>521687.21</v>
      </c>
      <c r="G400" s="12">
        <f t="shared" si="20"/>
        <v>387238.7276256971</v>
      </c>
      <c r="H400" s="12">
        <f t="shared" si="20"/>
        <v>86164.881275163</v>
      </c>
      <c r="I400" s="12">
        <f t="shared" si="20"/>
        <v>5030.428150588923</v>
      </c>
      <c r="J400" s="12">
        <f t="shared" si="20"/>
        <v>43253.172948550986</v>
      </c>
    </row>
    <row r="401" spans="1:10" ht="15">
      <c r="A401" s="9">
        <v>150</v>
      </c>
      <c r="D401" s="13" t="s">
        <v>167</v>
      </c>
      <c r="E401" s="2">
        <v>10</v>
      </c>
      <c r="F401" s="17">
        <v>24381.18</v>
      </c>
      <c r="G401" s="12">
        <f t="shared" si="20"/>
        <v>18097.697126239866</v>
      </c>
      <c r="H401" s="12">
        <f t="shared" si="20"/>
        <v>4026.9369073632815</v>
      </c>
      <c r="I401" s="12">
        <f t="shared" si="20"/>
        <v>235.09829619280032</v>
      </c>
      <c r="J401" s="12">
        <f t="shared" si="20"/>
        <v>2021.4476702040527</v>
      </c>
    </row>
    <row r="402" ht="15">
      <c r="A402" s="9">
        <v>151</v>
      </c>
    </row>
    <row r="403" spans="1:10" ht="15">
      <c r="A403" s="9">
        <v>152</v>
      </c>
      <c r="C403" s="13" t="s">
        <v>55</v>
      </c>
      <c r="D403" s="2"/>
      <c r="E403" s="2"/>
      <c r="F403" s="18">
        <f>SUM(F383:F401)</f>
        <v>788261.3800000002</v>
      </c>
      <c r="G403" s="18">
        <f>SUM(G383:G401)</f>
        <v>585111.7834145792</v>
      </c>
      <c r="H403" s="18">
        <f>SUM(H383:H401)</f>
        <v>130193.81522022776</v>
      </c>
      <c r="I403" s="18">
        <f>SUM(I383:I401)</f>
        <v>7600.899849498079</v>
      </c>
      <c r="J403" s="18">
        <f>SUM(J383:J401)</f>
        <v>65354.88151569495</v>
      </c>
    </row>
    <row r="404" ht="15">
      <c r="A404" s="9">
        <v>153</v>
      </c>
    </row>
    <row r="405" spans="1:7" ht="15">
      <c r="A405" s="9">
        <v>154</v>
      </c>
      <c r="C405" s="13" t="s">
        <v>59</v>
      </c>
      <c r="D405" s="2"/>
      <c r="E405" s="2"/>
      <c r="F405" s="2"/>
      <c r="G405" s="2"/>
    </row>
    <row r="406" ht="15">
      <c r="A406" s="9">
        <v>155</v>
      </c>
    </row>
    <row r="407" spans="1:7" ht="15">
      <c r="A407" s="9">
        <v>156</v>
      </c>
      <c r="C407" s="2" t="s">
        <v>54</v>
      </c>
      <c r="D407" s="2"/>
      <c r="E407" s="2"/>
      <c r="F407" s="2"/>
      <c r="G407" s="2"/>
    </row>
    <row r="408" ht="15">
      <c r="A408" s="9">
        <v>157</v>
      </c>
    </row>
    <row r="409" spans="1:10" ht="15">
      <c r="A409" s="9">
        <v>158</v>
      </c>
      <c r="B409" s="9">
        <v>39000</v>
      </c>
      <c r="D409" s="13" t="s">
        <v>97</v>
      </c>
      <c r="E409" s="13">
        <v>10</v>
      </c>
      <c r="F409" s="13">
        <v>366.8</v>
      </c>
      <c r="G409" s="12">
        <f aca="true" t="shared" si="21" ref="G409:J433">INDEX(ALLOC,($E409)+1,(G$1)+1)*$F409</f>
        <v>272.26882808398864</v>
      </c>
      <c r="H409" s="12">
        <f t="shared" si="21"/>
        <v>60.58281254725373</v>
      </c>
      <c r="I409" s="12">
        <f t="shared" si="21"/>
        <v>3.5369106435176296</v>
      </c>
      <c r="J409" s="12">
        <f t="shared" si="21"/>
        <v>30.411448725239982</v>
      </c>
    </row>
    <row r="410" spans="1:10" ht="15">
      <c r="A410" s="9">
        <v>159</v>
      </c>
      <c r="B410" s="9">
        <v>39005</v>
      </c>
      <c r="D410" s="13" t="s">
        <v>152</v>
      </c>
      <c r="E410" s="13">
        <v>10</v>
      </c>
      <c r="F410" s="17">
        <v>41631.56</v>
      </c>
      <c r="G410" s="12">
        <f t="shared" si="21"/>
        <v>30902.3338399898</v>
      </c>
      <c r="H410" s="12">
        <f t="shared" si="21"/>
        <v>6876.109584323191</v>
      </c>
      <c r="I410" s="12">
        <f t="shared" si="21"/>
        <v>401.43704381200325</v>
      </c>
      <c r="J410" s="12">
        <f t="shared" si="21"/>
        <v>3451.6795318750046</v>
      </c>
    </row>
    <row r="411" spans="1:10" ht="15">
      <c r="A411" s="9">
        <v>160</v>
      </c>
      <c r="B411" s="9">
        <v>39009</v>
      </c>
      <c r="D411" s="13" t="s">
        <v>122</v>
      </c>
      <c r="E411" s="13">
        <v>10</v>
      </c>
      <c r="F411" s="17">
        <v>508867.78</v>
      </c>
      <c r="G411" s="12">
        <f t="shared" si="21"/>
        <v>377723.1028088903</v>
      </c>
      <c r="H411" s="12">
        <f t="shared" si="21"/>
        <v>84047.54996476868</v>
      </c>
      <c r="I411" s="12">
        <f t="shared" si="21"/>
        <v>4906.815341399094</v>
      </c>
      <c r="J411" s="12">
        <f t="shared" si="21"/>
        <v>42190.311884941926</v>
      </c>
    </row>
    <row r="412" spans="1:10" ht="15">
      <c r="A412" s="9">
        <v>161</v>
      </c>
      <c r="B412" s="9">
        <v>39100</v>
      </c>
      <c r="D412" s="13" t="s">
        <v>123</v>
      </c>
      <c r="E412" s="13">
        <v>10</v>
      </c>
      <c r="F412" s="17">
        <v>336303.4</v>
      </c>
      <c r="G412" s="12">
        <f t="shared" si="21"/>
        <v>249631.76826243423</v>
      </c>
      <c r="H412" s="12">
        <f t="shared" si="21"/>
        <v>55545.817451483344</v>
      </c>
      <c r="I412" s="12">
        <f t="shared" si="21"/>
        <v>3242.843715679299</v>
      </c>
      <c r="J412" s="12">
        <f t="shared" si="21"/>
        <v>27882.97057040314</v>
      </c>
    </row>
    <row r="413" spans="1:10" ht="15">
      <c r="A413" s="9">
        <v>162</v>
      </c>
      <c r="B413" s="9">
        <v>39102</v>
      </c>
      <c r="D413" s="13" t="s">
        <v>124</v>
      </c>
      <c r="E413" s="13">
        <v>10</v>
      </c>
      <c r="F413" s="13">
        <v>325.24</v>
      </c>
      <c r="G413" s="12">
        <f t="shared" si="21"/>
        <v>241.4196119030438</v>
      </c>
      <c r="H413" s="12">
        <f t="shared" si="21"/>
        <v>53.718522227014184</v>
      </c>
      <c r="I413" s="12">
        <f t="shared" si="21"/>
        <v>3.1361636251299725</v>
      </c>
      <c r="J413" s="12">
        <f t="shared" si="21"/>
        <v>26.965702244812025</v>
      </c>
    </row>
    <row r="414" spans="1:10" ht="15">
      <c r="A414" s="9">
        <v>163</v>
      </c>
      <c r="B414" s="9">
        <v>39103</v>
      </c>
      <c r="D414" s="2" t="s">
        <v>125</v>
      </c>
      <c r="E414" s="13">
        <v>10</v>
      </c>
      <c r="F414" s="13">
        <v>160.32</v>
      </c>
      <c r="G414" s="12">
        <f t="shared" si="21"/>
        <v>119.00255866528097</v>
      </c>
      <c r="H414" s="12">
        <f t="shared" si="21"/>
        <v>26.479379791645904</v>
      </c>
      <c r="I414" s="12">
        <f t="shared" si="21"/>
        <v>1.5459038014415112</v>
      </c>
      <c r="J414" s="12">
        <f t="shared" si="21"/>
        <v>13.292157741631607</v>
      </c>
    </row>
    <row r="415" spans="1:10" ht="15">
      <c r="A415" s="9">
        <v>164</v>
      </c>
      <c r="B415" s="9">
        <v>39104</v>
      </c>
      <c r="D415" s="13" t="s">
        <v>153</v>
      </c>
      <c r="E415" s="13">
        <v>10</v>
      </c>
      <c r="F415" s="13">
        <v>111.07</v>
      </c>
      <c r="G415" s="12">
        <f t="shared" si="21"/>
        <v>82.44519829686101</v>
      </c>
      <c r="H415" s="12">
        <f t="shared" si="21"/>
        <v>18.344964530053083</v>
      </c>
      <c r="I415" s="12">
        <f t="shared" si="21"/>
        <v>1.0710050849931927</v>
      </c>
      <c r="J415" s="12">
        <f t="shared" si="21"/>
        <v>9.208832088092706</v>
      </c>
    </row>
    <row r="416" spans="1:10" ht="15">
      <c r="A416" s="9">
        <v>165</v>
      </c>
      <c r="B416" s="9">
        <v>39200</v>
      </c>
      <c r="D416" s="2" t="s">
        <v>126</v>
      </c>
      <c r="E416" s="13">
        <v>10</v>
      </c>
      <c r="F416" s="17">
        <v>4472.03</v>
      </c>
      <c r="G416" s="12">
        <f t="shared" si="21"/>
        <v>3319.504818038276</v>
      </c>
      <c r="H416" s="12">
        <f t="shared" si="21"/>
        <v>738.6263773056027</v>
      </c>
      <c r="I416" s="12">
        <f t="shared" si="21"/>
        <v>43.122056993266476</v>
      </c>
      <c r="J416" s="12">
        <f t="shared" si="21"/>
        <v>370.77674766285423</v>
      </c>
    </row>
    <row r="417" spans="1:10" ht="15">
      <c r="A417" s="9">
        <v>166</v>
      </c>
      <c r="B417" s="9">
        <v>39300</v>
      </c>
      <c r="D417" s="2" t="s">
        <v>129</v>
      </c>
      <c r="E417" s="13">
        <v>10</v>
      </c>
      <c r="F417" s="13">
        <v>42.04</v>
      </c>
      <c r="G417" s="12">
        <f t="shared" si="21"/>
        <v>31.205511266769037</v>
      </c>
      <c r="H417" s="12">
        <f t="shared" si="21"/>
        <v>6.943569900454053</v>
      </c>
      <c r="I417" s="12">
        <f t="shared" si="21"/>
        <v>0.40537547288299114</v>
      </c>
      <c r="J417" s="12">
        <f t="shared" si="21"/>
        <v>3.4855433598939167</v>
      </c>
    </row>
    <row r="418" spans="1:10" ht="15">
      <c r="A418" s="9">
        <v>167</v>
      </c>
      <c r="B418" s="9">
        <v>39400</v>
      </c>
      <c r="D418" s="13" t="s">
        <v>130</v>
      </c>
      <c r="E418" s="13">
        <v>10</v>
      </c>
      <c r="F418" s="17">
        <v>3633.29</v>
      </c>
      <c r="G418" s="12">
        <f t="shared" si="21"/>
        <v>2696.9236924462243</v>
      </c>
      <c r="H418" s="12">
        <f t="shared" si="21"/>
        <v>600.0952208282756</v>
      </c>
      <c r="I418" s="12">
        <f t="shared" si="21"/>
        <v>35.034411319482466</v>
      </c>
      <c r="J418" s="12">
        <f t="shared" si="21"/>
        <v>301.23667540601735</v>
      </c>
    </row>
    <row r="419" spans="1:10" ht="15">
      <c r="A419" s="9">
        <v>168</v>
      </c>
      <c r="B419" s="9">
        <v>39500</v>
      </c>
      <c r="D419" s="2" t="s">
        <v>154</v>
      </c>
      <c r="E419" s="13">
        <v>10</v>
      </c>
      <c r="F419" s="13">
        <v>328.28</v>
      </c>
      <c r="G419" s="12">
        <f t="shared" si="21"/>
        <v>243.676147446597</v>
      </c>
      <c r="H419" s="12">
        <f t="shared" si="21"/>
        <v>54.2206262350394</v>
      </c>
      <c r="I419" s="12">
        <f t="shared" si="21"/>
        <v>3.1654771702670863</v>
      </c>
      <c r="J419" s="12">
        <f t="shared" si="21"/>
        <v>27.217749148096456</v>
      </c>
    </row>
    <row r="420" spans="1:10" ht="15">
      <c r="A420" s="9">
        <v>169</v>
      </c>
      <c r="B420" s="9">
        <v>39700</v>
      </c>
      <c r="D420" s="2" t="s">
        <v>135</v>
      </c>
      <c r="E420" s="13">
        <v>10</v>
      </c>
      <c r="F420" s="17">
        <v>63903.93</v>
      </c>
      <c r="G420" s="12">
        <f t="shared" si="21"/>
        <v>47434.70046636108</v>
      </c>
      <c r="H420" s="12">
        <f t="shared" si="21"/>
        <v>10554.743217619476</v>
      </c>
      <c r="I420" s="12">
        <f t="shared" si="21"/>
        <v>616.2009001625015</v>
      </c>
      <c r="J420" s="12">
        <f t="shared" si="21"/>
        <v>5298.285415856938</v>
      </c>
    </row>
    <row r="421" spans="1:10" ht="15">
      <c r="A421" s="9">
        <v>170</v>
      </c>
      <c r="B421" s="9">
        <v>39800</v>
      </c>
      <c r="D421" s="2" t="s">
        <v>139</v>
      </c>
      <c r="E421" s="13">
        <v>10</v>
      </c>
      <c r="F421" s="17">
        <v>6284.14</v>
      </c>
      <c r="G421" s="12">
        <f t="shared" si="21"/>
        <v>4664.600417981779</v>
      </c>
      <c r="H421" s="12">
        <f t="shared" si="21"/>
        <v>1037.9249608525056</v>
      </c>
      <c r="I421" s="12">
        <f t="shared" si="21"/>
        <v>60.59553340064034</v>
      </c>
      <c r="J421" s="12">
        <f t="shared" si="21"/>
        <v>521.0190877650751</v>
      </c>
    </row>
    <row r="422" spans="1:10" ht="15">
      <c r="A422" s="9">
        <v>171</v>
      </c>
      <c r="B422" s="9">
        <v>39900</v>
      </c>
      <c r="D422" s="2" t="s">
        <v>140</v>
      </c>
      <c r="E422" s="13">
        <v>10</v>
      </c>
      <c r="F422" s="17">
        <v>4449.63</v>
      </c>
      <c r="G422" s="12">
        <f t="shared" si="21"/>
        <v>3302.877714033147</v>
      </c>
      <c r="H422" s="12">
        <f t="shared" si="21"/>
        <v>734.926663562259</v>
      </c>
      <c r="I422" s="12">
        <f t="shared" si="21"/>
        <v>42.9060624501509</v>
      </c>
      <c r="J422" s="12">
        <f t="shared" si="21"/>
        <v>368.91955995444266</v>
      </c>
    </row>
    <row r="423" spans="1:10" ht="15">
      <c r="A423" s="9">
        <v>172</v>
      </c>
      <c r="B423" s="9">
        <v>39901</v>
      </c>
      <c r="D423" s="13" t="s">
        <v>151</v>
      </c>
      <c r="E423" s="13">
        <v>10</v>
      </c>
      <c r="F423" s="17">
        <v>569057.59</v>
      </c>
      <c r="G423" s="12">
        <f t="shared" si="21"/>
        <v>422400.88097491517</v>
      </c>
      <c r="H423" s="12">
        <f t="shared" si="21"/>
        <v>93988.84761058333</v>
      </c>
      <c r="I423" s="12">
        <f t="shared" si="21"/>
        <v>5487.202417790325</v>
      </c>
      <c r="J423" s="12">
        <f t="shared" si="21"/>
        <v>47180.65899671111</v>
      </c>
    </row>
    <row r="424" spans="1:10" ht="15">
      <c r="A424" s="9">
        <v>173</v>
      </c>
      <c r="B424" s="9">
        <v>39902</v>
      </c>
      <c r="D424" s="13" t="s">
        <v>142</v>
      </c>
      <c r="E424" s="13">
        <v>10</v>
      </c>
      <c r="F424" s="17">
        <v>318108.27</v>
      </c>
      <c r="G424" s="12">
        <f t="shared" si="21"/>
        <v>236125.8611688251</v>
      </c>
      <c r="H424" s="12">
        <f t="shared" si="21"/>
        <v>52540.604392424146</v>
      </c>
      <c r="I424" s="12">
        <f t="shared" si="21"/>
        <v>3067.3951089257903</v>
      </c>
      <c r="J424" s="12">
        <f t="shared" si="21"/>
        <v>26374.40932982496</v>
      </c>
    </row>
    <row r="425" spans="1:10" ht="15">
      <c r="A425" s="9">
        <v>174</v>
      </c>
      <c r="B425" s="9">
        <v>39903</v>
      </c>
      <c r="D425" s="13" t="s">
        <v>143</v>
      </c>
      <c r="E425" s="13">
        <v>10</v>
      </c>
      <c r="F425" s="17">
        <v>118877.58</v>
      </c>
      <c r="G425" s="12">
        <f t="shared" si="21"/>
        <v>88240.61993473448</v>
      </c>
      <c r="H425" s="12">
        <f t="shared" si="21"/>
        <v>19634.509665243073</v>
      </c>
      <c r="I425" s="12">
        <f t="shared" si="21"/>
        <v>1146.2905615529403</v>
      </c>
      <c r="J425" s="12">
        <f t="shared" si="21"/>
        <v>9856.159838469503</v>
      </c>
    </row>
    <row r="426" spans="1:10" ht="15">
      <c r="A426" s="9">
        <v>175</v>
      </c>
      <c r="B426" s="9">
        <v>39904</v>
      </c>
      <c r="D426" s="13" t="s">
        <v>144</v>
      </c>
      <c r="E426" s="13">
        <v>10</v>
      </c>
      <c r="F426" s="13">
        <v>952.02</v>
      </c>
      <c r="G426" s="12">
        <f t="shared" si="21"/>
        <v>706.6667658465618</v>
      </c>
      <c r="H426" s="12">
        <f t="shared" si="21"/>
        <v>157.2411374079512</v>
      </c>
      <c r="I426" s="12">
        <f t="shared" si="21"/>
        <v>9.179960934682807</v>
      </c>
      <c r="J426" s="12">
        <f t="shared" si="21"/>
        <v>78.93213581080416</v>
      </c>
    </row>
    <row r="427" spans="1:10" ht="15">
      <c r="A427" s="9">
        <v>176</v>
      </c>
      <c r="B427" s="9">
        <v>39905</v>
      </c>
      <c r="D427" s="13" t="s">
        <v>145</v>
      </c>
      <c r="E427" s="13">
        <v>10</v>
      </c>
      <c r="F427" s="13">
        <v>855.29</v>
      </c>
      <c r="G427" s="12">
        <f t="shared" si="21"/>
        <v>634.8658832386986</v>
      </c>
      <c r="H427" s="12">
        <f t="shared" si="21"/>
        <v>141.26465033680654</v>
      </c>
      <c r="I427" s="12">
        <f t="shared" si="21"/>
        <v>8.247230927737712</v>
      </c>
      <c r="J427" s="12">
        <f t="shared" si="21"/>
        <v>70.91223549675709</v>
      </c>
    </row>
    <row r="428" spans="1:10" ht="15">
      <c r="A428" s="9">
        <v>177</v>
      </c>
      <c r="B428" s="9">
        <v>39906</v>
      </c>
      <c r="D428" s="13" t="s">
        <v>146</v>
      </c>
      <c r="E428" s="13">
        <v>10</v>
      </c>
      <c r="F428" s="17">
        <v>128524.52</v>
      </c>
      <c r="G428" s="12">
        <f t="shared" si="21"/>
        <v>95401.36434148626</v>
      </c>
      <c r="H428" s="12">
        <f t="shared" si="21"/>
        <v>21227.854151815056</v>
      </c>
      <c r="I428" s="12">
        <f t="shared" si="21"/>
        <v>1239.312275738807</v>
      </c>
      <c r="J428" s="12">
        <f t="shared" si="21"/>
        <v>10655.98923095987</v>
      </c>
    </row>
    <row r="429" spans="1:10" ht="15">
      <c r="A429" s="9">
        <v>178</v>
      </c>
      <c r="B429" s="9">
        <v>39907</v>
      </c>
      <c r="D429" s="13" t="s">
        <v>147</v>
      </c>
      <c r="E429" s="13">
        <v>10</v>
      </c>
      <c r="F429" s="17">
        <v>47911.93</v>
      </c>
      <c r="G429" s="12">
        <f t="shared" si="21"/>
        <v>35564.135856985</v>
      </c>
      <c r="H429" s="12">
        <f t="shared" si="21"/>
        <v>7913.411870139428</v>
      </c>
      <c r="I429" s="12">
        <f t="shared" si="21"/>
        <v>461.9962245596282</v>
      </c>
      <c r="J429" s="12">
        <f t="shared" si="21"/>
        <v>3972.386048315941</v>
      </c>
    </row>
    <row r="430" spans="1:10" ht="15">
      <c r="A430" s="9">
        <v>179</v>
      </c>
      <c r="B430" s="9">
        <v>39908</v>
      </c>
      <c r="D430" s="13" t="s">
        <v>148</v>
      </c>
      <c r="E430" s="13">
        <v>10</v>
      </c>
      <c r="F430" s="17">
        <v>3980771.8</v>
      </c>
      <c r="G430" s="12">
        <f t="shared" si="21"/>
        <v>2954852.9794323607</v>
      </c>
      <c r="H430" s="12">
        <f t="shared" si="21"/>
        <v>657487.3275703212</v>
      </c>
      <c r="I430" s="12">
        <f t="shared" si="21"/>
        <v>38385.044026267264</v>
      </c>
      <c r="J430" s="12">
        <f t="shared" si="21"/>
        <v>330046.4489710503</v>
      </c>
    </row>
    <row r="431" spans="1:10" ht="15">
      <c r="A431" s="9">
        <v>180</v>
      </c>
      <c r="B431" s="9">
        <v>39909</v>
      </c>
      <c r="D431" s="13" t="s">
        <v>155</v>
      </c>
      <c r="E431" s="13">
        <v>10</v>
      </c>
      <c r="F431" s="17">
        <v>151394.03</v>
      </c>
      <c r="G431" s="12">
        <f t="shared" si="21"/>
        <v>112376.97690025142</v>
      </c>
      <c r="H431" s="12">
        <f t="shared" si="21"/>
        <v>25005.114886214033</v>
      </c>
      <c r="I431" s="12">
        <f t="shared" si="21"/>
        <v>1459.8341223337713</v>
      </c>
      <c r="J431" s="12">
        <f t="shared" si="21"/>
        <v>12552.104091200772</v>
      </c>
    </row>
    <row r="432" spans="1:10" ht="15">
      <c r="A432" s="9">
        <v>181</v>
      </c>
      <c r="B432" s="9">
        <v>39924</v>
      </c>
      <c r="D432" s="13" t="s">
        <v>150</v>
      </c>
      <c r="E432" s="13">
        <v>10</v>
      </c>
      <c r="F432" s="13">
        <v>0</v>
      </c>
      <c r="G432" s="12">
        <f t="shared" si="21"/>
        <v>0</v>
      </c>
      <c r="H432" s="12">
        <f t="shared" si="21"/>
        <v>0</v>
      </c>
      <c r="I432" s="12">
        <f t="shared" si="21"/>
        <v>0</v>
      </c>
      <c r="J432" s="12">
        <f t="shared" si="21"/>
        <v>0</v>
      </c>
    </row>
    <row r="433" spans="1:10" ht="15">
      <c r="A433" s="9">
        <v>182</v>
      </c>
      <c r="D433" s="13" t="s">
        <v>167</v>
      </c>
      <c r="E433" s="13">
        <v>10</v>
      </c>
      <c r="F433" s="13">
        <v>-8.8</v>
      </c>
      <c r="G433" s="12">
        <f t="shared" si="21"/>
        <v>-6.532076573443566</v>
      </c>
      <c r="H433" s="12">
        <f t="shared" si="21"/>
        <v>-1.4534589705993262</v>
      </c>
      <c r="I433" s="12">
        <f t="shared" si="21"/>
        <v>-0.08485499908112089</v>
      </c>
      <c r="J433" s="12">
        <f t="shared" si="21"/>
        <v>-0.7296094568759864</v>
      </c>
    </row>
    <row r="434" ht="15">
      <c r="A434" s="9">
        <v>183</v>
      </c>
    </row>
    <row r="435" spans="1:10" ht="15">
      <c r="A435" s="9">
        <v>184</v>
      </c>
      <c r="C435" s="13" t="s">
        <v>55</v>
      </c>
      <c r="D435" s="2"/>
      <c r="E435" s="2"/>
      <c r="F435" s="18">
        <f>SUM(F409:F433)</f>
        <v>6287323.74</v>
      </c>
      <c r="G435" s="18">
        <f>SUM(G409:G433)</f>
        <v>4666963.649057908</v>
      </c>
      <c r="H435" s="18">
        <f>SUM(H409:H433)</f>
        <v>1038450.8057914892</v>
      </c>
      <c r="I435" s="18">
        <f>SUM(I409:I433)</f>
        <v>60626.23297504653</v>
      </c>
      <c r="J435" s="18">
        <f>SUM(J409:J433)</f>
        <v>521283.05217555625</v>
      </c>
    </row>
    <row r="436" ht="15">
      <c r="A436" s="9">
        <v>185</v>
      </c>
    </row>
    <row r="437" spans="1:7" ht="15">
      <c r="A437" s="9">
        <v>186</v>
      </c>
      <c r="C437" s="13" t="s">
        <v>60</v>
      </c>
      <c r="D437" s="2"/>
      <c r="E437" s="2"/>
      <c r="F437" s="2"/>
      <c r="G437" s="2"/>
    </row>
    <row r="438" ht="15">
      <c r="A438" s="9">
        <v>187</v>
      </c>
    </row>
    <row r="439" spans="1:7" ht="15">
      <c r="A439" s="9">
        <v>188</v>
      </c>
      <c r="C439" s="2" t="s">
        <v>54</v>
      </c>
      <c r="D439" s="2"/>
      <c r="E439" s="2"/>
      <c r="F439" s="2"/>
      <c r="G439" s="2"/>
    </row>
    <row r="440" ht="15">
      <c r="A440" s="9">
        <v>189</v>
      </c>
    </row>
    <row r="441" spans="1:7" ht="15">
      <c r="A441" s="9">
        <v>190</v>
      </c>
      <c r="B441" s="9">
        <v>38900</v>
      </c>
      <c r="D441" s="2" t="s">
        <v>82</v>
      </c>
      <c r="E441" s="2"/>
      <c r="F441" s="13">
        <v>0</v>
      </c>
      <c r="G441" s="2"/>
    </row>
    <row r="442" spans="1:7" ht="15">
      <c r="A442" s="9">
        <v>191</v>
      </c>
      <c r="B442" s="9">
        <v>38910</v>
      </c>
      <c r="D442" s="2" t="s">
        <v>168</v>
      </c>
      <c r="E442" s="2"/>
      <c r="F442" s="13">
        <v>0</v>
      </c>
      <c r="G442" s="2"/>
    </row>
    <row r="443" spans="1:10" ht="15">
      <c r="A443" s="9">
        <v>192</v>
      </c>
      <c r="B443" s="9">
        <v>39000</v>
      </c>
      <c r="D443" s="13" t="s">
        <v>97</v>
      </c>
      <c r="E443" s="13">
        <v>10</v>
      </c>
      <c r="F443" s="17">
        <v>179455.56</v>
      </c>
      <c r="G443" s="12">
        <f aca="true" t="shared" si="22" ref="G443:J461">INDEX(ALLOC,($E443)+1,(G$1)+1)*$F443</f>
        <v>133206.52948297685</v>
      </c>
      <c r="H443" s="12">
        <f t="shared" si="22"/>
        <v>29639.91971658245</v>
      </c>
      <c r="I443" s="12">
        <f t="shared" si="22"/>
        <v>1730.4206112388674</v>
      </c>
      <c r="J443" s="12">
        <f t="shared" si="22"/>
        <v>14878.690189201818</v>
      </c>
    </row>
    <row r="444" spans="1:10" ht="15">
      <c r="A444" s="9">
        <v>193</v>
      </c>
      <c r="B444" s="9">
        <v>39009</v>
      </c>
      <c r="D444" s="13" t="s">
        <v>122</v>
      </c>
      <c r="E444" s="13">
        <v>10</v>
      </c>
      <c r="F444" s="17">
        <v>211809.96</v>
      </c>
      <c r="G444" s="12">
        <f t="shared" si="22"/>
        <v>157222.5997429567</v>
      </c>
      <c r="H444" s="12">
        <f t="shared" si="22"/>
        <v>34983.75982094141</v>
      </c>
      <c r="I444" s="12">
        <f t="shared" si="22"/>
        <v>2042.4015864968467</v>
      </c>
      <c r="J444" s="12">
        <f t="shared" si="22"/>
        <v>17561.198849605047</v>
      </c>
    </row>
    <row r="445" spans="1:10" ht="15">
      <c r="A445" s="9">
        <v>194</v>
      </c>
      <c r="B445" s="9">
        <v>39010</v>
      </c>
      <c r="D445" s="13" t="s">
        <v>157</v>
      </c>
      <c r="E445" s="13">
        <v>10</v>
      </c>
      <c r="F445" s="17">
        <v>23673.16</v>
      </c>
      <c r="G445" s="12">
        <f t="shared" si="22"/>
        <v>17572.1470290206</v>
      </c>
      <c r="H445" s="12">
        <f t="shared" si="22"/>
        <v>3909.9962232310386</v>
      </c>
      <c r="I445" s="12">
        <f t="shared" si="22"/>
        <v>228.27113295991222</v>
      </c>
      <c r="J445" s="12">
        <f t="shared" si="22"/>
        <v>1962.7456147884461</v>
      </c>
    </row>
    <row r="446" spans="1:10" ht="15">
      <c r="A446" s="9">
        <v>195</v>
      </c>
      <c r="B446" s="9">
        <v>39100</v>
      </c>
      <c r="D446" s="13" t="s">
        <v>123</v>
      </c>
      <c r="E446" s="13">
        <v>10</v>
      </c>
      <c r="F446" s="17">
        <v>8590.76</v>
      </c>
      <c r="G446" s="12">
        <f t="shared" si="22"/>
        <v>6376.76160728137</v>
      </c>
      <c r="H446" s="12">
        <f t="shared" si="22"/>
        <v>1418.8996802574848</v>
      </c>
      <c r="I446" s="12">
        <f t="shared" si="22"/>
        <v>82.8373786256966</v>
      </c>
      <c r="J446" s="12">
        <f t="shared" si="22"/>
        <v>712.2613338354488</v>
      </c>
    </row>
    <row r="447" spans="1:10" ht="15">
      <c r="A447" s="9">
        <v>196</v>
      </c>
      <c r="B447" s="9">
        <v>39700</v>
      </c>
      <c r="D447" s="2" t="s">
        <v>135</v>
      </c>
      <c r="E447" s="13">
        <v>10</v>
      </c>
      <c r="F447" s="17">
        <v>-354256.35</v>
      </c>
      <c r="G447" s="12">
        <f t="shared" si="22"/>
        <v>-262957.90963961644</v>
      </c>
      <c r="H447" s="12">
        <f t="shared" si="22"/>
        <v>-58511.030659008466</v>
      </c>
      <c r="I447" s="12">
        <f t="shared" si="22"/>
        <v>-3415.9570742876404</v>
      </c>
      <c r="J447" s="12">
        <f t="shared" si="22"/>
        <v>-29371.452627087423</v>
      </c>
    </row>
    <row r="448" spans="1:10" ht="15">
      <c r="A448" s="9">
        <v>197</v>
      </c>
      <c r="B448" s="9">
        <v>39710</v>
      </c>
      <c r="D448" s="13" t="s">
        <v>158</v>
      </c>
      <c r="E448" s="13">
        <v>10</v>
      </c>
      <c r="F448" s="13">
        <v>628.97</v>
      </c>
      <c r="G448" s="12">
        <f t="shared" si="22"/>
        <v>466.8727502725909</v>
      </c>
      <c r="H448" s="12">
        <f t="shared" si="22"/>
        <v>103.8843282656657</v>
      </c>
      <c r="I448" s="12">
        <f t="shared" si="22"/>
        <v>6.064914633187796</v>
      </c>
      <c r="J448" s="12">
        <f t="shared" si="22"/>
        <v>52.14800682855559</v>
      </c>
    </row>
    <row r="449" spans="1:10" ht="15">
      <c r="A449" s="9">
        <v>198</v>
      </c>
      <c r="B449" s="9">
        <v>39800</v>
      </c>
      <c r="D449" s="2" t="s">
        <v>139</v>
      </c>
      <c r="E449" s="13">
        <v>10</v>
      </c>
      <c r="F449" s="13">
        <v>203.42</v>
      </c>
      <c r="G449" s="12">
        <f t="shared" si="22"/>
        <v>150.99488824657843</v>
      </c>
      <c r="H449" s="12">
        <f t="shared" si="22"/>
        <v>33.598025431740325</v>
      </c>
      <c r="I449" s="12">
        <f t="shared" si="22"/>
        <v>1.9615004446683646</v>
      </c>
      <c r="J449" s="12">
        <f t="shared" si="22"/>
        <v>16.865585877012858</v>
      </c>
    </row>
    <row r="450" spans="1:10" ht="15">
      <c r="A450" s="9">
        <v>199</v>
      </c>
      <c r="B450" s="9">
        <v>39900</v>
      </c>
      <c r="D450" s="2" t="s">
        <v>140</v>
      </c>
      <c r="E450" s="13">
        <v>10</v>
      </c>
      <c r="F450" s="13">
        <v>-58.94</v>
      </c>
      <c r="G450" s="12">
        <f t="shared" si="22"/>
        <v>-43.750067413495884</v>
      </c>
      <c r="H450" s="12">
        <f t="shared" si="22"/>
        <v>-9.734871787173214</v>
      </c>
      <c r="I450" s="12">
        <f t="shared" si="22"/>
        <v>-0.568335641572871</v>
      </c>
      <c r="J450" s="12">
        <f t="shared" si="22"/>
        <v>-4.886725157758027</v>
      </c>
    </row>
    <row r="451" spans="1:10" ht="15">
      <c r="A451" s="9">
        <v>200</v>
      </c>
      <c r="B451" s="9">
        <v>39901</v>
      </c>
      <c r="D451" s="13" t="s">
        <v>141</v>
      </c>
      <c r="E451" s="13">
        <v>10</v>
      </c>
      <c r="F451" s="17">
        <v>-130340.22</v>
      </c>
      <c r="G451" s="12">
        <f t="shared" si="22"/>
        <v>-96749.12473175916</v>
      </c>
      <c r="H451" s="12">
        <f t="shared" si="22"/>
        <v>-21527.745680555647</v>
      </c>
      <c r="I451" s="12">
        <f t="shared" si="22"/>
        <v>-1256.8203691287606</v>
      </c>
      <c r="J451" s="12">
        <f t="shared" si="22"/>
        <v>-10806.52921855643</v>
      </c>
    </row>
    <row r="452" spans="1:10" ht="15">
      <c r="A452" s="9">
        <v>201</v>
      </c>
      <c r="B452" s="9">
        <v>39902</v>
      </c>
      <c r="D452" s="13" t="s">
        <v>142</v>
      </c>
      <c r="E452" s="13">
        <v>10</v>
      </c>
      <c r="F452" s="17">
        <v>-236463.18</v>
      </c>
      <c r="G452" s="12">
        <f t="shared" si="22"/>
        <v>-175522.2271090874</v>
      </c>
      <c r="H452" s="12">
        <f t="shared" si="22"/>
        <v>-39055.62843039126</v>
      </c>
      <c r="I452" s="12">
        <f t="shared" si="22"/>
        <v>-2280.1230592748775</v>
      </c>
      <c r="J452" s="12">
        <f t="shared" si="22"/>
        <v>-19605.20140124643</v>
      </c>
    </row>
    <row r="453" spans="1:10" ht="15">
      <c r="A453" s="9">
        <v>202</v>
      </c>
      <c r="B453" s="9">
        <v>39903</v>
      </c>
      <c r="D453" s="13" t="s">
        <v>165</v>
      </c>
      <c r="E453" s="13">
        <v>10</v>
      </c>
      <c r="F453" s="17">
        <v>5533.29</v>
      </c>
      <c r="G453" s="12">
        <f t="shared" si="22"/>
        <v>4107.258407166994</v>
      </c>
      <c r="H453" s="12">
        <f t="shared" si="22"/>
        <v>913.9102258440391</v>
      </c>
      <c r="I453" s="12">
        <f t="shared" si="22"/>
        <v>53.35537703017902</v>
      </c>
      <c r="J453" s="12">
        <f t="shared" si="22"/>
        <v>458.76598995878715</v>
      </c>
    </row>
    <row r="454" spans="1:10" ht="15">
      <c r="A454" s="9">
        <v>203</v>
      </c>
      <c r="B454" s="9">
        <v>39906</v>
      </c>
      <c r="D454" s="13" t="s">
        <v>146</v>
      </c>
      <c r="E454" s="13">
        <v>10</v>
      </c>
      <c r="F454" s="17">
        <v>-6302.59</v>
      </c>
      <c r="G454" s="12">
        <f t="shared" si="22"/>
        <v>-4678.295510343146</v>
      </c>
      <c r="H454" s="12">
        <f t="shared" si="22"/>
        <v>-1040.9722697170007</v>
      </c>
      <c r="I454" s="12">
        <f t="shared" si="22"/>
        <v>-60.773439620304735</v>
      </c>
      <c r="J454" s="12">
        <f t="shared" si="22"/>
        <v>-522.5487803195481</v>
      </c>
    </row>
    <row r="455" spans="1:10" ht="15">
      <c r="A455" s="9">
        <v>204</v>
      </c>
      <c r="B455" s="9">
        <v>39907</v>
      </c>
      <c r="D455" s="13" t="s">
        <v>147</v>
      </c>
      <c r="E455" s="13">
        <v>10</v>
      </c>
      <c r="F455" s="17">
        <v>15614.75</v>
      </c>
      <c r="G455" s="12">
        <f t="shared" si="22"/>
        <v>11590.538940361128</v>
      </c>
      <c r="H455" s="12">
        <f t="shared" si="22"/>
        <v>2579.0225524052075</v>
      </c>
      <c r="I455" s="12">
        <f t="shared" si="22"/>
        <v>150.56699964794686</v>
      </c>
      <c r="J455" s="12">
        <f t="shared" si="22"/>
        <v>1294.621507585717</v>
      </c>
    </row>
    <row r="456" spans="1:10" ht="15">
      <c r="A456" s="9">
        <v>205</v>
      </c>
      <c r="B456" s="9">
        <v>39908</v>
      </c>
      <c r="D456" s="13" t="s">
        <v>148</v>
      </c>
      <c r="E456" s="13">
        <v>10</v>
      </c>
      <c r="F456" s="17">
        <v>2190316.22</v>
      </c>
      <c r="G456" s="12">
        <f t="shared" si="22"/>
        <v>1625831.053306303</v>
      </c>
      <c r="H456" s="12">
        <f t="shared" si="22"/>
        <v>361765.3134554781</v>
      </c>
      <c r="I456" s="12">
        <f t="shared" si="22"/>
        <v>21120.37282221184</v>
      </c>
      <c r="J456" s="12">
        <f t="shared" si="22"/>
        <v>181599.48041600725</v>
      </c>
    </row>
    <row r="457" spans="1:10" ht="15">
      <c r="A457" s="9">
        <v>206</v>
      </c>
      <c r="B457" s="9">
        <v>39910</v>
      </c>
      <c r="D457" s="13" t="s">
        <v>160</v>
      </c>
      <c r="E457" s="13">
        <v>10</v>
      </c>
      <c r="F457" s="13">
        <v>211.74</v>
      </c>
      <c r="G457" s="12">
        <f t="shared" si="22"/>
        <v>157.17066973419782</v>
      </c>
      <c r="H457" s="12">
        <f t="shared" si="22"/>
        <v>34.97220482212515</v>
      </c>
      <c r="I457" s="12">
        <f t="shared" si="22"/>
        <v>2.041726989254152</v>
      </c>
      <c r="J457" s="12">
        <f t="shared" si="22"/>
        <v>17.555398454422882</v>
      </c>
    </row>
    <row r="458" spans="1:10" ht="15">
      <c r="A458" s="9">
        <v>207</v>
      </c>
      <c r="B458" s="9">
        <v>39916</v>
      </c>
      <c r="D458" s="13" t="s">
        <v>161</v>
      </c>
      <c r="E458" s="13">
        <v>10</v>
      </c>
      <c r="F458" s="13">
        <v>811.13</v>
      </c>
      <c r="G458" s="12">
        <f t="shared" si="22"/>
        <v>602.0867353428728</v>
      </c>
      <c r="H458" s="12">
        <f t="shared" si="22"/>
        <v>133.97092895707175</v>
      </c>
      <c r="I458" s="12">
        <f t="shared" si="22"/>
        <v>7.821413114166998</v>
      </c>
      <c r="J458" s="12">
        <f t="shared" si="22"/>
        <v>67.2509225858885</v>
      </c>
    </row>
    <row r="459" spans="1:10" ht="15">
      <c r="A459" s="9">
        <v>208</v>
      </c>
      <c r="B459" s="9">
        <v>39917</v>
      </c>
      <c r="D459" s="13" t="s">
        <v>162</v>
      </c>
      <c r="E459" s="13">
        <v>10</v>
      </c>
      <c r="F459" s="13">
        <v>231.97</v>
      </c>
      <c r="G459" s="12">
        <f t="shared" si="22"/>
        <v>172.18702303883</v>
      </c>
      <c r="H459" s="12">
        <f t="shared" si="22"/>
        <v>38.31350879658246</v>
      </c>
      <c r="I459" s="12">
        <f t="shared" si="22"/>
        <v>2.23679706100541</v>
      </c>
      <c r="J459" s="12">
        <f t="shared" si="22"/>
        <v>19.23267110358211</v>
      </c>
    </row>
    <row r="460" spans="1:10" ht="15">
      <c r="A460" s="9">
        <v>209</v>
      </c>
      <c r="B460" s="9">
        <v>39924</v>
      </c>
      <c r="D460" s="13" t="s">
        <v>150</v>
      </c>
      <c r="E460" s="13">
        <v>10</v>
      </c>
      <c r="F460" s="13">
        <v>8.5</v>
      </c>
      <c r="G460" s="12">
        <f t="shared" si="22"/>
        <v>6.309392144803445</v>
      </c>
      <c r="H460" s="12">
        <f t="shared" si="22"/>
        <v>1.403909232965258</v>
      </c>
      <c r="I460" s="12">
        <f t="shared" si="22"/>
        <v>0.08196221502153722</v>
      </c>
      <c r="J460" s="12">
        <f t="shared" si="22"/>
        <v>0.7047364072097596</v>
      </c>
    </row>
    <row r="461" spans="1:10" ht="15">
      <c r="A461" s="9">
        <v>210</v>
      </c>
      <c r="D461" s="13" t="s">
        <v>167</v>
      </c>
      <c r="E461" s="13">
        <v>10</v>
      </c>
      <c r="F461" s="17">
        <v>-1356.45</v>
      </c>
      <c r="G461" s="12">
        <f t="shared" si="22"/>
        <v>-1006.8676440963097</v>
      </c>
      <c r="H461" s="12">
        <f t="shared" si="22"/>
        <v>-224.03913871243816</v>
      </c>
      <c r="I461" s="12">
        <f t="shared" si="22"/>
        <v>-13.079723125407549</v>
      </c>
      <c r="J461" s="12">
        <f t="shared" si="22"/>
        <v>-112.46349406584453</v>
      </c>
    </row>
    <row r="462" ht="15">
      <c r="A462" s="9">
        <v>211</v>
      </c>
    </row>
    <row r="463" spans="1:10" ht="15">
      <c r="A463" s="9">
        <v>212</v>
      </c>
      <c r="C463" s="13" t="s">
        <v>55</v>
      </c>
      <c r="D463" s="2"/>
      <c r="E463" s="2"/>
      <c r="F463" s="18">
        <f>SUM(F441:F461)</f>
        <v>1908311.7</v>
      </c>
      <c r="G463" s="18">
        <f>SUM(G441:G461)</f>
        <v>1416504.3352725308</v>
      </c>
      <c r="H463" s="18">
        <f>SUM(H441:H461)</f>
        <v>315187.81353007385</v>
      </c>
      <c r="I463" s="18">
        <f>SUM(I441:I461)</f>
        <v>18401.112221590036</v>
      </c>
      <c r="J463" s="18">
        <f>SUM(J441:J461)</f>
        <v>158218.43897580577</v>
      </c>
    </row>
    <row r="464" ht="15">
      <c r="A464" s="9">
        <v>213</v>
      </c>
    </row>
    <row r="465" spans="1:10" ht="15">
      <c r="A465" s="9">
        <v>214</v>
      </c>
      <c r="C465" s="13" t="s">
        <v>64</v>
      </c>
      <c r="D465" s="2"/>
      <c r="E465" s="2"/>
      <c r="F465" s="18">
        <f>F369+F403+F435+F463</f>
        <v>166889760.97999996</v>
      </c>
      <c r="G465" s="18">
        <f>G369+G403+G435+G463</f>
        <v>122423366.51208346</v>
      </c>
      <c r="H465" s="18">
        <f>H369+H403+H435+H463</f>
        <v>26065938.90223594</v>
      </c>
      <c r="I465" s="18">
        <f>I369+I403+I435+I463</f>
        <v>1458376.354097955</v>
      </c>
      <c r="J465" s="18">
        <f>J369+J403+J435+J463</f>
        <v>16942079.211582676</v>
      </c>
    </row>
    <row r="468" ht="15.75">
      <c r="A468" s="8" t="s">
        <v>42</v>
      </c>
    </row>
    <row r="471" spans="1:7" ht="15">
      <c r="A471" s="9">
        <v>1</v>
      </c>
      <c r="C471" s="2" t="s">
        <v>65</v>
      </c>
      <c r="D471" s="2"/>
      <c r="E471" s="2"/>
      <c r="F471" s="2"/>
      <c r="G471" s="2"/>
    </row>
    <row r="472" ht="15">
      <c r="A472" s="9">
        <v>2</v>
      </c>
    </row>
    <row r="473" spans="1:10" ht="15">
      <c r="A473" s="9">
        <v>3</v>
      </c>
      <c r="D473" s="2" t="s">
        <v>169</v>
      </c>
      <c r="E473" s="2">
        <v>57</v>
      </c>
      <c r="F473" s="17">
        <v>-9437</v>
      </c>
      <c r="G473" s="12">
        <f aca="true" t="shared" si="23" ref="G473:J474">INDEX(ALLOC,($E473)+1,(G$1)+1)*$F473</f>
        <v>-7200.644913059869</v>
      </c>
      <c r="H473" s="12">
        <f t="shared" si="23"/>
        <v>-1486.003005593122</v>
      </c>
      <c r="I473" s="12">
        <f t="shared" si="23"/>
        <v>-79.9346978171635</v>
      </c>
      <c r="J473" s="12">
        <f t="shared" si="23"/>
        <v>-670.417383529845</v>
      </c>
    </row>
    <row r="474" spans="1:10" ht="15">
      <c r="A474" s="9">
        <v>4</v>
      </c>
      <c r="D474" s="13" t="s">
        <v>170</v>
      </c>
      <c r="E474" s="13">
        <v>57</v>
      </c>
      <c r="F474" s="17">
        <v>68287</v>
      </c>
      <c r="G474" s="12">
        <f t="shared" si="23"/>
        <v>52104.528894576586</v>
      </c>
      <c r="H474" s="12">
        <f t="shared" si="23"/>
        <v>10752.85442862536</v>
      </c>
      <c r="I474" s="12">
        <f t="shared" si="23"/>
        <v>578.4148256692426</v>
      </c>
      <c r="J474" s="12">
        <f t="shared" si="23"/>
        <v>4851.201851128804</v>
      </c>
    </row>
    <row r="475" spans="1:7" ht="15">
      <c r="A475" s="9">
        <v>5</v>
      </c>
      <c r="D475" s="13" t="s">
        <v>171</v>
      </c>
      <c r="E475" s="13"/>
      <c r="F475" s="13">
        <v>0</v>
      </c>
      <c r="G475" s="2"/>
    </row>
    <row r="476" spans="1:7" ht="15">
      <c r="A476" s="9">
        <v>6</v>
      </c>
      <c r="D476" s="13" t="s">
        <v>172</v>
      </c>
      <c r="E476" s="13"/>
      <c r="F476" s="13">
        <v>0</v>
      </c>
      <c r="G476" s="2"/>
    </row>
    <row r="477" spans="1:10" ht="15">
      <c r="A477" s="9">
        <v>7</v>
      </c>
      <c r="D477" s="2" t="s">
        <v>173</v>
      </c>
      <c r="E477" s="2">
        <v>1</v>
      </c>
      <c r="F477" s="17">
        <v>9415216</v>
      </c>
      <c r="G477" s="12">
        <f aca="true" t="shared" si="24" ref="G477:J482">INDEX(ALLOC,($E477)+1,(G$1)+1)*$F477</f>
        <v>2144408.914890642</v>
      </c>
      <c r="H477" s="12">
        <f t="shared" si="24"/>
        <v>1197097.9805177646</v>
      </c>
      <c r="I477" s="12">
        <f t="shared" si="24"/>
        <v>104815.71959457647</v>
      </c>
      <c r="J477" s="12">
        <f t="shared" si="24"/>
        <v>5968893.384997017</v>
      </c>
    </row>
    <row r="478" spans="1:10" ht="15">
      <c r="A478" s="9">
        <v>8</v>
      </c>
      <c r="D478" s="2" t="s">
        <v>174</v>
      </c>
      <c r="E478" s="2">
        <v>57</v>
      </c>
      <c r="F478" s="17">
        <v>229654</v>
      </c>
      <c r="G478" s="12">
        <f t="shared" si="24"/>
        <v>175231.20767869567</v>
      </c>
      <c r="H478" s="12">
        <f t="shared" si="24"/>
        <v>36162.60827026416</v>
      </c>
      <c r="I478" s="12">
        <f t="shared" si="24"/>
        <v>1945.2498773447985</v>
      </c>
      <c r="J478" s="12">
        <f t="shared" si="24"/>
        <v>16314.93417369535</v>
      </c>
    </row>
    <row r="479" spans="1:10" ht="15">
      <c r="A479" s="9">
        <v>9</v>
      </c>
      <c r="D479" s="2" t="s">
        <v>175</v>
      </c>
      <c r="E479" s="2">
        <v>57</v>
      </c>
      <c r="F479" s="17">
        <v>4955</v>
      </c>
      <c r="G479" s="12">
        <f t="shared" si="24"/>
        <v>3780.777317390235</v>
      </c>
      <c r="H479" s="12">
        <f t="shared" si="24"/>
        <v>780.2421206648214</v>
      </c>
      <c r="I479" s="12">
        <f t="shared" si="24"/>
        <v>41.97058680555739</v>
      </c>
      <c r="J479" s="12">
        <f t="shared" si="24"/>
        <v>352.0099751393856</v>
      </c>
    </row>
    <row r="480" spans="1:10" ht="15">
      <c r="A480" s="9">
        <v>10</v>
      </c>
      <c r="D480" s="2" t="s">
        <v>176</v>
      </c>
      <c r="E480" s="2">
        <v>57</v>
      </c>
      <c r="F480" s="17">
        <v>748194</v>
      </c>
      <c r="G480" s="12">
        <f t="shared" si="24"/>
        <v>570888.9816765832</v>
      </c>
      <c r="H480" s="12">
        <f t="shared" si="24"/>
        <v>117814.82809862672</v>
      </c>
      <c r="I480" s="12">
        <f t="shared" si="24"/>
        <v>6337.465433783493</v>
      </c>
      <c r="J480" s="12">
        <f t="shared" si="24"/>
        <v>53152.72479100655</v>
      </c>
    </row>
    <row r="481" spans="1:10" ht="15">
      <c r="A481" s="9">
        <v>11</v>
      </c>
      <c r="D481" s="2" t="s">
        <v>177</v>
      </c>
      <c r="E481" s="2">
        <v>57</v>
      </c>
      <c r="F481" s="17">
        <v>271559</v>
      </c>
      <c r="G481" s="12">
        <f t="shared" si="24"/>
        <v>207205.67255967204</v>
      </c>
      <c r="H481" s="12">
        <f t="shared" si="24"/>
        <v>42761.20485279884</v>
      </c>
      <c r="I481" s="12">
        <f t="shared" si="24"/>
        <v>2300.199915707439</v>
      </c>
      <c r="J481" s="12">
        <f t="shared" si="24"/>
        <v>19291.922671821678</v>
      </c>
    </row>
    <row r="482" spans="1:10" ht="15">
      <c r="A482" s="9">
        <v>12</v>
      </c>
      <c r="D482" s="2" t="s">
        <v>178</v>
      </c>
      <c r="E482" s="2">
        <v>57</v>
      </c>
      <c r="F482" s="17">
        <v>3337211</v>
      </c>
      <c r="G482" s="12">
        <f t="shared" si="24"/>
        <v>2546367.639181672</v>
      </c>
      <c r="H482" s="12">
        <f t="shared" si="24"/>
        <v>525495.9813816285</v>
      </c>
      <c r="I482" s="12">
        <f t="shared" si="24"/>
        <v>28267.346915027443</v>
      </c>
      <c r="J482" s="12">
        <f t="shared" si="24"/>
        <v>237080.03252167188</v>
      </c>
    </row>
    <row r="483" ht="15">
      <c r="A483" s="9">
        <v>13</v>
      </c>
    </row>
    <row r="484" spans="1:10" ht="15">
      <c r="A484" s="9">
        <v>14</v>
      </c>
      <c r="C484" s="13" t="s">
        <v>66</v>
      </c>
      <c r="D484" s="2"/>
      <c r="E484" s="2"/>
      <c r="F484" s="18">
        <f>SUM(F473:F482)</f>
        <v>14065639</v>
      </c>
      <c r="G484" s="18">
        <f>SUM(G473:G482)</f>
        <v>5692787.077286172</v>
      </c>
      <c r="H484" s="18">
        <f>SUM(H473:H482)</f>
        <v>1929379.6966647804</v>
      </c>
      <c r="I484" s="18">
        <f>SUM(I473:I482)</f>
        <v>144206.4324510973</v>
      </c>
      <c r="J484" s="18">
        <f>SUM(J473:J482)</f>
        <v>6299265.793597951</v>
      </c>
    </row>
    <row r="485" ht="15">
      <c r="A485" s="9">
        <v>15</v>
      </c>
    </row>
    <row r="486" ht="15">
      <c r="A486" s="9">
        <v>16</v>
      </c>
    </row>
    <row r="487" spans="1:7" ht="15">
      <c r="A487" s="9">
        <v>17</v>
      </c>
      <c r="C487" s="13" t="s">
        <v>67</v>
      </c>
      <c r="D487" s="2"/>
      <c r="E487" s="2"/>
      <c r="F487" s="2"/>
      <c r="G487" s="2"/>
    </row>
    <row r="488" ht="15">
      <c r="A488" s="9">
        <v>18</v>
      </c>
    </row>
    <row r="489" spans="1:10" ht="15">
      <c r="A489" s="9">
        <v>19</v>
      </c>
      <c r="D489" s="2" t="s">
        <v>179</v>
      </c>
      <c r="E489" s="2">
        <v>3</v>
      </c>
      <c r="F489" s="17">
        <v>-2745576</v>
      </c>
      <c r="G489" s="12">
        <f>INDEX(ALLOC,($E489)+1,(G$1)+1)*$F489</f>
        <v>-2439571.0464803106</v>
      </c>
      <c r="H489" s="12">
        <f>INDEX(ALLOC,($E489)+1,(H$1)+1)*$F489</f>
        <v>-299413.43541498575</v>
      </c>
      <c r="I489" s="12">
        <f>INDEX(ALLOC,($E489)+1,(I$1)+1)*$F489</f>
        <v>-3164.9854466673687</v>
      </c>
      <c r="J489" s="12">
        <f>INDEX(ALLOC,($E489)+1,(J$1)+1)*$F489</f>
        <v>-3426.532658036376</v>
      </c>
    </row>
    <row r="490" spans="1:7" ht="15">
      <c r="A490" s="9">
        <v>20</v>
      </c>
      <c r="D490" s="2" t="s">
        <v>180</v>
      </c>
      <c r="E490" s="2"/>
      <c r="F490" s="13">
        <v>0</v>
      </c>
      <c r="G490" s="2"/>
    </row>
    <row r="491" spans="1:7" ht="15">
      <c r="A491" s="9">
        <v>21</v>
      </c>
      <c r="D491" s="13" t="s">
        <v>181</v>
      </c>
      <c r="E491" s="13"/>
      <c r="F491" s="13">
        <v>0</v>
      </c>
      <c r="G491" s="2"/>
    </row>
    <row r="492" spans="1:7" ht="15">
      <c r="A492" s="9">
        <v>22</v>
      </c>
      <c r="D492" s="13" t="s">
        <v>182</v>
      </c>
      <c r="E492" s="13"/>
      <c r="F492" s="13">
        <v>0</v>
      </c>
      <c r="G492" s="2"/>
    </row>
    <row r="493" spans="1:10" ht="15">
      <c r="A493" s="9">
        <v>23</v>
      </c>
      <c r="D493" s="2" t="s">
        <v>183</v>
      </c>
      <c r="E493" s="2">
        <v>19</v>
      </c>
      <c r="F493" s="17">
        <v>-71043224</v>
      </c>
      <c r="G493" s="12">
        <f aca="true" t="shared" si="25" ref="G493:J496">INDEX(ALLOC,($E493)+1,(G$1)+1)*$F493</f>
        <v>-53093820.59863014</v>
      </c>
      <c r="H493" s="12">
        <f t="shared" si="25"/>
        <v>-12104226.200710595</v>
      </c>
      <c r="I493" s="12">
        <f t="shared" si="25"/>
        <v>-722326.7494781092</v>
      </c>
      <c r="J493" s="12">
        <f t="shared" si="25"/>
        <v>-5122850.451181161</v>
      </c>
    </row>
    <row r="494" spans="1:10" ht="15">
      <c r="A494" s="9">
        <v>24</v>
      </c>
      <c r="D494" s="2" t="s">
        <v>184</v>
      </c>
      <c r="E494" s="2">
        <v>19</v>
      </c>
      <c r="F494" s="17">
        <v>20040473</v>
      </c>
      <c r="G494" s="12">
        <f t="shared" si="25"/>
        <v>14977153.601217354</v>
      </c>
      <c r="H494" s="12">
        <f t="shared" si="25"/>
        <v>3414462.4174324246</v>
      </c>
      <c r="I494" s="12">
        <f t="shared" si="25"/>
        <v>203760.03375204102</v>
      </c>
      <c r="J494" s="12">
        <f t="shared" si="25"/>
        <v>1445096.9475981817</v>
      </c>
    </row>
    <row r="495" spans="1:10" ht="15">
      <c r="A495" s="9">
        <v>25</v>
      </c>
      <c r="D495" s="2" t="s">
        <v>185</v>
      </c>
      <c r="E495" s="2">
        <v>19</v>
      </c>
      <c r="F495" s="17">
        <v>-1541599</v>
      </c>
      <c r="G495" s="12">
        <f t="shared" si="25"/>
        <v>-1152106.7898189365</v>
      </c>
      <c r="H495" s="12">
        <f t="shared" si="25"/>
        <v>-262655.0704791952</v>
      </c>
      <c r="I495" s="12">
        <f t="shared" si="25"/>
        <v>-15674.09433260945</v>
      </c>
      <c r="J495" s="12">
        <f t="shared" si="25"/>
        <v>-111163.04536925897</v>
      </c>
    </row>
    <row r="496" spans="1:10" ht="15">
      <c r="A496" s="9">
        <v>26</v>
      </c>
      <c r="D496" s="2" t="s">
        <v>186</v>
      </c>
      <c r="E496" s="2">
        <v>19</v>
      </c>
      <c r="F496" s="17">
        <v>6651113</v>
      </c>
      <c r="G496" s="12">
        <f t="shared" si="25"/>
        <v>4970678.138188333</v>
      </c>
      <c r="H496" s="12">
        <f t="shared" si="25"/>
        <v>1133205.5572039755</v>
      </c>
      <c r="I496" s="12">
        <f t="shared" si="25"/>
        <v>67624.70174075426</v>
      </c>
      <c r="J496" s="12">
        <f t="shared" si="25"/>
        <v>479604.6028669376</v>
      </c>
    </row>
    <row r="497" ht="15">
      <c r="A497" s="9">
        <v>27</v>
      </c>
    </row>
    <row r="498" spans="1:10" ht="15">
      <c r="A498" s="9">
        <v>28</v>
      </c>
      <c r="C498" s="13" t="s">
        <v>68</v>
      </c>
      <c r="D498" s="2"/>
      <c r="E498" s="2"/>
      <c r="F498" s="18">
        <f>SUM(F489:F496)</f>
        <v>-48638813</v>
      </c>
      <c r="G498" s="18">
        <f>SUM(G489:G496)</f>
        <v>-36737666.6955237</v>
      </c>
      <c r="H498" s="18">
        <f>SUM(H489:H496)</f>
        <v>-8118626.731968376</v>
      </c>
      <c r="I498" s="18">
        <f>SUM(I489:I496)</f>
        <v>-469781.09376459074</v>
      </c>
      <c r="J498" s="18">
        <f>SUM(J489:J496)</f>
        <v>-3312738.478743338</v>
      </c>
    </row>
    <row r="499" ht="15">
      <c r="A499" s="9">
        <v>29</v>
      </c>
    </row>
    <row r="500" ht="15">
      <c r="A500" s="9">
        <v>30</v>
      </c>
    </row>
    <row r="501" spans="1:10" ht="15">
      <c r="A501" s="9">
        <v>31</v>
      </c>
      <c r="C501" s="13" t="s">
        <v>69</v>
      </c>
      <c r="D501" s="2"/>
      <c r="E501" s="2"/>
      <c r="F501" s="18">
        <f>F498+F484</f>
        <v>-34573174</v>
      </c>
      <c r="G501" s="18">
        <f>G498+G484</f>
        <v>-31044879.61823753</v>
      </c>
      <c r="H501" s="18">
        <f>H498+H484</f>
        <v>-6189247.0353035955</v>
      </c>
      <c r="I501" s="18">
        <f>I498+I484</f>
        <v>-325574.66131349345</v>
      </c>
      <c r="J501" s="18">
        <f>J498+J484</f>
        <v>2986527.3148546126</v>
      </c>
    </row>
    <row r="502" ht="15">
      <c r="A502" s="9">
        <v>32</v>
      </c>
    </row>
    <row r="503" spans="1:7" ht="15">
      <c r="A503" s="9">
        <v>33</v>
      </c>
      <c r="C503" s="13" t="s">
        <v>70</v>
      </c>
      <c r="D503" s="2"/>
      <c r="E503" s="2"/>
      <c r="F503" s="13">
        <v>0</v>
      </c>
      <c r="G503" s="2"/>
    </row>
    <row r="505" spans="3:10" ht="15">
      <c r="C505" s="1" t="s">
        <v>71</v>
      </c>
      <c r="F505" s="3">
        <f>F244+F246-F465+F501</f>
        <v>252914290.16000003</v>
      </c>
      <c r="G505" s="3">
        <f>G244+G246-G465+G501</f>
        <v>183807529.7609618</v>
      </c>
      <c r="H505" s="3">
        <f>H244+H246-H465+H501</f>
        <v>42792388.37106988</v>
      </c>
      <c r="I505" s="3">
        <f>I244+I246-I465+I501</f>
        <v>2597432.964331386</v>
      </c>
      <c r="J505" s="3">
        <f>J244+J246-J465+J501</f>
        <v>23716939.063637085</v>
      </c>
    </row>
  </sheetData>
  <sheetProtection/>
  <printOptions/>
  <pageMargins left="0.5" right="0.5" top="0.5" bottom="0.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2"/>
  <sheetViews>
    <sheetView zoomScale="87" zoomScaleNormal="87" zoomScalePageLayoutView="0" workbookViewId="0" topLeftCell="A397">
      <selection activeCell="E164" sqref="E164"/>
    </sheetView>
  </sheetViews>
  <sheetFormatPr defaultColWidth="8.88671875" defaultRowHeight="15"/>
  <cols>
    <col min="1" max="1" width="5.6640625" style="1" customWidth="1"/>
    <col min="2" max="2" width="6.6640625" style="1" customWidth="1"/>
    <col min="3" max="3" width="2.6640625" style="1" customWidth="1"/>
    <col min="4" max="4" width="48.6640625" style="1" customWidth="1"/>
    <col min="5" max="5" width="7.6640625" style="1" customWidth="1"/>
    <col min="6" max="6" width="19.6640625" style="1" customWidth="1"/>
    <col min="7" max="8" width="10.6640625" style="1" customWidth="1"/>
    <col min="9" max="16384" width="9.6640625" style="1" customWidth="1"/>
  </cols>
  <sheetData>
    <row r="1" spans="7:10" ht="15">
      <c r="G1" s="1">
        <v>4</v>
      </c>
      <c r="H1" s="1">
        <v>5</v>
      </c>
      <c r="I1" s="1">
        <v>6</v>
      </c>
      <c r="J1" s="1">
        <v>7</v>
      </c>
    </row>
    <row r="11" ht="15.75">
      <c r="A11" s="8" t="s">
        <v>187</v>
      </c>
    </row>
    <row r="15" spans="1:10" ht="15">
      <c r="A15" s="1" t="s">
        <v>39</v>
      </c>
      <c r="B15" s="1" t="s">
        <v>43</v>
      </c>
      <c r="C15" s="2"/>
      <c r="D15" s="2"/>
      <c r="E15" s="2"/>
      <c r="F15" s="1" t="s">
        <v>29</v>
      </c>
      <c r="H15" s="1" t="s">
        <v>32</v>
      </c>
      <c r="I15" s="1" t="s">
        <v>34</v>
      </c>
      <c r="J15" s="1" t="s">
        <v>36</v>
      </c>
    </row>
    <row r="16" spans="1:10" ht="15">
      <c r="A16" s="1" t="s">
        <v>40</v>
      </c>
      <c r="B16" s="1" t="s">
        <v>40</v>
      </c>
      <c r="D16" s="2"/>
      <c r="E16" s="2" t="s">
        <v>28</v>
      </c>
      <c r="F16" s="1" t="s">
        <v>30</v>
      </c>
      <c r="G16" s="1" t="s">
        <v>31</v>
      </c>
      <c r="H16" s="1" t="s">
        <v>33</v>
      </c>
      <c r="I16" s="1" t="s">
        <v>35</v>
      </c>
      <c r="J16" s="1" t="s">
        <v>37</v>
      </c>
    </row>
    <row r="17" spans="4:5" ht="15">
      <c r="D17" s="2"/>
      <c r="E17" s="2"/>
    </row>
    <row r="18" spans="1:7" ht="15">
      <c r="A18" s="9">
        <v>1</v>
      </c>
      <c r="C18" s="2" t="s">
        <v>190</v>
      </c>
      <c r="D18" s="2"/>
      <c r="E18" s="2"/>
      <c r="F18" s="2"/>
      <c r="G18" s="2"/>
    </row>
    <row r="19" spans="1:6" ht="15">
      <c r="A19" s="9">
        <v>2</v>
      </c>
      <c r="C19" s="2" t="s">
        <v>191</v>
      </c>
      <c r="D19" s="2"/>
      <c r="E19" s="2"/>
      <c r="F19" s="2"/>
    </row>
    <row r="20" spans="1:7" ht="15">
      <c r="A20" s="9">
        <v>3</v>
      </c>
      <c r="B20" s="1">
        <v>7500</v>
      </c>
      <c r="D20" s="2" t="s">
        <v>212</v>
      </c>
      <c r="E20" s="2"/>
      <c r="F20" s="13">
        <v>0</v>
      </c>
      <c r="G20" s="12"/>
    </row>
    <row r="21" spans="1:8" ht="15">
      <c r="A21" s="9">
        <v>4</v>
      </c>
      <c r="B21" s="1">
        <v>7510</v>
      </c>
      <c r="D21" s="2" t="s">
        <v>213</v>
      </c>
      <c r="E21" s="2"/>
      <c r="F21" s="13">
        <v>0</v>
      </c>
      <c r="G21" s="2"/>
      <c r="H21" s="2"/>
    </row>
    <row r="22" spans="1:7" ht="15">
      <c r="A22" s="9">
        <v>5</v>
      </c>
      <c r="B22" s="1">
        <v>7530</v>
      </c>
      <c r="D22" s="2" t="s">
        <v>214</v>
      </c>
      <c r="E22" s="2"/>
      <c r="F22" s="13">
        <v>0</v>
      </c>
      <c r="G22" s="2"/>
    </row>
    <row r="23" spans="1:9" ht="15">
      <c r="A23" s="9">
        <v>6</v>
      </c>
      <c r="B23" s="1">
        <v>7540</v>
      </c>
      <c r="D23" s="13" t="s">
        <v>215</v>
      </c>
      <c r="E23" s="13"/>
      <c r="F23" s="13">
        <v>0</v>
      </c>
      <c r="G23" s="2"/>
      <c r="H23" s="2"/>
      <c r="I23" s="2"/>
    </row>
    <row r="24" spans="1:9" ht="15">
      <c r="A24" s="9">
        <v>7</v>
      </c>
      <c r="B24" s="1">
        <v>7550</v>
      </c>
      <c r="D24" s="13" t="s">
        <v>216</v>
      </c>
      <c r="E24" s="13"/>
      <c r="F24" s="13">
        <v>0</v>
      </c>
      <c r="G24" s="2"/>
      <c r="H24" s="2"/>
      <c r="I24" s="2"/>
    </row>
    <row r="25" spans="1:9" ht="15">
      <c r="A25" s="9">
        <v>8</v>
      </c>
      <c r="B25" s="1">
        <v>7560</v>
      </c>
      <c r="D25" s="2" t="s">
        <v>217</v>
      </c>
      <c r="E25" s="2"/>
      <c r="F25" s="13">
        <v>0</v>
      </c>
      <c r="G25" s="2"/>
      <c r="H25" s="2"/>
      <c r="I25" s="2"/>
    </row>
    <row r="26" spans="1:7" ht="15">
      <c r="A26" s="9">
        <v>9</v>
      </c>
      <c r="B26" s="1">
        <v>7570</v>
      </c>
      <c r="D26" s="2" t="s">
        <v>218</v>
      </c>
      <c r="E26" s="2"/>
      <c r="F26" s="13">
        <v>0</v>
      </c>
      <c r="G26" s="2"/>
    </row>
    <row r="27" spans="1:7" ht="15">
      <c r="A27" s="9">
        <v>10</v>
      </c>
      <c r="B27" s="1">
        <v>7590</v>
      </c>
      <c r="D27" s="2" t="s">
        <v>219</v>
      </c>
      <c r="E27" s="2"/>
      <c r="F27" s="13">
        <v>0</v>
      </c>
      <c r="G27" s="2"/>
    </row>
    <row r="28" spans="1:6" ht="15">
      <c r="A28" s="9">
        <v>11</v>
      </c>
      <c r="C28" s="2" t="s">
        <v>192</v>
      </c>
      <c r="D28" s="2"/>
      <c r="E28" s="2"/>
      <c r="F28" s="2"/>
    </row>
    <row r="29" spans="1:7" ht="15">
      <c r="A29" s="9">
        <v>12</v>
      </c>
      <c r="B29" s="1">
        <v>7610</v>
      </c>
      <c r="D29" s="2" t="s">
        <v>220</v>
      </c>
      <c r="E29" s="2"/>
      <c r="F29" s="13">
        <v>0</v>
      </c>
      <c r="G29" s="2"/>
    </row>
    <row r="30" spans="1:8" ht="15">
      <c r="A30" s="9">
        <v>13</v>
      </c>
      <c r="B30" s="1">
        <v>7620</v>
      </c>
      <c r="D30" s="2" t="s">
        <v>84</v>
      </c>
      <c r="E30" s="2"/>
      <c r="F30" s="13">
        <v>0</v>
      </c>
      <c r="G30" s="2"/>
      <c r="H30" s="2"/>
    </row>
    <row r="31" spans="1:8" ht="15">
      <c r="A31" s="9">
        <v>14</v>
      </c>
      <c r="B31" s="1">
        <v>7640</v>
      </c>
      <c r="D31" s="2" t="s">
        <v>221</v>
      </c>
      <c r="E31" s="2"/>
      <c r="F31" s="13">
        <v>0</v>
      </c>
      <c r="G31" s="2"/>
      <c r="H31" s="2"/>
    </row>
    <row r="32" spans="1:9" ht="15">
      <c r="A32" s="9">
        <v>15</v>
      </c>
      <c r="B32" s="1">
        <v>7650</v>
      </c>
      <c r="D32" s="2" t="s">
        <v>222</v>
      </c>
      <c r="E32" s="2"/>
      <c r="F32" s="13">
        <v>0</v>
      </c>
      <c r="G32" s="2"/>
      <c r="H32" s="2"/>
      <c r="I32" s="2"/>
    </row>
    <row r="33" spans="1:9" ht="15">
      <c r="A33" s="9">
        <v>16</v>
      </c>
      <c r="B33" s="1">
        <v>7660</v>
      </c>
      <c r="D33" s="13" t="s">
        <v>223</v>
      </c>
      <c r="E33" s="13"/>
      <c r="F33" s="13">
        <v>0</v>
      </c>
      <c r="G33" s="2"/>
      <c r="H33" s="2"/>
      <c r="I33" s="2"/>
    </row>
    <row r="34" spans="1:9" ht="15">
      <c r="A34" s="9">
        <v>17</v>
      </c>
      <c r="B34" s="1">
        <v>7670</v>
      </c>
      <c r="D34" s="2" t="s">
        <v>224</v>
      </c>
      <c r="E34" s="2"/>
      <c r="F34" s="13">
        <v>0</v>
      </c>
      <c r="G34" s="2"/>
      <c r="H34" s="2"/>
      <c r="I34" s="2"/>
    </row>
    <row r="35" spans="1:8" ht="15">
      <c r="A35" s="9">
        <v>18</v>
      </c>
      <c r="B35" s="1">
        <v>7680</v>
      </c>
      <c r="C35" s="2"/>
      <c r="D35" s="2" t="s">
        <v>225</v>
      </c>
      <c r="E35" s="2"/>
      <c r="F35" s="13">
        <v>0</v>
      </c>
      <c r="G35" s="2"/>
      <c r="H35" s="2"/>
    </row>
    <row r="36" spans="1:8" ht="15">
      <c r="A36" s="9">
        <v>19</v>
      </c>
      <c r="B36" s="1">
        <v>7690</v>
      </c>
      <c r="D36" s="2" t="s">
        <v>226</v>
      </c>
      <c r="E36" s="2"/>
      <c r="F36" s="13">
        <v>0</v>
      </c>
      <c r="G36" s="2"/>
      <c r="H36" s="2"/>
    </row>
    <row r="37" spans="1:7" ht="15">
      <c r="A37" s="9">
        <v>20</v>
      </c>
      <c r="C37" s="13" t="s">
        <v>193</v>
      </c>
      <c r="D37" s="2"/>
      <c r="E37" s="2"/>
      <c r="F37" s="13">
        <v>0</v>
      </c>
      <c r="G37" s="2"/>
    </row>
    <row r="38" spans="1:6" ht="15">
      <c r="A38" s="9">
        <v>21</v>
      </c>
      <c r="D38" s="20"/>
      <c r="E38" s="2"/>
      <c r="F38" s="2"/>
    </row>
    <row r="39" spans="1:7" ht="15">
      <c r="A39" s="9">
        <v>22</v>
      </c>
      <c r="C39" s="13" t="s">
        <v>194</v>
      </c>
      <c r="D39" s="2"/>
      <c r="E39" s="2"/>
      <c r="F39" s="2"/>
      <c r="G39" s="2"/>
    </row>
    <row r="40" spans="1:6" ht="15">
      <c r="A40" s="9">
        <v>23</v>
      </c>
      <c r="C40" s="2" t="s">
        <v>191</v>
      </c>
      <c r="D40" s="2"/>
      <c r="E40" s="2"/>
      <c r="F40" s="2"/>
    </row>
    <row r="41" spans="1:13" ht="15">
      <c r="A41" s="9">
        <v>24</v>
      </c>
      <c r="B41" s="1">
        <v>8001</v>
      </c>
      <c r="D41" s="1" t="s">
        <v>227</v>
      </c>
      <c r="E41" s="1">
        <v>50</v>
      </c>
      <c r="F41" s="11">
        <v>2392628</v>
      </c>
      <c r="G41" s="12">
        <f aca="true" t="shared" si="0" ref="G41:J59">INDEX(ALLOC,($E41)+1,(G$1)+1)*$F41</f>
        <v>1471475.592718444</v>
      </c>
      <c r="H41" s="12">
        <f t="shared" si="0"/>
        <v>823291.1957889196</v>
      </c>
      <c r="I41" s="12">
        <f t="shared" si="0"/>
        <v>72049.45211727716</v>
      </c>
      <c r="J41" s="12">
        <f t="shared" si="0"/>
        <v>25811.759375359194</v>
      </c>
      <c r="K41" s="12"/>
      <c r="M41" s="5">
        <f aca="true" t="shared" si="1" ref="M41:M104">SUM(G41:J41)-F41</f>
        <v>0</v>
      </c>
    </row>
    <row r="42" spans="1:13" ht="15">
      <c r="A42" s="9">
        <v>25</v>
      </c>
      <c r="B42" s="1">
        <v>8010</v>
      </c>
      <c r="D42" s="2" t="s">
        <v>228</v>
      </c>
      <c r="E42" s="1">
        <v>50</v>
      </c>
      <c r="F42" s="17">
        <v>1391896</v>
      </c>
      <c r="G42" s="12">
        <f t="shared" si="0"/>
        <v>856021.4925188669</v>
      </c>
      <c r="H42" s="12">
        <f t="shared" si="0"/>
        <v>478944.37507787003</v>
      </c>
      <c r="I42" s="12">
        <f t="shared" si="0"/>
        <v>41914.30686434732</v>
      </c>
      <c r="J42" s="12">
        <f t="shared" si="0"/>
        <v>15015.82553891577</v>
      </c>
      <c r="M42" s="5">
        <f t="shared" si="1"/>
        <v>0</v>
      </c>
    </row>
    <row r="43" spans="1:13" ht="15">
      <c r="A43" s="9">
        <v>26</v>
      </c>
      <c r="B43" s="1">
        <v>8040</v>
      </c>
      <c r="D43" s="1" t="s">
        <v>229</v>
      </c>
      <c r="E43" s="1">
        <v>50</v>
      </c>
      <c r="F43" s="11">
        <v>45614740</v>
      </c>
      <c r="G43" s="12">
        <f t="shared" si="0"/>
        <v>28053243.788084786</v>
      </c>
      <c r="H43" s="12">
        <f t="shared" si="0"/>
        <v>15695801.36995833</v>
      </c>
      <c r="I43" s="12">
        <f t="shared" si="0"/>
        <v>1373601.3393941922</v>
      </c>
      <c r="J43" s="12">
        <f t="shared" si="0"/>
        <v>492093.5025626934</v>
      </c>
      <c r="M43" s="5">
        <f t="shared" si="1"/>
        <v>0</v>
      </c>
    </row>
    <row r="44" spans="1:13" ht="15">
      <c r="A44" s="9">
        <v>27</v>
      </c>
      <c r="B44" s="1">
        <v>8045</v>
      </c>
      <c r="D44" s="1" t="s">
        <v>230</v>
      </c>
      <c r="E44" s="1">
        <v>50</v>
      </c>
      <c r="F44" s="9">
        <v>0</v>
      </c>
      <c r="G44" s="12">
        <f t="shared" si="0"/>
        <v>0</v>
      </c>
      <c r="H44" s="12">
        <f t="shared" si="0"/>
        <v>0</v>
      </c>
      <c r="I44" s="12">
        <f t="shared" si="0"/>
        <v>0</v>
      </c>
      <c r="J44" s="12">
        <f t="shared" si="0"/>
        <v>0</v>
      </c>
      <c r="M44" s="5">
        <f t="shared" si="1"/>
        <v>0</v>
      </c>
    </row>
    <row r="45" spans="1:13" ht="15">
      <c r="A45" s="9">
        <v>28</v>
      </c>
      <c r="B45" s="1">
        <v>8050</v>
      </c>
      <c r="D45" s="1" t="s">
        <v>231</v>
      </c>
      <c r="E45" s="1">
        <v>50</v>
      </c>
      <c r="F45" s="11">
        <v>-14067</v>
      </c>
      <c r="G45" s="12">
        <f t="shared" si="0"/>
        <v>-8651.260105110512</v>
      </c>
      <c r="H45" s="12">
        <f t="shared" si="0"/>
        <v>-4840.383566171896</v>
      </c>
      <c r="I45" s="12">
        <f t="shared" si="0"/>
        <v>-423.601012331937</v>
      </c>
      <c r="J45" s="12">
        <f t="shared" si="0"/>
        <v>-151.75531638565533</v>
      </c>
      <c r="M45" s="5">
        <f t="shared" si="1"/>
        <v>0</v>
      </c>
    </row>
    <row r="46" spans="1:13" ht="15">
      <c r="A46" s="9">
        <v>29</v>
      </c>
      <c r="B46" s="1">
        <v>8051</v>
      </c>
      <c r="D46" s="1" t="s">
        <v>232</v>
      </c>
      <c r="E46" s="1">
        <v>50</v>
      </c>
      <c r="F46" s="11">
        <v>56021426</v>
      </c>
      <c r="G46" s="12">
        <f t="shared" si="0"/>
        <v>34453396.44452981</v>
      </c>
      <c r="H46" s="12">
        <f t="shared" si="0"/>
        <v>19276689.398159876</v>
      </c>
      <c r="I46" s="12">
        <f t="shared" si="0"/>
        <v>1686978.9412013006</v>
      </c>
      <c r="J46" s="12">
        <f t="shared" si="0"/>
        <v>604361.2161090196</v>
      </c>
      <c r="M46" s="5">
        <f t="shared" si="1"/>
        <v>0</v>
      </c>
    </row>
    <row r="47" spans="1:13" ht="15">
      <c r="A47" s="9">
        <v>30</v>
      </c>
      <c r="B47" s="1">
        <v>8052</v>
      </c>
      <c r="D47" s="1" t="s">
        <v>233</v>
      </c>
      <c r="E47" s="1">
        <v>50</v>
      </c>
      <c r="F47" s="11">
        <v>26327213</v>
      </c>
      <c r="G47" s="12">
        <f t="shared" si="0"/>
        <v>16191339.127436329</v>
      </c>
      <c r="H47" s="12">
        <f t="shared" si="0"/>
        <v>9059060.862181496</v>
      </c>
      <c r="I47" s="12">
        <f t="shared" si="0"/>
        <v>792794.0626059951</v>
      </c>
      <c r="J47" s="12">
        <f t="shared" si="0"/>
        <v>284018.947776181</v>
      </c>
      <c r="M47" s="5">
        <f t="shared" si="1"/>
        <v>0</v>
      </c>
    </row>
    <row r="48" spans="1:13" ht="15">
      <c r="A48" s="9">
        <v>31</v>
      </c>
      <c r="B48" s="1">
        <v>8053</v>
      </c>
      <c r="D48" s="1" t="s">
        <v>234</v>
      </c>
      <c r="E48" s="1">
        <v>50</v>
      </c>
      <c r="F48" s="11">
        <v>5265345</v>
      </c>
      <c r="G48" s="12">
        <f t="shared" si="0"/>
        <v>3238207.801104934</v>
      </c>
      <c r="H48" s="12">
        <f t="shared" si="0"/>
        <v>1811778.5887698417</v>
      </c>
      <c r="I48" s="12">
        <f t="shared" si="0"/>
        <v>158555.87348239872</v>
      </c>
      <c r="J48" s="12">
        <f t="shared" si="0"/>
        <v>56802.73664282565</v>
      </c>
      <c r="M48" s="5">
        <f t="shared" si="1"/>
        <v>0</v>
      </c>
    </row>
    <row r="49" spans="1:13" ht="15">
      <c r="A49" s="9">
        <v>32</v>
      </c>
      <c r="B49" s="1">
        <v>8054</v>
      </c>
      <c r="D49" s="1" t="s">
        <v>235</v>
      </c>
      <c r="E49" s="1">
        <v>50</v>
      </c>
      <c r="F49" s="11">
        <v>6496020</v>
      </c>
      <c r="G49" s="12">
        <f t="shared" si="0"/>
        <v>3995077.747067604</v>
      </c>
      <c r="H49" s="12">
        <f t="shared" si="0"/>
        <v>2235247.6330080302</v>
      </c>
      <c r="I49" s="12">
        <f t="shared" si="0"/>
        <v>195615.3158547316</v>
      </c>
      <c r="J49" s="12">
        <f t="shared" si="0"/>
        <v>70079.30406963424</v>
      </c>
      <c r="M49" s="5">
        <f t="shared" si="1"/>
        <v>0</v>
      </c>
    </row>
    <row r="50" spans="1:13" ht="15">
      <c r="A50" s="9">
        <v>33</v>
      </c>
      <c r="B50" s="1">
        <v>8057</v>
      </c>
      <c r="D50" s="1" t="s">
        <v>236</v>
      </c>
      <c r="E50" s="1">
        <v>50</v>
      </c>
      <c r="F50" s="9">
        <v>0</v>
      </c>
      <c r="G50" s="12">
        <f t="shared" si="0"/>
        <v>0</v>
      </c>
      <c r="H50" s="12">
        <f t="shared" si="0"/>
        <v>0</v>
      </c>
      <c r="I50" s="12">
        <f t="shared" si="0"/>
        <v>0</v>
      </c>
      <c r="J50" s="12">
        <f t="shared" si="0"/>
        <v>0</v>
      </c>
      <c r="M50" s="5">
        <f t="shared" si="1"/>
        <v>0</v>
      </c>
    </row>
    <row r="51" spans="1:13" ht="15">
      <c r="A51" s="9">
        <v>34</v>
      </c>
      <c r="B51" s="1">
        <v>8058</v>
      </c>
      <c r="D51" s="1" t="s">
        <v>237</v>
      </c>
      <c r="E51" s="1">
        <v>50</v>
      </c>
      <c r="F51" s="11">
        <v>-3827283</v>
      </c>
      <c r="G51" s="12">
        <f t="shared" si="0"/>
        <v>-2353794.037738514</v>
      </c>
      <c r="H51" s="12">
        <f t="shared" si="0"/>
        <v>-1316948.726543618</v>
      </c>
      <c r="I51" s="12">
        <f t="shared" si="0"/>
        <v>-115251.36512979405</v>
      </c>
      <c r="J51" s="12">
        <f t="shared" si="0"/>
        <v>-41288.87058807423</v>
      </c>
      <c r="M51" s="5">
        <f t="shared" si="1"/>
        <v>0</v>
      </c>
    </row>
    <row r="52" spans="1:13" ht="15">
      <c r="A52" s="9">
        <v>35</v>
      </c>
      <c r="B52" s="1">
        <v>8059</v>
      </c>
      <c r="D52" s="1" t="s">
        <v>238</v>
      </c>
      <c r="E52" s="1">
        <v>50</v>
      </c>
      <c r="F52" s="11">
        <v>-103417562</v>
      </c>
      <c r="G52" s="12">
        <f t="shared" si="0"/>
        <v>-63602205.75093431</v>
      </c>
      <c r="H52" s="12">
        <f t="shared" si="0"/>
        <v>-35585460.12357739</v>
      </c>
      <c r="I52" s="12">
        <f t="shared" si="0"/>
        <v>-3114223.640868761</v>
      </c>
      <c r="J52" s="12">
        <f t="shared" si="0"/>
        <v>-1115672.4846195441</v>
      </c>
      <c r="M52" s="5">
        <f t="shared" si="1"/>
        <v>0</v>
      </c>
    </row>
    <row r="53" spans="1:13" ht="15">
      <c r="A53" s="9">
        <v>36</v>
      </c>
      <c r="B53" s="1">
        <v>8060</v>
      </c>
      <c r="D53" s="1" t="s">
        <v>239</v>
      </c>
      <c r="E53" s="1">
        <v>50</v>
      </c>
      <c r="F53" s="11">
        <v>7289206</v>
      </c>
      <c r="G53" s="12">
        <f t="shared" si="0"/>
        <v>4482890.2442405755</v>
      </c>
      <c r="H53" s="12">
        <f t="shared" si="0"/>
        <v>2508178.9246350736</v>
      </c>
      <c r="I53" s="12">
        <f t="shared" si="0"/>
        <v>219500.60714409818</v>
      </c>
      <c r="J53" s="12">
        <f t="shared" si="0"/>
        <v>78636.22398025288</v>
      </c>
      <c r="M53" s="5">
        <f t="shared" si="1"/>
        <v>0</v>
      </c>
    </row>
    <row r="54" spans="1:13" ht="15">
      <c r="A54" s="9">
        <v>37</v>
      </c>
      <c r="B54" s="1">
        <v>8081</v>
      </c>
      <c r="D54" s="1" t="s">
        <v>240</v>
      </c>
      <c r="E54" s="1">
        <v>50</v>
      </c>
      <c r="F54" s="11">
        <v>26869335</v>
      </c>
      <c r="G54" s="12">
        <f t="shared" si="0"/>
        <v>16524746.281108236</v>
      </c>
      <c r="H54" s="12">
        <f t="shared" si="0"/>
        <v>9245602.300985808</v>
      </c>
      <c r="I54" s="12">
        <f t="shared" si="0"/>
        <v>809119.0379388602</v>
      </c>
      <c r="J54" s="12">
        <f t="shared" si="0"/>
        <v>289867.37996709766</v>
      </c>
      <c r="M54" s="5">
        <f t="shared" si="1"/>
        <v>0</v>
      </c>
    </row>
    <row r="55" spans="1:13" ht="15">
      <c r="A55" s="9">
        <v>38</v>
      </c>
      <c r="B55" s="1">
        <v>8082</v>
      </c>
      <c r="D55" s="1" t="s">
        <v>241</v>
      </c>
      <c r="E55" s="1">
        <v>50</v>
      </c>
      <c r="F55" s="11">
        <v>-15161906</v>
      </c>
      <c r="G55" s="12">
        <f t="shared" si="0"/>
        <v>-9324631.584220922</v>
      </c>
      <c r="H55" s="12">
        <f t="shared" si="0"/>
        <v>-5217135.18406505</v>
      </c>
      <c r="I55" s="12">
        <f t="shared" si="0"/>
        <v>-456572.0288961164</v>
      </c>
      <c r="J55" s="12">
        <f t="shared" si="0"/>
        <v>-163567.20281791184</v>
      </c>
      <c r="M55" s="5">
        <f t="shared" si="1"/>
        <v>0</v>
      </c>
    </row>
    <row r="56" spans="1:13" ht="15">
      <c r="A56" s="9">
        <v>39</v>
      </c>
      <c r="B56" s="1">
        <v>8110</v>
      </c>
      <c r="D56" s="1" t="s">
        <v>242</v>
      </c>
      <c r="E56" s="1">
        <v>50</v>
      </c>
      <c r="F56" s="9">
        <v>0</v>
      </c>
      <c r="G56" s="12">
        <f t="shared" si="0"/>
        <v>0</v>
      </c>
      <c r="H56" s="12">
        <f t="shared" si="0"/>
        <v>0</v>
      </c>
      <c r="I56" s="12">
        <f t="shared" si="0"/>
        <v>0</v>
      </c>
      <c r="J56" s="12">
        <f t="shared" si="0"/>
        <v>0</v>
      </c>
      <c r="M56" s="5">
        <f t="shared" si="1"/>
        <v>0</v>
      </c>
    </row>
    <row r="57" spans="1:13" ht="15">
      <c r="A57" s="9">
        <v>40</v>
      </c>
      <c r="B57" s="1">
        <v>8120</v>
      </c>
      <c r="D57" s="1" t="s">
        <v>243</v>
      </c>
      <c r="E57" s="1">
        <v>50</v>
      </c>
      <c r="F57" s="11">
        <v>-17621</v>
      </c>
      <c r="G57" s="12">
        <f t="shared" si="0"/>
        <v>-10836.984027308761</v>
      </c>
      <c r="H57" s="12">
        <f t="shared" si="0"/>
        <v>-6063.29699434954</v>
      </c>
      <c r="I57" s="12">
        <f t="shared" si="0"/>
        <v>-530.622978481628</v>
      </c>
      <c r="J57" s="12">
        <f t="shared" si="0"/>
        <v>-190.095999860072</v>
      </c>
      <c r="M57" s="5">
        <f t="shared" si="1"/>
        <v>0</v>
      </c>
    </row>
    <row r="58" spans="1:13" ht="15">
      <c r="A58" s="9">
        <v>41</v>
      </c>
      <c r="B58" s="1">
        <v>8130</v>
      </c>
      <c r="D58" s="2" t="s">
        <v>244</v>
      </c>
      <c r="E58" s="1">
        <v>50</v>
      </c>
      <c r="F58" s="13">
        <v>-5</v>
      </c>
      <c r="G58" s="12">
        <f t="shared" si="0"/>
        <v>-3.0750195866604506</v>
      </c>
      <c r="H58" s="12">
        <f t="shared" si="0"/>
        <v>-1.7204747160630895</v>
      </c>
      <c r="I58" s="12">
        <f t="shared" si="0"/>
        <v>-0.15056551230963852</v>
      </c>
      <c r="J58" s="12">
        <f t="shared" si="0"/>
        <v>-0.0539401849668214</v>
      </c>
      <c r="M58" s="5">
        <f t="shared" si="1"/>
        <v>0</v>
      </c>
    </row>
    <row r="59" spans="1:13" ht="15">
      <c r="A59" s="9">
        <v>42</v>
      </c>
      <c r="B59" s="1">
        <v>8580</v>
      </c>
      <c r="D59" s="1" t="s">
        <v>245</v>
      </c>
      <c r="E59" s="1">
        <v>50</v>
      </c>
      <c r="F59" s="11">
        <v>35035880</v>
      </c>
      <c r="G59" s="12">
        <f t="shared" si="0"/>
        <v>21547203.44717703</v>
      </c>
      <c r="H59" s="12">
        <f t="shared" si="0"/>
        <v>12055669.139004096</v>
      </c>
      <c r="I59" s="12">
        <f t="shared" si="0"/>
        <v>1055039.0442838036</v>
      </c>
      <c r="J59" s="12">
        <f t="shared" si="0"/>
        <v>377968.3695350717</v>
      </c>
      <c r="M59" s="5">
        <f t="shared" si="1"/>
        <v>0</v>
      </c>
    </row>
    <row r="60" spans="1:13" ht="15">
      <c r="A60" s="9">
        <v>43</v>
      </c>
      <c r="C60" s="2" t="s">
        <v>192</v>
      </c>
      <c r="D60" s="2"/>
      <c r="E60" s="2"/>
      <c r="F60" s="2"/>
      <c r="M60" s="5">
        <f t="shared" si="1"/>
        <v>0</v>
      </c>
    </row>
    <row r="61" spans="1:13" ht="15">
      <c r="A61" s="9">
        <v>44</v>
      </c>
      <c r="B61" s="1">
        <v>8350</v>
      </c>
      <c r="D61" s="2" t="s">
        <v>246</v>
      </c>
      <c r="E61" s="2"/>
      <c r="F61" s="13">
        <v>0</v>
      </c>
      <c r="G61" s="2"/>
      <c r="H61" s="2"/>
      <c r="M61" s="5">
        <f t="shared" si="1"/>
        <v>0</v>
      </c>
    </row>
    <row r="62" spans="1:13" ht="15">
      <c r="A62" s="9">
        <v>45</v>
      </c>
      <c r="C62" s="13" t="s">
        <v>195</v>
      </c>
      <c r="D62" s="2"/>
      <c r="E62" s="2"/>
      <c r="F62" s="18">
        <f>SUM(F41:F61)</f>
        <v>90265245</v>
      </c>
      <c r="G62" s="18">
        <f>SUM(G41:G61)</f>
        <v>55513479.273940854</v>
      </c>
      <c r="H62" s="18">
        <f>SUM(H41:H61)</f>
        <v>31059814.35234804</v>
      </c>
      <c r="I62" s="18">
        <f>SUM(I41:I61)</f>
        <v>2718166.5714360075</v>
      </c>
      <c r="J62" s="18">
        <f>SUM(J41:J61)</f>
        <v>973784.80227509</v>
      </c>
      <c r="M62" s="5">
        <f t="shared" si="1"/>
        <v>0</v>
      </c>
    </row>
    <row r="63" spans="1:13" ht="15">
      <c r="A63" s="9">
        <v>46</v>
      </c>
      <c r="D63" s="2"/>
      <c r="E63" s="2"/>
      <c r="F63" s="2"/>
      <c r="M63" s="5">
        <f t="shared" si="1"/>
        <v>0</v>
      </c>
    </row>
    <row r="64" spans="1:13" ht="15">
      <c r="A64" s="9">
        <v>47</v>
      </c>
      <c r="C64" s="13" t="s">
        <v>196</v>
      </c>
      <c r="D64" s="2"/>
      <c r="E64" s="2"/>
      <c r="F64" s="2"/>
      <c r="G64" s="2"/>
      <c r="M64" s="5">
        <f t="shared" si="1"/>
        <v>0</v>
      </c>
    </row>
    <row r="65" spans="1:13" ht="15">
      <c r="A65" s="9">
        <v>48</v>
      </c>
      <c r="C65" s="2" t="s">
        <v>191</v>
      </c>
      <c r="D65" s="2"/>
      <c r="E65" s="2"/>
      <c r="F65" s="2"/>
      <c r="M65" s="5">
        <f t="shared" si="1"/>
        <v>0</v>
      </c>
    </row>
    <row r="66" spans="1:13" ht="15">
      <c r="A66" s="9">
        <v>49</v>
      </c>
      <c r="B66" s="1">
        <v>8140</v>
      </c>
      <c r="D66" s="2" t="s">
        <v>212</v>
      </c>
      <c r="E66" s="2">
        <v>55</v>
      </c>
      <c r="F66" s="17">
        <v>-1062</v>
      </c>
      <c r="G66" s="12">
        <f aca="true" t="shared" si="2" ref="G66:J75">INDEX(ALLOC,($E66)+1,(G$1)+1)*$F66</f>
        <v>-393.53938312297225</v>
      </c>
      <c r="H66" s="12">
        <f t="shared" si="2"/>
        <v>-184.83531623960778</v>
      </c>
      <c r="I66" s="12">
        <f t="shared" si="2"/>
        <v>-17.16362720174689</v>
      </c>
      <c r="J66" s="12">
        <f t="shared" si="2"/>
        <v>-466.4616734356731</v>
      </c>
      <c r="M66" s="5">
        <f t="shared" si="1"/>
        <v>0</v>
      </c>
    </row>
    <row r="67" spans="1:13" ht="15">
      <c r="A67" s="9">
        <v>50</v>
      </c>
      <c r="B67" s="1">
        <v>8150</v>
      </c>
      <c r="D67" s="2" t="s">
        <v>247</v>
      </c>
      <c r="E67" s="2">
        <v>55</v>
      </c>
      <c r="F67" s="13">
        <v>0</v>
      </c>
      <c r="G67" s="12">
        <f t="shared" si="2"/>
        <v>0</v>
      </c>
      <c r="H67" s="12">
        <f t="shared" si="2"/>
        <v>0</v>
      </c>
      <c r="I67" s="12">
        <f t="shared" si="2"/>
        <v>0</v>
      </c>
      <c r="J67" s="12">
        <f t="shared" si="2"/>
        <v>0</v>
      </c>
      <c r="M67" s="5">
        <f t="shared" si="1"/>
        <v>0</v>
      </c>
    </row>
    <row r="68" spans="1:13" ht="15">
      <c r="A68" s="9">
        <v>51</v>
      </c>
      <c r="B68" s="1">
        <v>8160</v>
      </c>
      <c r="D68" s="2" t="s">
        <v>248</v>
      </c>
      <c r="E68" s="2">
        <v>55</v>
      </c>
      <c r="F68" s="17">
        <v>169618</v>
      </c>
      <c r="G68" s="12">
        <f t="shared" si="2"/>
        <v>62854.39085362741</v>
      </c>
      <c r="H68" s="12">
        <f t="shared" si="2"/>
        <v>29521.08914306007</v>
      </c>
      <c r="I68" s="12">
        <f t="shared" si="2"/>
        <v>2741.299546804053</v>
      </c>
      <c r="J68" s="12">
        <f t="shared" si="2"/>
        <v>74501.22045650847</v>
      </c>
      <c r="M68" s="5">
        <f t="shared" si="1"/>
        <v>0</v>
      </c>
    </row>
    <row r="69" spans="1:13" ht="15">
      <c r="A69" s="9">
        <v>52</v>
      </c>
      <c r="B69" s="1">
        <v>8170</v>
      </c>
      <c r="D69" s="2" t="s">
        <v>249</v>
      </c>
      <c r="E69" s="2">
        <v>55</v>
      </c>
      <c r="F69" s="17">
        <v>60954</v>
      </c>
      <c r="G69" s="12">
        <f t="shared" si="2"/>
        <v>22587.381882182344</v>
      </c>
      <c r="H69" s="12">
        <f t="shared" si="2"/>
        <v>10608.711738294776</v>
      </c>
      <c r="I69" s="12">
        <f t="shared" si="2"/>
        <v>985.1146256641056</v>
      </c>
      <c r="J69" s="12">
        <f t="shared" si="2"/>
        <v>26772.791753858775</v>
      </c>
      <c r="M69" s="5">
        <f t="shared" si="1"/>
        <v>0</v>
      </c>
    </row>
    <row r="70" spans="1:13" ht="15">
      <c r="A70" s="9">
        <v>53</v>
      </c>
      <c r="B70" s="1">
        <v>8180</v>
      </c>
      <c r="D70" s="2" t="s">
        <v>250</v>
      </c>
      <c r="E70" s="2">
        <v>55</v>
      </c>
      <c r="F70" s="17">
        <v>24924</v>
      </c>
      <c r="G70" s="12">
        <f t="shared" si="2"/>
        <v>9235.946878490548</v>
      </c>
      <c r="H70" s="12">
        <f t="shared" si="2"/>
        <v>4337.886461352151</v>
      </c>
      <c r="I70" s="12">
        <f t="shared" si="2"/>
        <v>402.8119061924101</v>
      </c>
      <c r="J70" s="12">
        <f t="shared" si="2"/>
        <v>10947.354753964893</v>
      </c>
      <c r="M70" s="5">
        <f t="shared" si="1"/>
        <v>0</v>
      </c>
    </row>
    <row r="71" spans="1:13" ht="15">
      <c r="A71" s="9">
        <v>54</v>
      </c>
      <c r="B71" s="1">
        <v>8190</v>
      </c>
      <c r="D71" s="2" t="s">
        <v>251</v>
      </c>
      <c r="E71" s="2">
        <v>55</v>
      </c>
      <c r="F71" s="13">
        <v>777</v>
      </c>
      <c r="G71" s="12">
        <f t="shared" si="2"/>
        <v>287.92853171991476</v>
      </c>
      <c r="H71" s="12">
        <f t="shared" si="2"/>
        <v>135.2326183786961</v>
      </c>
      <c r="I71" s="12">
        <f t="shared" si="2"/>
        <v>12.557569054385437</v>
      </c>
      <c r="J71" s="12">
        <f t="shared" si="2"/>
        <v>341.28128084700376</v>
      </c>
      <c r="M71" s="5">
        <f t="shared" si="1"/>
        <v>0</v>
      </c>
    </row>
    <row r="72" spans="1:13" ht="15">
      <c r="A72" s="9">
        <v>55</v>
      </c>
      <c r="B72" s="1">
        <v>8200</v>
      </c>
      <c r="D72" s="2" t="s">
        <v>252</v>
      </c>
      <c r="E72" s="2">
        <v>55</v>
      </c>
      <c r="F72" s="17">
        <v>4790</v>
      </c>
      <c r="G72" s="12">
        <f t="shared" si="2"/>
        <v>1775.0034323531422</v>
      </c>
      <c r="H72" s="12">
        <f t="shared" si="2"/>
        <v>833.6734131711123</v>
      </c>
      <c r="I72" s="12">
        <f t="shared" si="2"/>
        <v>77.41410009074163</v>
      </c>
      <c r="J72" s="12">
        <f t="shared" si="2"/>
        <v>2103.909054385004</v>
      </c>
      <c r="M72" s="5">
        <f t="shared" si="1"/>
        <v>0</v>
      </c>
    </row>
    <row r="73" spans="1:13" ht="15">
      <c r="A73" s="9">
        <v>56</v>
      </c>
      <c r="B73" s="1">
        <v>8210</v>
      </c>
      <c r="D73" s="2" t="s">
        <v>253</v>
      </c>
      <c r="E73" s="2">
        <v>55</v>
      </c>
      <c r="F73" s="17">
        <v>34456</v>
      </c>
      <c r="G73" s="12">
        <f t="shared" si="2"/>
        <v>12768.16665243421</v>
      </c>
      <c r="H73" s="12">
        <f t="shared" si="2"/>
        <v>5996.879149107275</v>
      </c>
      <c r="I73" s="12">
        <f t="shared" si="2"/>
        <v>556.8643492122325</v>
      </c>
      <c r="J73" s="12">
        <f t="shared" si="2"/>
        <v>15134.089849246282</v>
      </c>
      <c r="M73" s="5">
        <f t="shared" si="1"/>
        <v>0</v>
      </c>
    </row>
    <row r="74" spans="1:13" ht="15">
      <c r="A74" s="9">
        <v>57</v>
      </c>
      <c r="B74" s="1">
        <v>8240</v>
      </c>
      <c r="D74" s="2" t="s">
        <v>254</v>
      </c>
      <c r="E74" s="2">
        <v>55</v>
      </c>
      <c r="F74" s="13">
        <v>223</v>
      </c>
      <c r="G74" s="12">
        <f t="shared" si="2"/>
        <v>82.63585916800642</v>
      </c>
      <c r="H74" s="12">
        <f t="shared" si="2"/>
        <v>38.811935519239675</v>
      </c>
      <c r="I74" s="12">
        <f t="shared" si="2"/>
        <v>3.6040384802161554</v>
      </c>
      <c r="J74" s="12">
        <f t="shared" si="2"/>
        <v>97.94816683253777</v>
      </c>
      <c r="M74" s="5">
        <f t="shared" si="1"/>
        <v>0</v>
      </c>
    </row>
    <row r="75" spans="1:13" ht="15">
      <c r="A75" s="9">
        <v>58</v>
      </c>
      <c r="B75" s="1">
        <v>8250</v>
      </c>
      <c r="D75" s="2" t="s">
        <v>255</v>
      </c>
      <c r="E75" s="2">
        <v>55</v>
      </c>
      <c r="F75" s="17">
        <v>13900</v>
      </c>
      <c r="G75" s="12">
        <f t="shared" si="2"/>
        <v>5150.845033342104</v>
      </c>
      <c r="H75" s="12">
        <f t="shared" si="2"/>
        <v>2419.219299181307</v>
      </c>
      <c r="I75" s="12">
        <f t="shared" si="2"/>
        <v>224.64634473096214</v>
      </c>
      <c r="J75" s="12">
        <f t="shared" si="2"/>
        <v>6105.289322745627</v>
      </c>
      <c r="M75" s="5">
        <f t="shared" si="1"/>
        <v>0</v>
      </c>
    </row>
    <row r="76" spans="1:13" ht="15">
      <c r="A76" s="9">
        <v>59</v>
      </c>
      <c r="C76" s="2" t="s">
        <v>192</v>
      </c>
      <c r="D76" s="2"/>
      <c r="E76" s="2"/>
      <c r="F76" s="2"/>
      <c r="G76" s="12"/>
      <c r="H76" s="12"/>
      <c r="I76" s="12"/>
      <c r="J76" s="12"/>
      <c r="M76" s="5">
        <f t="shared" si="1"/>
        <v>0</v>
      </c>
    </row>
    <row r="77" spans="1:13" ht="15">
      <c r="A77" s="9">
        <v>60</v>
      </c>
      <c r="B77" s="1">
        <v>8300</v>
      </c>
      <c r="D77" s="2" t="s">
        <v>220</v>
      </c>
      <c r="E77" s="2">
        <v>55</v>
      </c>
      <c r="F77" s="17">
        <v>10314</v>
      </c>
      <c r="G77" s="12">
        <f aca="true" t="shared" si="3" ref="G77:J84">INDEX(ALLOC,($E77)+1,(G$1)+1)*$F77</f>
        <v>3822.001127618019</v>
      </c>
      <c r="H77" s="12">
        <f t="shared" si="3"/>
        <v>1795.0955289033095</v>
      </c>
      <c r="I77" s="12">
        <f t="shared" si="3"/>
        <v>166.69082011188084</v>
      </c>
      <c r="J77" s="12">
        <f t="shared" si="3"/>
        <v>4530.212523366791</v>
      </c>
      <c r="M77" s="5">
        <f t="shared" si="1"/>
        <v>0</v>
      </c>
    </row>
    <row r="78" spans="1:13" ht="15">
      <c r="A78" s="9">
        <v>61</v>
      </c>
      <c r="B78" s="1">
        <v>8310</v>
      </c>
      <c r="D78" s="2" t="s">
        <v>84</v>
      </c>
      <c r="E78" s="2">
        <v>55</v>
      </c>
      <c r="F78" s="13">
        <v>0</v>
      </c>
      <c r="G78" s="12">
        <f t="shared" si="3"/>
        <v>0</v>
      </c>
      <c r="H78" s="12">
        <f t="shared" si="3"/>
        <v>0</v>
      </c>
      <c r="I78" s="12">
        <f t="shared" si="3"/>
        <v>0</v>
      </c>
      <c r="J78" s="12">
        <f t="shared" si="3"/>
        <v>0</v>
      </c>
      <c r="M78" s="5">
        <f t="shared" si="1"/>
        <v>0</v>
      </c>
    </row>
    <row r="79" spans="1:13" ht="15">
      <c r="A79" s="9">
        <v>62</v>
      </c>
      <c r="B79" s="1">
        <v>8320</v>
      </c>
      <c r="D79" s="2" t="s">
        <v>256</v>
      </c>
      <c r="E79" s="2">
        <v>55</v>
      </c>
      <c r="F79" s="13">
        <v>0</v>
      </c>
      <c r="G79" s="12">
        <f t="shared" si="3"/>
        <v>0</v>
      </c>
      <c r="H79" s="12">
        <f t="shared" si="3"/>
        <v>0</v>
      </c>
      <c r="I79" s="12">
        <f t="shared" si="3"/>
        <v>0</v>
      </c>
      <c r="J79" s="12">
        <f t="shared" si="3"/>
        <v>0</v>
      </c>
      <c r="M79" s="5">
        <f t="shared" si="1"/>
        <v>0</v>
      </c>
    </row>
    <row r="80" spans="1:13" ht="15">
      <c r="A80" s="9">
        <v>63</v>
      </c>
      <c r="B80" s="1">
        <v>8330</v>
      </c>
      <c r="D80" s="2" t="s">
        <v>257</v>
      </c>
      <c r="E80" s="2">
        <v>55</v>
      </c>
      <c r="F80" s="13">
        <v>0</v>
      </c>
      <c r="G80" s="12">
        <f t="shared" si="3"/>
        <v>0</v>
      </c>
      <c r="H80" s="12">
        <f t="shared" si="3"/>
        <v>0</v>
      </c>
      <c r="I80" s="12">
        <f t="shared" si="3"/>
        <v>0</v>
      </c>
      <c r="J80" s="12">
        <f t="shared" si="3"/>
        <v>0</v>
      </c>
      <c r="M80" s="5">
        <f t="shared" si="1"/>
        <v>0</v>
      </c>
    </row>
    <row r="81" spans="1:13" ht="15">
      <c r="A81" s="9">
        <v>64</v>
      </c>
      <c r="B81" s="1">
        <v>8340</v>
      </c>
      <c r="D81" s="2" t="s">
        <v>258</v>
      </c>
      <c r="E81" s="2">
        <v>55</v>
      </c>
      <c r="F81" s="17">
        <v>5064</v>
      </c>
      <c r="G81" s="12">
        <f t="shared" si="3"/>
        <v>1876.5380754564326</v>
      </c>
      <c r="H81" s="12">
        <f t="shared" si="3"/>
        <v>881.3616209391467</v>
      </c>
      <c r="I81" s="12">
        <f t="shared" si="3"/>
        <v>81.84238055522248</v>
      </c>
      <c r="J81" s="12">
        <f t="shared" si="3"/>
        <v>2224.2579230491983</v>
      </c>
      <c r="M81" s="5">
        <f t="shared" si="1"/>
        <v>0</v>
      </c>
    </row>
    <row r="82" spans="1:13" ht="15">
      <c r="A82" s="9">
        <v>65</v>
      </c>
      <c r="B82" s="1">
        <v>8350</v>
      </c>
      <c r="D82" s="13" t="s">
        <v>223</v>
      </c>
      <c r="E82" s="2">
        <v>55</v>
      </c>
      <c r="F82" s="13">
        <v>0</v>
      </c>
      <c r="G82" s="12">
        <f t="shared" si="3"/>
        <v>0</v>
      </c>
      <c r="H82" s="12">
        <f t="shared" si="3"/>
        <v>0</v>
      </c>
      <c r="I82" s="12">
        <f t="shared" si="3"/>
        <v>0</v>
      </c>
      <c r="J82" s="12">
        <f t="shared" si="3"/>
        <v>0</v>
      </c>
      <c r="M82" s="5">
        <f t="shared" si="1"/>
        <v>0</v>
      </c>
    </row>
    <row r="83" spans="1:13" ht="15">
      <c r="A83" s="9">
        <v>66</v>
      </c>
      <c r="B83" s="1">
        <v>8360</v>
      </c>
      <c r="C83" s="2"/>
      <c r="D83" s="2" t="s">
        <v>224</v>
      </c>
      <c r="E83" s="2">
        <v>55</v>
      </c>
      <c r="F83" s="13">
        <v>736</v>
      </c>
      <c r="G83" s="12">
        <f t="shared" si="3"/>
        <v>272.73539169350994</v>
      </c>
      <c r="H83" s="12">
        <f t="shared" si="3"/>
        <v>128.09679166888074</v>
      </c>
      <c r="I83" s="12">
        <f t="shared" si="3"/>
        <v>11.894943145466772</v>
      </c>
      <c r="J83" s="12">
        <f t="shared" si="3"/>
        <v>323.2728734921426</v>
      </c>
      <c r="M83" s="5">
        <f t="shared" si="1"/>
        <v>0</v>
      </c>
    </row>
    <row r="84" spans="1:13" ht="15">
      <c r="A84" s="9">
        <v>67</v>
      </c>
      <c r="B84" s="1">
        <v>8370</v>
      </c>
      <c r="D84" s="2" t="s">
        <v>225</v>
      </c>
      <c r="E84" s="2">
        <v>55</v>
      </c>
      <c r="F84" s="13">
        <v>0</v>
      </c>
      <c r="G84" s="12">
        <f t="shared" si="3"/>
        <v>0</v>
      </c>
      <c r="H84" s="12">
        <f t="shared" si="3"/>
        <v>0</v>
      </c>
      <c r="I84" s="12">
        <f t="shared" si="3"/>
        <v>0</v>
      </c>
      <c r="J84" s="12">
        <f t="shared" si="3"/>
        <v>0</v>
      </c>
      <c r="M84" s="5">
        <f t="shared" si="1"/>
        <v>0</v>
      </c>
    </row>
    <row r="85" spans="1:13" ht="15">
      <c r="A85" s="9">
        <v>68</v>
      </c>
      <c r="C85" s="13" t="s">
        <v>197</v>
      </c>
      <c r="D85" s="2"/>
      <c r="E85" s="2"/>
      <c r="F85" s="18">
        <f>SUM(F66:F84)</f>
        <v>324694</v>
      </c>
      <c r="G85" s="18">
        <f>SUM(G66:G84)</f>
        <v>120320.03433496266</v>
      </c>
      <c r="H85" s="18">
        <f>SUM(H66:H84)</f>
        <v>56511.22238333636</v>
      </c>
      <c r="I85" s="18">
        <f>SUM(I66:I84)</f>
        <v>5247.576996839932</v>
      </c>
      <c r="J85" s="18">
        <f>SUM(J66:J84)</f>
        <v>142615.1662848611</v>
      </c>
      <c r="M85" s="5">
        <f t="shared" si="1"/>
        <v>0</v>
      </c>
    </row>
    <row r="86" spans="1:13" ht="15">
      <c r="A86" s="9">
        <v>69</v>
      </c>
      <c r="D86" s="2"/>
      <c r="E86" s="2"/>
      <c r="F86" s="2"/>
      <c r="M86" s="5">
        <f t="shared" si="1"/>
        <v>0</v>
      </c>
    </row>
    <row r="87" spans="1:13" ht="15">
      <c r="A87" s="9">
        <v>70</v>
      </c>
      <c r="C87" s="2" t="s">
        <v>50</v>
      </c>
      <c r="D87" s="2"/>
      <c r="E87" s="2"/>
      <c r="F87" s="2"/>
      <c r="M87" s="5">
        <f t="shared" si="1"/>
        <v>0</v>
      </c>
    </row>
    <row r="88" spans="1:13" ht="15">
      <c r="A88" s="9">
        <v>71</v>
      </c>
      <c r="C88" s="2" t="s">
        <v>191</v>
      </c>
      <c r="D88" s="2"/>
      <c r="E88" s="2"/>
      <c r="F88" s="2"/>
      <c r="M88" s="5">
        <f t="shared" si="1"/>
        <v>0</v>
      </c>
    </row>
    <row r="89" spans="1:13" ht="15">
      <c r="A89" s="9">
        <v>72</v>
      </c>
      <c r="B89" s="1">
        <v>8500</v>
      </c>
      <c r="D89" s="2" t="s">
        <v>212</v>
      </c>
      <c r="E89" s="2"/>
      <c r="F89" s="13">
        <v>0</v>
      </c>
      <c r="G89" s="2"/>
      <c r="M89" s="5">
        <f t="shared" si="1"/>
        <v>0</v>
      </c>
    </row>
    <row r="90" spans="1:13" ht="15">
      <c r="A90" s="9">
        <v>73</v>
      </c>
      <c r="B90" s="1">
        <v>8510</v>
      </c>
      <c r="D90" s="13" t="s">
        <v>259</v>
      </c>
      <c r="E90" s="13"/>
      <c r="F90" s="13">
        <v>0</v>
      </c>
      <c r="G90" s="2"/>
      <c r="H90" s="2"/>
      <c r="I90" s="2"/>
      <c r="M90" s="5">
        <f t="shared" si="1"/>
        <v>0</v>
      </c>
    </row>
    <row r="91" spans="1:13" ht="15">
      <c r="A91" s="9">
        <v>74</v>
      </c>
      <c r="B91" s="1">
        <v>8520</v>
      </c>
      <c r="D91" s="2" t="s">
        <v>260</v>
      </c>
      <c r="E91" s="2"/>
      <c r="F91" s="13">
        <v>0</v>
      </c>
      <c r="G91" s="2"/>
      <c r="H91" s="2"/>
      <c r="I91" s="2"/>
      <c r="M91" s="5">
        <f t="shared" si="1"/>
        <v>0</v>
      </c>
    </row>
    <row r="92" spans="1:13" ht="15">
      <c r="A92" s="9">
        <v>75</v>
      </c>
      <c r="B92" s="1">
        <v>8530</v>
      </c>
      <c r="D92" s="2" t="s">
        <v>261</v>
      </c>
      <c r="E92" s="2"/>
      <c r="F92" s="13">
        <v>0</v>
      </c>
      <c r="G92" s="2"/>
      <c r="H92" s="2"/>
      <c r="I92" s="2"/>
      <c r="M92" s="5">
        <f t="shared" si="1"/>
        <v>0</v>
      </c>
    </row>
    <row r="93" spans="1:13" ht="15">
      <c r="A93" s="9">
        <v>76</v>
      </c>
      <c r="B93" s="1">
        <v>8540</v>
      </c>
      <c r="D93" s="2" t="s">
        <v>262</v>
      </c>
      <c r="E93" s="2"/>
      <c r="F93" s="13">
        <v>0</v>
      </c>
      <c r="G93" s="2"/>
      <c r="H93" s="2"/>
      <c r="M93" s="5">
        <f t="shared" si="1"/>
        <v>0</v>
      </c>
    </row>
    <row r="94" spans="1:13" ht="15">
      <c r="A94" s="9">
        <v>77</v>
      </c>
      <c r="B94" s="1">
        <v>8550</v>
      </c>
      <c r="D94" s="2" t="s">
        <v>251</v>
      </c>
      <c r="E94" s="2"/>
      <c r="F94" s="13">
        <v>0</v>
      </c>
      <c r="G94" s="2"/>
      <c r="H94" s="2"/>
      <c r="I94" s="2"/>
      <c r="M94" s="5">
        <f t="shared" si="1"/>
        <v>0</v>
      </c>
    </row>
    <row r="95" spans="1:13" ht="15">
      <c r="A95" s="9">
        <v>78</v>
      </c>
      <c r="B95" s="1">
        <v>8560</v>
      </c>
      <c r="D95" s="2" t="s">
        <v>263</v>
      </c>
      <c r="E95" s="2">
        <v>4</v>
      </c>
      <c r="F95" s="17">
        <v>499729</v>
      </c>
      <c r="G95" s="12">
        <f aca="true" t="shared" si="4" ref="G95:J96">INDEX(ALLOC,($E95)+1,(G$1)+1)*$F95</f>
        <v>213827.27955143078</v>
      </c>
      <c r="H95" s="12">
        <f t="shared" si="4"/>
        <v>96107.88482131204</v>
      </c>
      <c r="I95" s="12">
        <f t="shared" si="4"/>
        <v>8651.74847870078</v>
      </c>
      <c r="J95" s="12">
        <f t="shared" si="4"/>
        <v>181142.08714855646</v>
      </c>
      <c r="M95" s="5">
        <f t="shared" si="1"/>
        <v>0</v>
      </c>
    </row>
    <row r="96" spans="1:13" ht="15">
      <c r="A96" s="9">
        <v>79</v>
      </c>
      <c r="B96" s="1">
        <v>8570</v>
      </c>
      <c r="D96" s="2" t="s">
        <v>252</v>
      </c>
      <c r="E96" s="2">
        <v>4</v>
      </c>
      <c r="F96" s="17">
        <v>103068</v>
      </c>
      <c r="G96" s="12">
        <f t="shared" si="4"/>
        <v>44101.403058071206</v>
      </c>
      <c r="H96" s="12">
        <f t="shared" si="4"/>
        <v>19822.038490387768</v>
      </c>
      <c r="I96" s="12">
        <f t="shared" si="4"/>
        <v>1784.40397135794</v>
      </c>
      <c r="J96" s="12">
        <f t="shared" si="4"/>
        <v>37360.15448018309</v>
      </c>
      <c r="M96" s="5">
        <f t="shared" si="1"/>
        <v>0</v>
      </c>
    </row>
    <row r="97" spans="1:13" ht="15">
      <c r="A97" s="9">
        <v>80</v>
      </c>
      <c r="B97" s="1">
        <v>8580</v>
      </c>
      <c r="D97" s="2" t="s">
        <v>264</v>
      </c>
      <c r="E97" s="2"/>
      <c r="F97" s="13">
        <v>0</v>
      </c>
      <c r="G97" s="2"/>
      <c r="M97" s="5">
        <f t="shared" si="1"/>
        <v>0</v>
      </c>
    </row>
    <row r="98" spans="1:13" ht="15">
      <c r="A98" s="9">
        <v>81</v>
      </c>
      <c r="B98" s="1">
        <v>8580</v>
      </c>
      <c r="D98" s="2" t="s">
        <v>265</v>
      </c>
      <c r="E98" s="2"/>
      <c r="F98" s="13">
        <v>0</v>
      </c>
      <c r="G98" s="2"/>
      <c r="M98" s="5">
        <f t="shared" si="1"/>
        <v>0</v>
      </c>
    </row>
    <row r="99" spans="1:13" ht="15">
      <c r="A99" s="9">
        <v>82</v>
      </c>
      <c r="B99" s="1">
        <v>8590</v>
      </c>
      <c r="D99" s="2" t="s">
        <v>219</v>
      </c>
      <c r="E99" s="2"/>
      <c r="F99" s="13">
        <v>0</v>
      </c>
      <c r="G99" s="2"/>
      <c r="M99" s="5">
        <f t="shared" si="1"/>
        <v>0</v>
      </c>
    </row>
    <row r="100" spans="1:13" ht="15">
      <c r="A100" s="9">
        <v>83</v>
      </c>
      <c r="B100" s="1">
        <v>8600</v>
      </c>
      <c r="D100" s="1" t="s">
        <v>266</v>
      </c>
      <c r="F100" s="9">
        <v>0</v>
      </c>
      <c r="M100" s="5">
        <f t="shared" si="1"/>
        <v>0</v>
      </c>
    </row>
    <row r="101" spans="1:13" ht="15">
      <c r="A101" s="9">
        <v>84</v>
      </c>
      <c r="C101" s="2" t="s">
        <v>192</v>
      </c>
      <c r="D101" s="2"/>
      <c r="E101" s="2"/>
      <c r="F101" s="2"/>
      <c r="M101" s="5">
        <f t="shared" si="1"/>
        <v>0</v>
      </c>
    </row>
    <row r="102" spans="1:13" ht="15">
      <c r="A102" s="9">
        <v>85</v>
      </c>
      <c r="B102" s="1">
        <v>8610</v>
      </c>
      <c r="D102" s="2" t="s">
        <v>220</v>
      </c>
      <c r="E102" s="2"/>
      <c r="F102" s="13">
        <v>0</v>
      </c>
      <c r="G102" s="2"/>
      <c r="M102" s="5">
        <f t="shared" si="1"/>
        <v>0</v>
      </c>
    </row>
    <row r="103" spans="1:13" ht="15">
      <c r="A103" s="9">
        <v>86</v>
      </c>
      <c r="B103" s="1">
        <v>8620</v>
      </c>
      <c r="D103" s="2" t="s">
        <v>84</v>
      </c>
      <c r="E103" s="2"/>
      <c r="F103" s="13">
        <v>0</v>
      </c>
      <c r="G103" s="2"/>
      <c r="H103" s="2"/>
      <c r="M103" s="5">
        <f t="shared" si="1"/>
        <v>0</v>
      </c>
    </row>
    <row r="104" spans="1:13" ht="15">
      <c r="A104" s="9">
        <v>87</v>
      </c>
      <c r="B104" s="1">
        <v>8630</v>
      </c>
      <c r="D104" s="1" t="s">
        <v>267</v>
      </c>
      <c r="E104" s="2">
        <v>4</v>
      </c>
      <c r="F104" s="11">
        <v>20015</v>
      </c>
      <c r="G104" s="12">
        <f>INDEX(ALLOC,($E104)+1,(G$1)+1)*$F104</f>
        <v>8564.14776853432</v>
      </c>
      <c r="H104" s="12">
        <f>INDEX(ALLOC,($E104)+1,(H$1)+1)*$F104</f>
        <v>3849.2849418355954</v>
      </c>
      <c r="I104" s="12">
        <f>INDEX(ALLOC,($E104)+1,(I$1)+1)*$F104</f>
        <v>346.51730398115</v>
      </c>
      <c r="J104" s="12">
        <f>INDEX(ALLOC,($E104)+1,(J$1)+1)*$F104</f>
        <v>7255.049985648936</v>
      </c>
      <c r="M104" s="5">
        <f t="shared" si="1"/>
        <v>0</v>
      </c>
    </row>
    <row r="105" spans="1:13" ht="15">
      <c r="A105" s="9">
        <v>88</v>
      </c>
      <c r="B105" s="1">
        <v>8640</v>
      </c>
      <c r="D105" s="2" t="s">
        <v>258</v>
      </c>
      <c r="E105" s="2"/>
      <c r="F105" s="13">
        <v>0</v>
      </c>
      <c r="G105" s="2"/>
      <c r="H105" s="2"/>
      <c r="I105" s="2"/>
      <c r="M105" s="5">
        <f aca="true" t="shared" si="5" ref="M105:M168">SUM(G105:J105)-F105</f>
        <v>0</v>
      </c>
    </row>
    <row r="106" spans="1:13" ht="15">
      <c r="A106" s="9">
        <v>89</v>
      </c>
      <c r="B106" s="1">
        <v>8650</v>
      </c>
      <c r="D106" s="13" t="s">
        <v>223</v>
      </c>
      <c r="E106" s="2">
        <v>4</v>
      </c>
      <c r="F106" s="13">
        <v>979</v>
      </c>
      <c r="G106" s="12">
        <f>INDEX(ALLOC,($E106)+1,(G$1)+1)*$F106</f>
        <v>418.900857626535</v>
      </c>
      <c r="H106" s="12">
        <f>INDEX(ALLOC,($E106)+1,(H$1)+1)*$F106</f>
        <v>188.28128693764916</v>
      </c>
      <c r="I106" s="12">
        <f>INDEX(ALLOC,($E106)+1,(I$1)+1)*$F106</f>
        <v>16.949310047341786</v>
      </c>
      <c r="J106" s="12">
        <f>INDEX(ALLOC,($E106)+1,(J$1)+1)*$F106</f>
        <v>354.86854538847405</v>
      </c>
      <c r="M106" s="5">
        <f t="shared" si="5"/>
        <v>0</v>
      </c>
    </row>
    <row r="107" spans="1:13" ht="15">
      <c r="A107" s="9">
        <v>90</v>
      </c>
      <c r="B107" s="1">
        <v>8660</v>
      </c>
      <c r="C107" s="2"/>
      <c r="D107" s="2" t="s">
        <v>268</v>
      </c>
      <c r="E107" s="2"/>
      <c r="F107" s="13">
        <v>0</v>
      </c>
      <c r="G107" s="2"/>
      <c r="H107" s="2"/>
      <c r="I107" s="2"/>
      <c r="M107" s="5">
        <f t="shared" si="5"/>
        <v>0</v>
      </c>
    </row>
    <row r="108" spans="1:13" ht="15">
      <c r="A108" s="9">
        <v>91</v>
      </c>
      <c r="B108" s="1">
        <v>8670</v>
      </c>
      <c r="D108" s="2" t="s">
        <v>225</v>
      </c>
      <c r="E108" s="2"/>
      <c r="F108" s="13">
        <v>0</v>
      </c>
      <c r="G108" s="2"/>
      <c r="H108" s="2"/>
      <c r="M108" s="5">
        <f t="shared" si="5"/>
        <v>0</v>
      </c>
    </row>
    <row r="109" spans="1:13" ht="15">
      <c r="A109" s="9">
        <v>92</v>
      </c>
      <c r="C109" s="13" t="s">
        <v>198</v>
      </c>
      <c r="D109" s="2"/>
      <c r="E109" s="2"/>
      <c r="F109" s="18">
        <f>SUM(F89:F108)</f>
        <v>623791</v>
      </c>
      <c r="G109" s="18">
        <f>SUM(G89:G108)</f>
        <v>266911.7312356628</v>
      </c>
      <c r="H109" s="18">
        <f>SUM(H89:H108)</f>
        <v>119967.48954047305</v>
      </c>
      <c r="I109" s="18">
        <f>SUM(I89:I108)</f>
        <v>10799.619064087212</v>
      </c>
      <c r="J109" s="18">
        <f>SUM(J89:J108)</f>
        <v>226112.16015977698</v>
      </c>
      <c r="M109" s="5">
        <f t="shared" si="5"/>
        <v>0</v>
      </c>
    </row>
    <row r="110" spans="1:13" ht="15">
      <c r="A110" s="9">
        <v>93</v>
      </c>
      <c r="D110" s="2"/>
      <c r="E110" s="2"/>
      <c r="F110" s="2"/>
      <c r="M110" s="5">
        <f t="shared" si="5"/>
        <v>0</v>
      </c>
    </row>
    <row r="111" spans="1:13" ht="15">
      <c r="A111" s="9">
        <v>94</v>
      </c>
      <c r="C111" s="2" t="s">
        <v>52</v>
      </c>
      <c r="D111" s="2"/>
      <c r="E111" s="2"/>
      <c r="F111" s="2"/>
      <c r="M111" s="5">
        <f t="shared" si="5"/>
        <v>0</v>
      </c>
    </row>
    <row r="112" spans="1:13" ht="15">
      <c r="A112" s="9">
        <v>95</v>
      </c>
      <c r="C112" s="2" t="s">
        <v>191</v>
      </c>
      <c r="D112" s="2"/>
      <c r="E112" s="2"/>
      <c r="F112" s="2"/>
      <c r="M112" s="5">
        <f t="shared" si="5"/>
        <v>0</v>
      </c>
    </row>
    <row r="113" spans="1:13" ht="15">
      <c r="A113" s="9">
        <v>96</v>
      </c>
      <c r="B113" s="1">
        <v>8700</v>
      </c>
      <c r="D113" s="2" t="s">
        <v>269</v>
      </c>
      <c r="E113" s="2">
        <v>23</v>
      </c>
      <c r="F113" s="17">
        <v>1386160</v>
      </c>
      <c r="G113" s="12">
        <f aca="true" t="shared" si="6" ref="G113:J115">INDEX(ALLOC,($E113)+1,(G$1)+1)*$F113</f>
        <v>1090030.8343066021</v>
      </c>
      <c r="H113" s="12">
        <f t="shared" si="6"/>
        <v>221857.67269238908</v>
      </c>
      <c r="I113" s="12">
        <f t="shared" si="6"/>
        <v>11676.09587878371</v>
      </c>
      <c r="J113" s="12">
        <f t="shared" si="6"/>
        <v>62595.397122225244</v>
      </c>
      <c r="M113" s="5">
        <f t="shared" si="5"/>
        <v>0</v>
      </c>
    </row>
    <row r="114" spans="1:13" ht="15">
      <c r="A114" s="9">
        <v>97</v>
      </c>
      <c r="B114" s="1">
        <v>8710</v>
      </c>
      <c r="D114" s="2" t="s">
        <v>270</v>
      </c>
      <c r="E114" s="2">
        <v>1</v>
      </c>
      <c r="F114" s="13">
        <v>293</v>
      </c>
      <c r="G114" s="12">
        <f t="shared" si="6"/>
        <v>66.7336587990077</v>
      </c>
      <c r="H114" s="12">
        <f t="shared" si="6"/>
        <v>37.25349564913912</v>
      </c>
      <c r="I114" s="12">
        <f t="shared" si="6"/>
        <v>3.2618482508750626</v>
      </c>
      <c r="J114" s="12">
        <f t="shared" si="6"/>
        <v>185.75099730097813</v>
      </c>
      <c r="M114" s="5">
        <f t="shared" si="5"/>
        <v>0</v>
      </c>
    </row>
    <row r="115" spans="1:13" ht="15">
      <c r="A115" s="9">
        <v>98</v>
      </c>
      <c r="B115" s="1">
        <v>8711</v>
      </c>
      <c r="D115" s="2" t="s">
        <v>271</v>
      </c>
      <c r="E115" s="2">
        <v>1</v>
      </c>
      <c r="F115" s="17">
        <v>3303</v>
      </c>
      <c r="G115" s="12">
        <f t="shared" si="6"/>
        <v>752.2910410004179</v>
      </c>
      <c r="H115" s="12">
        <f t="shared" si="6"/>
        <v>419.9600550481451</v>
      </c>
      <c r="I115" s="12">
        <f t="shared" si="6"/>
        <v>36.770937790581335</v>
      </c>
      <c r="J115" s="12">
        <f t="shared" si="6"/>
        <v>2093.977966160856</v>
      </c>
      <c r="M115" s="5">
        <f t="shared" si="5"/>
        <v>0</v>
      </c>
    </row>
    <row r="116" spans="1:13" ht="15">
      <c r="A116" s="9">
        <v>99</v>
      </c>
      <c r="B116" s="1">
        <v>8720</v>
      </c>
      <c r="D116" s="13" t="s">
        <v>272</v>
      </c>
      <c r="E116" s="13"/>
      <c r="F116" s="13">
        <v>0</v>
      </c>
      <c r="G116" s="2"/>
      <c r="H116" s="2"/>
      <c r="I116" s="2"/>
      <c r="M116" s="5">
        <f t="shared" si="5"/>
        <v>0</v>
      </c>
    </row>
    <row r="117" spans="1:13" ht="15">
      <c r="A117" s="9">
        <v>100</v>
      </c>
      <c r="B117" s="1">
        <v>8740</v>
      </c>
      <c r="D117" s="2" t="s">
        <v>273</v>
      </c>
      <c r="E117" s="2">
        <v>27</v>
      </c>
      <c r="F117" s="17">
        <v>2874065</v>
      </c>
      <c r="G117" s="12">
        <f aca="true" t="shared" si="7" ref="G117:J124">INDEX(ALLOC,($E117)+1,(G$1)+1)*$F117</f>
        <v>2421433.8632244985</v>
      </c>
      <c r="H117" s="12">
        <f t="shared" si="7"/>
        <v>337340.56886647793</v>
      </c>
      <c r="I117" s="12">
        <f t="shared" si="7"/>
        <v>7954.434091063174</v>
      </c>
      <c r="J117" s="12">
        <f t="shared" si="7"/>
        <v>107336.13381796076</v>
      </c>
      <c r="M117" s="5">
        <f t="shared" si="5"/>
        <v>0</v>
      </c>
    </row>
    <row r="118" spans="1:14" ht="15">
      <c r="A118" s="9">
        <v>101</v>
      </c>
      <c r="B118" s="1">
        <v>8750</v>
      </c>
      <c r="D118" s="13" t="s">
        <v>274</v>
      </c>
      <c r="E118" s="13">
        <v>12</v>
      </c>
      <c r="F118" s="17">
        <v>266973</v>
      </c>
      <c r="G118" s="12">
        <f t="shared" si="7"/>
        <v>219458.72269714615</v>
      </c>
      <c r="H118" s="12">
        <f t="shared" si="7"/>
        <v>32324.284499185225</v>
      </c>
      <c r="I118" s="12">
        <f t="shared" si="7"/>
        <v>930.7520163469687</v>
      </c>
      <c r="J118" s="12">
        <f t="shared" si="7"/>
        <v>14259.240787321674</v>
      </c>
      <c r="M118" s="5">
        <f t="shared" si="5"/>
        <v>0</v>
      </c>
      <c r="N118" s="1" t="s">
        <v>326</v>
      </c>
    </row>
    <row r="119" spans="1:13" ht="15">
      <c r="A119" s="9">
        <v>102</v>
      </c>
      <c r="B119" s="1">
        <v>8760</v>
      </c>
      <c r="D119" s="13" t="s">
        <v>275</v>
      </c>
      <c r="E119" s="13">
        <v>9</v>
      </c>
      <c r="F119" s="17">
        <v>23764</v>
      </c>
      <c r="G119" s="12">
        <f t="shared" si="7"/>
        <v>0</v>
      </c>
      <c r="H119" s="12">
        <f t="shared" si="7"/>
        <v>0</v>
      </c>
      <c r="I119" s="12">
        <f t="shared" si="7"/>
        <v>0</v>
      </c>
      <c r="J119" s="12">
        <f t="shared" si="7"/>
        <v>23764</v>
      </c>
      <c r="M119" s="5">
        <f t="shared" si="5"/>
        <v>0</v>
      </c>
    </row>
    <row r="120" spans="1:14" ht="15">
      <c r="A120" s="9">
        <v>103</v>
      </c>
      <c r="B120" s="1">
        <v>8770</v>
      </c>
      <c r="D120" s="13" t="s">
        <v>276</v>
      </c>
      <c r="E120" s="13">
        <v>13</v>
      </c>
      <c r="F120" s="17">
        <v>77553</v>
      </c>
      <c r="G120" s="12">
        <f t="shared" si="7"/>
        <v>63750.575231696734</v>
      </c>
      <c r="H120" s="12">
        <f t="shared" si="7"/>
        <v>9389.883006016757</v>
      </c>
      <c r="I120" s="12">
        <f t="shared" si="7"/>
        <v>270.3741993525805</v>
      </c>
      <c r="J120" s="12">
        <f t="shared" si="7"/>
        <v>4142.167562933921</v>
      </c>
      <c r="M120" s="5">
        <f t="shared" si="5"/>
        <v>0</v>
      </c>
      <c r="N120" s="1" t="s">
        <v>326</v>
      </c>
    </row>
    <row r="121" spans="1:13" ht="15">
      <c r="A121" s="9">
        <v>104</v>
      </c>
      <c r="B121" s="1">
        <v>8780</v>
      </c>
      <c r="D121" s="2" t="s">
        <v>277</v>
      </c>
      <c r="E121" s="2">
        <v>5</v>
      </c>
      <c r="F121" s="17">
        <v>818400</v>
      </c>
      <c r="G121" s="12">
        <f t="shared" si="7"/>
        <v>491682.5277960233</v>
      </c>
      <c r="H121" s="12">
        <f t="shared" si="7"/>
        <v>275286.7453987975</v>
      </c>
      <c r="I121" s="12">
        <f t="shared" si="7"/>
        <v>25529.461258419913</v>
      </c>
      <c r="J121" s="12">
        <f t="shared" si="7"/>
        <v>25901.265546759278</v>
      </c>
      <c r="M121" s="5">
        <f t="shared" si="5"/>
        <v>0</v>
      </c>
    </row>
    <row r="122" spans="1:13" ht="15">
      <c r="A122" s="9">
        <v>105</v>
      </c>
      <c r="B122" s="1">
        <v>8790</v>
      </c>
      <c r="D122" s="2" t="s">
        <v>278</v>
      </c>
      <c r="E122" s="2">
        <v>3</v>
      </c>
      <c r="F122" s="17">
        <v>20364</v>
      </c>
      <c r="G122" s="12">
        <f t="shared" si="7"/>
        <v>18094.354259552474</v>
      </c>
      <c r="H122" s="12">
        <f t="shared" si="7"/>
        <v>2220.756299876882</v>
      </c>
      <c r="I122" s="12">
        <f t="shared" si="7"/>
        <v>23.47476946037345</v>
      </c>
      <c r="J122" s="12">
        <f t="shared" si="7"/>
        <v>25.41467111027076</v>
      </c>
      <c r="M122" s="5">
        <f t="shared" si="5"/>
        <v>0</v>
      </c>
    </row>
    <row r="123" spans="1:13" ht="15">
      <c r="A123" s="9">
        <v>106</v>
      </c>
      <c r="B123" s="1">
        <v>8800</v>
      </c>
      <c r="D123" s="2" t="s">
        <v>279</v>
      </c>
      <c r="E123" s="2">
        <v>23</v>
      </c>
      <c r="F123" s="17">
        <v>139277</v>
      </c>
      <c r="G123" s="12">
        <f t="shared" si="7"/>
        <v>109522.87218627043</v>
      </c>
      <c r="H123" s="12">
        <f t="shared" si="7"/>
        <v>22291.56163760163</v>
      </c>
      <c r="I123" s="12">
        <f t="shared" si="7"/>
        <v>1173.1774150959188</v>
      </c>
      <c r="J123" s="12">
        <f t="shared" si="7"/>
        <v>6289.388761032035</v>
      </c>
      <c r="M123" s="5">
        <f t="shared" si="5"/>
        <v>0</v>
      </c>
    </row>
    <row r="124" spans="1:13" ht="15">
      <c r="A124" s="9">
        <v>107</v>
      </c>
      <c r="B124" s="1">
        <v>8810</v>
      </c>
      <c r="D124" s="1" t="s">
        <v>266</v>
      </c>
      <c r="E124" s="1">
        <v>23</v>
      </c>
      <c r="F124" s="11">
        <v>429632</v>
      </c>
      <c r="G124" s="12">
        <f t="shared" si="7"/>
        <v>337848.5365360522</v>
      </c>
      <c r="H124" s="12">
        <f t="shared" si="7"/>
        <v>68763.45849986763</v>
      </c>
      <c r="I124" s="12">
        <f t="shared" si="7"/>
        <v>3618.936071300285</v>
      </c>
      <c r="J124" s="12">
        <f t="shared" si="7"/>
        <v>19401.068892779964</v>
      </c>
      <c r="M124" s="5">
        <f t="shared" si="5"/>
        <v>0</v>
      </c>
    </row>
    <row r="125" spans="1:13" ht="15">
      <c r="A125" s="9">
        <v>108</v>
      </c>
      <c r="C125" s="2" t="s">
        <v>192</v>
      </c>
      <c r="D125" s="2"/>
      <c r="E125" s="2"/>
      <c r="F125" s="2"/>
      <c r="M125" s="5">
        <f t="shared" si="5"/>
        <v>0</v>
      </c>
    </row>
    <row r="126" spans="1:13" ht="15">
      <c r="A126" s="9">
        <v>109</v>
      </c>
      <c r="B126" s="1">
        <v>8850</v>
      </c>
      <c r="D126" s="13" t="s">
        <v>280</v>
      </c>
      <c r="E126" s="13">
        <v>23</v>
      </c>
      <c r="F126" s="17">
        <v>2748</v>
      </c>
      <c r="G126" s="12">
        <f aca="true" t="shared" si="8" ref="G126:J133">INDEX(ALLOC,($E126)+1,(G$1)+1)*$F126</f>
        <v>2160.9372169695725</v>
      </c>
      <c r="H126" s="12">
        <f t="shared" si="8"/>
        <v>439.8228808786036</v>
      </c>
      <c r="I126" s="12">
        <f t="shared" si="8"/>
        <v>23.14733614798987</v>
      </c>
      <c r="J126" s="12">
        <f t="shared" si="8"/>
        <v>124.09256600383432</v>
      </c>
      <c r="M126" s="5">
        <f t="shared" si="5"/>
        <v>0</v>
      </c>
    </row>
    <row r="127" spans="1:13" ht="15">
      <c r="A127" s="9">
        <v>110</v>
      </c>
      <c r="B127" s="1">
        <v>8860</v>
      </c>
      <c r="D127" s="13" t="s">
        <v>281</v>
      </c>
      <c r="E127" s="13">
        <v>31</v>
      </c>
      <c r="F127" s="17">
        <v>4337</v>
      </c>
      <c r="G127" s="12">
        <f t="shared" si="8"/>
        <v>3565.126362356953</v>
      </c>
      <c r="H127" s="12">
        <f t="shared" si="8"/>
        <v>525.1108609221394</v>
      </c>
      <c r="I127" s="12">
        <f t="shared" si="8"/>
        <v>15.120148834888932</v>
      </c>
      <c r="J127" s="12">
        <f t="shared" si="8"/>
        <v>231.64262788601877</v>
      </c>
      <c r="M127" s="5">
        <f t="shared" si="5"/>
        <v>0</v>
      </c>
    </row>
    <row r="128" spans="1:13" ht="15">
      <c r="A128" s="9">
        <v>111</v>
      </c>
      <c r="B128" s="1">
        <v>8870</v>
      </c>
      <c r="D128" s="2" t="s">
        <v>282</v>
      </c>
      <c r="E128" s="2">
        <v>31</v>
      </c>
      <c r="F128" s="17">
        <v>36400</v>
      </c>
      <c r="G128" s="12">
        <f t="shared" si="8"/>
        <v>29921.74304583654</v>
      </c>
      <c r="H128" s="12">
        <f t="shared" si="8"/>
        <v>4407.202060771472</v>
      </c>
      <c r="I128" s="12">
        <f t="shared" si="8"/>
        <v>126.90187170623867</v>
      </c>
      <c r="J128" s="12">
        <f t="shared" si="8"/>
        <v>1944.1530216857466</v>
      </c>
      <c r="M128" s="5">
        <f t="shared" si="5"/>
        <v>0</v>
      </c>
    </row>
    <row r="129" spans="1:13" ht="15">
      <c r="A129" s="9">
        <v>112</v>
      </c>
      <c r="B129" s="1">
        <v>8890</v>
      </c>
      <c r="D129" s="13" t="s">
        <v>283</v>
      </c>
      <c r="E129" s="13">
        <v>1</v>
      </c>
      <c r="F129" s="17">
        <v>6958</v>
      </c>
      <c r="G129" s="12">
        <f t="shared" si="8"/>
        <v>1584.7535765307016</v>
      </c>
      <c r="H129" s="12">
        <f t="shared" si="8"/>
        <v>884.6751628897952</v>
      </c>
      <c r="I129" s="12">
        <f t="shared" si="8"/>
        <v>77.46054651736753</v>
      </c>
      <c r="J129" s="12">
        <f t="shared" si="8"/>
        <v>4411.110714062135</v>
      </c>
      <c r="M129" s="5">
        <f t="shared" si="5"/>
        <v>0</v>
      </c>
    </row>
    <row r="130" spans="1:13" ht="15">
      <c r="A130" s="9">
        <v>113</v>
      </c>
      <c r="B130" s="1">
        <v>8900</v>
      </c>
      <c r="D130" s="13" t="s">
        <v>284</v>
      </c>
      <c r="E130" s="13">
        <v>31</v>
      </c>
      <c r="F130" s="17">
        <v>6189</v>
      </c>
      <c r="G130" s="12">
        <f t="shared" si="8"/>
        <v>5087.518343700065</v>
      </c>
      <c r="H130" s="12">
        <f t="shared" si="8"/>
        <v>749.3454273108418</v>
      </c>
      <c r="I130" s="12">
        <f t="shared" si="8"/>
        <v>21.57680450521734</v>
      </c>
      <c r="J130" s="12">
        <f t="shared" si="8"/>
        <v>330.559424483876</v>
      </c>
      <c r="M130" s="5">
        <f t="shared" si="5"/>
        <v>0</v>
      </c>
    </row>
    <row r="131" spans="1:13" ht="15">
      <c r="A131" s="9">
        <v>114</v>
      </c>
      <c r="B131" s="1">
        <v>8910</v>
      </c>
      <c r="D131" s="13" t="s">
        <v>285</v>
      </c>
      <c r="E131" s="13">
        <v>9</v>
      </c>
      <c r="F131" s="17">
        <v>4695</v>
      </c>
      <c r="G131" s="12">
        <f t="shared" si="8"/>
        <v>0</v>
      </c>
      <c r="H131" s="12">
        <f t="shared" si="8"/>
        <v>0</v>
      </c>
      <c r="I131" s="12">
        <f t="shared" si="8"/>
        <v>0</v>
      </c>
      <c r="J131" s="12">
        <f t="shared" si="8"/>
        <v>4695</v>
      </c>
      <c r="M131" s="5">
        <f t="shared" si="5"/>
        <v>0</v>
      </c>
    </row>
    <row r="132" spans="1:13" ht="15">
      <c r="A132" s="9">
        <v>115</v>
      </c>
      <c r="B132" s="1">
        <v>8920</v>
      </c>
      <c r="D132" s="13" t="s">
        <v>286</v>
      </c>
      <c r="E132" s="13">
        <v>31</v>
      </c>
      <c r="F132" s="17">
        <v>13741</v>
      </c>
      <c r="G132" s="12">
        <f t="shared" si="8"/>
        <v>11295.457999803295</v>
      </c>
      <c r="H132" s="12">
        <f t="shared" si="8"/>
        <v>1663.7187779412309</v>
      </c>
      <c r="I132" s="12">
        <f t="shared" si="8"/>
        <v>47.9054565691051</v>
      </c>
      <c r="J132" s="12">
        <f t="shared" si="8"/>
        <v>733.9177656863694</v>
      </c>
      <c r="M132" s="5">
        <f t="shared" si="5"/>
        <v>0</v>
      </c>
    </row>
    <row r="133" spans="1:13" ht="15">
      <c r="A133" s="9">
        <v>116</v>
      </c>
      <c r="B133" s="1">
        <v>8930</v>
      </c>
      <c r="D133" s="2" t="s">
        <v>287</v>
      </c>
      <c r="E133" s="2">
        <v>3</v>
      </c>
      <c r="F133" s="17">
        <v>48651</v>
      </c>
      <c r="G133" s="12">
        <f t="shared" si="8"/>
        <v>43228.65984489724</v>
      </c>
      <c r="H133" s="12">
        <f t="shared" si="8"/>
        <v>5305.53991088736</v>
      </c>
      <c r="I133" s="12">
        <f t="shared" si="8"/>
        <v>56.08284271344671</v>
      </c>
      <c r="J133" s="12">
        <f t="shared" si="8"/>
        <v>60.71740150195358</v>
      </c>
      <c r="M133" s="5">
        <f t="shared" si="5"/>
        <v>0</v>
      </c>
    </row>
    <row r="134" spans="1:13" ht="15">
      <c r="A134" s="9">
        <v>117</v>
      </c>
      <c r="B134" s="1">
        <v>8940</v>
      </c>
      <c r="C134" s="2"/>
      <c r="D134" s="13" t="s">
        <v>288</v>
      </c>
      <c r="E134" s="13">
        <v>5</v>
      </c>
      <c r="F134" s="17">
        <v>14595</v>
      </c>
      <c r="G134" s="12">
        <f ca="1">INDEX(ALLOC,($E134)+1,(G$1)+1)*$F134</f>
        <v>8768.458569382894</v>
      </c>
      <c r="H134" s="12">
        <f ca="1">INDEX(ALLOC,($E134)+1,(H$1)+1)*$F134</f>
        <v>4909.3475673209305</v>
      </c>
      <c r="I134" s="12">
        <f ca="1">INDEX(ALLOC,($E134)+1,(I$1)+1)*$F134</f>
        <v>455.2816313130971</v>
      </c>
      <c r="J134" s="12">
        <f ca="1">INDEX(ALLOC,($E134)+1,(J$1)+1)*$F134</f>
        <v>461.91223198307875</v>
      </c>
      <c r="M134" s="5">
        <f t="shared" si="5"/>
        <v>0</v>
      </c>
    </row>
    <row r="135" spans="1:13" ht="15">
      <c r="A135" s="9">
        <v>118</v>
      </c>
      <c r="B135" s="1">
        <v>8950</v>
      </c>
      <c r="D135" s="2" t="s">
        <v>289</v>
      </c>
      <c r="E135" s="2"/>
      <c r="F135" s="13">
        <v>0</v>
      </c>
      <c r="G135" s="2"/>
      <c r="H135" s="2"/>
      <c r="I135" s="2"/>
      <c r="M135" s="5">
        <f t="shared" si="5"/>
        <v>0</v>
      </c>
    </row>
    <row r="136" spans="1:13" ht="15">
      <c r="A136" s="9">
        <v>119</v>
      </c>
      <c r="C136" s="13" t="s">
        <v>199</v>
      </c>
      <c r="D136" s="2"/>
      <c r="E136" s="2"/>
      <c r="F136" s="18">
        <f>SUM(F113:F135)</f>
        <v>6178098</v>
      </c>
      <c r="G136" s="18">
        <f>SUM(G113:G135)</f>
        <v>4858253.96589712</v>
      </c>
      <c r="H136" s="18">
        <f>SUM(H113:H135)</f>
        <v>988816.9070998321</v>
      </c>
      <c r="I136" s="18">
        <f>SUM(I113:I135)</f>
        <v>52040.215124171715</v>
      </c>
      <c r="J136" s="18">
        <f>SUM(J113:J135)</f>
        <v>278986.91187887796</v>
      </c>
      <c r="M136" s="5">
        <f t="shared" si="5"/>
        <v>0</v>
      </c>
    </row>
    <row r="137" spans="1:13" ht="15">
      <c r="A137" s="9">
        <v>120</v>
      </c>
      <c r="D137" s="2"/>
      <c r="E137" s="2"/>
      <c r="F137" s="2"/>
      <c r="M137" s="5">
        <f t="shared" si="5"/>
        <v>0</v>
      </c>
    </row>
    <row r="138" spans="1:13" ht="15">
      <c r="A138" s="9">
        <v>121</v>
      </c>
      <c r="C138" s="13" t="s">
        <v>200</v>
      </c>
      <c r="D138" s="2"/>
      <c r="E138" s="2"/>
      <c r="F138" s="2"/>
      <c r="M138" s="5">
        <f t="shared" si="5"/>
        <v>0</v>
      </c>
    </row>
    <row r="139" spans="1:13" ht="15">
      <c r="A139" s="9">
        <v>122</v>
      </c>
      <c r="B139" s="1">
        <v>9010</v>
      </c>
      <c r="D139" s="2" t="s">
        <v>290</v>
      </c>
      <c r="E139" s="2">
        <v>3</v>
      </c>
      <c r="F139" s="13">
        <v>-202</v>
      </c>
      <c r="G139" s="12">
        <f aca="true" t="shared" si="9" ref="G139:J141">INDEX(ALLOC,($E139)+1,(G$1)+1)*$F139</f>
        <v>-179.4863268724023</v>
      </c>
      <c r="H139" s="12">
        <f t="shared" si="9"/>
        <v>-22.028715997600184</v>
      </c>
      <c r="I139" s="12">
        <f t="shared" si="9"/>
        <v>-0.23285717103690026</v>
      </c>
      <c r="J139" s="12">
        <f t="shared" si="9"/>
        <v>-0.25209995896065085</v>
      </c>
      <c r="M139" s="5">
        <f t="shared" si="5"/>
        <v>0</v>
      </c>
    </row>
    <row r="140" spans="1:13" ht="15">
      <c r="A140" s="9">
        <v>123</v>
      </c>
      <c r="B140" s="1">
        <v>9020</v>
      </c>
      <c r="D140" s="2" t="s">
        <v>291</v>
      </c>
      <c r="E140" s="2">
        <v>3</v>
      </c>
      <c r="F140" s="17">
        <v>1321394</v>
      </c>
      <c r="G140" s="12">
        <f t="shared" si="9"/>
        <v>1174119.5812437185</v>
      </c>
      <c r="H140" s="12">
        <f t="shared" si="9"/>
        <v>144102.04528184605</v>
      </c>
      <c r="I140" s="12">
        <f t="shared" si="9"/>
        <v>1523.2478646788802</v>
      </c>
      <c r="J140" s="12">
        <f t="shared" si="9"/>
        <v>1649.1256097566843</v>
      </c>
      <c r="M140" s="5">
        <f t="shared" si="5"/>
        <v>0</v>
      </c>
    </row>
    <row r="141" spans="1:13" ht="15">
      <c r="A141" s="9">
        <v>124</v>
      </c>
      <c r="B141" s="1">
        <v>9030</v>
      </c>
      <c r="D141" s="13" t="s">
        <v>292</v>
      </c>
      <c r="E141" s="13">
        <v>3</v>
      </c>
      <c r="F141" s="17">
        <v>357551</v>
      </c>
      <c r="G141" s="12">
        <f t="shared" si="9"/>
        <v>317700.572572051</v>
      </c>
      <c r="H141" s="12">
        <f t="shared" si="9"/>
        <v>38992.026899296754</v>
      </c>
      <c r="I141" s="12">
        <f t="shared" si="9"/>
        <v>412.1698730763105</v>
      </c>
      <c r="J141" s="12">
        <f t="shared" si="9"/>
        <v>446.23065557593895</v>
      </c>
      <c r="M141" s="5">
        <f t="shared" si="5"/>
        <v>0</v>
      </c>
    </row>
    <row r="142" spans="1:13" ht="15">
      <c r="A142" s="9">
        <v>125</v>
      </c>
      <c r="B142" s="1">
        <v>9040</v>
      </c>
      <c r="C142" s="2"/>
      <c r="D142" s="2" t="s">
        <v>293</v>
      </c>
      <c r="E142" s="2">
        <v>3</v>
      </c>
      <c r="F142" s="17">
        <v>324479</v>
      </c>
      <c r="G142" s="12">
        <f ca="1">INDEX(ALLOC,($E142)+1,(G$1)+1)*$F142</f>
        <v>288314.5735506446</v>
      </c>
      <c r="H142" s="12">
        <f ca="1">INDEX(ALLOC,($E142)+1,(H$1)+1)*$F142</f>
        <v>35385.42444646193</v>
      </c>
      <c r="I142" s="12">
        <f ca="1">INDEX(ALLOC,($E142)+1,(I$1)+1)*$F142</f>
        <v>374.0458514895166</v>
      </c>
      <c r="J142" s="12">
        <f ca="1">INDEX(ALLOC,($E142)+1,(J$1)+1)*$F142</f>
        <v>404.95615140392584</v>
      </c>
      <c r="M142" s="5">
        <f t="shared" si="5"/>
        <v>0</v>
      </c>
    </row>
    <row r="143" spans="1:13" ht="15">
      <c r="A143" s="9">
        <v>126</v>
      </c>
      <c r="B143" s="1">
        <v>9050</v>
      </c>
      <c r="D143" s="13" t="s">
        <v>294</v>
      </c>
      <c r="E143" s="13">
        <v>3</v>
      </c>
      <c r="F143" s="13">
        <v>0</v>
      </c>
      <c r="G143" s="12"/>
      <c r="H143" s="12"/>
      <c r="I143" s="12"/>
      <c r="J143" s="12"/>
      <c r="M143" s="5">
        <f t="shared" si="5"/>
        <v>0</v>
      </c>
    </row>
    <row r="144" spans="1:13" ht="15">
      <c r="A144" s="9">
        <v>127</v>
      </c>
      <c r="C144" s="13" t="s">
        <v>201</v>
      </c>
      <c r="D144" s="2"/>
      <c r="E144" s="2"/>
      <c r="F144" s="18">
        <f>SUM(F139:F143)</f>
        <v>2003222</v>
      </c>
      <c r="G144" s="18">
        <f>SUM(G139:G143)</f>
        <v>1779955.2410395418</v>
      </c>
      <c r="H144" s="18">
        <f>SUM(H139:H143)</f>
        <v>218457.46791160712</v>
      </c>
      <c r="I144" s="18">
        <f>SUM(I139:I143)</f>
        <v>2309.2307320736704</v>
      </c>
      <c r="J144" s="18">
        <f>SUM(J139:J143)</f>
        <v>2500.060316777589</v>
      </c>
      <c r="M144" s="5">
        <f t="shared" si="5"/>
        <v>0</v>
      </c>
    </row>
    <row r="145" spans="1:13" ht="15">
      <c r="A145" s="9">
        <v>128</v>
      </c>
      <c r="D145" s="2"/>
      <c r="E145" s="2"/>
      <c r="F145" s="2"/>
      <c r="M145" s="5">
        <f t="shared" si="5"/>
        <v>0</v>
      </c>
    </row>
    <row r="146" spans="1:13" ht="15">
      <c r="A146" s="9">
        <v>129</v>
      </c>
      <c r="C146" s="13" t="s">
        <v>202</v>
      </c>
      <c r="D146" s="2"/>
      <c r="E146" s="2"/>
      <c r="F146" s="2"/>
      <c r="G146" s="2"/>
      <c r="H146" s="2"/>
      <c r="M146" s="5">
        <f t="shared" si="5"/>
        <v>0</v>
      </c>
    </row>
    <row r="147" spans="1:13" ht="15">
      <c r="A147" s="9">
        <v>130</v>
      </c>
      <c r="B147" s="1">
        <v>9070</v>
      </c>
      <c r="D147" s="2" t="s">
        <v>290</v>
      </c>
      <c r="E147" s="2"/>
      <c r="F147" s="13">
        <v>0</v>
      </c>
      <c r="G147" s="2"/>
      <c r="M147" s="5">
        <f t="shared" si="5"/>
        <v>0</v>
      </c>
    </row>
    <row r="148" spans="1:13" ht="15">
      <c r="A148" s="9">
        <v>131</v>
      </c>
      <c r="B148" s="1">
        <v>9080</v>
      </c>
      <c r="D148" s="2" t="s">
        <v>295</v>
      </c>
      <c r="E148" s="2"/>
      <c r="F148" s="13">
        <v>0</v>
      </c>
      <c r="G148" s="2"/>
      <c r="H148" s="2"/>
      <c r="M148" s="5">
        <f t="shared" si="5"/>
        <v>0</v>
      </c>
    </row>
    <row r="149" spans="1:13" ht="15">
      <c r="A149" s="9">
        <v>132</v>
      </c>
      <c r="B149" s="1">
        <v>9090</v>
      </c>
      <c r="C149" s="2"/>
      <c r="D149" s="13" t="s">
        <v>296</v>
      </c>
      <c r="E149" s="13">
        <v>3</v>
      </c>
      <c r="F149" s="17">
        <v>133918</v>
      </c>
      <c r="G149" s="12">
        <f>INDEX(ALLOC,($E149)+1,(G$1)+1)*$F149</f>
        <v>118992.32634702162</v>
      </c>
      <c r="H149" s="12">
        <f>INDEX(ALLOC,($E149)+1,(H$1)+1)*$F149</f>
        <v>14604.166282012979</v>
      </c>
      <c r="I149" s="12">
        <f>INDEX(ALLOC,($E149)+1,(I$1)+1)*$F149</f>
        <v>154.3750823312852</v>
      </c>
      <c r="J149" s="12">
        <f>INDEX(ALLOC,($E149)+1,(J$1)+1)*$F149</f>
        <v>167.13228863412098</v>
      </c>
      <c r="M149" s="5">
        <f t="shared" si="5"/>
        <v>0</v>
      </c>
    </row>
    <row r="150" spans="1:13" ht="15">
      <c r="A150" s="9">
        <v>133</v>
      </c>
      <c r="B150" s="1">
        <v>9100</v>
      </c>
      <c r="D150" s="13" t="s">
        <v>297</v>
      </c>
      <c r="E150" s="13"/>
      <c r="F150" s="13">
        <v>0</v>
      </c>
      <c r="G150" s="2"/>
      <c r="H150" s="2"/>
      <c r="I150" s="2"/>
      <c r="M150" s="5">
        <f t="shared" si="5"/>
        <v>0</v>
      </c>
    </row>
    <row r="151" spans="1:13" ht="15">
      <c r="A151" s="9">
        <v>134</v>
      </c>
      <c r="C151" s="2" t="s">
        <v>203</v>
      </c>
      <c r="D151" s="2"/>
      <c r="E151" s="2"/>
      <c r="F151" s="18">
        <f>SUM(F147:F150)</f>
        <v>133918</v>
      </c>
      <c r="G151" s="18">
        <f>SUM(G147:G150)</f>
        <v>118992.32634702162</v>
      </c>
      <c r="H151" s="18">
        <f>SUM(H147:H150)</f>
        <v>14604.166282012979</v>
      </c>
      <c r="I151" s="18">
        <f>SUM(I147:I150)</f>
        <v>154.3750823312852</v>
      </c>
      <c r="J151" s="18">
        <f>SUM(J147:J150)</f>
        <v>167.13228863412098</v>
      </c>
      <c r="M151" s="5">
        <f t="shared" si="5"/>
        <v>0</v>
      </c>
    </row>
    <row r="152" spans="1:13" ht="15">
      <c r="A152" s="9">
        <v>135</v>
      </c>
      <c r="D152" s="2"/>
      <c r="E152" s="2"/>
      <c r="F152" s="2"/>
      <c r="M152" s="5">
        <f t="shared" si="5"/>
        <v>0</v>
      </c>
    </row>
    <row r="153" spans="1:13" ht="15">
      <c r="A153" s="9">
        <v>136</v>
      </c>
      <c r="C153" s="2" t="s">
        <v>204</v>
      </c>
      <c r="D153" s="2"/>
      <c r="E153" s="2"/>
      <c r="F153" s="2"/>
      <c r="M153" s="5">
        <f t="shared" si="5"/>
        <v>0</v>
      </c>
    </row>
    <row r="154" spans="1:13" ht="15">
      <c r="A154" s="9">
        <v>137</v>
      </c>
      <c r="B154" s="1">
        <v>9110</v>
      </c>
      <c r="D154" s="2" t="s">
        <v>290</v>
      </c>
      <c r="E154" s="2">
        <v>3</v>
      </c>
      <c r="F154" s="17">
        <v>218372</v>
      </c>
      <c r="G154" s="12">
        <f aca="true" t="shared" si="10" ref="G154:J156">INDEX(ALLOC,($E154)+1,(G$1)+1)*$F154</f>
        <v>194033.60481079321</v>
      </c>
      <c r="H154" s="12">
        <f t="shared" si="10"/>
        <v>23814.13252390073</v>
      </c>
      <c r="I154" s="12">
        <f t="shared" si="10"/>
        <v>251.7301294736138</v>
      </c>
      <c r="J154" s="12">
        <f t="shared" si="10"/>
        <v>272.5325358324517</v>
      </c>
      <c r="M154" s="5">
        <f t="shared" si="5"/>
        <v>0</v>
      </c>
    </row>
    <row r="155" spans="1:13" ht="15">
      <c r="A155" s="9">
        <v>138</v>
      </c>
      <c r="B155" s="1">
        <v>9120</v>
      </c>
      <c r="D155" s="13" t="s">
        <v>298</v>
      </c>
      <c r="E155" s="13">
        <v>3</v>
      </c>
      <c r="F155" s="17">
        <v>86711</v>
      </c>
      <c r="G155" s="12">
        <f t="shared" si="10"/>
        <v>77046.72717541027</v>
      </c>
      <c r="H155" s="12">
        <f t="shared" si="10"/>
        <v>9456.098974593611</v>
      </c>
      <c r="I155" s="12">
        <f t="shared" si="10"/>
        <v>99.95682256327059</v>
      </c>
      <c r="J155" s="12">
        <f t="shared" si="10"/>
        <v>108.21702743285641</v>
      </c>
      <c r="M155" s="5">
        <f t="shared" si="5"/>
        <v>0</v>
      </c>
    </row>
    <row r="156" spans="1:13" ht="15">
      <c r="A156" s="9">
        <v>139</v>
      </c>
      <c r="B156" s="1">
        <v>9130</v>
      </c>
      <c r="C156" s="2"/>
      <c r="D156" s="2" t="s">
        <v>299</v>
      </c>
      <c r="E156" s="2">
        <v>3</v>
      </c>
      <c r="F156" s="17">
        <v>10934</v>
      </c>
      <c r="G156" s="12">
        <f t="shared" si="10"/>
        <v>9715.36385159825</v>
      </c>
      <c r="H156" s="12">
        <f t="shared" si="10"/>
        <v>1192.3860431572298</v>
      </c>
      <c r="I156" s="12">
        <f t="shared" si="10"/>
        <v>12.604258951076572</v>
      </c>
      <c r="J156" s="12">
        <f t="shared" si="10"/>
        <v>13.645846293444338</v>
      </c>
      <c r="M156" s="5">
        <f t="shared" si="5"/>
        <v>0</v>
      </c>
    </row>
    <row r="157" spans="1:13" ht="15">
      <c r="A157" s="9">
        <v>140</v>
      </c>
      <c r="B157" s="1">
        <v>9160</v>
      </c>
      <c r="D157" s="2" t="s">
        <v>300</v>
      </c>
      <c r="E157" s="2"/>
      <c r="F157" s="13">
        <v>0</v>
      </c>
      <c r="G157" s="2"/>
      <c r="H157" s="2"/>
      <c r="M157" s="5">
        <f t="shared" si="5"/>
        <v>0</v>
      </c>
    </row>
    <row r="158" spans="1:13" ht="15">
      <c r="A158" s="9">
        <v>141</v>
      </c>
      <c r="C158" s="2" t="s">
        <v>205</v>
      </c>
      <c r="D158" s="2"/>
      <c r="E158" s="2"/>
      <c r="F158" s="18">
        <f>SUM(F154:F157)</f>
        <v>316017</v>
      </c>
      <c r="G158" s="18">
        <f>SUM(G154:G157)</f>
        <v>280795.69583780173</v>
      </c>
      <c r="H158" s="18">
        <f>SUM(H154:H157)</f>
        <v>34462.617541651576</v>
      </c>
      <c r="I158" s="18">
        <f>SUM(I154:I157)</f>
        <v>364.291210987961</v>
      </c>
      <c r="J158" s="18">
        <f>SUM(J154:J157)</f>
        <v>394.3954095587524</v>
      </c>
      <c r="M158" s="5">
        <f t="shared" si="5"/>
        <v>0</v>
      </c>
    </row>
    <row r="159" spans="1:13" ht="15">
      <c r="A159" s="9">
        <v>142</v>
      </c>
      <c r="D159" s="2"/>
      <c r="E159" s="2"/>
      <c r="F159" s="2"/>
      <c r="M159" s="5">
        <f t="shared" si="5"/>
        <v>0</v>
      </c>
    </row>
    <row r="160" spans="1:13" ht="15">
      <c r="A160" s="9">
        <v>143</v>
      </c>
      <c r="C160" s="13" t="s">
        <v>206</v>
      </c>
      <c r="D160" s="2"/>
      <c r="E160" s="2"/>
      <c r="F160" s="2"/>
      <c r="G160" s="2"/>
      <c r="M160" s="5">
        <f t="shared" si="5"/>
        <v>0</v>
      </c>
    </row>
    <row r="161" spans="1:13" ht="15">
      <c r="A161" s="9">
        <v>144</v>
      </c>
      <c r="C161" s="2" t="s">
        <v>191</v>
      </c>
      <c r="D161" s="2"/>
      <c r="E161" s="2"/>
      <c r="F161" s="2"/>
      <c r="M161" s="5">
        <f t="shared" si="5"/>
        <v>0</v>
      </c>
    </row>
    <row r="162" spans="1:13" ht="15">
      <c r="A162" s="9">
        <v>145</v>
      </c>
      <c r="B162" s="1">
        <v>9200</v>
      </c>
      <c r="D162" s="2" t="s">
        <v>301</v>
      </c>
      <c r="E162" s="2">
        <v>44</v>
      </c>
      <c r="F162" s="17">
        <v>394702</v>
      </c>
      <c r="G162" s="12">
        <f aca="true" t="shared" si="11" ref="G162:J171">INDEX(ALLOC,($E162)+1,(G$1)+1)*$F162</f>
        <v>319573.4712464017</v>
      </c>
      <c r="H162" s="12">
        <f t="shared" si="11"/>
        <v>58551.45492666273</v>
      </c>
      <c r="I162" s="12">
        <f t="shared" si="11"/>
        <v>2666.8537716764663</v>
      </c>
      <c r="J162" s="12">
        <f t="shared" si="11"/>
        <v>13910.220055259086</v>
      </c>
      <c r="M162" s="5">
        <f t="shared" si="5"/>
        <v>0</v>
      </c>
    </row>
    <row r="163" spans="1:13" ht="15">
      <c r="A163" s="9">
        <v>146</v>
      </c>
      <c r="B163" s="1">
        <v>9210</v>
      </c>
      <c r="D163" s="2" t="s">
        <v>302</v>
      </c>
      <c r="E163" s="2">
        <v>44</v>
      </c>
      <c r="F163" s="17">
        <v>-1391</v>
      </c>
      <c r="G163" s="12">
        <f t="shared" si="11"/>
        <v>-1126.233711771779</v>
      </c>
      <c r="H163" s="12">
        <f t="shared" si="11"/>
        <v>-206.34573375100166</v>
      </c>
      <c r="I163" s="12">
        <f t="shared" si="11"/>
        <v>-9.398466682210794</v>
      </c>
      <c r="J163" s="12">
        <f t="shared" si="11"/>
        <v>-49.02208779500835</v>
      </c>
      <c r="M163" s="5">
        <f t="shared" si="5"/>
        <v>0</v>
      </c>
    </row>
    <row r="164" spans="1:13" ht="15">
      <c r="A164" s="9">
        <v>147</v>
      </c>
      <c r="B164" s="1">
        <v>9220</v>
      </c>
      <c r="D164" s="13" t="s">
        <v>303</v>
      </c>
      <c r="E164" s="13">
        <v>10</v>
      </c>
      <c r="F164" s="17">
        <v>13071350</v>
      </c>
      <c r="G164" s="12">
        <f t="shared" si="11"/>
        <v>9702620.354350178</v>
      </c>
      <c r="H164" s="12">
        <f t="shared" si="11"/>
        <v>2158939.8767435797</v>
      </c>
      <c r="I164" s="12">
        <f t="shared" si="11"/>
        <v>126041.97639079652</v>
      </c>
      <c r="J164" s="12">
        <f t="shared" si="11"/>
        <v>1083747.792515446</v>
      </c>
      <c r="M164" s="5">
        <f t="shared" si="5"/>
        <v>0</v>
      </c>
    </row>
    <row r="165" spans="1:13" ht="15">
      <c r="A165" s="9">
        <v>148</v>
      </c>
      <c r="B165" s="1">
        <v>9220</v>
      </c>
      <c r="D165" s="13" t="s">
        <v>304</v>
      </c>
      <c r="E165" s="13">
        <v>44</v>
      </c>
      <c r="F165" s="17">
        <v>0</v>
      </c>
      <c r="G165" s="12">
        <f t="shared" si="11"/>
        <v>0</v>
      </c>
      <c r="H165" s="12">
        <f t="shared" si="11"/>
        <v>0</v>
      </c>
      <c r="I165" s="12">
        <f t="shared" si="11"/>
        <v>0</v>
      </c>
      <c r="J165" s="12">
        <f t="shared" si="11"/>
        <v>0</v>
      </c>
      <c r="M165" s="5">
        <f t="shared" si="5"/>
        <v>0</v>
      </c>
    </row>
    <row r="166" spans="1:13" ht="15">
      <c r="A166" s="9">
        <v>149</v>
      </c>
      <c r="B166" s="1">
        <v>9230</v>
      </c>
      <c r="D166" s="2" t="s">
        <v>305</v>
      </c>
      <c r="E166" s="2">
        <v>44</v>
      </c>
      <c r="F166" s="17">
        <v>158905</v>
      </c>
      <c r="G166" s="12">
        <f t="shared" si="11"/>
        <v>128658.6398052441</v>
      </c>
      <c r="H166" s="12">
        <f t="shared" si="11"/>
        <v>23572.515328327045</v>
      </c>
      <c r="I166" s="12">
        <f t="shared" si="11"/>
        <v>1073.6616449580922</v>
      </c>
      <c r="J166" s="12">
        <f t="shared" si="11"/>
        <v>5600.183221470742</v>
      </c>
      <c r="M166" s="5">
        <f t="shared" si="5"/>
        <v>0</v>
      </c>
    </row>
    <row r="167" spans="1:13" ht="15">
      <c r="A167" s="9">
        <v>150</v>
      </c>
      <c r="B167" s="1">
        <v>9240</v>
      </c>
      <c r="D167" s="2" t="s">
        <v>306</v>
      </c>
      <c r="E167" s="2">
        <v>19</v>
      </c>
      <c r="F167" s="17">
        <v>74698</v>
      </c>
      <c r="G167" s="12">
        <f t="shared" si="11"/>
        <v>55825.200318562034</v>
      </c>
      <c r="H167" s="12">
        <f t="shared" si="11"/>
        <v>12726.92084949129</v>
      </c>
      <c r="I167" s="12">
        <f t="shared" si="11"/>
        <v>759.4864153760224</v>
      </c>
      <c r="J167" s="12">
        <f t="shared" si="11"/>
        <v>5386.392416570656</v>
      </c>
      <c r="M167" s="5">
        <f t="shared" si="5"/>
        <v>0</v>
      </c>
    </row>
    <row r="168" spans="1:13" ht="15">
      <c r="A168" s="9">
        <v>151</v>
      </c>
      <c r="B168" s="1">
        <v>9250</v>
      </c>
      <c r="D168" s="2" t="s">
        <v>307</v>
      </c>
      <c r="E168" s="2">
        <v>44</v>
      </c>
      <c r="F168" s="17">
        <v>18686</v>
      </c>
      <c r="G168" s="12">
        <f t="shared" si="11"/>
        <v>15129.261781572584</v>
      </c>
      <c r="H168" s="12">
        <f t="shared" si="11"/>
        <v>2771.94563685925</v>
      </c>
      <c r="I168" s="12">
        <f t="shared" si="11"/>
        <v>126.2543123104176</v>
      </c>
      <c r="J168" s="12">
        <f t="shared" si="11"/>
        <v>658.5382692577471</v>
      </c>
      <c r="M168" s="5">
        <f t="shared" si="5"/>
        <v>0</v>
      </c>
    </row>
    <row r="169" spans="1:13" ht="15">
      <c r="A169" s="9">
        <v>152</v>
      </c>
      <c r="B169" s="1">
        <v>9260</v>
      </c>
      <c r="D169" s="2" t="s">
        <v>308</v>
      </c>
      <c r="E169" s="2">
        <v>44</v>
      </c>
      <c r="F169" s="17">
        <v>3269740</v>
      </c>
      <c r="G169" s="12">
        <f t="shared" si="11"/>
        <v>2647369.8179213926</v>
      </c>
      <c r="H169" s="12">
        <f t="shared" si="11"/>
        <v>485044.49998202745</v>
      </c>
      <c r="I169" s="12">
        <f t="shared" si="11"/>
        <v>22092.410100281755</v>
      </c>
      <c r="J169" s="12">
        <f t="shared" si="11"/>
        <v>115233.27199629806</v>
      </c>
      <c r="M169" s="5">
        <f aca="true" t="shared" si="12" ref="M169:M232">SUM(G169:J169)-F169</f>
        <v>0</v>
      </c>
    </row>
    <row r="170" spans="1:13" ht="15">
      <c r="A170" s="9">
        <v>153</v>
      </c>
      <c r="B170" s="1">
        <v>9270</v>
      </c>
      <c r="D170" s="2" t="s">
        <v>309</v>
      </c>
      <c r="E170" s="2">
        <v>3</v>
      </c>
      <c r="F170" s="17">
        <v>2840</v>
      </c>
      <c r="G170" s="12">
        <f t="shared" si="11"/>
        <v>2523.4711302852597</v>
      </c>
      <c r="H170" s="12">
        <f t="shared" si="11"/>
        <v>309.7106605603194</v>
      </c>
      <c r="I170" s="12">
        <f t="shared" si="11"/>
        <v>3.2738334937861224</v>
      </c>
      <c r="J170" s="12">
        <f t="shared" si="11"/>
        <v>3.544375660634893</v>
      </c>
      <c r="M170" s="5">
        <f t="shared" si="12"/>
        <v>0</v>
      </c>
    </row>
    <row r="171" spans="1:13" ht="15">
      <c r="A171" s="9">
        <v>154</v>
      </c>
      <c r="B171" s="1">
        <v>9280</v>
      </c>
      <c r="D171" s="2" t="s">
        <v>310</v>
      </c>
      <c r="E171" s="2">
        <v>3</v>
      </c>
      <c r="F171" s="17">
        <v>111840</v>
      </c>
      <c r="G171" s="12">
        <f t="shared" si="11"/>
        <v>99375.00394757163</v>
      </c>
      <c r="H171" s="12">
        <f t="shared" si="11"/>
        <v>12196.493055304974</v>
      </c>
      <c r="I171" s="12">
        <f t="shared" si="11"/>
        <v>128.92448519191547</v>
      </c>
      <c r="J171" s="12">
        <f t="shared" si="11"/>
        <v>139.57851193148113</v>
      </c>
      <c r="M171" s="5">
        <f t="shared" si="12"/>
        <v>0</v>
      </c>
    </row>
    <row r="172" spans="1:13" ht="15">
      <c r="A172" s="9">
        <v>155</v>
      </c>
      <c r="B172" s="1">
        <v>930.1</v>
      </c>
      <c r="D172" s="2" t="s">
        <v>311</v>
      </c>
      <c r="E172" s="2">
        <v>3</v>
      </c>
      <c r="F172" s="13">
        <v>0</v>
      </c>
      <c r="G172" s="12">
        <f ca="1">INDEX(ALLOC,($E172)+1,(G$1)+1)*$F172</f>
        <v>0</v>
      </c>
      <c r="H172" s="12">
        <f ca="1">INDEX(ALLOC,($E172)+1,(H$1)+1)*$F172</f>
        <v>0</v>
      </c>
      <c r="I172" s="12">
        <f ca="1">INDEX(ALLOC,($E172)+1,(I$1)+1)*$F172</f>
        <v>0</v>
      </c>
      <c r="J172" s="12">
        <f ca="1">INDEX(ALLOC,($E172)+1,(J$1)+1)*$F172</f>
        <v>0</v>
      </c>
      <c r="M172" s="5">
        <f t="shared" si="12"/>
        <v>0</v>
      </c>
    </row>
    <row r="173" spans="1:13" ht="15">
      <c r="A173" s="9">
        <v>156</v>
      </c>
      <c r="B173" s="1">
        <v>930.2</v>
      </c>
      <c r="D173" s="2" t="s">
        <v>312</v>
      </c>
      <c r="E173" s="2">
        <v>44</v>
      </c>
      <c r="F173" s="17">
        <v>39537</v>
      </c>
      <c r="G173" s="12">
        <f aca="true" t="shared" si="13" ref="G173:J174">INDEX(ALLOC,($E173)+1,(G$1)+1)*$F173</f>
        <v>32011.43225184819</v>
      </c>
      <c r="H173" s="12">
        <f t="shared" si="13"/>
        <v>5865.0548348766015</v>
      </c>
      <c r="I173" s="12">
        <f t="shared" si="13"/>
        <v>267.1367197804228</v>
      </c>
      <c r="J173" s="12">
        <f t="shared" si="13"/>
        <v>1393.3761934947845</v>
      </c>
      <c r="M173" s="5">
        <f t="shared" si="12"/>
        <v>0</v>
      </c>
    </row>
    <row r="174" spans="1:13" ht="15">
      <c r="A174" s="9">
        <v>157</v>
      </c>
      <c r="B174" s="1">
        <v>9310</v>
      </c>
      <c r="D174" s="1" t="s">
        <v>266</v>
      </c>
      <c r="E174" s="1">
        <v>44</v>
      </c>
      <c r="F174" s="11">
        <v>36305</v>
      </c>
      <c r="G174" s="12">
        <f t="shared" si="13"/>
        <v>29394.61891148414</v>
      </c>
      <c r="H174" s="12">
        <f t="shared" si="13"/>
        <v>5385.608816556517</v>
      </c>
      <c r="I174" s="12">
        <f t="shared" si="13"/>
        <v>245.29930474310774</v>
      </c>
      <c r="J174" s="12">
        <f t="shared" si="13"/>
        <v>1279.4729672162316</v>
      </c>
      <c r="M174" s="5">
        <f t="shared" si="12"/>
        <v>0</v>
      </c>
    </row>
    <row r="175" spans="1:13" ht="15">
      <c r="A175" s="9">
        <v>158</v>
      </c>
      <c r="C175" s="2" t="s">
        <v>192</v>
      </c>
      <c r="D175" s="2"/>
      <c r="E175" s="2"/>
      <c r="F175" s="2"/>
      <c r="M175" s="5">
        <f t="shared" si="12"/>
        <v>0</v>
      </c>
    </row>
    <row r="176" spans="1:13" ht="15">
      <c r="A176" s="9">
        <v>159</v>
      </c>
      <c r="B176" s="1">
        <v>9320</v>
      </c>
      <c r="D176" s="2" t="s">
        <v>313</v>
      </c>
      <c r="E176" s="2"/>
      <c r="F176" s="13">
        <v>0</v>
      </c>
      <c r="G176" s="2"/>
      <c r="H176" s="2"/>
      <c r="M176" s="5">
        <f t="shared" si="12"/>
        <v>0</v>
      </c>
    </row>
    <row r="177" spans="1:13" ht="15">
      <c r="A177" s="9">
        <v>160</v>
      </c>
      <c r="C177" s="13" t="s">
        <v>207</v>
      </c>
      <c r="D177" s="2"/>
      <c r="E177" s="2"/>
      <c r="F177" s="18">
        <f>SUM(F162:F176)</f>
        <v>17177212</v>
      </c>
      <c r="G177" s="18">
        <f>SUM(G162:G176)</f>
        <v>13031355.037952768</v>
      </c>
      <c r="H177" s="18">
        <f>SUM(H162:H176)</f>
        <v>2765157.735100495</v>
      </c>
      <c r="I177" s="18">
        <f>SUM(I162:I176)</f>
        <v>153395.87851192628</v>
      </c>
      <c r="J177" s="18">
        <f>SUM(J162:J176)</f>
        <v>1227303.3484348103</v>
      </c>
      <c r="M177" s="5">
        <f t="shared" si="12"/>
        <v>0</v>
      </c>
    </row>
    <row r="178" spans="1:13" ht="15">
      <c r="A178" s="9">
        <v>161</v>
      </c>
      <c r="M178" s="5">
        <f t="shared" si="12"/>
        <v>0</v>
      </c>
    </row>
    <row r="179" spans="1:13" ht="15">
      <c r="A179" s="9">
        <v>162</v>
      </c>
      <c r="C179" s="13" t="s">
        <v>208</v>
      </c>
      <c r="D179" s="2"/>
      <c r="E179" s="2"/>
      <c r="F179" s="18">
        <f>F62+F85+F109+F136+F144+F151+F158+F177</f>
        <v>117022197</v>
      </c>
      <c r="G179" s="18">
        <f>G62+G85+G109+G136+G144+G151+G158+G177</f>
        <v>75970063.30658574</v>
      </c>
      <c r="H179" s="18">
        <f>H62+H85+H109+H136+H144+H151+H158+H177</f>
        <v>35257791.95820745</v>
      </c>
      <c r="I179" s="18">
        <f>I62+I85+I109+I136+I144+I151+I158+I177</f>
        <v>2942477.7581584253</v>
      </c>
      <c r="J179" s="18">
        <f>J62+J85+J109+J136+J144+J151+J158+J177</f>
        <v>2851863.977048387</v>
      </c>
      <c r="M179" s="5">
        <f t="shared" si="12"/>
        <v>0</v>
      </c>
    </row>
    <row r="180" ht="15">
      <c r="M180" s="5">
        <f t="shared" si="12"/>
        <v>0</v>
      </c>
    </row>
    <row r="181" ht="15">
      <c r="M181" s="5">
        <f t="shared" si="12"/>
        <v>0</v>
      </c>
    </row>
    <row r="182" spans="1:13" ht="15.75">
      <c r="A182" s="8" t="s">
        <v>188</v>
      </c>
      <c r="M182" s="5">
        <f t="shared" si="12"/>
        <v>0</v>
      </c>
    </row>
    <row r="183" ht="15">
      <c r="M183" s="5">
        <f t="shared" si="12"/>
        <v>0</v>
      </c>
    </row>
    <row r="184" spans="1:13" ht="15">
      <c r="A184" s="9">
        <v>1</v>
      </c>
      <c r="C184" s="2" t="s">
        <v>44</v>
      </c>
      <c r="D184" s="2"/>
      <c r="E184" s="2"/>
      <c r="F184" s="2"/>
      <c r="G184" s="2"/>
      <c r="M184" s="5">
        <f t="shared" si="12"/>
        <v>0</v>
      </c>
    </row>
    <row r="185" spans="1:13" ht="15">
      <c r="A185" s="9">
        <v>2</v>
      </c>
      <c r="M185" s="5">
        <f t="shared" si="12"/>
        <v>0</v>
      </c>
    </row>
    <row r="186" spans="1:13" ht="15">
      <c r="A186" s="9">
        <v>3</v>
      </c>
      <c r="B186" s="9">
        <v>30100</v>
      </c>
      <c r="D186" s="2" t="s">
        <v>72</v>
      </c>
      <c r="E186" s="2"/>
      <c r="F186" s="13">
        <v>0</v>
      </c>
      <c r="G186" s="2"/>
      <c r="M186" s="5">
        <f t="shared" si="12"/>
        <v>0</v>
      </c>
    </row>
    <row r="187" spans="1:13" ht="15">
      <c r="A187" s="9">
        <v>4</v>
      </c>
      <c r="B187" s="9">
        <v>30200</v>
      </c>
      <c r="D187" s="13" t="s">
        <v>73</v>
      </c>
      <c r="E187" s="13"/>
      <c r="F187" s="13">
        <v>0</v>
      </c>
      <c r="G187" s="2"/>
      <c r="M187" s="5">
        <f t="shared" si="12"/>
        <v>0</v>
      </c>
    </row>
    <row r="188" spans="1:13" ht="15">
      <c r="A188" s="9">
        <v>5</v>
      </c>
      <c r="B188" s="9">
        <v>30300</v>
      </c>
      <c r="D188" s="2" t="s">
        <v>74</v>
      </c>
      <c r="E188" s="2"/>
      <c r="F188" s="13">
        <v>0</v>
      </c>
      <c r="G188" s="2"/>
      <c r="M188" s="5">
        <f t="shared" si="12"/>
        <v>0</v>
      </c>
    </row>
    <row r="189" spans="1:13" ht="15">
      <c r="A189" s="9">
        <v>6</v>
      </c>
      <c r="M189" s="5">
        <f t="shared" si="12"/>
        <v>0</v>
      </c>
    </row>
    <row r="190" spans="1:13" ht="15">
      <c r="A190" s="9">
        <v>7</v>
      </c>
      <c r="C190" s="13" t="s">
        <v>45</v>
      </c>
      <c r="D190" s="2"/>
      <c r="E190" s="2"/>
      <c r="F190" s="19">
        <f>SUM(F186:F188)</f>
        <v>0</v>
      </c>
      <c r="G190" s="2"/>
      <c r="M190" s="5">
        <f t="shared" si="12"/>
        <v>0</v>
      </c>
    </row>
    <row r="191" spans="1:13" ht="15">
      <c r="A191" s="9">
        <v>8</v>
      </c>
      <c r="M191" s="5">
        <f t="shared" si="12"/>
        <v>0</v>
      </c>
    </row>
    <row r="192" spans="1:13" ht="15">
      <c r="A192" s="9">
        <v>9</v>
      </c>
      <c r="C192" s="13" t="s">
        <v>46</v>
      </c>
      <c r="D192" s="2"/>
      <c r="E192" s="2"/>
      <c r="F192" s="2"/>
      <c r="G192" s="2"/>
      <c r="M192" s="5">
        <f t="shared" si="12"/>
        <v>0</v>
      </c>
    </row>
    <row r="193" spans="1:13" ht="15">
      <c r="A193" s="9">
        <v>10</v>
      </c>
      <c r="M193" s="5">
        <f t="shared" si="12"/>
        <v>0</v>
      </c>
    </row>
    <row r="194" spans="1:13" ht="15">
      <c r="A194" s="9">
        <v>11</v>
      </c>
      <c r="B194" s="9">
        <v>32520</v>
      </c>
      <c r="D194" s="2" t="s">
        <v>75</v>
      </c>
      <c r="E194" s="2">
        <v>4</v>
      </c>
      <c r="F194" s="13">
        <v>51</v>
      </c>
      <c r="G194" s="12">
        <f aca="true" t="shared" si="14" ref="G194:J200">INDEX(ALLOC,($E194)+1,(G$1)+1)*$F194</f>
        <v>21.822210152148404</v>
      </c>
      <c r="H194" s="12">
        <f t="shared" si="14"/>
        <v>9.808320361409711</v>
      </c>
      <c r="I194" s="12">
        <f t="shared" si="14"/>
        <v>0.882956907471329</v>
      </c>
      <c r="J194" s="12">
        <f t="shared" si="14"/>
        <v>18.486512578970558</v>
      </c>
      <c r="M194" s="5">
        <f t="shared" si="12"/>
        <v>0</v>
      </c>
    </row>
    <row r="195" spans="1:13" ht="15">
      <c r="A195" s="9">
        <v>12</v>
      </c>
      <c r="B195" s="9">
        <v>32540</v>
      </c>
      <c r="D195" s="2" t="s">
        <v>76</v>
      </c>
      <c r="E195" s="2">
        <v>4</v>
      </c>
      <c r="F195" s="17">
        <v>1699</v>
      </c>
      <c r="G195" s="12">
        <f t="shared" si="14"/>
        <v>726.9791185980419</v>
      </c>
      <c r="H195" s="12">
        <f t="shared" si="14"/>
        <v>326.7516920399039</v>
      </c>
      <c r="I195" s="12">
        <f t="shared" si="14"/>
        <v>29.414584035172314</v>
      </c>
      <c r="J195" s="12">
        <f t="shared" si="14"/>
        <v>615.8546053268819</v>
      </c>
      <c r="M195" s="5">
        <f t="shared" si="12"/>
        <v>0</v>
      </c>
    </row>
    <row r="196" spans="1:13" ht="15">
      <c r="A196" s="9">
        <v>13</v>
      </c>
      <c r="B196" s="9">
        <v>33100</v>
      </c>
      <c r="D196" s="13" t="s">
        <v>77</v>
      </c>
      <c r="E196" s="2">
        <v>4</v>
      </c>
      <c r="F196" s="13">
        <v>0</v>
      </c>
      <c r="G196" s="12">
        <f t="shared" si="14"/>
        <v>0</v>
      </c>
      <c r="H196" s="12">
        <f t="shared" si="14"/>
        <v>0</v>
      </c>
      <c r="I196" s="12">
        <f t="shared" si="14"/>
        <v>0</v>
      </c>
      <c r="J196" s="12">
        <f t="shared" si="14"/>
        <v>0</v>
      </c>
      <c r="M196" s="5">
        <f t="shared" si="12"/>
        <v>0</v>
      </c>
    </row>
    <row r="197" spans="1:13" ht="15">
      <c r="A197" s="9">
        <v>14</v>
      </c>
      <c r="B197" s="9">
        <v>33201</v>
      </c>
      <c r="D197" s="2" t="s">
        <v>78</v>
      </c>
      <c r="E197" s="2">
        <v>4</v>
      </c>
      <c r="F197" s="13">
        <v>0</v>
      </c>
      <c r="G197" s="12">
        <f t="shared" si="14"/>
        <v>0</v>
      </c>
      <c r="H197" s="12">
        <f t="shared" si="14"/>
        <v>0</v>
      </c>
      <c r="I197" s="12">
        <f t="shared" si="14"/>
        <v>0</v>
      </c>
      <c r="J197" s="12">
        <f t="shared" si="14"/>
        <v>0</v>
      </c>
      <c r="M197" s="5">
        <f t="shared" si="12"/>
        <v>0</v>
      </c>
    </row>
    <row r="198" spans="1:13" ht="15">
      <c r="A198" s="9">
        <v>15</v>
      </c>
      <c r="B198" s="9">
        <v>33202</v>
      </c>
      <c r="D198" s="2" t="s">
        <v>79</v>
      </c>
      <c r="E198" s="2">
        <v>4</v>
      </c>
      <c r="F198" s="13">
        <v>0</v>
      </c>
      <c r="G198" s="12">
        <f t="shared" si="14"/>
        <v>0</v>
      </c>
      <c r="H198" s="12">
        <f t="shared" si="14"/>
        <v>0</v>
      </c>
      <c r="I198" s="12">
        <f t="shared" si="14"/>
        <v>0</v>
      </c>
      <c r="J198" s="12">
        <f t="shared" si="14"/>
        <v>0</v>
      </c>
      <c r="M198" s="5">
        <f t="shared" si="12"/>
        <v>0</v>
      </c>
    </row>
    <row r="199" spans="1:13" ht="15">
      <c r="A199" s="9">
        <v>16</v>
      </c>
      <c r="B199" s="9">
        <v>33400</v>
      </c>
      <c r="D199" s="13" t="s">
        <v>80</v>
      </c>
      <c r="E199" s="2">
        <v>4</v>
      </c>
      <c r="F199" s="17">
        <v>3001</v>
      </c>
      <c r="G199" s="12">
        <f t="shared" si="14"/>
        <v>1284.0873071881836</v>
      </c>
      <c r="H199" s="12">
        <f t="shared" si="14"/>
        <v>577.1523412664812</v>
      </c>
      <c r="I199" s="12">
        <f t="shared" si="14"/>
        <v>51.95595449649918</v>
      </c>
      <c r="J199" s="12">
        <f t="shared" si="14"/>
        <v>1087.8043970488363</v>
      </c>
      <c r="M199" s="5">
        <f t="shared" si="12"/>
        <v>0</v>
      </c>
    </row>
    <row r="200" spans="1:13" ht="15">
      <c r="A200" s="9">
        <v>17</v>
      </c>
      <c r="B200" s="9">
        <v>33600</v>
      </c>
      <c r="D200" s="2" t="s">
        <v>81</v>
      </c>
      <c r="E200" s="2">
        <v>4</v>
      </c>
      <c r="F200" s="13">
        <v>996</v>
      </c>
      <c r="G200" s="12">
        <f t="shared" si="14"/>
        <v>426.17492767725116</v>
      </c>
      <c r="H200" s="12">
        <f t="shared" si="14"/>
        <v>191.55072705811907</v>
      </c>
      <c r="I200" s="12">
        <f t="shared" si="14"/>
        <v>17.243629016498897</v>
      </c>
      <c r="J200" s="12">
        <f t="shared" si="14"/>
        <v>361.03071624813094</v>
      </c>
      <c r="M200" s="5">
        <f t="shared" si="12"/>
        <v>0</v>
      </c>
    </row>
    <row r="201" spans="1:13" ht="15">
      <c r="A201" s="9">
        <v>18</v>
      </c>
      <c r="M201" s="5">
        <f t="shared" si="12"/>
        <v>0</v>
      </c>
    </row>
    <row r="202" spans="1:13" ht="15">
      <c r="A202" s="9">
        <v>19</v>
      </c>
      <c r="C202" s="13" t="s">
        <v>47</v>
      </c>
      <c r="D202" s="2"/>
      <c r="E202" s="2"/>
      <c r="F202" s="18">
        <f>SUM(F194:F200)</f>
        <v>5747</v>
      </c>
      <c r="G202" s="18">
        <f>SUM(G194:G200)</f>
        <v>2459.063563615625</v>
      </c>
      <c r="H202" s="18">
        <f>SUM(H194:H200)</f>
        <v>1105.2630807259138</v>
      </c>
      <c r="I202" s="18">
        <f>SUM(I194:I200)</f>
        <v>99.49712445564172</v>
      </c>
      <c r="J202" s="18">
        <f>SUM(J194:J200)</f>
        <v>2083.1762312028195</v>
      </c>
      <c r="M202" s="5">
        <f t="shared" si="12"/>
        <v>0</v>
      </c>
    </row>
    <row r="203" spans="1:13" ht="15">
      <c r="A203" s="9">
        <v>20</v>
      </c>
      <c r="M203" s="5">
        <f t="shared" si="12"/>
        <v>0</v>
      </c>
    </row>
    <row r="204" spans="1:13" ht="15">
      <c r="A204" s="9">
        <v>21</v>
      </c>
      <c r="C204" s="13" t="s">
        <v>48</v>
      </c>
      <c r="D204" s="2"/>
      <c r="E204" s="2"/>
      <c r="F204" s="2"/>
      <c r="G204" s="2"/>
      <c r="M204" s="5">
        <f t="shared" si="12"/>
        <v>0</v>
      </c>
    </row>
    <row r="205" spans="1:13" ht="15">
      <c r="A205" s="9">
        <v>22</v>
      </c>
      <c r="M205" s="5">
        <f t="shared" si="12"/>
        <v>0</v>
      </c>
    </row>
    <row r="206" spans="1:13" ht="15">
      <c r="A206" s="9">
        <v>23</v>
      </c>
      <c r="B206" s="9">
        <v>35010</v>
      </c>
      <c r="D206" s="2" t="s">
        <v>82</v>
      </c>
      <c r="E206" s="2"/>
      <c r="F206" s="13">
        <v>0</v>
      </c>
      <c r="G206" s="2"/>
      <c r="M206" s="5">
        <f t="shared" si="12"/>
        <v>0</v>
      </c>
    </row>
    <row r="207" spans="1:13" ht="15">
      <c r="A207" s="9">
        <v>24</v>
      </c>
      <c r="B207" s="9">
        <v>35020</v>
      </c>
      <c r="D207" s="2" t="s">
        <v>83</v>
      </c>
      <c r="E207" s="2"/>
      <c r="F207" s="13">
        <v>0</v>
      </c>
      <c r="G207" s="2"/>
      <c r="M207" s="5">
        <f t="shared" si="12"/>
        <v>0</v>
      </c>
    </row>
    <row r="208" spans="1:13" ht="15">
      <c r="A208" s="9">
        <v>25</v>
      </c>
      <c r="B208" s="9">
        <v>35100</v>
      </c>
      <c r="D208" s="13" t="s">
        <v>84</v>
      </c>
      <c r="E208" s="13">
        <v>55</v>
      </c>
      <c r="F208" s="13">
        <v>293</v>
      </c>
      <c r="G208" s="12">
        <f aca="true" t="shared" si="15" ref="G208:J222">INDEX(ALLOC,($E208)+1,(G$1)+1)*$F208</f>
        <v>108.57536653016089</v>
      </c>
      <c r="H208" s="12">
        <f t="shared" si="15"/>
        <v>50.99505429209518</v>
      </c>
      <c r="I208" s="12">
        <f t="shared" si="15"/>
        <v>4.7353510076382666</v>
      </c>
      <c r="J208" s="12">
        <f t="shared" si="15"/>
        <v>128.69422817010567</v>
      </c>
      <c r="M208" s="5">
        <f t="shared" si="12"/>
        <v>0</v>
      </c>
    </row>
    <row r="209" spans="1:13" ht="15">
      <c r="A209" s="9">
        <v>26</v>
      </c>
      <c r="B209" s="9">
        <v>35102</v>
      </c>
      <c r="D209" s="13" t="s">
        <v>85</v>
      </c>
      <c r="E209" s="13">
        <v>55</v>
      </c>
      <c r="F209" s="17">
        <v>1704</v>
      </c>
      <c r="G209" s="12">
        <f t="shared" si="15"/>
        <v>631.4417220730177</v>
      </c>
      <c r="H209" s="12">
        <f t="shared" si="15"/>
        <v>296.57191984208254</v>
      </c>
      <c r="I209" s="12">
        <f t="shared" si="15"/>
        <v>27.539379238961114</v>
      </c>
      <c r="J209" s="12">
        <f t="shared" si="15"/>
        <v>748.4469788459388</v>
      </c>
      <c r="M209" s="5">
        <f t="shared" si="12"/>
        <v>0</v>
      </c>
    </row>
    <row r="210" spans="1:13" ht="15">
      <c r="A210" s="9">
        <v>27</v>
      </c>
      <c r="B210" s="9">
        <v>35103</v>
      </c>
      <c r="D210" s="13" t="s">
        <v>86</v>
      </c>
      <c r="E210" s="13">
        <v>55</v>
      </c>
      <c r="F210" s="13">
        <v>0</v>
      </c>
      <c r="G210" s="12">
        <f t="shared" si="15"/>
        <v>0</v>
      </c>
      <c r="H210" s="12">
        <f t="shared" si="15"/>
        <v>0</v>
      </c>
      <c r="I210" s="12">
        <f t="shared" si="15"/>
        <v>0</v>
      </c>
      <c r="J210" s="12">
        <f t="shared" si="15"/>
        <v>0</v>
      </c>
      <c r="M210" s="5">
        <f t="shared" si="12"/>
        <v>0</v>
      </c>
    </row>
    <row r="211" spans="1:13" ht="15">
      <c r="A211" s="9">
        <v>28</v>
      </c>
      <c r="B211" s="9">
        <v>35104</v>
      </c>
      <c r="D211" s="2" t="s">
        <v>87</v>
      </c>
      <c r="E211" s="13">
        <v>55</v>
      </c>
      <c r="F211" s="13">
        <v>0</v>
      </c>
      <c r="G211" s="12">
        <f t="shared" si="15"/>
        <v>0</v>
      </c>
      <c r="H211" s="12">
        <f t="shared" si="15"/>
        <v>0</v>
      </c>
      <c r="I211" s="12">
        <f t="shared" si="15"/>
        <v>0</v>
      </c>
      <c r="J211" s="12">
        <f t="shared" si="15"/>
        <v>0</v>
      </c>
      <c r="M211" s="5">
        <f t="shared" si="12"/>
        <v>0</v>
      </c>
    </row>
    <row r="212" spans="1:13" ht="15">
      <c r="A212" s="9">
        <v>29</v>
      </c>
      <c r="B212" s="9">
        <v>35200</v>
      </c>
      <c r="D212" s="2" t="s">
        <v>88</v>
      </c>
      <c r="E212" s="13">
        <v>55</v>
      </c>
      <c r="F212" s="17">
        <v>82144</v>
      </c>
      <c r="G212" s="12">
        <f t="shared" si="15"/>
        <v>30439.641325097396</v>
      </c>
      <c r="H212" s="12">
        <f t="shared" si="15"/>
        <v>14296.715835392037</v>
      </c>
      <c r="I212" s="12">
        <f t="shared" si="15"/>
        <v>1327.5790893223134</v>
      </c>
      <c r="J212" s="12">
        <f t="shared" si="15"/>
        <v>36080.06375018826</v>
      </c>
      <c r="M212" s="5">
        <f t="shared" si="12"/>
        <v>0</v>
      </c>
    </row>
    <row r="213" spans="1:13" ht="15">
      <c r="A213" s="9">
        <v>30</v>
      </c>
      <c r="B213" s="9">
        <v>35201</v>
      </c>
      <c r="D213" s="2" t="s">
        <v>89</v>
      </c>
      <c r="E213" s="13">
        <v>55</v>
      </c>
      <c r="F213" s="17">
        <v>19039</v>
      </c>
      <c r="G213" s="12">
        <f t="shared" si="15"/>
        <v>7055.17543811513</v>
      </c>
      <c r="H213" s="12">
        <f t="shared" si="15"/>
        <v>3313.634261662799</v>
      </c>
      <c r="I213" s="12">
        <f t="shared" si="15"/>
        <v>307.7008458512797</v>
      </c>
      <c r="J213" s="12">
        <f t="shared" si="15"/>
        <v>8362.48945437079</v>
      </c>
      <c r="M213" s="5">
        <f t="shared" si="12"/>
        <v>0</v>
      </c>
    </row>
    <row r="214" spans="1:13" ht="15">
      <c r="A214" s="9">
        <v>31</v>
      </c>
      <c r="B214" s="9">
        <v>35202</v>
      </c>
      <c r="D214" s="2" t="s">
        <v>90</v>
      </c>
      <c r="E214" s="13">
        <v>55</v>
      </c>
      <c r="F214" s="13">
        <v>0</v>
      </c>
      <c r="G214" s="12">
        <f t="shared" si="15"/>
        <v>0</v>
      </c>
      <c r="H214" s="12">
        <f t="shared" si="15"/>
        <v>0</v>
      </c>
      <c r="I214" s="12">
        <f t="shared" si="15"/>
        <v>0</v>
      </c>
      <c r="J214" s="12">
        <f t="shared" si="15"/>
        <v>0</v>
      </c>
      <c r="M214" s="5">
        <f t="shared" si="12"/>
        <v>0</v>
      </c>
    </row>
    <row r="215" spans="1:13" ht="15">
      <c r="A215" s="9">
        <v>32</v>
      </c>
      <c r="B215" s="9">
        <v>35203</v>
      </c>
      <c r="D215" s="2" t="s">
        <v>91</v>
      </c>
      <c r="E215" s="13">
        <v>55</v>
      </c>
      <c r="F215" s="17">
        <v>29356</v>
      </c>
      <c r="G215" s="12">
        <f t="shared" si="15"/>
        <v>10878.288258905814</v>
      </c>
      <c r="H215" s="12">
        <f t="shared" si="15"/>
        <v>5109.251924227802</v>
      </c>
      <c r="I215" s="12">
        <f t="shared" si="15"/>
        <v>474.4401507857644</v>
      </c>
      <c r="J215" s="12">
        <f t="shared" si="15"/>
        <v>12894.019666080621</v>
      </c>
      <c r="M215" s="5">
        <f t="shared" si="12"/>
        <v>0</v>
      </c>
    </row>
    <row r="216" spans="1:13" ht="15">
      <c r="A216" s="9">
        <v>33</v>
      </c>
      <c r="B216" s="9">
        <v>35210</v>
      </c>
      <c r="D216" s="2" t="s">
        <v>92</v>
      </c>
      <c r="E216" s="13">
        <v>55</v>
      </c>
      <c r="F216" s="13">
        <v>0</v>
      </c>
      <c r="G216" s="12">
        <f t="shared" si="15"/>
        <v>0</v>
      </c>
      <c r="H216" s="12">
        <f t="shared" si="15"/>
        <v>0</v>
      </c>
      <c r="I216" s="12">
        <f t="shared" si="15"/>
        <v>0</v>
      </c>
      <c r="J216" s="12">
        <f t="shared" si="15"/>
        <v>0</v>
      </c>
      <c r="M216" s="5">
        <f t="shared" si="12"/>
        <v>0</v>
      </c>
    </row>
    <row r="217" spans="1:13" ht="15">
      <c r="A217" s="9">
        <v>34</v>
      </c>
      <c r="B217" s="9">
        <v>35211</v>
      </c>
      <c r="D217" s="2" t="s">
        <v>93</v>
      </c>
      <c r="E217" s="13">
        <v>55</v>
      </c>
      <c r="F217" s="13">
        <v>382</v>
      </c>
      <c r="G217" s="12">
        <f t="shared" si="15"/>
        <v>141.55559731918586</v>
      </c>
      <c r="H217" s="12">
        <f t="shared" si="15"/>
        <v>66.48501958901147</v>
      </c>
      <c r="I217" s="12">
        <f t="shared" si="15"/>
        <v>6.173734078217809</v>
      </c>
      <c r="J217" s="12">
        <f t="shared" si="15"/>
        <v>167.78564901358487</v>
      </c>
      <c r="M217" s="5">
        <f t="shared" si="12"/>
        <v>0</v>
      </c>
    </row>
    <row r="218" spans="1:13" ht="15">
      <c r="A218" s="9">
        <v>35</v>
      </c>
      <c r="B218" s="9">
        <v>35301</v>
      </c>
      <c r="D218" s="2" t="s">
        <v>78</v>
      </c>
      <c r="E218" s="13">
        <v>55</v>
      </c>
      <c r="F218" s="13">
        <v>0</v>
      </c>
      <c r="G218" s="12">
        <f t="shared" si="15"/>
        <v>0</v>
      </c>
      <c r="H218" s="12">
        <f t="shared" si="15"/>
        <v>0</v>
      </c>
      <c r="I218" s="12">
        <f t="shared" si="15"/>
        <v>0</v>
      </c>
      <c r="J218" s="12">
        <f t="shared" si="15"/>
        <v>0</v>
      </c>
      <c r="M218" s="5">
        <f t="shared" si="12"/>
        <v>0</v>
      </c>
    </row>
    <row r="219" spans="1:13" ht="15">
      <c r="A219" s="9">
        <v>36</v>
      </c>
      <c r="B219" s="9">
        <v>35302</v>
      </c>
      <c r="D219" s="2" t="s">
        <v>79</v>
      </c>
      <c r="E219" s="13">
        <v>55</v>
      </c>
      <c r="F219" s="13">
        <v>0</v>
      </c>
      <c r="G219" s="12">
        <f t="shared" si="15"/>
        <v>0</v>
      </c>
      <c r="H219" s="12">
        <f t="shared" si="15"/>
        <v>0</v>
      </c>
      <c r="I219" s="12">
        <f t="shared" si="15"/>
        <v>0</v>
      </c>
      <c r="J219" s="12">
        <f t="shared" si="15"/>
        <v>0</v>
      </c>
      <c r="M219" s="5">
        <f t="shared" si="12"/>
        <v>0</v>
      </c>
    </row>
    <row r="220" spans="1:13" ht="15">
      <c r="A220" s="9">
        <v>37</v>
      </c>
      <c r="B220" s="9">
        <v>35400</v>
      </c>
      <c r="D220" s="13" t="s">
        <v>94</v>
      </c>
      <c r="E220" s="13">
        <v>55</v>
      </c>
      <c r="F220" s="17">
        <v>15086</v>
      </c>
      <c r="G220" s="12">
        <f t="shared" si="15"/>
        <v>5590.334400935179</v>
      </c>
      <c r="H220" s="12">
        <f t="shared" si="15"/>
        <v>2625.636140104259</v>
      </c>
      <c r="I220" s="12">
        <f t="shared" si="15"/>
        <v>243.81401126699964</v>
      </c>
      <c r="J220" s="12">
        <f t="shared" si="15"/>
        <v>6626.215447693564</v>
      </c>
      <c r="M220" s="5">
        <f t="shared" si="12"/>
        <v>0</v>
      </c>
    </row>
    <row r="221" spans="1:13" ht="15">
      <c r="A221" s="9">
        <v>38</v>
      </c>
      <c r="B221" s="9">
        <v>35500</v>
      </c>
      <c r="D221" s="13" t="s">
        <v>95</v>
      </c>
      <c r="E221" s="13">
        <v>55</v>
      </c>
      <c r="F221" s="17">
        <v>1742</v>
      </c>
      <c r="G221" s="12">
        <f t="shared" si="15"/>
        <v>645.5231689267587</v>
      </c>
      <c r="H221" s="12">
        <f t="shared" si="15"/>
        <v>303.18561289020414</v>
      </c>
      <c r="I221" s="12">
        <f t="shared" si="15"/>
        <v>28.153520325275977</v>
      </c>
      <c r="J221" s="12">
        <f t="shared" si="15"/>
        <v>765.1376978577614</v>
      </c>
      <c r="M221" s="5">
        <f t="shared" si="12"/>
        <v>0</v>
      </c>
    </row>
    <row r="222" spans="1:13" ht="15">
      <c r="A222" s="9">
        <v>39</v>
      </c>
      <c r="B222" s="9">
        <v>35600</v>
      </c>
      <c r="D222" s="2" t="s">
        <v>81</v>
      </c>
      <c r="E222" s="13">
        <v>55</v>
      </c>
      <c r="F222" s="13">
        <v>110</v>
      </c>
      <c r="G222" s="12">
        <f t="shared" si="15"/>
        <v>40.76208299767133</v>
      </c>
      <c r="H222" s="12">
        <f t="shared" si="15"/>
        <v>19.144900928772934</v>
      </c>
      <c r="I222" s="12">
        <f t="shared" si="15"/>
        <v>1.7777768288061753</v>
      </c>
      <c r="J222" s="12">
        <f t="shared" si="15"/>
        <v>48.31523924474957</v>
      </c>
      <c r="M222" s="5">
        <f t="shared" si="12"/>
        <v>0</v>
      </c>
    </row>
    <row r="223" spans="1:13" ht="15">
      <c r="A223" s="9">
        <v>40</v>
      </c>
      <c r="M223" s="5">
        <f t="shared" si="12"/>
        <v>0</v>
      </c>
    </row>
    <row r="224" spans="1:13" ht="15">
      <c r="A224" s="9">
        <v>41</v>
      </c>
      <c r="C224" s="13" t="s">
        <v>49</v>
      </c>
      <c r="D224" s="2"/>
      <c r="E224" s="2"/>
      <c r="F224" s="18">
        <f>SUM(F206:F222)</f>
        <v>149856</v>
      </c>
      <c r="G224" s="18">
        <f>SUM(G206:G222)</f>
        <v>55531.29736090032</v>
      </c>
      <c r="H224" s="18">
        <f>SUM(H206:H222)</f>
        <v>26081.62066892906</v>
      </c>
      <c r="I224" s="18">
        <f>SUM(I206:I222)</f>
        <v>2421.9138587052566</v>
      </c>
      <c r="J224" s="18">
        <f>SUM(J206:J222)</f>
        <v>65821.16811146538</v>
      </c>
      <c r="M224" s="5">
        <f t="shared" si="12"/>
        <v>0</v>
      </c>
    </row>
    <row r="225" spans="1:13" ht="15">
      <c r="A225" s="9">
        <v>42</v>
      </c>
      <c r="M225" s="5">
        <f t="shared" si="12"/>
        <v>0</v>
      </c>
    </row>
    <row r="226" spans="1:13" ht="15">
      <c r="A226" s="9">
        <v>43</v>
      </c>
      <c r="C226" s="2" t="s">
        <v>50</v>
      </c>
      <c r="D226" s="2"/>
      <c r="E226" s="2"/>
      <c r="F226" s="2"/>
      <c r="G226" s="2"/>
      <c r="M226" s="5">
        <f t="shared" si="12"/>
        <v>0</v>
      </c>
    </row>
    <row r="227" spans="1:13" ht="15">
      <c r="A227" s="9">
        <v>44</v>
      </c>
      <c r="M227" s="5">
        <f t="shared" si="12"/>
        <v>0</v>
      </c>
    </row>
    <row r="228" spans="1:13" ht="15">
      <c r="A228" s="9">
        <v>45</v>
      </c>
      <c r="B228" s="9">
        <v>36510</v>
      </c>
      <c r="D228" s="2" t="s">
        <v>96</v>
      </c>
      <c r="E228" s="2"/>
      <c r="F228" s="13">
        <v>0</v>
      </c>
      <c r="G228" s="2"/>
      <c r="M228" s="5">
        <f t="shared" si="12"/>
        <v>0</v>
      </c>
    </row>
    <row r="229" spans="1:13" ht="15">
      <c r="A229" s="9">
        <v>46</v>
      </c>
      <c r="B229" s="9">
        <v>36520</v>
      </c>
      <c r="D229" s="2" t="s">
        <v>83</v>
      </c>
      <c r="E229" s="2">
        <v>4</v>
      </c>
      <c r="F229" s="17">
        <v>13066</v>
      </c>
      <c r="G229" s="12">
        <f aca="true" t="shared" si="16" ref="G229:J235">INDEX(ALLOC,($E229)+1,(G$1)+1)*$F229</f>
        <v>5590.764663685706</v>
      </c>
      <c r="H229" s="12">
        <f t="shared" si="16"/>
        <v>2512.853212591751</v>
      </c>
      <c r="I229" s="12">
        <f t="shared" si="16"/>
        <v>226.21009711804675</v>
      </c>
      <c r="J229" s="12">
        <f t="shared" si="16"/>
        <v>4736.172026604497</v>
      </c>
      <c r="M229" s="5">
        <f t="shared" si="12"/>
        <v>0</v>
      </c>
    </row>
    <row r="230" spans="1:13" ht="15">
      <c r="A230" s="9">
        <v>47</v>
      </c>
      <c r="B230" s="9">
        <v>36602</v>
      </c>
      <c r="D230" s="13" t="s">
        <v>97</v>
      </c>
      <c r="E230" s="2">
        <v>4</v>
      </c>
      <c r="F230" s="13">
        <v>887</v>
      </c>
      <c r="G230" s="12">
        <f t="shared" si="16"/>
        <v>379.5353020579536</v>
      </c>
      <c r="H230" s="12">
        <f t="shared" si="16"/>
        <v>170.58784628569438</v>
      </c>
      <c r="I230" s="12">
        <f t="shared" si="16"/>
        <v>15.356525037785664</v>
      </c>
      <c r="J230" s="12">
        <f t="shared" si="16"/>
        <v>321.5203266185664</v>
      </c>
      <c r="M230" s="5">
        <f t="shared" si="12"/>
        <v>0</v>
      </c>
    </row>
    <row r="231" spans="1:13" ht="15">
      <c r="A231" s="9">
        <v>48</v>
      </c>
      <c r="B231" s="9">
        <v>36603</v>
      </c>
      <c r="D231" s="2" t="s">
        <v>98</v>
      </c>
      <c r="E231" s="2">
        <v>4</v>
      </c>
      <c r="F231" s="13">
        <v>734</v>
      </c>
      <c r="G231" s="12">
        <f t="shared" si="16"/>
        <v>314.06867160150836</v>
      </c>
      <c r="H231" s="12">
        <f t="shared" si="16"/>
        <v>141.16288520146526</v>
      </c>
      <c r="I231" s="12">
        <f t="shared" si="16"/>
        <v>12.707654315371677</v>
      </c>
      <c r="J231" s="12">
        <f t="shared" si="16"/>
        <v>266.06078888165473</v>
      </c>
      <c r="M231" s="5">
        <f t="shared" si="12"/>
        <v>0</v>
      </c>
    </row>
    <row r="232" spans="1:13" ht="15">
      <c r="A232" s="9">
        <v>49</v>
      </c>
      <c r="B232" s="9">
        <v>36700</v>
      </c>
      <c r="D232" s="13" t="s">
        <v>99</v>
      </c>
      <c r="E232" s="2">
        <v>4</v>
      </c>
      <c r="F232" s="17">
        <v>19980</v>
      </c>
      <c r="G232" s="12">
        <f t="shared" si="16"/>
        <v>8549.171741959315</v>
      </c>
      <c r="H232" s="12">
        <f t="shared" si="16"/>
        <v>3842.553741587569</v>
      </c>
      <c r="I232" s="12">
        <f t="shared" si="16"/>
        <v>345.91135316229713</v>
      </c>
      <c r="J232" s="12">
        <f t="shared" si="16"/>
        <v>7242.363163290819</v>
      </c>
      <c r="M232" s="5">
        <f t="shared" si="12"/>
        <v>0</v>
      </c>
    </row>
    <row r="233" spans="1:13" ht="15">
      <c r="A233" s="9">
        <v>50</v>
      </c>
      <c r="B233" s="9">
        <v>36701</v>
      </c>
      <c r="D233" s="2" t="s">
        <v>100</v>
      </c>
      <c r="E233" s="2">
        <v>4</v>
      </c>
      <c r="F233" s="17">
        <v>578413</v>
      </c>
      <c r="G233" s="12">
        <f t="shared" si="16"/>
        <v>247495.09883793362</v>
      </c>
      <c r="H233" s="12">
        <f t="shared" si="16"/>
        <v>111240.39225890345</v>
      </c>
      <c r="I233" s="12">
        <f t="shared" si="16"/>
        <v>10013.995171004193</v>
      </c>
      <c r="J233" s="12">
        <f t="shared" si="16"/>
        <v>209663.51373215878</v>
      </c>
      <c r="M233" s="5">
        <f aca="true" t="shared" si="17" ref="M233:M296">SUM(G233:J233)-F233</f>
        <v>0</v>
      </c>
    </row>
    <row r="234" spans="1:13" ht="15">
      <c r="A234" s="9">
        <v>51</v>
      </c>
      <c r="B234" s="9">
        <v>36900</v>
      </c>
      <c r="D234" s="13" t="s">
        <v>101</v>
      </c>
      <c r="E234" s="2">
        <v>4</v>
      </c>
      <c r="F234" s="17">
        <v>12003</v>
      </c>
      <c r="G234" s="12">
        <f t="shared" si="16"/>
        <v>5135.921342279163</v>
      </c>
      <c r="H234" s="12">
        <f t="shared" si="16"/>
        <v>2308.4170450588385</v>
      </c>
      <c r="I234" s="12">
        <f t="shared" si="16"/>
        <v>207.8065051054581</v>
      </c>
      <c r="J234" s="12">
        <f t="shared" si="16"/>
        <v>4350.855107556542</v>
      </c>
      <c r="M234" s="5">
        <f t="shared" si="17"/>
        <v>0</v>
      </c>
    </row>
    <row r="235" spans="1:13" ht="15">
      <c r="A235" s="9">
        <v>52</v>
      </c>
      <c r="B235" s="9">
        <v>36901</v>
      </c>
      <c r="D235" s="13" t="s">
        <v>101</v>
      </c>
      <c r="E235" s="2">
        <v>4</v>
      </c>
      <c r="F235" s="17">
        <v>45879</v>
      </c>
      <c r="G235" s="12">
        <f t="shared" si="16"/>
        <v>19631.00352098856</v>
      </c>
      <c r="H235" s="12">
        <f t="shared" si="16"/>
        <v>8823.449605119924</v>
      </c>
      <c r="I235" s="12">
        <f t="shared" si="16"/>
        <v>794.2976462328844</v>
      </c>
      <c r="J235" s="12">
        <f t="shared" si="16"/>
        <v>16630.249227658634</v>
      </c>
      <c r="M235" s="5">
        <f t="shared" si="17"/>
        <v>0</v>
      </c>
    </row>
    <row r="236" spans="1:13" ht="15">
      <c r="A236" s="9">
        <v>53</v>
      </c>
      <c r="M236" s="5">
        <f t="shared" si="17"/>
        <v>0</v>
      </c>
    </row>
    <row r="237" spans="1:13" ht="15">
      <c r="A237" s="9">
        <v>54</v>
      </c>
      <c r="C237" s="13" t="s">
        <v>51</v>
      </c>
      <c r="D237" s="2"/>
      <c r="E237" s="2"/>
      <c r="F237" s="18">
        <f>SUM(F228:F235)</f>
        <v>670962</v>
      </c>
      <c r="G237" s="18">
        <f>SUM(G228:G235)</f>
        <v>287095.56408050586</v>
      </c>
      <c r="H237" s="18">
        <f>SUM(H228:H235)</f>
        <v>129039.41659474869</v>
      </c>
      <c r="I237" s="18">
        <f>SUM(I228:I235)</f>
        <v>11616.284951976037</v>
      </c>
      <c r="J237" s="18">
        <f>SUM(J228:J235)</f>
        <v>243210.73437276948</v>
      </c>
      <c r="M237" s="5">
        <f t="shared" si="17"/>
        <v>0</v>
      </c>
    </row>
    <row r="238" spans="1:13" ht="15">
      <c r="A238" s="9">
        <v>55</v>
      </c>
      <c r="M238" s="5">
        <f t="shared" si="17"/>
        <v>0</v>
      </c>
    </row>
    <row r="239" spans="1:13" ht="15">
      <c r="A239" s="9">
        <v>56</v>
      </c>
      <c r="C239" s="2" t="s">
        <v>52</v>
      </c>
      <c r="D239" s="2"/>
      <c r="E239" s="2"/>
      <c r="F239" s="2"/>
      <c r="G239" s="2"/>
      <c r="M239" s="5">
        <f t="shared" si="17"/>
        <v>0</v>
      </c>
    </row>
    <row r="240" spans="1:13" ht="15">
      <c r="A240" s="9">
        <v>57</v>
      </c>
      <c r="M240" s="5">
        <f t="shared" si="17"/>
        <v>0</v>
      </c>
    </row>
    <row r="241" spans="1:13" ht="15">
      <c r="A241" s="9">
        <v>58</v>
      </c>
      <c r="B241" s="9">
        <v>37400</v>
      </c>
      <c r="D241" s="2" t="s">
        <v>96</v>
      </c>
      <c r="E241" s="2"/>
      <c r="F241" s="13">
        <v>0</v>
      </c>
      <c r="G241" s="2"/>
      <c r="M241" s="5">
        <f t="shared" si="17"/>
        <v>0</v>
      </c>
    </row>
    <row r="242" spans="1:13" ht="15">
      <c r="A242" s="9">
        <v>59</v>
      </c>
      <c r="B242" s="9">
        <v>37401</v>
      </c>
      <c r="D242" s="2" t="s">
        <v>82</v>
      </c>
      <c r="E242" s="2"/>
      <c r="F242" s="13">
        <v>0</v>
      </c>
      <c r="G242" s="2"/>
      <c r="M242" s="5">
        <f t="shared" si="17"/>
        <v>0</v>
      </c>
    </row>
    <row r="243" spans="1:13" ht="15">
      <c r="A243" s="9">
        <v>60</v>
      </c>
      <c r="B243" s="9">
        <v>37402</v>
      </c>
      <c r="D243" s="2" t="s">
        <v>102</v>
      </c>
      <c r="E243" s="2">
        <v>56</v>
      </c>
      <c r="F243" s="17">
        <v>4289</v>
      </c>
      <c r="G243" s="12">
        <f aca="true" t="shared" si="18" ref="G243:J260">INDEX(ALLOC,($E243)+1,(G$1)+1)*$F243</f>
        <v>3525.6691187800257</v>
      </c>
      <c r="H243" s="12">
        <f t="shared" si="18"/>
        <v>519.2991658969463</v>
      </c>
      <c r="I243" s="12">
        <f t="shared" si="18"/>
        <v>14.952805707364226</v>
      </c>
      <c r="J243" s="12">
        <f t="shared" si="18"/>
        <v>229.07890961566397</v>
      </c>
      <c r="M243" s="5">
        <f t="shared" si="17"/>
        <v>0</v>
      </c>
    </row>
    <row r="244" spans="1:13" ht="15">
      <c r="A244" s="9">
        <v>61</v>
      </c>
      <c r="B244" s="9">
        <v>37403</v>
      </c>
      <c r="D244" s="2" t="s">
        <v>103</v>
      </c>
      <c r="E244" s="2">
        <v>56</v>
      </c>
      <c r="F244" s="13">
        <v>0</v>
      </c>
      <c r="G244" s="12">
        <f t="shared" si="18"/>
        <v>0</v>
      </c>
      <c r="H244" s="12">
        <f t="shared" si="18"/>
        <v>0</v>
      </c>
      <c r="I244" s="12">
        <f t="shared" si="18"/>
        <v>0</v>
      </c>
      <c r="J244" s="12">
        <f t="shared" si="18"/>
        <v>0</v>
      </c>
      <c r="M244" s="5">
        <f t="shared" si="17"/>
        <v>0</v>
      </c>
    </row>
    <row r="245" spans="1:13" ht="15">
      <c r="A245" s="9">
        <v>62</v>
      </c>
      <c r="B245" s="9">
        <v>37500</v>
      </c>
      <c r="D245" s="13" t="s">
        <v>97</v>
      </c>
      <c r="E245" s="13">
        <v>56</v>
      </c>
      <c r="F245" s="17">
        <v>7321</v>
      </c>
      <c r="G245" s="12">
        <f t="shared" si="18"/>
        <v>6018.0516713892675</v>
      </c>
      <c r="H245" s="12">
        <f t="shared" si="18"/>
        <v>886.4045683216469</v>
      </c>
      <c r="I245" s="12">
        <f t="shared" si="18"/>
        <v>25.5233132626751</v>
      </c>
      <c r="J245" s="12">
        <f t="shared" si="18"/>
        <v>391.0204470264108</v>
      </c>
      <c r="M245" s="5">
        <f t="shared" si="17"/>
        <v>0</v>
      </c>
    </row>
    <row r="246" spans="1:13" ht="15">
      <c r="A246" s="9">
        <v>63</v>
      </c>
      <c r="B246" s="9">
        <v>37501</v>
      </c>
      <c r="D246" s="13" t="s">
        <v>104</v>
      </c>
      <c r="E246" s="13">
        <v>56</v>
      </c>
      <c r="F246" s="17">
        <v>2168</v>
      </c>
      <c r="G246" s="12">
        <f t="shared" si="18"/>
        <v>1782.1521682245502</v>
      </c>
      <c r="H246" s="12">
        <f t="shared" si="18"/>
        <v>262.494891971224</v>
      </c>
      <c r="I246" s="12">
        <f t="shared" si="18"/>
        <v>7.558331259866086</v>
      </c>
      <c r="J246" s="12">
        <f t="shared" si="18"/>
        <v>115.79460854435987</v>
      </c>
      <c r="M246" s="5">
        <f t="shared" si="17"/>
        <v>0</v>
      </c>
    </row>
    <row r="247" spans="1:13" ht="15">
      <c r="A247" s="9">
        <v>64</v>
      </c>
      <c r="B247" s="9">
        <v>37502</v>
      </c>
      <c r="D247" s="2" t="s">
        <v>102</v>
      </c>
      <c r="E247" s="2">
        <v>56</v>
      </c>
      <c r="F247" s="13">
        <v>0</v>
      </c>
      <c r="G247" s="12">
        <f t="shared" si="18"/>
        <v>0</v>
      </c>
      <c r="H247" s="12">
        <f t="shared" si="18"/>
        <v>0</v>
      </c>
      <c r="I247" s="12">
        <f t="shared" si="18"/>
        <v>0</v>
      </c>
      <c r="J247" s="12">
        <f t="shared" si="18"/>
        <v>0</v>
      </c>
      <c r="M247" s="5">
        <f t="shared" si="17"/>
        <v>0</v>
      </c>
    </row>
    <row r="248" spans="1:13" ht="15">
      <c r="A248" s="9">
        <v>65</v>
      </c>
      <c r="B248" s="9">
        <v>37503</v>
      </c>
      <c r="D248" s="2" t="s">
        <v>105</v>
      </c>
      <c r="E248" s="2">
        <v>56</v>
      </c>
      <c r="F248" s="13">
        <v>86</v>
      </c>
      <c r="G248" s="12">
        <f t="shared" si="18"/>
        <v>70.6942280753281</v>
      </c>
      <c r="H248" s="12">
        <f t="shared" si="18"/>
        <v>10.412620253471061</v>
      </c>
      <c r="I248" s="12">
        <f t="shared" si="18"/>
        <v>0.29982310348177277</v>
      </c>
      <c r="J248" s="12">
        <f t="shared" si="18"/>
        <v>4.593328567719072</v>
      </c>
      <c r="M248" s="5">
        <f t="shared" si="17"/>
        <v>0</v>
      </c>
    </row>
    <row r="249" spans="1:13" ht="15">
      <c r="A249" s="9">
        <v>66</v>
      </c>
      <c r="B249" s="9">
        <v>37600</v>
      </c>
      <c r="D249" s="13" t="s">
        <v>99</v>
      </c>
      <c r="E249" s="13">
        <v>56</v>
      </c>
      <c r="F249" s="17">
        <v>556692</v>
      </c>
      <c r="G249" s="12">
        <f t="shared" si="18"/>
        <v>457615.2466943087</v>
      </c>
      <c r="H249" s="12">
        <f t="shared" si="18"/>
        <v>67402.58597843385</v>
      </c>
      <c r="I249" s="12">
        <f t="shared" si="18"/>
        <v>1940.8037572497099</v>
      </c>
      <c r="J249" s="12">
        <f t="shared" si="18"/>
        <v>29733.363570007743</v>
      </c>
      <c r="M249" s="5">
        <f t="shared" si="17"/>
        <v>0</v>
      </c>
    </row>
    <row r="250" spans="1:13" ht="15">
      <c r="A250" s="9">
        <v>67</v>
      </c>
      <c r="B250" s="9">
        <v>37601</v>
      </c>
      <c r="D250" s="2" t="s">
        <v>100</v>
      </c>
      <c r="E250" s="2">
        <v>56</v>
      </c>
      <c r="F250" s="17">
        <v>2345591</v>
      </c>
      <c r="G250" s="12">
        <f t="shared" si="18"/>
        <v>1928136.5712260106</v>
      </c>
      <c r="H250" s="12">
        <f t="shared" si="18"/>
        <v>283997.0738716214</v>
      </c>
      <c r="I250" s="12">
        <f t="shared" si="18"/>
        <v>8177.469454871103</v>
      </c>
      <c r="J250" s="12">
        <f t="shared" si="18"/>
        <v>125279.88544749706</v>
      </c>
      <c r="M250" s="5">
        <f t="shared" si="17"/>
        <v>0</v>
      </c>
    </row>
    <row r="251" spans="1:13" ht="15">
      <c r="A251" s="9">
        <v>68</v>
      </c>
      <c r="B251" s="9">
        <v>37602</v>
      </c>
      <c r="D251" s="2" t="s">
        <v>108</v>
      </c>
      <c r="E251" s="2">
        <v>56</v>
      </c>
      <c r="F251" s="17">
        <v>1564702</v>
      </c>
      <c r="G251" s="12">
        <f t="shared" si="18"/>
        <v>1286225.5820688608</v>
      </c>
      <c r="H251" s="12">
        <f t="shared" si="18"/>
        <v>189449.39227728694</v>
      </c>
      <c r="I251" s="12">
        <f t="shared" si="18"/>
        <v>5455.044298420195</v>
      </c>
      <c r="J251" s="12">
        <f t="shared" si="18"/>
        <v>83571.98135543219</v>
      </c>
      <c r="M251" s="5">
        <f t="shared" si="17"/>
        <v>0</v>
      </c>
    </row>
    <row r="252" spans="1:13" ht="15">
      <c r="A252" s="9">
        <v>69</v>
      </c>
      <c r="B252" s="9">
        <v>37800</v>
      </c>
      <c r="D252" s="13" t="s">
        <v>109</v>
      </c>
      <c r="E252" s="13">
        <v>56</v>
      </c>
      <c r="F252" s="17">
        <v>161845</v>
      </c>
      <c r="G252" s="12">
        <f t="shared" si="18"/>
        <v>133040.7830564125</v>
      </c>
      <c r="H252" s="12">
        <f t="shared" si="18"/>
        <v>19595.703778174695</v>
      </c>
      <c r="I252" s="12">
        <f t="shared" si="18"/>
        <v>564.242676546599</v>
      </c>
      <c r="J252" s="12">
        <f t="shared" si="18"/>
        <v>8644.270488866201</v>
      </c>
      <c r="M252" s="5">
        <f t="shared" si="17"/>
        <v>0</v>
      </c>
    </row>
    <row r="253" spans="1:13" ht="15">
      <c r="A253" s="9">
        <v>70</v>
      </c>
      <c r="B253" s="9">
        <v>37900</v>
      </c>
      <c r="D253" s="13" t="s">
        <v>110</v>
      </c>
      <c r="E253" s="13">
        <v>56</v>
      </c>
      <c r="F253" s="17">
        <v>58890</v>
      </c>
      <c r="G253" s="12">
        <f t="shared" si="18"/>
        <v>48409.105713442696</v>
      </c>
      <c r="H253" s="12">
        <f t="shared" si="18"/>
        <v>7130.223334033846</v>
      </c>
      <c r="I253" s="12">
        <f t="shared" si="18"/>
        <v>205.30909958187905</v>
      </c>
      <c r="J253" s="12">
        <f t="shared" si="18"/>
        <v>3145.3618529415835</v>
      </c>
      <c r="M253" s="5">
        <f t="shared" si="17"/>
        <v>0</v>
      </c>
    </row>
    <row r="254" spans="1:13" ht="15">
      <c r="A254" s="9">
        <v>71</v>
      </c>
      <c r="B254" s="9">
        <v>37905</v>
      </c>
      <c r="D254" s="13" t="s">
        <v>111</v>
      </c>
      <c r="E254" s="13">
        <v>56</v>
      </c>
      <c r="F254" s="17">
        <v>36252</v>
      </c>
      <c r="G254" s="12">
        <f t="shared" si="18"/>
        <v>29800.08321147435</v>
      </c>
      <c r="H254" s="12">
        <f t="shared" si="18"/>
        <v>4389.282667777126</v>
      </c>
      <c r="I254" s="12">
        <f t="shared" si="18"/>
        <v>126.38589706303752</v>
      </c>
      <c r="J254" s="12">
        <f t="shared" si="18"/>
        <v>1936.2482236854862</v>
      </c>
      <c r="M254" s="5">
        <f t="shared" si="17"/>
        <v>0</v>
      </c>
    </row>
    <row r="255" spans="1:13" ht="15">
      <c r="A255" s="9">
        <v>72</v>
      </c>
      <c r="B255" s="9">
        <v>38000</v>
      </c>
      <c r="D255" s="2" t="s">
        <v>112</v>
      </c>
      <c r="E255" s="2">
        <v>3</v>
      </c>
      <c r="F255" s="17">
        <v>4473918</v>
      </c>
      <c r="G255" s="12">
        <f t="shared" si="18"/>
        <v>3975282.7155857636</v>
      </c>
      <c r="H255" s="12">
        <f t="shared" si="18"/>
        <v>487894.4010819378</v>
      </c>
      <c r="I255" s="12">
        <f t="shared" si="18"/>
        <v>5157.345984807262</v>
      </c>
      <c r="J255" s="12">
        <f t="shared" si="18"/>
        <v>5583.537347491669</v>
      </c>
      <c r="M255" s="5">
        <f t="shared" si="17"/>
        <v>0</v>
      </c>
    </row>
    <row r="256" spans="1:13" ht="15">
      <c r="A256" s="9">
        <v>73</v>
      </c>
      <c r="B256" s="9">
        <v>38100</v>
      </c>
      <c r="D256" s="2" t="s">
        <v>113</v>
      </c>
      <c r="E256" s="2">
        <v>5</v>
      </c>
      <c r="F256" s="17">
        <v>1773300</v>
      </c>
      <c r="G256" s="12">
        <f t="shared" si="18"/>
        <v>1065372.2220682895</v>
      </c>
      <c r="H256" s="12">
        <f t="shared" si="18"/>
        <v>596488.2522185821</v>
      </c>
      <c r="I256" s="12">
        <f t="shared" si="18"/>
        <v>55316.95216221412</v>
      </c>
      <c r="J256" s="12">
        <f t="shared" si="18"/>
        <v>56122.573550914254</v>
      </c>
      <c r="M256" s="5">
        <f t="shared" si="17"/>
        <v>0</v>
      </c>
    </row>
    <row r="257" spans="1:13" ht="15">
      <c r="A257" s="9">
        <v>74</v>
      </c>
      <c r="B257" s="9">
        <v>38200</v>
      </c>
      <c r="D257" s="2" t="s">
        <v>114</v>
      </c>
      <c r="E257" s="2">
        <v>5</v>
      </c>
      <c r="F257" s="17">
        <v>2132918</v>
      </c>
      <c r="G257" s="12">
        <f t="shared" si="18"/>
        <v>1281425.3590195973</v>
      </c>
      <c r="H257" s="12">
        <f t="shared" si="18"/>
        <v>717453.6344361099</v>
      </c>
      <c r="I257" s="12">
        <f t="shared" si="18"/>
        <v>66535.00421357098</v>
      </c>
      <c r="J257" s="12">
        <f t="shared" si="18"/>
        <v>67504.00233072178</v>
      </c>
      <c r="M257" s="5">
        <f t="shared" si="17"/>
        <v>0</v>
      </c>
    </row>
    <row r="258" spans="1:13" ht="15">
      <c r="A258" s="9">
        <v>75</v>
      </c>
      <c r="B258" s="9">
        <v>38300</v>
      </c>
      <c r="D258" s="2" t="s">
        <v>115</v>
      </c>
      <c r="E258" s="2">
        <v>5</v>
      </c>
      <c r="F258" s="17">
        <v>235602</v>
      </c>
      <c r="G258" s="12">
        <f t="shared" si="18"/>
        <v>141546.1716933024</v>
      </c>
      <c r="H258" s="12">
        <f t="shared" si="18"/>
        <v>79249.88732825938</v>
      </c>
      <c r="I258" s="12">
        <f t="shared" si="18"/>
        <v>7349.452750985152</v>
      </c>
      <c r="J258" s="12">
        <f t="shared" si="18"/>
        <v>7456.488227453054</v>
      </c>
      <c r="M258" s="5">
        <f t="shared" si="17"/>
        <v>0</v>
      </c>
    </row>
    <row r="259" spans="1:13" ht="15">
      <c r="A259" s="9">
        <v>76</v>
      </c>
      <c r="B259" s="9">
        <v>38400</v>
      </c>
      <c r="D259" s="2" t="s">
        <v>116</v>
      </c>
      <c r="E259" s="2">
        <v>5</v>
      </c>
      <c r="F259" s="17">
        <v>3841</v>
      </c>
      <c r="G259" s="12">
        <f t="shared" si="18"/>
        <v>2307.615578280212</v>
      </c>
      <c r="H259" s="12">
        <f t="shared" si="18"/>
        <v>1292.0043854799378</v>
      </c>
      <c r="I259" s="12">
        <f t="shared" si="18"/>
        <v>119.81752284163109</v>
      </c>
      <c r="J259" s="12">
        <f t="shared" si="18"/>
        <v>121.56251339821894</v>
      </c>
      <c r="M259" s="5">
        <f t="shared" si="17"/>
        <v>0</v>
      </c>
    </row>
    <row r="260" spans="1:13" ht="15">
      <c r="A260" s="9">
        <v>77</v>
      </c>
      <c r="B260" s="9">
        <v>38500</v>
      </c>
      <c r="D260" s="13" t="s">
        <v>117</v>
      </c>
      <c r="E260" s="13">
        <v>9</v>
      </c>
      <c r="F260" s="17">
        <v>157854</v>
      </c>
      <c r="G260" s="12">
        <f t="shared" si="18"/>
        <v>0</v>
      </c>
      <c r="H260" s="12">
        <f t="shared" si="18"/>
        <v>0</v>
      </c>
      <c r="I260" s="12">
        <f t="shared" si="18"/>
        <v>0</v>
      </c>
      <c r="J260" s="12">
        <f t="shared" si="18"/>
        <v>157854</v>
      </c>
      <c r="M260" s="5">
        <f t="shared" si="17"/>
        <v>0</v>
      </c>
    </row>
    <row r="261" spans="1:13" ht="15">
      <c r="A261" s="9">
        <v>78</v>
      </c>
      <c r="B261" s="9">
        <v>38600</v>
      </c>
      <c r="D261" s="13" t="s">
        <v>118</v>
      </c>
      <c r="E261" s="13"/>
      <c r="F261" s="13">
        <v>0</v>
      </c>
      <c r="G261" s="2"/>
      <c r="M261" s="5">
        <f t="shared" si="17"/>
        <v>0</v>
      </c>
    </row>
    <row r="262" spans="1:13" ht="15">
      <c r="A262" s="9">
        <v>79</v>
      </c>
      <c r="M262" s="5">
        <f t="shared" si="17"/>
        <v>0</v>
      </c>
    </row>
    <row r="263" spans="1:13" ht="15">
      <c r="A263" s="9">
        <v>80</v>
      </c>
      <c r="C263" s="13" t="s">
        <v>53</v>
      </c>
      <c r="D263" s="2"/>
      <c r="E263" s="2"/>
      <c r="F263" s="18">
        <f>SUM(F241:F261)</f>
        <v>13515269</v>
      </c>
      <c r="G263" s="18">
        <f>SUM(G241:G261)</f>
        <v>10360558.023102213</v>
      </c>
      <c r="H263" s="18">
        <f>SUM(H241:H261)</f>
        <v>2456021.05260414</v>
      </c>
      <c r="I263" s="18">
        <f>SUM(I241:I261)</f>
        <v>150996.16209148505</v>
      </c>
      <c r="J263" s="18">
        <f>SUM(J241:J261)</f>
        <v>547693.7622021633</v>
      </c>
      <c r="M263" s="5">
        <f t="shared" si="17"/>
        <v>0</v>
      </c>
    </row>
    <row r="264" spans="1:13" ht="15">
      <c r="A264" s="9">
        <v>81</v>
      </c>
      <c r="M264" s="5">
        <f t="shared" si="17"/>
        <v>0</v>
      </c>
    </row>
    <row r="265" spans="1:13" ht="15">
      <c r="A265" s="9">
        <v>82</v>
      </c>
      <c r="C265" s="2" t="s">
        <v>54</v>
      </c>
      <c r="D265" s="2"/>
      <c r="E265" s="2"/>
      <c r="F265" s="2"/>
      <c r="G265" s="2"/>
      <c r="M265" s="5">
        <f t="shared" si="17"/>
        <v>0</v>
      </c>
    </row>
    <row r="266" spans="1:13" ht="15">
      <c r="A266" s="9">
        <v>83</v>
      </c>
      <c r="M266" s="5">
        <f t="shared" si="17"/>
        <v>0</v>
      </c>
    </row>
    <row r="267" spans="1:13" ht="15">
      <c r="A267" s="9">
        <v>84</v>
      </c>
      <c r="B267" s="9">
        <v>38900</v>
      </c>
      <c r="D267" s="2" t="s">
        <v>96</v>
      </c>
      <c r="E267" s="2"/>
      <c r="F267" s="13">
        <v>0</v>
      </c>
      <c r="G267" s="2"/>
      <c r="M267" s="5">
        <f t="shared" si="17"/>
        <v>0</v>
      </c>
    </row>
    <row r="268" spans="1:13" ht="15">
      <c r="A268" s="9">
        <v>85</v>
      </c>
      <c r="B268" s="9">
        <v>39000</v>
      </c>
      <c r="D268" s="2" t="s">
        <v>119</v>
      </c>
      <c r="E268" s="2">
        <v>10</v>
      </c>
      <c r="F268" s="17">
        <v>131359</v>
      </c>
      <c r="G268" s="12">
        <f>INDEX(ALLOC,($E268)+1,(G$1)+1)*$F268</f>
        <v>97505.34620579243</v>
      </c>
      <c r="H268" s="12">
        <f>INDEX(ALLOC,($E268)+1,(H$1)+1)*$F268</f>
        <v>21696.0132862451</v>
      </c>
      <c r="I268" s="12">
        <f>INDEX(ALLOC,($E268)+1,(I$1)+1)*$F268</f>
        <v>1266.6440709428362</v>
      </c>
      <c r="J268" s="12">
        <f>INDEX(ALLOC,($E268)+1,(J$1)+1)*$F268</f>
        <v>10890.996437019625</v>
      </c>
      <c r="M268" s="5">
        <f t="shared" si="17"/>
        <v>0</v>
      </c>
    </row>
    <row r="269" spans="1:13" ht="15">
      <c r="A269" s="9">
        <v>86</v>
      </c>
      <c r="B269" s="9">
        <v>39002</v>
      </c>
      <c r="D269" s="2" t="s">
        <v>105</v>
      </c>
      <c r="E269" s="2"/>
      <c r="F269" s="13">
        <v>0</v>
      </c>
      <c r="G269" s="2"/>
      <c r="M269" s="5">
        <f t="shared" si="17"/>
        <v>0</v>
      </c>
    </row>
    <row r="270" spans="1:13" ht="15">
      <c r="A270" s="9">
        <v>87</v>
      </c>
      <c r="B270" s="9">
        <v>39003</v>
      </c>
      <c r="D270" s="13" t="s">
        <v>121</v>
      </c>
      <c r="E270" s="13">
        <v>10</v>
      </c>
      <c r="F270" s="17">
        <v>26900</v>
      </c>
      <c r="G270" s="12">
        <f>INDEX(ALLOC,($E270)+1,(G$1)+1)*$F270</f>
        <v>19967.370434730903</v>
      </c>
      <c r="H270" s="12">
        <f>INDEX(ALLOC,($E270)+1,(H$1)+1)*$F270</f>
        <v>4442.959807854758</v>
      </c>
      <c r="I270" s="12">
        <f>INDEX(ALLOC,($E270)+1,(I$1)+1)*$F270</f>
        <v>259.38630400933545</v>
      </c>
      <c r="J270" s="12">
        <f>INDEX(ALLOC,($E270)+1,(J$1)+1)*$F270</f>
        <v>2230.283453405004</v>
      </c>
      <c r="M270" s="5">
        <f t="shared" si="17"/>
        <v>0</v>
      </c>
    </row>
    <row r="271" spans="1:13" ht="15">
      <c r="A271" s="9">
        <v>88</v>
      </c>
      <c r="B271" s="9">
        <v>39004</v>
      </c>
      <c r="D271" s="13" t="s">
        <v>122</v>
      </c>
      <c r="E271" s="13"/>
      <c r="F271" s="13">
        <v>0</v>
      </c>
      <c r="G271" s="2"/>
      <c r="M271" s="5">
        <f t="shared" si="17"/>
        <v>0</v>
      </c>
    </row>
    <row r="272" spans="1:13" ht="15">
      <c r="A272" s="9">
        <v>89</v>
      </c>
      <c r="B272" s="9">
        <v>39009</v>
      </c>
      <c r="D272" s="13" t="s">
        <v>123</v>
      </c>
      <c r="E272" s="13">
        <v>10</v>
      </c>
      <c r="F272" s="17">
        <v>30239</v>
      </c>
      <c r="G272" s="12">
        <f aca="true" t="shared" si="19" ref="G272:J273">INDEX(ALLOC,($E272)+1,(G$1)+1)*$F272</f>
        <v>22445.848125495453</v>
      </c>
      <c r="H272" s="12">
        <f t="shared" si="19"/>
        <v>4994.4483877219345</v>
      </c>
      <c r="I272" s="12">
        <f t="shared" si="19"/>
        <v>291.58299059250163</v>
      </c>
      <c r="J272" s="12">
        <f t="shared" si="19"/>
        <v>2507.1204961901085</v>
      </c>
      <c r="M272" s="5">
        <f t="shared" si="17"/>
        <v>0</v>
      </c>
    </row>
    <row r="273" spans="1:13" ht="15">
      <c r="A273" s="9">
        <v>90</v>
      </c>
      <c r="B273" s="9">
        <v>39100</v>
      </c>
      <c r="D273" s="13" t="s">
        <v>124</v>
      </c>
      <c r="E273" s="13">
        <v>10</v>
      </c>
      <c r="F273" s="17">
        <v>96791</v>
      </c>
      <c r="G273" s="12">
        <f t="shared" si="19"/>
        <v>71846.16177502002</v>
      </c>
      <c r="H273" s="12">
        <f t="shared" si="19"/>
        <v>15986.562184463564</v>
      </c>
      <c r="I273" s="12">
        <f t="shared" si="19"/>
        <v>933.3182063705422</v>
      </c>
      <c r="J273" s="12">
        <f t="shared" si="19"/>
        <v>8024.957834145864</v>
      </c>
      <c r="M273" s="5">
        <f t="shared" si="17"/>
        <v>0</v>
      </c>
    </row>
    <row r="274" spans="1:13" ht="15">
      <c r="A274" s="9">
        <v>91</v>
      </c>
      <c r="B274" s="9">
        <v>39103</v>
      </c>
      <c r="D274" s="2" t="s">
        <v>126</v>
      </c>
      <c r="E274" s="2"/>
      <c r="F274" s="13">
        <v>0</v>
      </c>
      <c r="G274" s="2"/>
      <c r="M274" s="5">
        <f t="shared" si="17"/>
        <v>0</v>
      </c>
    </row>
    <row r="275" spans="1:13" ht="15">
      <c r="A275" s="9">
        <v>92</v>
      </c>
      <c r="B275" s="9">
        <v>39200</v>
      </c>
      <c r="D275" s="2" t="s">
        <v>127</v>
      </c>
      <c r="E275" s="2"/>
      <c r="F275" s="13">
        <v>0</v>
      </c>
      <c r="G275" s="2"/>
      <c r="M275" s="5">
        <f t="shared" si="17"/>
        <v>0</v>
      </c>
    </row>
    <row r="276" spans="1:13" ht="15">
      <c r="A276" s="9">
        <v>93</v>
      </c>
      <c r="B276" s="9">
        <v>39201</v>
      </c>
      <c r="D276" s="2" t="s">
        <v>128</v>
      </c>
      <c r="E276" s="2"/>
      <c r="F276" s="13">
        <v>0</v>
      </c>
      <c r="G276" s="2"/>
      <c r="M276" s="5">
        <f t="shared" si="17"/>
        <v>0</v>
      </c>
    </row>
    <row r="277" spans="1:13" ht="15">
      <c r="A277" s="9">
        <v>94</v>
      </c>
      <c r="B277" s="9">
        <v>39202</v>
      </c>
      <c r="D277" s="2" t="s">
        <v>129</v>
      </c>
      <c r="E277" s="2"/>
      <c r="F277" s="13">
        <v>0</v>
      </c>
      <c r="G277" s="2"/>
      <c r="M277" s="5">
        <f t="shared" si="17"/>
        <v>0</v>
      </c>
    </row>
    <row r="278" spans="1:13" ht="15">
      <c r="A278" s="9">
        <v>95</v>
      </c>
      <c r="B278" s="9">
        <v>39400</v>
      </c>
      <c r="D278" s="2" t="s">
        <v>131</v>
      </c>
      <c r="E278" s="2">
        <v>10</v>
      </c>
      <c r="F278" s="17">
        <v>135043</v>
      </c>
      <c r="G278" s="12">
        <f aca="true" t="shared" si="20" ref="G278:J282">INDEX(ALLOC,($E278)+1,(G$1)+1)*$F278</f>
        <v>100239.91098949313</v>
      </c>
      <c r="H278" s="12">
        <f t="shared" si="20"/>
        <v>22304.484064391454</v>
      </c>
      <c r="I278" s="12">
        <f t="shared" si="20"/>
        <v>1302.1674591945236</v>
      </c>
      <c r="J278" s="12">
        <f t="shared" si="20"/>
        <v>11196.43748692089</v>
      </c>
      <c r="M278" s="5">
        <f t="shared" si="17"/>
        <v>0</v>
      </c>
    </row>
    <row r="279" spans="1:13" ht="15">
      <c r="A279" s="9">
        <v>96</v>
      </c>
      <c r="B279" s="9">
        <v>39603</v>
      </c>
      <c r="D279" s="2" t="s">
        <v>133</v>
      </c>
      <c r="E279" s="2">
        <v>10</v>
      </c>
      <c r="F279" s="17">
        <v>8234</v>
      </c>
      <c r="G279" s="12">
        <f t="shared" si="20"/>
        <v>6111.945284742537</v>
      </c>
      <c r="H279" s="12">
        <f t="shared" si="20"/>
        <v>1359.9751322630511</v>
      </c>
      <c r="I279" s="12">
        <f t="shared" si="20"/>
        <v>79.39727982203969</v>
      </c>
      <c r="J279" s="12">
        <f t="shared" si="20"/>
        <v>682.6823031723718</v>
      </c>
      <c r="M279" s="5">
        <f t="shared" si="17"/>
        <v>0</v>
      </c>
    </row>
    <row r="280" spans="1:13" ht="15">
      <c r="A280" s="9">
        <v>97</v>
      </c>
      <c r="B280" s="9">
        <v>39604</v>
      </c>
      <c r="D280" s="2" t="s">
        <v>134</v>
      </c>
      <c r="E280" s="2">
        <v>10</v>
      </c>
      <c r="F280" s="17">
        <v>9621</v>
      </c>
      <c r="G280" s="12">
        <f t="shared" si="20"/>
        <v>7141.489626488699</v>
      </c>
      <c r="H280" s="12">
        <f t="shared" si="20"/>
        <v>1589.0600859245587</v>
      </c>
      <c r="I280" s="12">
        <f t="shared" si="20"/>
        <v>92.77158479084818</v>
      </c>
      <c r="J280" s="12">
        <f t="shared" si="20"/>
        <v>797.6787027958937</v>
      </c>
      <c r="M280" s="5">
        <f t="shared" si="17"/>
        <v>0</v>
      </c>
    </row>
    <row r="281" spans="1:13" ht="15">
      <c r="A281" s="9">
        <v>98</v>
      </c>
      <c r="B281" s="9">
        <v>39605</v>
      </c>
      <c r="D281" s="2" t="s">
        <v>135</v>
      </c>
      <c r="E281" s="2">
        <v>10</v>
      </c>
      <c r="F281" s="17">
        <v>5096</v>
      </c>
      <c r="G281" s="12">
        <f t="shared" si="20"/>
        <v>3782.666161166865</v>
      </c>
      <c r="H281" s="12">
        <f t="shared" si="20"/>
        <v>841.6848766107006</v>
      </c>
      <c r="I281" s="12">
        <f t="shared" si="20"/>
        <v>49.13875855879455</v>
      </c>
      <c r="J281" s="12">
        <f t="shared" si="20"/>
        <v>422.5102036636394</v>
      </c>
      <c r="M281" s="5">
        <f t="shared" si="17"/>
        <v>0</v>
      </c>
    </row>
    <row r="282" spans="1:13" ht="15">
      <c r="A282" s="9">
        <v>99</v>
      </c>
      <c r="B282" s="9">
        <v>39700</v>
      </c>
      <c r="D282" s="13" t="s">
        <v>136</v>
      </c>
      <c r="E282" s="2">
        <v>10</v>
      </c>
      <c r="F282" s="17">
        <v>24702</v>
      </c>
      <c r="G282" s="12">
        <f t="shared" si="20"/>
        <v>18335.83585422761</v>
      </c>
      <c r="H282" s="12">
        <f t="shared" si="20"/>
        <v>4079.9253967891536</v>
      </c>
      <c r="I282" s="12">
        <f t="shared" si="20"/>
        <v>238.1918394661191</v>
      </c>
      <c r="J282" s="12">
        <f t="shared" si="20"/>
        <v>2048.0469095171156</v>
      </c>
      <c r="M282" s="5">
        <f t="shared" si="17"/>
        <v>0</v>
      </c>
    </row>
    <row r="283" spans="1:13" ht="15">
      <c r="A283" s="9">
        <v>100</v>
      </c>
      <c r="B283" s="9">
        <v>39701</v>
      </c>
      <c r="D283" s="13" t="s">
        <v>164</v>
      </c>
      <c r="E283" s="13"/>
      <c r="F283" s="13">
        <v>0</v>
      </c>
      <c r="G283" s="2"/>
      <c r="M283" s="5">
        <f t="shared" si="17"/>
        <v>0</v>
      </c>
    </row>
    <row r="284" spans="1:13" ht="15">
      <c r="A284" s="9">
        <v>101</v>
      </c>
      <c r="B284" s="9">
        <v>39702</v>
      </c>
      <c r="D284" s="13" t="s">
        <v>138</v>
      </c>
      <c r="E284" s="13"/>
      <c r="F284" s="13">
        <v>0</v>
      </c>
      <c r="G284" s="2"/>
      <c r="M284" s="5">
        <f t="shared" si="17"/>
        <v>0</v>
      </c>
    </row>
    <row r="285" spans="1:13" ht="15">
      <c r="A285" s="9">
        <v>102</v>
      </c>
      <c r="B285" s="9">
        <v>39705</v>
      </c>
      <c r="D285" s="2" t="s">
        <v>139</v>
      </c>
      <c r="E285" s="2">
        <v>10</v>
      </c>
      <c r="F285" s="17">
        <v>8360</v>
      </c>
      <c r="G285" s="12">
        <f aca="true" t="shared" si="21" ref="G285:J286">INDEX(ALLOC,($E285)+1,(G$1)+1)*$F285</f>
        <v>6205.472744771388</v>
      </c>
      <c r="H285" s="12">
        <f t="shared" si="21"/>
        <v>1380.7860220693597</v>
      </c>
      <c r="I285" s="12">
        <f t="shared" si="21"/>
        <v>80.61224912706484</v>
      </c>
      <c r="J285" s="12">
        <f t="shared" si="21"/>
        <v>693.1289840321871</v>
      </c>
      <c r="M285" s="5">
        <f t="shared" si="17"/>
        <v>0</v>
      </c>
    </row>
    <row r="286" spans="1:13" ht="15">
      <c r="A286" s="9">
        <v>103</v>
      </c>
      <c r="B286" s="9">
        <v>39800</v>
      </c>
      <c r="D286" s="2" t="s">
        <v>140</v>
      </c>
      <c r="E286" s="2">
        <v>10</v>
      </c>
      <c r="F286" s="17">
        <v>125081</v>
      </c>
      <c r="G286" s="12">
        <f t="shared" si="21"/>
        <v>92845.30339578349</v>
      </c>
      <c r="H286" s="12">
        <f t="shared" si="21"/>
        <v>20659.102443356172</v>
      </c>
      <c r="I286" s="12">
        <f t="shared" si="21"/>
        <v>1206.107743189282</v>
      </c>
      <c r="J286" s="12">
        <f t="shared" si="21"/>
        <v>10370.486417671053</v>
      </c>
      <c r="M286" s="5">
        <f t="shared" si="17"/>
        <v>0</v>
      </c>
    </row>
    <row r="287" spans="1:13" ht="15">
      <c r="A287" s="9">
        <v>104</v>
      </c>
      <c r="B287" s="9">
        <v>39900</v>
      </c>
      <c r="D287" s="13" t="s">
        <v>151</v>
      </c>
      <c r="E287" s="13"/>
      <c r="F287" s="13">
        <v>0</v>
      </c>
      <c r="G287" s="2"/>
      <c r="M287" s="5">
        <f t="shared" si="17"/>
        <v>0</v>
      </c>
    </row>
    <row r="288" spans="1:13" ht="15">
      <c r="A288" s="9">
        <v>105</v>
      </c>
      <c r="B288" s="9">
        <v>39901</v>
      </c>
      <c r="D288" s="13" t="s">
        <v>142</v>
      </c>
      <c r="E288" s="13"/>
      <c r="F288" s="13">
        <v>0</v>
      </c>
      <c r="G288" s="2"/>
      <c r="M288" s="5">
        <f t="shared" si="17"/>
        <v>0</v>
      </c>
    </row>
    <row r="289" spans="1:13" ht="15">
      <c r="A289" s="9">
        <v>106</v>
      </c>
      <c r="B289" s="9">
        <v>39902</v>
      </c>
      <c r="D289" s="13" t="s">
        <v>143</v>
      </c>
      <c r="E289" s="13"/>
      <c r="F289" s="13">
        <v>0</v>
      </c>
      <c r="G289" s="2"/>
      <c r="M289" s="5">
        <f t="shared" si="17"/>
        <v>0</v>
      </c>
    </row>
    <row r="290" spans="1:13" ht="15">
      <c r="A290" s="9">
        <v>107</v>
      </c>
      <c r="B290" s="9">
        <v>39903</v>
      </c>
      <c r="D290" s="13" t="s">
        <v>144</v>
      </c>
      <c r="E290" s="13"/>
      <c r="F290" s="13">
        <v>0</v>
      </c>
      <c r="G290" s="2"/>
      <c r="M290" s="5">
        <f t="shared" si="17"/>
        <v>0</v>
      </c>
    </row>
    <row r="291" spans="1:13" ht="15">
      <c r="A291" s="9">
        <v>108</v>
      </c>
      <c r="B291" s="9">
        <v>39904</v>
      </c>
      <c r="D291" s="13" t="s">
        <v>314</v>
      </c>
      <c r="E291" s="13"/>
      <c r="F291" s="13">
        <v>0</v>
      </c>
      <c r="G291" s="2"/>
      <c r="M291" s="5">
        <f t="shared" si="17"/>
        <v>0</v>
      </c>
    </row>
    <row r="292" spans="1:13" ht="15">
      <c r="A292" s="9">
        <v>109</v>
      </c>
      <c r="B292" s="9">
        <v>39905</v>
      </c>
      <c r="D292" s="13" t="s">
        <v>146</v>
      </c>
      <c r="E292" s="13"/>
      <c r="F292" s="13">
        <v>0</v>
      </c>
      <c r="G292" s="2"/>
      <c r="M292" s="5">
        <f t="shared" si="17"/>
        <v>0</v>
      </c>
    </row>
    <row r="293" spans="1:13" ht="15">
      <c r="A293" s="9">
        <v>110</v>
      </c>
      <c r="B293" s="9">
        <v>39906</v>
      </c>
      <c r="D293" s="13" t="s">
        <v>147</v>
      </c>
      <c r="E293" s="2">
        <v>10</v>
      </c>
      <c r="F293" s="17">
        <v>41450</v>
      </c>
      <c r="G293" s="12">
        <f>INDEX(ALLOC,($E293)+1,(G$1)+1)*$F293</f>
        <v>30767.565223776797</v>
      </c>
      <c r="H293" s="12">
        <f>INDEX(ALLOC,($E293)+1,(H$1)+1)*$F293</f>
        <v>6846.122083107053</v>
      </c>
      <c r="I293" s="12">
        <f>INDEX(ALLOC,($E293)+1,(I$1)+1)*$F293</f>
        <v>399.68633089914323</v>
      </c>
      <c r="J293" s="12">
        <f>INDEX(ALLOC,($E293)+1,(J$1)+1)*$F293</f>
        <v>3436.626362217004</v>
      </c>
      <c r="M293" s="5">
        <f t="shared" si="17"/>
        <v>0</v>
      </c>
    </row>
    <row r="294" spans="1:13" ht="15">
      <c r="A294" s="9">
        <v>111</v>
      </c>
      <c r="B294" s="9">
        <v>39907</v>
      </c>
      <c r="D294" s="13" t="s">
        <v>148</v>
      </c>
      <c r="E294" s="13"/>
      <c r="F294" s="13">
        <v>0</v>
      </c>
      <c r="G294" s="2"/>
      <c r="M294" s="5">
        <f t="shared" si="17"/>
        <v>0</v>
      </c>
    </row>
    <row r="295" spans="1:13" ht="15">
      <c r="A295" s="9">
        <v>112</v>
      </c>
      <c r="B295" s="9">
        <v>39908</v>
      </c>
      <c r="D295" s="13" t="s">
        <v>155</v>
      </c>
      <c r="E295" s="13"/>
      <c r="F295" s="13">
        <v>0</v>
      </c>
      <c r="G295" s="2"/>
      <c r="M295" s="5">
        <f t="shared" si="17"/>
        <v>0</v>
      </c>
    </row>
    <row r="296" spans="1:13" ht="15">
      <c r="A296" s="9">
        <v>113</v>
      </c>
      <c r="D296" s="13" t="s">
        <v>166</v>
      </c>
      <c r="E296" s="2">
        <v>10</v>
      </c>
      <c r="F296" s="17">
        <v>255335</v>
      </c>
      <c r="G296" s="12">
        <f>INDEX(ALLOC,($E296)+1,(G$1)+1)*$F296</f>
        <v>189530.42862275147</v>
      </c>
      <c r="H296" s="12">
        <f>INDEX(ALLOC,($E296)+1,(H$1)+1)*$F296</f>
        <v>42172.607529315785</v>
      </c>
      <c r="I296" s="12">
        <f>INDEX(ALLOC,($E296)+1,(I$1)+1)*$F296</f>
        <v>2462.0967261793185</v>
      </c>
      <c r="J296" s="12">
        <f>INDEX(ALLOC,($E296)+1,(J$1)+1)*$F296</f>
        <v>21169.867121753407</v>
      </c>
      <c r="M296" s="5">
        <f t="shared" si="17"/>
        <v>0</v>
      </c>
    </row>
    <row r="297" spans="1:13" ht="15">
      <c r="A297" s="9">
        <v>114</v>
      </c>
      <c r="M297" s="5">
        <f aca="true" t="shared" si="22" ref="M297:M360">SUM(G297:J297)-F297</f>
        <v>0</v>
      </c>
    </row>
    <row r="298" spans="1:13" ht="15">
      <c r="A298" s="9">
        <v>115</v>
      </c>
      <c r="M298" s="5">
        <f t="shared" si="22"/>
        <v>0</v>
      </c>
    </row>
    <row r="299" spans="1:13" ht="15">
      <c r="A299" s="9">
        <v>116</v>
      </c>
      <c r="C299" s="13" t="s">
        <v>55</v>
      </c>
      <c r="D299" s="2"/>
      <c r="E299" s="2"/>
      <c r="F299" s="18">
        <f>SUM(F267:F296)</f>
        <v>898211</v>
      </c>
      <c r="G299" s="18">
        <f>SUM(G267:G296)</f>
        <v>666725.3444442408</v>
      </c>
      <c r="H299" s="18">
        <f>SUM(H267:H296)</f>
        <v>148353.73130011265</v>
      </c>
      <c r="I299" s="18">
        <f>SUM(I267:I296)</f>
        <v>8661.10154314235</v>
      </c>
      <c r="J299" s="18">
        <f>SUM(J267:J296)</f>
        <v>74470.82271250416</v>
      </c>
      <c r="M299" s="5">
        <f t="shared" si="22"/>
        <v>0</v>
      </c>
    </row>
    <row r="300" spans="1:13" ht="15">
      <c r="A300" s="9">
        <v>117</v>
      </c>
      <c r="M300" s="5">
        <f t="shared" si="22"/>
        <v>0</v>
      </c>
    </row>
    <row r="301" spans="1:13" ht="15">
      <c r="A301" s="9">
        <v>118</v>
      </c>
      <c r="C301" s="13" t="s">
        <v>209</v>
      </c>
      <c r="D301" s="2"/>
      <c r="E301" s="2"/>
      <c r="F301" s="18">
        <f>F263+F299+F237+F224+F202</f>
        <v>15240045</v>
      </c>
      <c r="G301" s="18">
        <f>G263+G299+G237+G224+G202</f>
        <v>11372369.292551477</v>
      </c>
      <c r="H301" s="18">
        <f>H263+H299+H237+H224+H202</f>
        <v>2760601.0842486564</v>
      </c>
      <c r="I301" s="18">
        <f>I263+I299+I237+I224+I202</f>
        <v>173794.95956976432</v>
      </c>
      <c r="J301" s="18">
        <f>J263+J299+J237+J224+J202</f>
        <v>933279.6636301052</v>
      </c>
      <c r="M301" s="5">
        <f t="shared" si="22"/>
        <v>0</v>
      </c>
    </row>
    <row r="302" spans="1:13" ht="15">
      <c r="A302" s="9">
        <v>119</v>
      </c>
      <c r="M302" s="5">
        <f t="shared" si="22"/>
        <v>0</v>
      </c>
    </row>
    <row r="303" spans="1:13" ht="15">
      <c r="A303" s="9">
        <v>120</v>
      </c>
      <c r="C303" s="13" t="s">
        <v>58</v>
      </c>
      <c r="D303" s="2"/>
      <c r="E303" s="2"/>
      <c r="F303" s="2"/>
      <c r="G303" s="2"/>
      <c r="M303" s="5">
        <f t="shared" si="22"/>
        <v>0</v>
      </c>
    </row>
    <row r="304" spans="1:13" ht="15">
      <c r="A304" s="9">
        <v>121</v>
      </c>
      <c r="M304" s="5">
        <f t="shared" si="22"/>
        <v>0</v>
      </c>
    </row>
    <row r="305" spans="1:13" ht="15">
      <c r="A305" s="9">
        <v>122</v>
      </c>
      <c r="C305" s="13" t="s">
        <v>44</v>
      </c>
      <c r="D305" s="2"/>
      <c r="E305" s="2"/>
      <c r="F305" s="2"/>
      <c r="G305" s="2"/>
      <c r="M305" s="5">
        <f t="shared" si="22"/>
        <v>0</v>
      </c>
    </row>
    <row r="306" spans="1:13" ht="15">
      <c r="A306" s="9">
        <v>123</v>
      </c>
      <c r="M306" s="5">
        <f t="shared" si="22"/>
        <v>0</v>
      </c>
    </row>
    <row r="307" spans="1:13" ht="15">
      <c r="A307" s="9">
        <v>124</v>
      </c>
      <c r="B307" s="9">
        <v>30100</v>
      </c>
      <c r="D307" s="2" t="s">
        <v>72</v>
      </c>
      <c r="E307" s="2"/>
      <c r="F307" s="13">
        <v>0</v>
      </c>
      <c r="G307" s="2"/>
      <c r="M307" s="5">
        <f t="shared" si="22"/>
        <v>0</v>
      </c>
    </row>
    <row r="308" spans="1:13" ht="15">
      <c r="A308" s="9">
        <v>125</v>
      </c>
      <c r="B308" s="9">
        <v>30200</v>
      </c>
      <c r="D308" s="13" t="s">
        <v>73</v>
      </c>
      <c r="E308" s="13"/>
      <c r="F308" s="13">
        <v>0</v>
      </c>
      <c r="G308" s="2"/>
      <c r="M308" s="5">
        <f t="shared" si="22"/>
        <v>0</v>
      </c>
    </row>
    <row r="309" spans="1:13" ht="15">
      <c r="A309" s="9">
        <v>126</v>
      </c>
      <c r="B309" s="9">
        <v>30300</v>
      </c>
      <c r="D309" s="2" t="s">
        <v>74</v>
      </c>
      <c r="E309" s="2"/>
      <c r="F309" s="13">
        <v>0</v>
      </c>
      <c r="G309" s="2"/>
      <c r="M309" s="5">
        <f t="shared" si="22"/>
        <v>0</v>
      </c>
    </row>
    <row r="310" spans="1:13" ht="15">
      <c r="A310" s="9">
        <v>127</v>
      </c>
      <c r="M310" s="5">
        <f t="shared" si="22"/>
        <v>0</v>
      </c>
    </row>
    <row r="311" spans="1:13" ht="15">
      <c r="A311" s="9">
        <v>128</v>
      </c>
      <c r="C311" s="13" t="s">
        <v>45</v>
      </c>
      <c r="D311" s="2"/>
      <c r="E311" s="2"/>
      <c r="F311" s="19">
        <f>SUM(F307:F309)</f>
        <v>0</v>
      </c>
      <c r="G311" s="2"/>
      <c r="M311" s="5">
        <f t="shared" si="22"/>
        <v>0</v>
      </c>
    </row>
    <row r="312" spans="1:13" ht="15">
      <c r="A312" s="9">
        <v>129</v>
      </c>
      <c r="M312" s="5">
        <f t="shared" si="22"/>
        <v>0</v>
      </c>
    </row>
    <row r="313" spans="1:13" ht="15">
      <c r="A313" s="9">
        <v>130</v>
      </c>
      <c r="C313" s="2" t="s">
        <v>54</v>
      </c>
      <c r="D313" s="2"/>
      <c r="E313" s="2"/>
      <c r="F313" s="2"/>
      <c r="G313" s="2"/>
      <c r="M313" s="5">
        <f t="shared" si="22"/>
        <v>0</v>
      </c>
    </row>
    <row r="314" spans="1:13" ht="15">
      <c r="A314" s="9">
        <v>131</v>
      </c>
      <c r="M314" s="5">
        <f t="shared" si="22"/>
        <v>0</v>
      </c>
    </row>
    <row r="315" spans="1:13" ht="15">
      <c r="A315" s="9">
        <v>132</v>
      </c>
      <c r="B315" s="1">
        <v>37400</v>
      </c>
      <c r="D315" s="2" t="s">
        <v>96</v>
      </c>
      <c r="E315" s="2"/>
      <c r="F315" s="13">
        <v>0</v>
      </c>
      <c r="G315" s="2"/>
      <c r="M315" s="5">
        <f t="shared" si="22"/>
        <v>0</v>
      </c>
    </row>
    <row r="316" spans="1:13" ht="15">
      <c r="A316" s="9">
        <v>133</v>
      </c>
      <c r="B316" s="1">
        <v>39001</v>
      </c>
      <c r="D316" s="2" t="s">
        <v>119</v>
      </c>
      <c r="E316" s="2">
        <v>10</v>
      </c>
      <c r="F316" s="17">
        <v>2696</v>
      </c>
      <c r="G316" s="12">
        <f>INDEX(ALLOC,($E316)+1,(G$1)+1)*$F316</f>
        <v>2001.1907320458927</v>
      </c>
      <c r="H316" s="12">
        <f>INDEX(ALLOC,($E316)+1,(H$1)+1)*$F316</f>
        <v>445.28697553815715</v>
      </c>
      <c r="I316" s="12">
        <f>INDEX(ALLOC,($E316)+1,(I$1)+1)*$F316</f>
        <v>25.996486082125216</v>
      </c>
      <c r="J316" s="12">
        <f>INDEX(ALLOC,($E316)+1,(J$1)+1)*$F316</f>
        <v>223.52580633382493</v>
      </c>
      <c r="M316" s="5">
        <f t="shared" si="22"/>
        <v>0</v>
      </c>
    </row>
    <row r="317" spans="1:13" ht="15">
      <c r="A317" s="9">
        <v>134</v>
      </c>
      <c r="B317" s="1">
        <v>39004</v>
      </c>
      <c r="D317" s="13" t="s">
        <v>121</v>
      </c>
      <c r="E317" s="13"/>
      <c r="F317" s="13">
        <v>0</v>
      </c>
      <c r="G317" s="2"/>
      <c r="M317" s="5">
        <f t="shared" si="22"/>
        <v>0</v>
      </c>
    </row>
    <row r="318" spans="1:13" ht="15">
      <c r="A318" s="9">
        <v>135</v>
      </c>
      <c r="B318" s="1">
        <v>39009</v>
      </c>
      <c r="D318" s="13" t="s">
        <v>122</v>
      </c>
      <c r="E318" s="13"/>
      <c r="F318" s="13">
        <v>0</v>
      </c>
      <c r="G318" s="2"/>
      <c r="M318" s="5">
        <f t="shared" si="22"/>
        <v>0</v>
      </c>
    </row>
    <row r="319" spans="1:13" ht="15">
      <c r="A319" s="9">
        <v>136</v>
      </c>
      <c r="B319" s="1">
        <v>39100</v>
      </c>
      <c r="D319" s="13" t="s">
        <v>123</v>
      </c>
      <c r="E319" s="13">
        <v>10</v>
      </c>
      <c r="F319" s="17">
        <v>2095</v>
      </c>
      <c r="G319" s="12">
        <f>INDEX(ALLOC,($E319)+1,(G$1)+1)*$F319</f>
        <v>1555.079593336849</v>
      </c>
      <c r="H319" s="12">
        <f>INDEX(ALLOC,($E319)+1,(H$1)+1)*$F319</f>
        <v>346.02233447790775</v>
      </c>
      <c r="I319" s="12">
        <f>INDEX(ALLOC,($E319)+1,(I$1)+1)*$F319</f>
        <v>20.201275349425938</v>
      </c>
      <c r="J319" s="12">
        <f>INDEX(ALLOC,($E319)+1,(J$1)+1)*$F319</f>
        <v>173.69679683581722</v>
      </c>
      <c r="M319" s="5">
        <f t="shared" si="22"/>
        <v>0</v>
      </c>
    </row>
    <row r="320" spans="1:13" ht="15">
      <c r="A320" s="9">
        <v>137</v>
      </c>
      <c r="B320" s="1">
        <v>39200</v>
      </c>
      <c r="D320" s="2" t="s">
        <v>126</v>
      </c>
      <c r="E320" s="2"/>
      <c r="F320" s="13">
        <v>0</v>
      </c>
      <c r="G320" s="2"/>
      <c r="M320" s="5">
        <f t="shared" si="22"/>
        <v>0</v>
      </c>
    </row>
    <row r="321" spans="1:13" ht="15">
      <c r="A321" s="9">
        <v>138</v>
      </c>
      <c r="B321" s="1">
        <v>39300</v>
      </c>
      <c r="D321" s="2" t="s">
        <v>129</v>
      </c>
      <c r="E321" s="13">
        <v>10</v>
      </c>
      <c r="F321" s="13">
        <v>162</v>
      </c>
      <c r="G321" s="12">
        <f aca="true" t="shared" si="23" ref="G321:J325">INDEX(ALLOC,($E321)+1,(G$1)+1)*$F321</f>
        <v>120.24959146566566</v>
      </c>
      <c r="H321" s="12">
        <f t="shared" si="23"/>
        <v>26.756858322396685</v>
      </c>
      <c r="I321" s="12">
        <f t="shared" si="23"/>
        <v>1.56210339217518</v>
      </c>
      <c r="J321" s="12">
        <f t="shared" si="23"/>
        <v>13.431446819762478</v>
      </c>
      <c r="M321" s="5">
        <f t="shared" si="22"/>
        <v>0</v>
      </c>
    </row>
    <row r="322" spans="1:13" ht="15">
      <c r="A322" s="9">
        <v>139</v>
      </c>
      <c r="B322" s="1">
        <v>39400</v>
      </c>
      <c r="D322" s="13" t="s">
        <v>130</v>
      </c>
      <c r="E322" s="13">
        <v>10</v>
      </c>
      <c r="F322" s="17">
        <v>4710</v>
      </c>
      <c r="G322" s="12">
        <f t="shared" si="23"/>
        <v>3496.145529649909</v>
      </c>
      <c r="H322" s="12">
        <f t="shared" si="23"/>
        <v>777.9308808548666</v>
      </c>
      <c r="I322" s="12">
        <f t="shared" si="23"/>
        <v>45.41670973546356</v>
      </c>
      <c r="J322" s="12">
        <f t="shared" si="23"/>
        <v>390.5068797597609</v>
      </c>
      <c r="M322" s="5">
        <f t="shared" si="22"/>
        <v>0</v>
      </c>
    </row>
    <row r="323" spans="1:13" ht="15">
      <c r="A323" s="9">
        <v>140</v>
      </c>
      <c r="B323" s="1">
        <v>39600</v>
      </c>
      <c r="D323" s="2" t="s">
        <v>131</v>
      </c>
      <c r="E323" s="13">
        <v>10</v>
      </c>
      <c r="F323" s="13">
        <v>605</v>
      </c>
      <c r="G323" s="12">
        <f t="shared" si="23"/>
        <v>449.0802644242452</v>
      </c>
      <c r="H323" s="12">
        <f t="shared" si="23"/>
        <v>99.92530422870367</v>
      </c>
      <c r="I323" s="12">
        <f t="shared" si="23"/>
        <v>5.833781186827061</v>
      </c>
      <c r="J323" s="12">
        <f t="shared" si="23"/>
        <v>50.160650160224066</v>
      </c>
      <c r="M323" s="5">
        <f t="shared" si="22"/>
        <v>0</v>
      </c>
    </row>
    <row r="324" spans="1:13" ht="15">
      <c r="A324" s="9">
        <v>141</v>
      </c>
      <c r="B324" s="1">
        <v>39700</v>
      </c>
      <c r="D324" s="2" t="s">
        <v>135</v>
      </c>
      <c r="E324" s="13">
        <v>10</v>
      </c>
      <c r="F324" s="17">
        <v>1370</v>
      </c>
      <c r="G324" s="12">
        <f t="shared" si="23"/>
        <v>1016.9255574565552</v>
      </c>
      <c r="H324" s="12">
        <f t="shared" si="23"/>
        <v>226.2771351955769</v>
      </c>
      <c r="I324" s="12">
        <f t="shared" si="23"/>
        <v>13.21038053876541</v>
      </c>
      <c r="J324" s="12">
        <f t="shared" si="23"/>
        <v>113.58692680910244</v>
      </c>
      <c r="M324" s="5">
        <f t="shared" si="22"/>
        <v>0</v>
      </c>
    </row>
    <row r="325" spans="1:13" ht="15">
      <c r="A325" s="9">
        <v>142</v>
      </c>
      <c r="B325" s="1">
        <v>39800</v>
      </c>
      <c r="D325" s="2" t="s">
        <v>139</v>
      </c>
      <c r="E325" s="13">
        <v>10</v>
      </c>
      <c r="F325" s="17">
        <v>20721</v>
      </c>
      <c r="G325" s="12">
        <f t="shared" si="23"/>
        <v>15380.813486173198</v>
      </c>
      <c r="H325" s="12">
        <f t="shared" si="23"/>
        <v>3422.400378385072</v>
      </c>
      <c r="I325" s="12">
        <f t="shared" si="23"/>
        <v>199.80459499544384</v>
      </c>
      <c r="J325" s="12">
        <f t="shared" si="23"/>
        <v>1717.9815404462856</v>
      </c>
      <c r="M325" s="5">
        <f t="shared" si="22"/>
        <v>0</v>
      </c>
    </row>
    <row r="326" spans="1:13" ht="15">
      <c r="A326" s="9">
        <v>143</v>
      </c>
      <c r="B326" s="1">
        <v>39900</v>
      </c>
      <c r="D326" s="2" t="s">
        <v>140</v>
      </c>
      <c r="E326" s="2"/>
      <c r="F326" s="13">
        <v>0</v>
      </c>
      <c r="G326" s="2"/>
      <c r="M326" s="5">
        <f t="shared" si="22"/>
        <v>0</v>
      </c>
    </row>
    <row r="327" spans="1:13" ht="15">
      <c r="A327" s="9">
        <v>144</v>
      </c>
      <c r="B327" s="1">
        <v>39901</v>
      </c>
      <c r="D327" s="13" t="s">
        <v>151</v>
      </c>
      <c r="E327" s="13">
        <v>10</v>
      </c>
      <c r="F327" s="17">
        <v>16430</v>
      </c>
      <c r="G327" s="12">
        <f>INDEX(ALLOC,($E327)+1,(G$1)+1)*$F327</f>
        <v>12195.683875190658</v>
      </c>
      <c r="H327" s="12">
        <f>INDEX(ALLOC,($E327)+1,(H$1)+1)*$F327</f>
        <v>2713.6739644257873</v>
      </c>
      <c r="I327" s="12">
        <f>INDEX(ALLOC,($E327)+1,(I$1)+1)*$F327</f>
        <v>158.42814032986547</v>
      </c>
      <c r="J327" s="12">
        <f>INDEX(ALLOC,($E327)+1,(J$1)+1)*$F327</f>
        <v>1362.2140200536883</v>
      </c>
      <c r="M327" s="5">
        <f t="shared" si="22"/>
        <v>0</v>
      </c>
    </row>
    <row r="328" spans="1:13" ht="15">
      <c r="A328" s="9">
        <v>145</v>
      </c>
      <c r="B328" s="1">
        <v>39902</v>
      </c>
      <c r="D328" s="13" t="s">
        <v>142</v>
      </c>
      <c r="E328" s="13"/>
      <c r="F328" s="13">
        <v>0</v>
      </c>
      <c r="G328" s="2"/>
      <c r="M328" s="5">
        <f t="shared" si="22"/>
        <v>0</v>
      </c>
    </row>
    <row r="329" spans="1:13" ht="15">
      <c r="A329" s="9">
        <v>146</v>
      </c>
      <c r="B329" s="1">
        <v>39903</v>
      </c>
      <c r="D329" s="13" t="s">
        <v>143</v>
      </c>
      <c r="E329" s="13"/>
      <c r="F329" s="13">
        <v>0</v>
      </c>
      <c r="G329" s="2"/>
      <c r="M329" s="5">
        <f t="shared" si="22"/>
        <v>0</v>
      </c>
    </row>
    <row r="330" spans="1:13" ht="15">
      <c r="A330" s="9">
        <v>147</v>
      </c>
      <c r="B330" s="1">
        <v>39906</v>
      </c>
      <c r="D330" s="13" t="s">
        <v>146</v>
      </c>
      <c r="E330" s="13">
        <v>10</v>
      </c>
      <c r="F330" s="17">
        <v>65546</v>
      </c>
      <c r="G330" s="12">
        <f>INDEX(ALLOC,($E330)+1,(G$1)+1)*$F330</f>
        <v>48653.57853215136</v>
      </c>
      <c r="H330" s="12">
        <f>INDEX(ALLOC,($E330)+1,(H$1)+1)*$F330</f>
        <v>10825.957009875388</v>
      </c>
      <c r="I330" s="12">
        <f>INDEX(ALLOC,($E330)+1,(I$1)+1)*$F330</f>
        <v>632.0347465649033</v>
      </c>
      <c r="J330" s="12">
        <f>INDEX(ALLOC,($E330)+1,(J$1)+1)*$F330</f>
        <v>5434.429711408342</v>
      </c>
      <c r="M330" s="5">
        <f t="shared" si="22"/>
        <v>0</v>
      </c>
    </row>
    <row r="331" spans="1:13" ht="15">
      <c r="A331" s="9">
        <v>148</v>
      </c>
      <c r="B331" s="1">
        <v>39907</v>
      </c>
      <c r="D331" s="13" t="s">
        <v>147</v>
      </c>
      <c r="E331" s="13"/>
      <c r="F331" s="13">
        <v>0</v>
      </c>
      <c r="G331" s="2"/>
      <c r="M331" s="5">
        <f t="shared" si="22"/>
        <v>0</v>
      </c>
    </row>
    <row r="332" spans="1:13" ht="15">
      <c r="A332" s="9">
        <v>149</v>
      </c>
      <c r="B332" s="1">
        <v>39908</v>
      </c>
      <c r="D332" s="13" t="s">
        <v>148</v>
      </c>
      <c r="E332" s="13"/>
      <c r="F332" s="13">
        <v>0</v>
      </c>
      <c r="G332" s="2"/>
      <c r="M332" s="5">
        <f t="shared" si="22"/>
        <v>0</v>
      </c>
    </row>
    <row r="333" spans="1:13" ht="15">
      <c r="A333" s="9">
        <v>150</v>
      </c>
      <c r="M333" s="5">
        <f t="shared" si="22"/>
        <v>0</v>
      </c>
    </row>
    <row r="334" spans="1:13" ht="15">
      <c r="A334" s="9">
        <v>151</v>
      </c>
      <c r="M334" s="5">
        <f t="shared" si="22"/>
        <v>0</v>
      </c>
    </row>
    <row r="335" spans="1:13" ht="15">
      <c r="A335" s="9">
        <v>152</v>
      </c>
      <c r="C335" s="13" t="s">
        <v>55</v>
      </c>
      <c r="D335" s="2"/>
      <c r="E335" s="2"/>
      <c r="F335" s="18">
        <f>SUM(F315:F332)</f>
        <v>114335</v>
      </c>
      <c r="G335" s="18">
        <f>SUM(G315:G332)</f>
        <v>84868.74716189434</v>
      </c>
      <c r="H335" s="18">
        <f>SUM(H315:H332)</f>
        <v>18884.230841303855</v>
      </c>
      <c r="I335" s="18">
        <f>SUM(I315:I332)</f>
        <v>1102.488218174995</v>
      </c>
      <c r="J335" s="18">
        <f>SUM(J315:J332)</f>
        <v>9479.533778626808</v>
      </c>
      <c r="M335" s="5">
        <f t="shared" si="22"/>
        <v>0</v>
      </c>
    </row>
    <row r="336" spans="1:13" ht="15">
      <c r="A336" s="9">
        <v>153</v>
      </c>
      <c r="M336" s="5">
        <f t="shared" si="22"/>
        <v>0</v>
      </c>
    </row>
    <row r="337" spans="1:13" ht="15">
      <c r="A337" s="9">
        <v>154</v>
      </c>
      <c r="C337" s="13" t="s">
        <v>59</v>
      </c>
      <c r="D337" s="2"/>
      <c r="E337" s="2"/>
      <c r="F337" s="2"/>
      <c r="G337" s="2"/>
      <c r="M337" s="5">
        <f t="shared" si="22"/>
        <v>0</v>
      </c>
    </row>
    <row r="338" spans="1:13" ht="15">
      <c r="A338" s="9">
        <v>155</v>
      </c>
      <c r="M338" s="5">
        <f t="shared" si="22"/>
        <v>0</v>
      </c>
    </row>
    <row r="339" spans="1:13" ht="15">
      <c r="A339" s="9">
        <v>156</v>
      </c>
      <c r="C339" s="2" t="s">
        <v>54</v>
      </c>
      <c r="D339" s="2"/>
      <c r="E339" s="2"/>
      <c r="F339" s="2"/>
      <c r="G339" s="2"/>
      <c r="M339" s="5">
        <f t="shared" si="22"/>
        <v>0</v>
      </c>
    </row>
    <row r="340" spans="1:13" ht="15">
      <c r="A340" s="9">
        <v>157</v>
      </c>
      <c r="M340" s="5">
        <f t="shared" si="22"/>
        <v>0</v>
      </c>
    </row>
    <row r="341" spans="1:13" ht="15">
      <c r="A341" s="9">
        <v>158</v>
      </c>
      <c r="B341" s="1">
        <v>39000</v>
      </c>
      <c r="D341" s="13" t="s">
        <v>97</v>
      </c>
      <c r="E341" s="13">
        <v>10</v>
      </c>
      <c r="F341" s="13">
        <v>225</v>
      </c>
      <c r="G341" s="12">
        <f aca="true" t="shared" si="24" ref="G341:J344">INDEX(ALLOC,($E341)+1,(G$1)+1)*$F341</f>
        <v>167.01332148009118</v>
      </c>
      <c r="H341" s="12">
        <f t="shared" si="24"/>
        <v>37.16230322555095</v>
      </c>
      <c r="I341" s="12">
        <f t="shared" si="24"/>
        <v>2.16958804468775</v>
      </c>
      <c r="J341" s="12">
        <f t="shared" si="24"/>
        <v>18.654787249670107</v>
      </c>
      <c r="M341" s="5">
        <f t="shared" si="22"/>
        <v>0</v>
      </c>
    </row>
    <row r="342" spans="1:13" ht="15">
      <c r="A342" s="9">
        <v>159</v>
      </c>
      <c r="B342" s="1">
        <v>39005</v>
      </c>
      <c r="D342" s="13" t="s">
        <v>152</v>
      </c>
      <c r="E342" s="13">
        <v>10</v>
      </c>
      <c r="F342" s="17">
        <v>4283</v>
      </c>
      <c r="G342" s="12">
        <f t="shared" si="24"/>
        <v>3179.191359552136</v>
      </c>
      <c r="H342" s="12">
        <f t="shared" si="24"/>
        <v>707.4050876223765</v>
      </c>
      <c r="I342" s="12">
        <f t="shared" si="24"/>
        <v>41.299313757322814</v>
      </c>
      <c r="J342" s="12">
        <f t="shared" si="24"/>
        <v>355.10423906816476</v>
      </c>
      <c r="M342" s="5">
        <f t="shared" si="22"/>
        <v>0</v>
      </c>
    </row>
    <row r="343" spans="1:13" ht="15">
      <c r="A343" s="9">
        <v>160</v>
      </c>
      <c r="B343" s="1">
        <v>39009</v>
      </c>
      <c r="D343" s="13" t="s">
        <v>122</v>
      </c>
      <c r="E343" s="13">
        <v>10</v>
      </c>
      <c r="F343" s="17">
        <v>20929</v>
      </c>
      <c r="G343" s="12">
        <f t="shared" si="24"/>
        <v>15535.208023363683</v>
      </c>
      <c r="H343" s="12">
        <f t="shared" si="24"/>
        <v>3456.7548631446925</v>
      </c>
      <c r="I343" s="12">
        <f t="shared" si="24"/>
        <v>201.8102586100885</v>
      </c>
      <c r="J343" s="12">
        <f t="shared" si="24"/>
        <v>1735.2268548815364</v>
      </c>
      <c r="M343" s="5">
        <f t="shared" si="22"/>
        <v>0</v>
      </c>
    </row>
    <row r="344" spans="1:13" ht="15">
      <c r="A344" s="9">
        <v>161</v>
      </c>
      <c r="B344" s="1">
        <v>39100</v>
      </c>
      <c r="D344" s="13" t="s">
        <v>123</v>
      </c>
      <c r="E344" s="13">
        <v>10</v>
      </c>
      <c r="F344" s="17">
        <v>21361</v>
      </c>
      <c r="G344" s="12">
        <f t="shared" si="24"/>
        <v>15855.873600605457</v>
      </c>
      <c r="H344" s="12">
        <f t="shared" si="24"/>
        <v>3528.10648533775</v>
      </c>
      <c r="I344" s="12">
        <f t="shared" si="24"/>
        <v>205.975867655889</v>
      </c>
      <c r="J344" s="12">
        <f t="shared" si="24"/>
        <v>1771.044046400903</v>
      </c>
      <c r="M344" s="5">
        <f t="shared" si="22"/>
        <v>0</v>
      </c>
    </row>
    <row r="345" spans="1:13" ht="15">
      <c r="A345" s="9">
        <v>162</v>
      </c>
      <c r="B345" s="1">
        <v>39102</v>
      </c>
      <c r="D345" s="13" t="s">
        <v>124</v>
      </c>
      <c r="E345" s="13"/>
      <c r="F345" s="13">
        <v>0</v>
      </c>
      <c r="G345" s="2"/>
      <c r="M345" s="5">
        <f t="shared" si="22"/>
        <v>0</v>
      </c>
    </row>
    <row r="346" spans="1:13" ht="15">
      <c r="A346" s="9">
        <v>163</v>
      </c>
      <c r="B346" s="1">
        <v>39103</v>
      </c>
      <c r="D346" s="2" t="s">
        <v>125</v>
      </c>
      <c r="E346" s="2"/>
      <c r="F346" s="13">
        <v>0</v>
      </c>
      <c r="G346" s="2"/>
      <c r="M346" s="5">
        <f t="shared" si="22"/>
        <v>0</v>
      </c>
    </row>
    <row r="347" spans="1:13" ht="15">
      <c r="A347" s="9">
        <v>164</v>
      </c>
      <c r="B347" s="1">
        <v>39104</v>
      </c>
      <c r="D347" s="13" t="s">
        <v>153</v>
      </c>
      <c r="E347" s="13">
        <v>10</v>
      </c>
      <c r="F347" s="13">
        <v>36</v>
      </c>
      <c r="G347" s="12">
        <f aca="true" t="shared" si="25" ref="G347:J348">INDEX(ALLOC,($E347)+1,(G$1)+1)*$F347</f>
        <v>26.72213143681459</v>
      </c>
      <c r="H347" s="12">
        <f t="shared" si="25"/>
        <v>5.945968516088152</v>
      </c>
      <c r="I347" s="12">
        <f t="shared" si="25"/>
        <v>0.34713408715003996</v>
      </c>
      <c r="J347" s="12">
        <f t="shared" si="25"/>
        <v>2.984765959947217</v>
      </c>
      <c r="M347" s="5">
        <f t="shared" si="22"/>
        <v>0</v>
      </c>
    </row>
    <row r="348" spans="1:13" ht="15">
      <c r="A348" s="9">
        <v>165</v>
      </c>
      <c r="B348" s="1">
        <v>39200</v>
      </c>
      <c r="D348" s="2" t="s">
        <v>126</v>
      </c>
      <c r="E348" s="13">
        <v>10</v>
      </c>
      <c r="F348" s="17">
        <v>1594</v>
      </c>
      <c r="G348" s="12">
        <f t="shared" si="25"/>
        <v>1183.196597507846</v>
      </c>
      <c r="H348" s="12">
        <f t="shared" si="25"/>
        <v>263.27427262901426</v>
      </c>
      <c r="I348" s="12">
        <f t="shared" si="25"/>
        <v>15.370325969921215</v>
      </c>
      <c r="J348" s="12">
        <f t="shared" si="25"/>
        <v>132.15880389321845</v>
      </c>
      <c r="M348" s="5">
        <f t="shared" si="22"/>
        <v>0</v>
      </c>
    </row>
    <row r="349" spans="1:13" ht="15">
      <c r="A349" s="9">
        <v>166</v>
      </c>
      <c r="B349" s="1">
        <v>39300</v>
      </c>
      <c r="D349" s="2" t="s">
        <v>129</v>
      </c>
      <c r="E349" s="2"/>
      <c r="F349" s="13">
        <v>0</v>
      </c>
      <c r="G349" s="2"/>
      <c r="M349" s="5">
        <f t="shared" si="22"/>
        <v>0</v>
      </c>
    </row>
    <row r="350" spans="1:13" ht="15">
      <c r="A350" s="9">
        <v>167</v>
      </c>
      <c r="B350" s="1">
        <v>39400</v>
      </c>
      <c r="D350" s="13" t="s">
        <v>130</v>
      </c>
      <c r="E350" s="13">
        <v>10</v>
      </c>
      <c r="F350" s="17">
        <v>1246</v>
      </c>
      <c r="G350" s="12">
        <f aca="true" t="shared" si="26" ref="G350:J357">INDEX(ALLOC,($E350)+1,(G$1)+1)*$F350</f>
        <v>924.882660285305</v>
      </c>
      <c r="H350" s="12">
        <f t="shared" si="26"/>
        <v>205.7965769734955</v>
      </c>
      <c r="I350" s="12">
        <f t="shared" si="26"/>
        <v>12.014696460804162</v>
      </c>
      <c r="J350" s="12">
        <f t="shared" si="26"/>
        <v>103.30606628039536</v>
      </c>
      <c r="M350" s="5">
        <f t="shared" si="22"/>
        <v>0</v>
      </c>
    </row>
    <row r="351" spans="1:13" ht="15">
      <c r="A351" s="9">
        <v>168</v>
      </c>
      <c r="B351" s="1">
        <v>39500</v>
      </c>
      <c r="D351" s="2" t="s">
        <v>154</v>
      </c>
      <c r="E351" s="13">
        <v>10</v>
      </c>
      <c r="F351" s="13">
        <v>230</v>
      </c>
      <c r="G351" s="12">
        <f t="shared" si="26"/>
        <v>170.72472862409322</v>
      </c>
      <c r="H351" s="12">
        <f t="shared" si="26"/>
        <v>37.98813218611875</v>
      </c>
      <c r="I351" s="12">
        <f t="shared" si="26"/>
        <v>2.2178011123474777</v>
      </c>
      <c r="J351" s="12">
        <f t="shared" si="26"/>
        <v>19.069338077440555</v>
      </c>
      <c r="M351" s="5">
        <f t="shared" si="22"/>
        <v>0</v>
      </c>
    </row>
    <row r="352" spans="1:13" ht="15">
      <c r="A352" s="9">
        <v>169</v>
      </c>
      <c r="B352" s="1">
        <v>39700</v>
      </c>
      <c r="D352" s="2" t="s">
        <v>135</v>
      </c>
      <c r="E352" s="13">
        <v>10</v>
      </c>
      <c r="F352" s="17">
        <v>8744</v>
      </c>
      <c r="G352" s="12">
        <f t="shared" si="26"/>
        <v>6490.508813430743</v>
      </c>
      <c r="H352" s="12">
        <f t="shared" si="26"/>
        <v>1444.2096862409667</v>
      </c>
      <c r="I352" s="12">
        <f t="shared" si="26"/>
        <v>84.31501272333193</v>
      </c>
      <c r="J352" s="12">
        <f t="shared" si="26"/>
        <v>724.9664876049574</v>
      </c>
      <c r="M352" s="5">
        <f t="shared" si="22"/>
        <v>0</v>
      </c>
    </row>
    <row r="353" spans="1:13" ht="15">
      <c r="A353" s="9">
        <v>170</v>
      </c>
      <c r="B353" s="1">
        <v>39800</v>
      </c>
      <c r="D353" s="2" t="s">
        <v>139</v>
      </c>
      <c r="E353" s="13">
        <v>10</v>
      </c>
      <c r="F353" s="13">
        <v>371</v>
      </c>
      <c r="G353" s="12">
        <f t="shared" si="26"/>
        <v>275.38641008495034</v>
      </c>
      <c r="H353" s="12">
        <f t="shared" si="26"/>
        <v>61.27650887413068</v>
      </c>
      <c r="I353" s="12">
        <f t="shared" si="26"/>
        <v>3.577409620351801</v>
      </c>
      <c r="J353" s="12">
        <f t="shared" si="26"/>
        <v>30.759671420567155</v>
      </c>
      <c r="M353" s="5">
        <f t="shared" si="22"/>
        <v>0</v>
      </c>
    </row>
    <row r="354" spans="1:13" ht="15">
      <c r="A354" s="9">
        <v>171</v>
      </c>
      <c r="B354" s="1">
        <v>39900</v>
      </c>
      <c r="D354" s="2" t="s">
        <v>140</v>
      </c>
      <c r="E354" s="13">
        <v>10</v>
      </c>
      <c r="F354" s="17">
        <v>1246</v>
      </c>
      <c r="G354" s="12">
        <f t="shared" si="26"/>
        <v>924.882660285305</v>
      </c>
      <c r="H354" s="12">
        <f t="shared" si="26"/>
        <v>205.7965769734955</v>
      </c>
      <c r="I354" s="12">
        <f t="shared" si="26"/>
        <v>12.014696460804162</v>
      </c>
      <c r="J354" s="12">
        <f t="shared" si="26"/>
        <v>103.30606628039536</v>
      </c>
      <c r="M354" s="5">
        <f t="shared" si="22"/>
        <v>0</v>
      </c>
    </row>
    <row r="355" spans="1:13" ht="15">
      <c r="A355" s="9">
        <v>172</v>
      </c>
      <c r="B355" s="1">
        <v>39901</v>
      </c>
      <c r="D355" s="13" t="s">
        <v>151</v>
      </c>
      <c r="E355" s="13">
        <v>10</v>
      </c>
      <c r="F355" s="17">
        <v>142944</v>
      </c>
      <c r="G355" s="12">
        <f t="shared" si="26"/>
        <v>106104.67655844514</v>
      </c>
      <c r="H355" s="12">
        <f t="shared" si="26"/>
        <v>23609.458987880687</v>
      </c>
      <c r="I355" s="12">
        <f t="shared" si="26"/>
        <v>1378.3537487104254</v>
      </c>
      <c r="J355" s="12">
        <f t="shared" si="26"/>
        <v>11851.51070496375</v>
      </c>
      <c r="M355" s="5">
        <f t="shared" si="22"/>
        <v>0</v>
      </c>
    </row>
    <row r="356" spans="1:13" ht="15">
      <c r="A356" s="9">
        <v>173</v>
      </c>
      <c r="B356" s="1">
        <v>39902</v>
      </c>
      <c r="D356" s="13" t="s">
        <v>142</v>
      </c>
      <c r="E356" s="13">
        <v>10</v>
      </c>
      <c r="F356" s="17">
        <v>75232</v>
      </c>
      <c r="G356" s="12">
        <f t="shared" si="26"/>
        <v>55843.31645151209</v>
      </c>
      <c r="H356" s="12">
        <f t="shared" si="26"/>
        <v>12425.752872287329</v>
      </c>
      <c r="I356" s="12">
        <f t="shared" si="26"/>
        <v>725.433101235328</v>
      </c>
      <c r="J356" s="12">
        <f t="shared" si="26"/>
        <v>6237.497574965251</v>
      </c>
      <c r="M356" s="5">
        <f t="shared" si="22"/>
        <v>0</v>
      </c>
    </row>
    <row r="357" spans="1:13" ht="15">
      <c r="A357" s="9">
        <v>174</v>
      </c>
      <c r="B357" s="1">
        <v>39903</v>
      </c>
      <c r="D357" s="13" t="s">
        <v>143</v>
      </c>
      <c r="E357" s="13">
        <v>10</v>
      </c>
      <c r="F357" s="17">
        <v>17633</v>
      </c>
      <c r="G357" s="12">
        <f t="shared" si="26"/>
        <v>13088.648434037546</v>
      </c>
      <c r="H357" s="12">
        <f t="shared" si="26"/>
        <v>2912.3684123383996</v>
      </c>
      <c r="I357" s="12">
        <f t="shared" si="26"/>
        <v>170.02820440879597</v>
      </c>
      <c r="J357" s="12">
        <f t="shared" si="26"/>
        <v>1461.9549492152578</v>
      </c>
      <c r="M357" s="5">
        <f t="shared" si="22"/>
        <v>0</v>
      </c>
    </row>
    <row r="358" spans="1:13" ht="15">
      <c r="A358" s="9">
        <v>175</v>
      </c>
      <c r="B358" s="1">
        <v>39904</v>
      </c>
      <c r="D358" s="13" t="s">
        <v>144</v>
      </c>
      <c r="E358" s="13"/>
      <c r="F358" s="13">
        <v>0</v>
      </c>
      <c r="G358" s="2"/>
      <c r="M358" s="5">
        <f t="shared" si="22"/>
        <v>0</v>
      </c>
    </row>
    <row r="359" spans="1:13" ht="15">
      <c r="A359" s="9">
        <v>176</v>
      </c>
      <c r="B359" s="1">
        <v>39905</v>
      </c>
      <c r="D359" s="13" t="s">
        <v>145</v>
      </c>
      <c r="E359" s="13"/>
      <c r="F359" s="13">
        <v>0</v>
      </c>
      <c r="G359" s="2"/>
      <c r="M359" s="5">
        <f t="shared" si="22"/>
        <v>0</v>
      </c>
    </row>
    <row r="360" spans="1:13" ht="15">
      <c r="A360" s="9">
        <v>177</v>
      </c>
      <c r="B360" s="1">
        <v>39906</v>
      </c>
      <c r="D360" s="13" t="s">
        <v>146</v>
      </c>
      <c r="E360" s="13">
        <v>10</v>
      </c>
      <c r="F360" s="17">
        <v>12779</v>
      </c>
      <c r="G360" s="12">
        <f aca="true" t="shared" si="27" ref="G360:J362">INDEX(ALLOC,($E360)+1,(G$1)+1)*$F360</f>
        <v>9485.614378640379</v>
      </c>
      <c r="H360" s="12">
        <f t="shared" si="27"/>
        <v>2110.6536574191805</v>
      </c>
      <c r="I360" s="12">
        <f t="shared" si="27"/>
        <v>123.22295832473225</v>
      </c>
      <c r="J360" s="12">
        <f t="shared" si="27"/>
        <v>1059.509005615708</v>
      </c>
      <c r="M360" s="5">
        <f t="shared" si="22"/>
        <v>0</v>
      </c>
    </row>
    <row r="361" spans="1:13" ht="15">
      <c r="A361" s="9">
        <v>178</v>
      </c>
      <c r="B361" s="1">
        <v>39907</v>
      </c>
      <c r="D361" s="13" t="s">
        <v>147</v>
      </c>
      <c r="E361" s="13">
        <v>10</v>
      </c>
      <c r="F361" s="17">
        <v>3650</v>
      </c>
      <c r="G361" s="12">
        <f t="shared" si="27"/>
        <v>2709.327215121479</v>
      </c>
      <c r="H361" s="12">
        <f t="shared" si="27"/>
        <v>602.8551412144932</v>
      </c>
      <c r="I361" s="12">
        <f t="shared" si="27"/>
        <v>35.19553939160127</v>
      </c>
      <c r="J361" s="12">
        <f t="shared" si="27"/>
        <v>302.62210427242616</v>
      </c>
      <c r="M361" s="5">
        <f aca="true" t="shared" si="28" ref="M361:M424">SUM(G361:J361)-F361</f>
        <v>0</v>
      </c>
    </row>
    <row r="362" spans="1:13" ht="15">
      <c r="A362" s="9">
        <v>179</v>
      </c>
      <c r="B362" s="1">
        <v>39908</v>
      </c>
      <c r="D362" s="13" t="s">
        <v>148</v>
      </c>
      <c r="E362" s="13">
        <v>10</v>
      </c>
      <c r="F362" s="17">
        <v>376695</v>
      </c>
      <c r="G362" s="12">
        <f t="shared" si="27"/>
        <v>279613.70282196865</v>
      </c>
      <c r="H362" s="12">
        <f t="shared" si="27"/>
        <v>62217.1280602174</v>
      </c>
      <c r="I362" s="12">
        <f t="shared" si="27"/>
        <v>3632.324304416231</v>
      </c>
      <c r="J362" s="12">
        <f t="shared" si="27"/>
        <v>31231.844813397693</v>
      </c>
      <c r="M362" s="5">
        <f t="shared" si="28"/>
        <v>0</v>
      </c>
    </row>
    <row r="363" spans="1:13" ht="15">
      <c r="A363" s="9">
        <v>180</v>
      </c>
      <c r="B363" s="1">
        <v>39909</v>
      </c>
      <c r="D363" s="13" t="s">
        <v>155</v>
      </c>
      <c r="E363" s="13"/>
      <c r="F363" s="13">
        <v>0</v>
      </c>
      <c r="G363" s="2"/>
      <c r="M363" s="5">
        <f t="shared" si="28"/>
        <v>0</v>
      </c>
    </row>
    <row r="364" spans="1:13" ht="15">
      <c r="A364" s="9">
        <v>181</v>
      </c>
      <c r="B364" s="1">
        <v>39924</v>
      </c>
      <c r="D364" s="13" t="s">
        <v>150</v>
      </c>
      <c r="E364" s="13"/>
      <c r="F364" s="13">
        <v>0</v>
      </c>
      <c r="G364" s="2"/>
      <c r="M364" s="5">
        <f t="shared" si="28"/>
        <v>0</v>
      </c>
    </row>
    <row r="365" spans="1:13" ht="15">
      <c r="A365" s="9">
        <v>182</v>
      </c>
      <c r="M365" s="5">
        <f t="shared" si="28"/>
        <v>0</v>
      </c>
    </row>
    <row r="366" spans="1:13" ht="15">
      <c r="A366" s="9">
        <v>183</v>
      </c>
      <c r="M366" s="5">
        <f t="shared" si="28"/>
        <v>0</v>
      </c>
    </row>
    <row r="367" spans="1:13" ht="15">
      <c r="A367" s="9">
        <v>184</v>
      </c>
      <c r="C367" s="13" t="s">
        <v>55</v>
      </c>
      <c r="D367" s="2"/>
      <c r="E367" s="2"/>
      <c r="F367" s="18">
        <f>SUM(F341:F364)</f>
        <v>689198</v>
      </c>
      <c r="G367" s="18">
        <f>SUM(G341:G364)</f>
        <v>511578.87616638176</v>
      </c>
      <c r="H367" s="18">
        <f>SUM(H341:H364)</f>
        <v>113831.93359308116</v>
      </c>
      <c r="I367" s="18">
        <f>SUM(I341:I364)</f>
        <v>6645.669960989812</v>
      </c>
      <c r="J367" s="18">
        <f>SUM(J341:J364)</f>
        <v>57141.52027954729</v>
      </c>
      <c r="M367" s="5">
        <f t="shared" si="28"/>
        <v>0</v>
      </c>
    </row>
    <row r="368" spans="1:13" ht="15">
      <c r="A368" s="9">
        <v>185</v>
      </c>
      <c r="M368" s="5">
        <f t="shared" si="28"/>
        <v>0</v>
      </c>
    </row>
    <row r="369" spans="1:13" ht="15">
      <c r="A369" s="9">
        <v>186</v>
      </c>
      <c r="C369" s="13" t="s">
        <v>60</v>
      </c>
      <c r="D369" s="2"/>
      <c r="E369" s="2"/>
      <c r="F369" s="2"/>
      <c r="G369" s="2"/>
      <c r="M369" s="5">
        <f t="shared" si="28"/>
        <v>0</v>
      </c>
    </row>
    <row r="370" spans="1:13" ht="15">
      <c r="A370" s="9">
        <v>187</v>
      </c>
      <c r="M370" s="5">
        <f t="shared" si="28"/>
        <v>0</v>
      </c>
    </row>
    <row r="371" spans="1:13" ht="15">
      <c r="A371" s="9">
        <v>188</v>
      </c>
      <c r="C371" s="2" t="s">
        <v>54</v>
      </c>
      <c r="D371" s="2"/>
      <c r="E371" s="2"/>
      <c r="F371" s="2"/>
      <c r="G371" s="2"/>
      <c r="M371" s="5">
        <f t="shared" si="28"/>
        <v>0</v>
      </c>
    </row>
    <row r="372" spans="1:13" ht="15">
      <c r="A372" s="9">
        <v>189</v>
      </c>
      <c r="M372" s="5">
        <f t="shared" si="28"/>
        <v>0</v>
      </c>
    </row>
    <row r="373" spans="1:13" ht="15">
      <c r="A373" s="9">
        <v>190</v>
      </c>
      <c r="B373" s="1">
        <v>38900</v>
      </c>
      <c r="D373" s="2" t="s">
        <v>82</v>
      </c>
      <c r="E373" s="2"/>
      <c r="F373" s="13">
        <v>0</v>
      </c>
      <c r="G373" s="2"/>
      <c r="M373" s="5">
        <f t="shared" si="28"/>
        <v>0</v>
      </c>
    </row>
    <row r="374" spans="1:13" ht="15">
      <c r="A374" s="9">
        <v>191</v>
      </c>
      <c r="B374" s="1">
        <v>38910</v>
      </c>
      <c r="D374" s="13" t="s">
        <v>156</v>
      </c>
      <c r="E374" s="13"/>
      <c r="F374" s="13">
        <v>0</v>
      </c>
      <c r="G374" s="2"/>
      <c r="M374" s="5">
        <f t="shared" si="28"/>
        <v>0</v>
      </c>
    </row>
    <row r="375" spans="1:13" ht="15">
      <c r="A375" s="9">
        <v>192</v>
      </c>
      <c r="B375" s="1">
        <v>39000</v>
      </c>
      <c r="D375" s="13" t="s">
        <v>97</v>
      </c>
      <c r="E375" s="13">
        <v>10</v>
      </c>
      <c r="F375" s="17">
        <v>25234</v>
      </c>
      <c r="G375" s="12">
        <f aca="true" t="shared" si="29" ref="G375:J381">INDEX(ALLOC,($E375)+1,(G$1)+1)*$F375</f>
        <v>18730.729574349425</v>
      </c>
      <c r="H375" s="12">
        <f t="shared" si="29"/>
        <v>4167.793598193567</v>
      </c>
      <c r="I375" s="12">
        <f t="shared" si="29"/>
        <v>243.32170986511414</v>
      </c>
      <c r="J375" s="12">
        <f t="shared" si="29"/>
        <v>2092.155117591891</v>
      </c>
      <c r="M375" s="5">
        <f t="shared" si="28"/>
        <v>0</v>
      </c>
    </row>
    <row r="376" spans="1:13" ht="15">
      <c r="A376" s="9">
        <v>193</v>
      </c>
      <c r="B376" s="1">
        <v>39009</v>
      </c>
      <c r="D376" s="13" t="s">
        <v>122</v>
      </c>
      <c r="E376" s="13">
        <v>10</v>
      </c>
      <c r="F376" s="17">
        <v>10518</v>
      </c>
      <c r="G376" s="12">
        <f t="shared" si="29"/>
        <v>7807.316068122663</v>
      </c>
      <c r="H376" s="12">
        <f t="shared" si="29"/>
        <v>1737.2138014504217</v>
      </c>
      <c r="I376" s="12">
        <f t="shared" si="29"/>
        <v>101.42100912900335</v>
      </c>
      <c r="J376" s="12">
        <f t="shared" si="29"/>
        <v>872.0491212979119</v>
      </c>
      <c r="M376" s="5">
        <f t="shared" si="28"/>
        <v>0</v>
      </c>
    </row>
    <row r="377" spans="1:13" ht="15">
      <c r="A377" s="9">
        <v>194</v>
      </c>
      <c r="B377" s="1">
        <v>39010</v>
      </c>
      <c r="D377" s="13" t="s">
        <v>157</v>
      </c>
      <c r="E377" s="13">
        <v>10</v>
      </c>
      <c r="F377" s="17">
        <v>2760</v>
      </c>
      <c r="G377" s="12">
        <f t="shared" si="29"/>
        <v>2048.6967434891185</v>
      </c>
      <c r="H377" s="12">
        <f t="shared" si="29"/>
        <v>455.85758623342497</v>
      </c>
      <c r="I377" s="12">
        <f t="shared" si="29"/>
        <v>26.613613348169732</v>
      </c>
      <c r="J377" s="12">
        <f t="shared" si="29"/>
        <v>228.83205692928664</v>
      </c>
      <c r="M377" s="5">
        <f t="shared" si="28"/>
        <v>0</v>
      </c>
    </row>
    <row r="378" spans="1:13" ht="15">
      <c r="A378" s="9">
        <v>195</v>
      </c>
      <c r="B378" s="1">
        <v>39100</v>
      </c>
      <c r="D378" s="13" t="s">
        <v>123</v>
      </c>
      <c r="E378" s="13">
        <v>10</v>
      </c>
      <c r="F378" s="17">
        <v>2634</v>
      </c>
      <c r="G378" s="12">
        <f t="shared" si="29"/>
        <v>1955.1692834602675</v>
      </c>
      <c r="H378" s="12">
        <f t="shared" si="29"/>
        <v>435.04669642711644</v>
      </c>
      <c r="I378" s="12">
        <f t="shared" si="29"/>
        <v>25.398644043144593</v>
      </c>
      <c r="J378" s="12">
        <f t="shared" si="29"/>
        <v>218.3853760694714</v>
      </c>
      <c r="M378" s="5">
        <f t="shared" si="28"/>
        <v>0</v>
      </c>
    </row>
    <row r="379" spans="1:13" ht="15">
      <c r="A379" s="9">
        <v>196</v>
      </c>
      <c r="B379" s="1">
        <v>39700</v>
      </c>
      <c r="D379" s="2" t="s">
        <v>135</v>
      </c>
      <c r="E379" s="13">
        <v>10</v>
      </c>
      <c r="F379" s="17">
        <v>6558</v>
      </c>
      <c r="G379" s="12">
        <f t="shared" si="29"/>
        <v>4867.881610073057</v>
      </c>
      <c r="H379" s="12">
        <f t="shared" si="29"/>
        <v>1083.1572646807251</v>
      </c>
      <c r="I379" s="12">
        <f t="shared" si="29"/>
        <v>63.23625954249895</v>
      </c>
      <c r="J379" s="12">
        <f t="shared" si="29"/>
        <v>543.724865703718</v>
      </c>
      <c r="M379" s="5">
        <f t="shared" si="28"/>
        <v>0</v>
      </c>
    </row>
    <row r="380" spans="1:13" ht="15">
      <c r="A380" s="9">
        <v>197</v>
      </c>
      <c r="B380" s="1">
        <v>39710</v>
      </c>
      <c r="D380" s="13" t="s">
        <v>158</v>
      </c>
      <c r="E380" s="13">
        <v>10</v>
      </c>
      <c r="F380" s="13">
        <v>120</v>
      </c>
      <c r="G380" s="12">
        <f t="shared" si="29"/>
        <v>89.07377145604863</v>
      </c>
      <c r="H380" s="12">
        <f t="shared" si="29"/>
        <v>19.819895053627175</v>
      </c>
      <c r="I380" s="12">
        <f t="shared" si="29"/>
        <v>1.1571136238334665</v>
      </c>
      <c r="J380" s="12">
        <f t="shared" si="29"/>
        <v>9.949219866490724</v>
      </c>
      <c r="M380" s="5">
        <f t="shared" si="28"/>
        <v>0</v>
      </c>
    </row>
    <row r="381" spans="1:13" ht="15">
      <c r="A381" s="9">
        <v>198</v>
      </c>
      <c r="B381" s="1">
        <v>39800</v>
      </c>
      <c r="D381" s="2" t="s">
        <v>139</v>
      </c>
      <c r="E381" s="13">
        <v>10</v>
      </c>
      <c r="F381" s="13">
        <v>91</v>
      </c>
      <c r="G381" s="12">
        <f t="shared" si="29"/>
        <v>67.54761002083688</v>
      </c>
      <c r="H381" s="12">
        <f t="shared" si="29"/>
        <v>15.03008708233394</v>
      </c>
      <c r="I381" s="12">
        <f t="shared" si="29"/>
        <v>0.8774778314070455</v>
      </c>
      <c r="J381" s="12">
        <f t="shared" si="29"/>
        <v>7.544825065422132</v>
      </c>
      <c r="M381" s="5">
        <f t="shared" si="28"/>
        <v>0</v>
      </c>
    </row>
    <row r="382" spans="1:13" ht="15">
      <c r="A382" s="9">
        <v>199</v>
      </c>
      <c r="B382" s="1">
        <v>39900</v>
      </c>
      <c r="D382" s="2" t="s">
        <v>140</v>
      </c>
      <c r="E382" s="2"/>
      <c r="F382" s="13">
        <v>0</v>
      </c>
      <c r="G382" s="2"/>
      <c r="M382" s="5">
        <f t="shared" si="28"/>
        <v>0</v>
      </c>
    </row>
    <row r="383" spans="1:13" ht="15">
      <c r="A383" s="9">
        <v>200</v>
      </c>
      <c r="B383" s="1">
        <v>39901</v>
      </c>
      <c r="D383" s="13" t="s">
        <v>151</v>
      </c>
      <c r="E383" s="13">
        <v>10</v>
      </c>
      <c r="F383" s="17">
        <v>28635</v>
      </c>
      <c r="G383" s="12">
        <f aca="true" t="shared" si="30" ref="G383:J391">INDEX(ALLOC,($E383)+1,(G$1)+1)*$F383</f>
        <v>21255.228713699606</v>
      </c>
      <c r="H383" s="12">
        <f t="shared" si="30"/>
        <v>4729.5224571717845</v>
      </c>
      <c r="I383" s="12">
        <f t="shared" si="30"/>
        <v>276.11623848726094</v>
      </c>
      <c r="J383" s="12">
        <f t="shared" si="30"/>
        <v>2374.132590641349</v>
      </c>
      <c r="M383" s="5">
        <f t="shared" si="28"/>
        <v>0</v>
      </c>
    </row>
    <row r="384" spans="1:13" ht="15">
      <c r="A384" s="9">
        <v>201</v>
      </c>
      <c r="B384" s="1">
        <v>39902</v>
      </c>
      <c r="D384" s="13" t="s">
        <v>142</v>
      </c>
      <c r="E384" s="13">
        <v>10</v>
      </c>
      <c r="F384" s="17">
        <v>13570</v>
      </c>
      <c r="G384" s="12">
        <f t="shared" si="30"/>
        <v>10072.758988821499</v>
      </c>
      <c r="H384" s="12">
        <f t="shared" si="30"/>
        <v>2241.299798981006</v>
      </c>
      <c r="I384" s="12">
        <f t="shared" si="30"/>
        <v>130.85026562850118</v>
      </c>
      <c r="J384" s="12">
        <f t="shared" si="30"/>
        <v>1125.0909465689926</v>
      </c>
      <c r="M384" s="5">
        <f t="shared" si="28"/>
        <v>0</v>
      </c>
    </row>
    <row r="385" spans="1:13" ht="15">
      <c r="A385" s="9">
        <v>202</v>
      </c>
      <c r="B385" s="1">
        <v>39903</v>
      </c>
      <c r="D385" s="13" t="s">
        <v>143</v>
      </c>
      <c r="E385" s="13">
        <v>10</v>
      </c>
      <c r="F385" s="17">
        <v>9438</v>
      </c>
      <c r="G385" s="12">
        <f t="shared" si="30"/>
        <v>7005.652125018225</v>
      </c>
      <c r="H385" s="12">
        <f t="shared" si="30"/>
        <v>1558.8347459677773</v>
      </c>
      <c r="I385" s="12">
        <f t="shared" si="30"/>
        <v>91.00698651450215</v>
      </c>
      <c r="J385" s="12">
        <f t="shared" si="30"/>
        <v>782.5061424994955</v>
      </c>
      <c r="M385" s="5">
        <f t="shared" si="28"/>
        <v>0</v>
      </c>
    </row>
    <row r="386" spans="1:13" ht="15">
      <c r="A386" s="9">
        <v>203</v>
      </c>
      <c r="B386" s="1">
        <v>39906</v>
      </c>
      <c r="D386" s="13" t="s">
        <v>146</v>
      </c>
      <c r="E386" s="13">
        <v>10</v>
      </c>
      <c r="F386" s="17">
        <v>6134</v>
      </c>
      <c r="G386" s="12">
        <f t="shared" si="30"/>
        <v>4553.1542842616855</v>
      </c>
      <c r="H386" s="12">
        <f t="shared" si="30"/>
        <v>1013.1269688245757</v>
      </c>
      <c r="I386" s="12">
        <f t="shared" si="30"/>
        <v>59.147791404954035</v>
      </c>
      <c r="J386" s="12">
        <f t="shared" si="30"/>
        <v>508.57095550878415</v>
      </c>
      <c r="M386" s="5">
        <f t="shared" si="28"/>
        <v>0</v>
      </c>
    </row>
    <row r="387" spans="1:13" ht="15">
      <c r="A387" s="9">
        <v>204</v>
      </c>
      <c r="B387" s="1">
        <v>39907</v>
      </c>
      <c r="D387" s="13" t="s">
        <v>147</v>
      </c>
      <c r="E387" s="13">
        <v>10</v>
      </c>
      <c r="F387" s="17">
        <v>1922</v>
      </c>
      <c r="G387" s="12">
        <f t="shared" si="30"/>
        <v>1426.664906154379</v>
      </c>
      <c r="H387" s="12">
        <f t="shared" si="30"/>
        <v>317.4486524422619</v>
      </c>
      <c r="I387" s="12">
        <f t="shared" si="30"/>
        <v>18.533103208399357</v>
      </c>
      <c r="J387" s="12">
        <f t="shared" si="30"/>
        <v>159.35333819495975</v>
      </c>
      <c r="M387" s="5">
        <f t="shared" si="28"/>
        <v>0</v>
      </c>
    </row>
    <row r="388" spans="1:13" ht="15">
      <c r="A388" s="9">
        <v>205</v>
      </c>
      <c r="B388" s="1">
        <v>39908</v>
      </c>
      <c r="D388" s="13" t="s">
        <v>148</v>
      </c>
      <c r="E388" s="13">
        <v>10</v>
      </c>
      <c r="F388" s="17">
        <v>366672</v>
      </c>
      <c r="G388" s="12">
        <f t="shared" si="30"/>
        <v>272173.8160611022</v>
      </c>
      <c r="H388" s="12">
        <f t="shared" si="30"/>
        <v>60561.67132586319</v>
      </c>
      <c r="I388" s="12">
        <f t="shared" si="30"/>
        <v>3535.6763889855406</v>
      </c>
      <c r="J388" s="12">
        <f t="shared" si="30"/>
        <v>30400.836224049057</v>
      </c>
      <c r="M388" s="5">
        <f t="shared" si="28"/>
        <v>0</v>
      </c>
    </row>
    <row r="389" spans="1:13" ht="15">
      <c r="A389" s="9">
        <v>206</v>
      </c>
      <c r="B389" s="1">
        <v>39910</v>
      </c>
      <c r="D389" s="13" t="s">
        <v>160</v>
      </c>
      <c r="E389" s="13">
        <v>10</v>
      </c>
      <c r="F389" s="13">
        <v>130</v>
      </c>
      <c r="G389" s="12">
        <f t="shared" si="30"/>
        <v>96.49658574405268</v>
      </c>
      <c r="H389" s="12">
        <f t="shared" si="30"/>
        <v>21.471552974762773</v>
      </c>
      <c r="I389" s="12">
        <f t="shared" si="30"/>
        <v>1.253539759152922</v>
      </c>
      <c r="J389" s="12">
        <f t="shared" si="30"/>
        <v>10.778321522031618</v>
      </c>
      <c r="M389" s="5">
        <f t="shared" si="28"/>
        <v>0</v>
      </c>
    </row>
    <row r="390" spans="1:13" ht="15">
      <c r="A390" s="9">
        <v>207</v>
      </c>
      <c r="B390" s="1">
        <v>39916</v>
      </c>
      <c r="D390" s="13" t="s">
        <v>161</v>
      </c>
      <c r="E390" s="13">
        <v>10</v>
      </c>
      <c r="F390" s="13">
        <v>135</v>
      </c>
      <c r="G390" s="12">
        <f t="shared" si="30"/>
        <v>100.2079928880547</v>
      </c>
      <c r="H390" s="12">
        <f t="shared" si="30"/>
        <v>22.29738193533057</v>
      </c>
      <c r="I390" s="12">
        <f t="shared" si="30"/>
        <v>1.30175282681265</v>
      </c>
      <c r="J390" s="12">
        <f t="shared" si="30"/>
        <v>11.192872349802064</v>
      </c>
      <c r="M390" s="5">
        <f t="shared" si="28"/>
        <v>0</v>
      </c>
    </row>
    <row r="391" spans="1:13" ht="15">
      <c r="A391" s="9">
        <v>208</v>
      </c>
      <c r="B391" s="1">
        <v>39917</v>
      </c>
      <c r="D391" s="13" t="s">
        <v>162</v>
      </c>
      <c r="E391" s="13">
        <v>10</v>
      </c>
      <c r="F391" s="13">
        <v>48</v>
      </c>
      <c r="G391" s="12">
        <f t="shared" si="30"/>
        <v>35.629508582419454</v>
      </c>
      <c r="H391" s="12">
        <f t="shared" si="30"/>
        <v>7.92795802145087</v>
      </c>
      <c r="I391" s="12">
        <f t="shared" si="30"/>
        <v>0.46284544953338663</v>
      </c>
      <c r="J391" s="12">
        <f t="shared" si="30"/>
        <v>3.9796879465962895</v>
      </c>
      <c r="M391" s="5">
        <f t="shared" si="28"/>
        <v>0</v>
      </c>
    </row>
    <row r="392" spans="1:13" ht="15">
      <c r="A392" s="9">
        <v>209</v>
      </c>
      <c r="B392" s="1">
        <v>39924</v>
      </c>
      <c r="D392" s="13" t="s">
        <v>150</v>
      </c>
      <c r="E392" s="13"/>
      <c r="F392" s="13">
        <v>0</v>
      </c>
      <c r="G392" s="2"/>
      <c r="M392" s="5">
        <f t="shared" si="28"/>
        <v>0</v>
      </c>
    </row>
    <row r="393" spans="1:13" ht="15">
      <c r="A393" s="9">
        <v>210</v>
      </c>
      <c r="M393" s="5">
        <f t="shared" si="28"/>
        <v>0</v>
      </c>
    </row>
    <row r="394" spans="1:13" ht="15">
      <c r="A394" s="9">
        <v>211</v>
      </c>
      <c r="M394" s="5">
        <f t="shared" si="28"/>
        <v>0</v>
      </c>
    </row>
    <row r="395" spans="1:13" ht="15">
      <c r="A395" s="9">
        <v>212</v>
      </c>
      <c r="C395" s="13" t="s">
        <v>55</v>
      </c>
      <c r="D395" s="2"/>
      <c r="E395" s="2"/>
      <c r="F395" s="18">
        <f>SUM(F373:F392)</f>
        <v>474599</v>
      </c>
      <c r="G395" s="18">
        <f>SUM(G373:G392)</f>
        <v>352286.02382724354</v>
      </c>
      <c r="H395" s="18">
        <f>SUM(H373:H392)</f>
        <v>78387.51977130336</v>
      </c>
      <c r="I395" s="18">
        <f>SUM(I373:I392)</f>
        <v>4576.374739647828</v>
      </c>
      <c r="J395" s="18">
        <f>SUM(J373:J392)</f>
        <v>39349.081661805256</v>
      </c>
      <c r="M395" s="5">
        <f t="shared" si="28"/>
        <v>0</v>
      </c>
    </row>
    <row r="396" spans="1:13" ht="15">
      <c r="A396" s="9">
        <v>213</v>
      </c>
      <c r="M396" s="5">
        <f t="shared" si="28"/>
        <v>0</v>
      </c>
    </row>
    <row r="397" spans="1:13" ht="15">
      <c r="A397" s="9">
        <v>214</v>
      </c>
      <c r="C397" s="13" t="s">
        <v>210</v>
      </c>
      <c r="D397" s="2"/>
      <c r="E397" s="2"/>
      <c r="F397" s="18">
        <f>SUM(F311+F335+F367+F395+F301)</f>
        <v>16518177</v>
      </c>
      <c r="G397" s="18">
        <f>SUM(G311+G335+G367+G395+G301)</f>
        <v>12321102.939706996</v>
      </c>
      <c r="H397" s="18">
        <f>SUM(H311+H335+H367+H395+H301)</f>
        <v>2971704.768454345</v>
      </c>
      <c r="I397" s="18">
        <f>SUM(I311+I335+I367+I395+I301)</f>
        <v>186119.49248857697</v>
      </c>
      <c r="J397" s="18">
        <f>SUM(J311+J335+J367+J395+J301)</f>
        <v>1039249.7993500845</v>
      </c>
      <c r="M397" s="5">
        <f t="shared" si="28"/>
        <v>0</v>
      </c>
    </row>
    <row r="398" ht="15">
      <c r="M398" s="5">
        <f t="shared" si="28"/>
        <v>0</v>
      </c>
    </row>
    <row r="399" ht="15">
      <c r="M399" s="5">
        <f t="shared" si="28"/>
        <v>0</v>
      </c>
    </row>
    <row r="400" spans="1:13" ht="15.75">
      <c r="A400" s="8" t="s">
        <v>189</v>
      </c>
      <c r="M400" s="5">
        <f t="shared" si="28"/>
        <v>0</v>
      </c>
    </row>
    <row r="401" ht="15">
      <c r="M401" s="5">
        <f t="shared" si="28"/>
        <v>0</v>
      </c>
    </row>
    <row r="402" ht="15">
      <c r="M402" s="5">
        <f t="shared" si="28"/>
        <v>0</v>
      </c>
    </row>
    <row r="403" spans="1:13" ht="15">
      <c r="A403" s="9">
        <v>1</v>
      </c>
      <c r="C403" s="2" t="s">
        <v>17</v>
      </c>
      <c r="D403" s="2"/>
      <c r="E403" s="2"/>
      <c r="F403" s="2"/>
      <c r="G403" s="2"/>
      <c r="M403" s="5">
        <f t="shared" si="28"/>
        <v>0</v>
      </c>
    </row>
    <row r="404" spans="1:13" ht="15">
      <c r="A404" s="9">
        <v>2</v>
      </c>
      <c r="M404" s="5">
        <f t="shared" si="28"/>
        <v>0</v>
      </c>
    </row>
    <row r="405" spans="1:13" ht="15">
      <c r="A405" s="9">
        <v>3</v>
      </c>
      <c r="D405" s="2" t="s">
        <v>315</v>
      </c>
      <c r="E405" s="2"/>
      <c r="F405" s="2"/>
      <c r="G405" s="2"/>
      <c r="M405" s="5">
        <f t="shared" si="28"/>
        <v>0</v>
      </c>
    </row>
    <row r="406" spans="1:13" ht="15">
      <c r="A406" s="9">
        <v>4</v>
      </c>
      <c r="D406" s="1" t="s">
        <v>316</v>
      </c>
      <c r="E406" s="1">
        <v>57</v>
      </c>
      <c r="F406" s="11">
        <v>366438</v>
      </c>
      <c r="G406" s="12">
        <f aca="true" t="shared" si="31" ref="G406:J409">INDEX(ALLOC,($E406)+1,(G$1)+1)*$F406</f>
        <v>279600.50022802077</v>
      </c>
      <c r="H406" s="12">
        <f t="shared" si="31"/>
        <v>57701.38490659452</v>
      </c>
      <c r="I406" s="12">
        <f t="shared" si="31"/>
        <v>3103.8583022915923</v>
      </c>
      <c r="J406" s="12">
        <f t="shared" si="31"/>
        <v>26032.256563093073</v>
      </c>
      <c r="M406" s="5">
        <f t="shared" si="28"/>
        <v>0</v>
      </c>
    </row>
    <row r="407" spans="1:13" ht="15">
      <c r="A407" s="9">
        <v>5</v>
      </c>
      <c r="D407" s="1" t="s">
        <v>317</v>
      </c>
      <c r="E407" s="1">
        <v>10</v>
      </c>
      <c r="F407" s="11">
        <v>3403337</v>
      </c>
      <c r="G407" s="12">
        <f t="shared" si="31"/>
        <v>2526233.851049285</v>
      </c>
      <c r="H407" s="12">
        <f t="shared" si="31"/>
        <v>562114.8514343862</v>
      </c>
      <c r="I407" s="12">
        <f t="shared" si="31"/>
        <v>32817.063409970986</v>
      </c>
      <c r="J407" s="12">
        <f t="shared" si="31"/>
        <v>282171.23410635785</v>
      </c>
      <c r="M407" s="5">
        <f t="shared" si="28"/>
        <v>0</v>
      </c>
    </row>
    <row r="408" spans="1:13" ht="15">
      <c r="A408" s="9">
        <v>6</v>
      </c>
      <c r="D408" s="1" t="s">
        <v>318</v>
      </c>
      <c r="E408" s="1">
        <v>58</v>
      </c>
      <c r="F408" s="11">
        <v>52950</v>
      </c>
      <c r="G408" s="12">
        <f t="shared" si="31"/>
        <v>22656.5887756129</v>
      </c>
      <c r="H408" s="12">
        <f t="shared" si="31"/>
        <v>10183.344375228318</v>
      </c>
      <c r="I408" s="12">
        <f t="shared" si="31"/>
        <v>916.7170245217037</v>
      </c>
      <c r="J408" s="12">
        <f t="shared" si="31"/>
        <v>19193.34982463708</v>
      </c>
      <c r="M408" s="5">
        <f t="shared" si="28"/>
        <v>0</v>
      </c>
    </row>
    <row r="409" spans="1:13" ht="15">
      <c r="A409" s="9">
        <v>7</v>
      </c>
      <c r="D409" s="1" t="s">
        <v>319</v>
      </c>
      <c r="E409" s="1">
        <v>14</v>
      </c>
      <c r="F409" s="11">
        <v>620764</v>
      </c>
      <c r="G409" s="12">
        <f t="shared" si="31"/>
        <v>402996.0262876401</v>
      </c>
      <c r="H409" s="12">
        <f t="shared" si="31"/>
        <v>187030.90976103183</v>
      </c>
      <c r="I409" s="12">
        <f t="shared" si="31"/>
        <v>15608.870025448734</v>
      </c>
      <c r="J409" s="12">
        <f t="shared" si="31"/>
        <v>15128.193925879421</v>
      </c>
      <c r="M409" s="5">
        <f t="shared" si="28"/>
        <v>0</v>
      </c>
    </row>
    <row r="410" spans="1:13" ht="15">
      <c r="A410" s="9">
        <v>8</v>
      </c>
      <c r="D410" s="2" t="s">
        <v>320</v>
      </c>
      <c r="E410" s="2"/>
      <c r="F410" s="18">
        <f>SUM(F406:F409)</f>
        <v>4443489</v>
      </c>
      <c r="G410" s="18">
        <f>SUM(G406:G409)</f>
        <v>3231486.9663405586</v>
      </c>
      <c r="H410" s="18">
        <f>SUM(H406:H409)</f>
        <v>817030.4904772409</v>
      </c>
      <c r="I410" s="18">
        <f>SUM(I406:I409)</f>
        <v>52446.50876223302</v>
      </c>
      <c r="J410" s="18">
        <f>SUM(J406:J409)</f>
        <v>342525.0344199674</v>
      </c>
      <c r="M410" s="5">
        <f t="shared" si="28"/>
        <v>0</v>
      </c>
    </row>
    <row r="411" spans="1:13" ht="15">
      <c r="A411" s="9">
        <v>9</v>
      </c>
      <c r="M411" s="5">
        <f t="shared" si="28"/>
        <v>0</v>
      </c>
    </row>
    <row r="412" spans="1:13" ht="15">
      <c r="A412" s="9">
        <v>10</v>
      </c>
      <c r="D412" s="2" t="s">
        <v>321</v>
      </c>
      <c r="E412" s="2"/>
      <c r="F412" s="2"/>
      <c r="G412" s="2"/>
      <c r="M412" s="5">
        <f t="shared" si="28"/>
        <v>0</v>
      </c>
    </row>
    <row r="413" spans="1:13" ht="15">
      <c r="A413" s="9">
        <v>11</v>
      </c>
      <c r="D413" s="1" t="s">
        <v>322</v>
      </c>
      <c r="F413" s="9">
        <v>0</v>
      </c>
      <c r="M413" s="5">
        <f t="shared" si="28"/>
        <v>0</v>
      </c>
    </row>
    <row r="414" spans="1:13" ht="15">
      <c r="A414" s="9">
        <v>12</v>
      </c>
      <c r="D414" s="1" t="s">
        <v>323</v>
      </c>
      <c r="F414" s="9">
        <v>0</v>
      </c>
      <c r="M414" s="5">
        <f t="shared" si="28"/>
        <v>0</v>
      </c>
    </row>
    <row r="415" spans="1:13" ht="15">
      <c r="A415" s="9">
        <v>13</v>
      </c>
      <c r="D415" s="1" t="s">
        <v>324</v>
      </c>
      <c r="E415" s="1">
        <v>48</v>
      </c>
      <c r="F415" s="11">
        <v>219194</v>
      </c>
      <c r="G415" s="12">
        <f>INDEX(ALLOC,($E415)+1,(G$1)+1)*$F415</f>
        <v>132048.02420242716</v>
      </c>
      <c r="H415" s="12">
        <f>INDEX(ALLOC,($E415)+1,(H$1)+1)*$F415</f>
        <v>63847.78948542956</v>
      </c>
      <c r="I415" s="12">
        <f>INDEX(ALLOC,($E415)+1,(I$1)+1)*$F415</f>
        <v>4597.5492673031895</v>
      </c>
      <c r="J415" s="12">
        <f>INDEX(ALLOC,($E415)+1,(J$1)+1)*$F415</f>
        <v>18700.637044840103</v>
      </c>
      <c r="M415" s="5">
        <f t="shared" si="28"/>
        <v>0</v>
      </c>
    </row>
    <row r="416" spans="1:13" ht="15">
      <c r="A416" s="9">
        <v>14</v>
      </c>
      <c r="D416" s="2" t="s">
        <v>325</v>
      </c>
      <c r="E416" s="2"/>
      <c r="F416" s="18">
        <f>SUM(F413:F415)</f>
        <v>219194</v>
      </c>
      <c r="G416" s="18">
        <f>SUM(G413:G415)</f>
        <v>132048.02420242716</v>
      </c>
      <c r="H416" s="18">
        <f>SUM(H413:H415)</f>
        <v>63847.78948542956</v>
      </c>
      <c r="I416" s="18">
        <f>SUM(I413:I415)</f>
        <v>4597.5492673031895</v>
      </c>
      <c r="J416" s="18">
        <f>SUM(J413:J415)</f>
        <v>18700.637044840103</v>
      </c>
      <c r="M416" s="5">
        <f t="shared" si="28"/>
        <v>0</v>
      </c>
    </row>
    <row r="417" spans="1:13" ht="15">
      <c r="A417" s="9">
        <v>15</v>
      </c>
      <c r="M417" s="5">
        <f t="shared" si="28"/>
        <v>0</v>
      </c>
    </row>
    <row r="418" spans="1:13" ht="15">
      <c r="A418" s="9">
        <v>16</v>
      </c>
      <c r="C418" s="13" t="s">
        <v>211</v>
      </c>
      <c r="D418" s="2"/>
      <c r="E418" s="2"/>
      <c r="F418" s="18">
        <f>F410+F416</f>
        <v>4662683</v>
      </c>
      <c r="G418" s="18">
        <f>G410+G416</f>
        <v>3363534.990542986</v>
      </c>
      <c r="H418" s="18">
        <f>H410+H416</f>
        <v>880878.2799626704</v>
      </c>
      <c r="I418" s="18">
        <f>I410+I416</f>
        <v>57044.05802953621</v>
      </c>
      <c r="J418" s="18">
        <f>J410+J416</f>
        <v>361225.67146480747</v>
      </c>
      <c r="M418" s="5">
        <f t="shared" si="28"/>
        <v>0</v>
      </c>
    </row>
    <row r="419" spans="1:13" ht="15">
      <c r="A419" s="9">
        <v>17</v>
      </c>
      <c r="M419" s="5">
        <f t="shared" si="28"/>
        <v>0</v>
      </c>
    </row>
    <row r="420" spans="1:13" ht="15">
      <c r="A420" s="9">
        <v>18</v>
      </c>
      <c r="M420" s="5">
        <f t="shared" si="28"/>
        <v>0</v>
      </c>
    </row>
    <row r="421" spans="1:13" ht="15">
      <c r="A421" s="9">
        <v>19</v>
      </c>
      <c r="C421" s="13" t="s">
        <v>3</v>
      </c>
      <c r="D421" s="2"/>
      <c r="E421" s="2">
        <v>51</v>
      </c>
      <c r="F421" s="21">
        <v>7536846</v>
      </c>
      <c r="G421" s="12">
        <f>INDEX(ALLOC,($E421)+1,(G$1)+1)*$F421</f>
        <v>5477464.498239268</v>
      </c>
      <c r="H421" s="12">
        <f>INDEX(ALLOC,($E421)+1,(H$1)+1)*$F421</f>
        <v>1275213.199384306</v>
      </c>
      <c r="I421" s="12">
        <f>INDEX(ALLOC,($E421)+1,(I$1)+1)*$F421</f>
        <v>77403.50391076985</v>
      </c>
      <c r="J421" s="12">
        <f>INDEX(ALLOC,($E421)+1,(J$1)+1)*$F421</f>
        <v>706764.7984656559</v>
      </c>
      <c r="M421" s="5">
        <f t="shared" si="28"/>
        <v>0</v>
      </c>
    </row>
    <row r="422" ht="15">
      <c r="M422" s="5">
        <f t="shared" si="28"/>
        <v>0</v>
      </c>
    </row>
    <row r="423" ht="15">
      <c r="M423" s="5">
        <f t="shared" si="28"/>
        <v>0</v>
      </c>
    </row>
    <row r="424" ht="15">
      <c r="M424" s="5">
        <f t="shared" si="28"/>
        <v>0</v>
      </c>
    </row>
    <row r="425" ht="15">
      <c r="M425" s="5">
        <f aca="true" t="shared" si="32" ref="M425:M482">SUM(G425:J425)-F425</f>
        <v>0</v>
      </c>
    </row>
    <row r="426" ht="15">
      <c r="M426" s="5">
        <f t="shared" si="32"/>
        <v>0</v>
      </c>
    </row>
    <row r="427" ht="15">
      <c r="M427" s="5">
        <f t="shared" si="32"/>
        <v>0</v>
      </c>
    </row>
    <row r="428" ht="15">
      <c r="M428" s="5">
        <f t="shared" si="32"/>
        <v>0</v>
      </c>
    </row>
    <row r="429" ht="15">
      <c r="M429" s="5">
        <f t="shared" si="32"/>
        <v>0</v>
      </c>
    </row>
    <row r="430" ht="15">
      <c r="M430" s="5">
        <f t="shared" si="32"/>
        <v>0</v>
      </c>
    </row>
    <row r="431" ht="15">
      <c r="M431" s="5">
        <f t="shared" si="32"/>
        <v>0</v>
      </c>
    </row>
    <row r="432" ht="15">
      <c r="M432" s="5">
        <f t="shared" si="32"/>
        <v>0</v>
      </c>
    </row>
    <row r="433" ht="15">
      <c r="M433" s="5">
        <f t="shared" si="32"/>
        <v>0</v>
      </c>
    </row>
    <row r="434" ht="15">
      <c r="M434" s="5">
        <f t="shared" si="32"/>
        <v>0</v>
      </c>
    </row>
    <row r="435" ht="15">
      <c r="M435" s="5">
        <f t="shared" si="32"/>
        <v>0</v>
      </c>
    </row>
    <row r="436" ht="15">
      <c r="M436" s="5">
        <f t="shared" si="32"/>
        <v>0</v>
      </c>
    </row>
    <row r="437" ht="15">
      <c r="M437" s="5">
        <f t="shared" si="32"/>
        <v>0</v>
      </c>
    </row>
    <row r="438" ht="15">
      <c r="M438" s="5">
        <f t="shared" si="32"/>
        <v>0</v>
      </c>
    </row>
    <row r="439" ht="15">
      <c r="M439" s="5">
        <f t="shared" si="32"/>
        <v>0</v>
      </c>
    </row>
    <row r="440" ht="15">
      <c r="M440" s="5">
        <f t="shared" si="32"/>
        <v>0</v>
      </c>
    </row>
    <row r="441" ht="15">
      <c r="M441" s="5">
        <f t="shared" si="32"/>
        <v>0</v>
      </c>
    </row>
    <row r="442" ht="15">
      <c r="M442" s="5">
        <f t="shared" si="32"/>
        <v>0</v>
      </c>
    </row>
    <row r="443" ht="15">
      <c r="M443" s="5">
        <f t="shared" si="32"/>
        <v>0</v>
      </c>
    </row>
    <row r="444" ht="15">
      <c r="M444" s="5">
        <f t="shared" si="32"/>
        <v>0</v>
      </c>
    </row>
    <row r="445" ht="15">
      <c r="M445" s="5">
        <f t="shared" si="32"/>
        <v>0</v>
      </c>
    </row>
    <row r="446" ht="15">
      <c r="M446" s="5">
        <f t="shared" si="32"/>
        <v>0</v>
      </c>
    </row>
    <row r="447" ht="15">
      <c r="M447" s="5">
        <f t="shared" si="32"/>
        <v>0</v>
      </c>
    </row>
    <row r="448" ht="15">
      <c r="M448" s="5">
        <f t="shared" si="32"/>
        <v>0</v>
      </c>
    </row>
    <row r="449" ht="15">
      <c r="M449" s="5">
        <f t="shared" si="32"/>
        <v>0</v>
      </c>
    </row>
    <row r="450" ht="15">
      <c r="M450" s="5">
        <f t="shared" si="32"/>
        <v>0</v>
      </c>
    </row>
    <row r="451" ht="15">
      <c r="M451" s="5">
        <f t="shared" si="32"/>
        <v>0</v>
      </c>
    </row>
    <row r="452" ht="15">
      <c r="M452" s="5">
        <f t="shared" si="32"/>
        <v>0</v>
      </c>
    </row>
    <row r="453" ht="15">
      <c r="M453" s="5">
        <f t="shared" si="32"/>
        <v>0</v>
      </c>
    </row>
    <row r="454" ht="15">
      <c r="M454" s="5">
        <f t="shared" si="32"/>
        <v>0</v>
      </c>
    </row>
    <row r="455" ht="15">
      <c r="M455" s="5">
        <f t="shared" si="32"/>
        <v>0</v>
      </c>
    </row>
    <row r="456" ht="15">
      <c r="M456" s="5">
        <f t="shared" si="32"/>
        <v>0</v>
      </c>
    </row>
    <row r="457" ht="15">
      <c r="M457" s="5">
        <f t="shared" si="32"/>
        <v>0</v>
      </c>
    </row>
    <row r="458" ht="15">
      <c r="M458" s="5">
        <f t="shared" si="32"/>
        <v>0</v>
      </c>
    </row>
    <row r="459" ht="15">
      <c r="M459" s="5">
        <f t="shared" si="32"/>
        <v>0</v>
      </c>
    </row>
    <row r="460" ht="15">
      <c r="M460" s="5">
        <f t="shared" si="32"/>
        <v>0</v>
      </c>
    </row>
    <row r="461" ht="15">
      <c r="M461" s="5">
        <f t="shared" si="32"/>
        <v>0</v>
      </c>
    </row>
    <row r="462" ht="15">
      <c r="M462" s="5">
        <f t="shared" si="32"/>
        <v>0</v>
      </c>
    </row>
    <row r="463" ht="15">
      <c r="M463" s="5">
        <f t="shared" si="32"/>
        <v>0</v>
      </c>
    </row>
    <row r="464" ht="15">
      <c r="M464" s="5">
        <f t="shared" si="32"/>
        <v>0</v>
      </c>
    </row>
    <row r="465" ht="15">
      <c r="M465" s="5">
        <f t="shared" si="32"/>
        <v>0</v>
      </c>
    </row>
    <row r="466" ht="15">
      <c r="M466" s="5">
        <f t="shared" si="32"/>
        <v>0</v>
      </c>
    </row>
    <row r="467" ht="15">
      <c r="M467" s="5">
        <f t="shared" si="32"/>
        <v>0</v>
      </c>
    </row>
    <row r="468" ht="15">
      <c r="M468" s="5">
        <f t="shared" si="32"/>
        <v>0</v>
      </c>
    </row>
    <row r="469" ht="15">
      <c r="M469" s="5">
        <f t="shared" si="32"/>
        <v>0</v>
      </c>
    </row>
    <row r="470" ht="15">
      <c r="M470" s="5">
        <f t="shared" si="32"/>
        <v>0</v>
      </c>
    </row>
    <row r="471" ht="15">
      <c r="M471" s="5">
        <f t="shared" si="32"/>
        <v>0</v>
      </c>
    </row>
    <row r="472" ht="15">
      <c r="M472" s="5">
        <f t="shared" si="32"/>
        <v>0</v>
      </c>
    </row>
    <row r="473" ht="15">
      <c r="M473" s="5">
        <f t="shared" si="32"/>
        <v>0</v>
      </c>
    </row>
    <row r="474" ht="15">
      <c r="M474" s="5">
        <f t="shared" si="32"/>
        <v>0</v>
      </c>
    </row>
    <row r="475" ht="15">
      <c r="M475" s="5">
        <f t="shared" si="32"/>
        <v>0</v>
      </c>
    </row>
    <row r="476" ht="15">
      <c r="M476" s="5">
        <f t="shared" si="32"/>
        <v>0</v>
      </c>
    </row>
    <row r="477" ht="15">
      <c r="M477" s="5">
        <f t="shared" si="32"/>
        <v>0</v>
      </c>
    </row>
    <row r="478" ht="15">
      <c r="M478" s="5">
        <f t="shared" si="32"/>
        <v>0</v>
      </c>
    </row>
    <row r="479" ht="15">
      <c r="M479" s="5">
        <f t="shared" si="32"/>
        <v>0</v>
      </c>
    </row>
    <row r="480" ht="15">
      <c r="M480" s="5">
        <f t="shared" si="32"/>
        <v>0</v>
      </c>
    </row>
    <row r="481" ht="15">
      <c r="M481" s="5">
        <f t="shared" si="32"/>
        <v>0</v>
      </c>
    </row>
    <row r="482" ht="15">
      <c r="M482" s="5">
        <f t="shared" si="32"/>
        <v>0</v>
      </c>
    </row>
  </sheetData>
  <sheetProtection/>
  <printOptions/>
  <pageMargins left="0.5" right="0.5" top="0.5" bottom="0.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="87" zoomScaleNormal="87" zoomScalePageLayoutView="0" workbookViewId="0" topLeftCell="A16">
      <selection activeCell="C25" sqref="C25"/>
    </sheetView>
  </sheetViews>
  <sheetFormatPr defaultColWidth="8.88671875" defaultRowHeight="15"/>
  <cols>
    <col min="1" max="3" width="3.6640625" style="1" customWidth="1"/>
    <col min="4" max="4" width="35.6640625" style="1" customWidth="1"/>
    <col min="5" max="5" width="7.6640625" style="1" customWidth="1"/>
    <col min="6" max="6" width="11.6640625" style="1" customWidth="1"/>
    <col min="7" max="7" width="10.10546875" style="1" bestFit="1" customWidth="1"/>
    <col min="8" max="8" width="13.5546875" style="1" bestFit="1" customWidth="1"/>
    <col min="9" max="9" width="8.99609375" style="1" bestFit="1" customWidth="1"/>
    <col min="10" max="10" width="12.77734375" style="1" bestFit="1" customWidth="1"/>
    <col min="11" max="16384" width="9.6640625" style="1" customWidth="1"/>
  </cols>
  <sheetData>
    <row r="1" spans="7:10" ht="15">
      <c r="G1" s="1">
        <v>4</v>
      </c>
      <c r="H1" s="1">
        <v>5</v>
      </c>
      <c r="I1" s="1">
        <v>6</v>
      </c>
      <c r="J1" s="1">
        <v>7</v>
      </c>
    </row>
    <row r="11" ht="15.75">
      <c r="A11" s="8" t="s">
        <v>327</v>
      </c>
    </row>
    <row r="15" spans="6:10" ht="15">
      <c r="F15" s="1" t="s">
        <v>29</v>
      </c>
      <c r="H15" s="1" t="s">
        <v>32</v>
      </c>
      <c r="I15" s="1" t="s">
        <v>34</v>
      </c>
      <c r="J15" s="1" t="s">
        <v>36</v>
      </c>
    </row>
    <row r="16" spans="5:10" ht="15">
      <c r="E16" s="1" t="s">
        <v>28</v>
      </c>
      <c r="F16" s="1" t="s">
        <v>30</v>
      </c>
      <c r="G16" s="1" t="s">
        <v>31</v>
      </c>
      <c r="H16" s="1" t="s">
        <v>33</v>
      </c>
      <c r="I16" s="1" t="s">
        <v>35</v>
      </c>
      <c r="J16" s="1" t="s">
        <v>37</v>
      </c>
    </row>
    <row r="18" spans="3:7" ht="15">
      <c r="C18" s="2" t="s">
        <v>328</v>
      </c>
      <c r="D18" s="2"/>
      <c r="E18" s="2"/>
      <c r="F18" s="2"/>
      <c r="G18" s="2"/>
    </row>
    <row r="20" spans="4:10" ht="15">
      <c r="D20" s="2" t="s">
        <v>26</v>
      </c>
      <c r="E20" s="13" t="s">
        <v>338</v>
      </c>
      <c r="F20" s="17">
        <f>SUM(G20:J20)</f>
        <v>63205352.938</v>
      </c>
      <c r="G20" s="20">
        <v>36974249.56</v>
      </c>
      <c r="H20" s="3">
        <v>13782947.97</v>
      </c>
      <c r="I20" s="3">
        <v>524930.309</v>
      </c>
      <c r="J20" s="3">
        <v>11923225.099</v>
      </c>
    </row>
    <row r="21" spans="4:7" ht="15">
      <c r="D21" s="2" t="s">
        <v>332</v>
      </c>
      <c r="E21" s="2"/>
      <c r="F21" s="13">
        <v>0</v>
      </c>
      <c r="G21" s="2"/>
    </row>
    <row r="22" spans="4:11" ht="15">
      <c r="D22" s="2" t="s">
        <v>27</v>
      </c>
      <c r="E22" s="13" t="s">
        <v>338</v>
      </c>
      <c r="F22" s="17">
        <f>SUM(G22:J22)</f>
        <v>90267316.343</v>
      </c>
      <c r="G22" s="20">
        <v>55514753.158</v>
      </c>
      <c r="H22" s="3">
        <v>31060527.091</v>
      </c>
      <c r="I22" s="3">
        <v>2718228.946</v>
      </c>
      <c r="J22" s="3">
        <v>973807.148</v>
      </c>
      <c r="K22" s="3"/>
    </row>
    <row r="23" spans="4:11" ht="15">
      <c r="D23" s="2" t="s">
        <v>333</v>
      </c>
      <c r="E23" s="2"/>
      <c r="F23" s="17">
        <v>0</v>
      </c>
      <c r="G23" s="20"/>
      <c r="H23" s="3"/>
      <c r="I23" s="3"/>
      <c r="J23" s="3"/>
      <c r="K23" s="3"/>
    </row>
    <row r="24" spans="6:11" ht="15">
      <c r="F24" s="3"/>
      <c r="G24" s="3"/>
      <c r="H24" s="3"/>
      <c r="I24" s="3"/>
      <c r="J24" s="3"/>
      <c r="K24" s="3"/>
    </row>
    <row r="25" spans="3:11" ht="15">
      <c r="C25" s="2" t="s">
        <v>12</v>
      </c>
      <c r="D25" s="2"/>
      <c r="E25" s="2"/>
      <c r="F25" s="18">
        <f>SUM(F20:F23)</f>
        <v>153472669.281</v>
      </c>
      <c r="G25" s="18">
        <f>SUM(G20:G23)</f>
        <v>92489002.718</v>
      </c>
      <c r="H25" s="18">
        <f>SUM(H20:H23)</f>
        <v>44843475.061</v>
      </c>
      <c r="I25" s="18">
        <f>SUM(I20:I23)</f>
        <v>3243159.255</v>
      </c>
      <c r="J25" s="18">
        <f>SUM(J20:J23)</f>
        <v>12897032.247</v>
      </c>
      <c r="K25" s="3"/>
    </row>
    <row r="26" spans="6:11" ht="15">
      <c r="F26" s="3"/>
      <c r="G26" s="3"/>
      <c r="H26" s="3"/>
      <c r="I26" s="3"/>
      <c r="J26" s="3"/>
      <c r="K26" s="3"/>
    </row>
    <row r="27" spans="3:7" ht="15">
      <c r="C27" s="2" t="s">
        <v>329</v>
      </c>
      <c r="D27" s="2"/>
      <c r="E27" s="2"/>
      <c r="F27" s="2"/>
      <c r="G27" s="2"/>
    </row>
    <row r="29" spans="4:10" ht="15">
      <c r="D29" s="1" t="s">
        <v>334</v>
      </c>
      <c r="E29" s="1">
        <v>49</v>
      </c>
      <c r="F29" s="11">
        <v>1126126</v>
      </c>
      <c r="G29" s="12">
        <f aca="true" t="shared" si="0" ref="G29:J30">INDEX(ALLOC,($E29)+1,(G$1)+1)*$F29</f>
        <v>658767.9970848068</v>
      </c>
      <c r="H29" s="12">
        <f t="shared" si="0"/>
        <v>245569.96115328328</v>
      </c>
      <c r="I29" s="12">
        <f t="shared" si="0"/>
        <v>9352.651977638641</v>
      </c>
      <c r="J29" s="12">
        <f t="shared" si="0"/>
        <v>212435.3897842714</v>
      </c>
    </row>
    <row r="30" spans="4:10" ht="15">
      <c r="D30" s="1" t="s">
        <v>335</v>
      </c>
      <c r="E30" s="1">
        <v>49</v>
      </c>
      <c r="F30" s="11">
        <v>778251</v>
      </c>
      <c r="G30" s="12">
        <f t="shared" si="0"/>
        <v>455265.97600912146</v>
      </c>
      <c r="H30" s="12">
        <f t="shared" si="0"/>
        <v>169710.19924724576</v>
      </c>
      <c r="I30" s="12">
        <f t="shared" si="0"/>
        <v>6463.495873684872</v>
      </c>
      <c r="J30" s="12">
        <f t="shared" si="0"/>
        <v>146811.32886994796</v>
      </c>
    </row>
    <row r="31" spans="4:6" ht="15">
      <c r="D31" s="1" t="s">
        <v>336</v>
      </c>
      <c r="F31" s="9">
        <v>0</v>
      </c>
    </row>
    <row r="32" spans="4:10" ht="15">
      <c r="D32" s="1" t="s">
        <v>337</v>
      </c>
      <c r="E32" s="1">
        <v>49</v>
      </c>
      <c r="F32" s="11">
        <v>-2078</v>
      </c>
      <c r="G32" s="12">
        <f>INDEX(ALLOC,($E32)+1,(G$1)+1)*$F32</f>
        <v>-1215.6010055200115</v>
      </c>
      <c r="H32" s="12">
        <f>INDEX(ALLOC,($E32)+1,(H$1)+1)*$F32</f>
        <v>-453.1414595493956</v>
      </c>
      <c r="I32" s="12">
        <f>INDEX(ALLOC,($E32)+1,(I$1)+1)*$F32</f>
        <v>-17.25811393177415</v>
      </c>
      <c r="J32" s="12">
        <f>INDEX(ALLOC,($E32)+1,(J$1)+1)*$F32</f>
        <v>-391.99942099881895</v>
      </c>
    </row>
    <row r="34" spans="3:10" ht="15">
      <c r="C34" s="2" t="s">
        <v>330</v>
      </c>
      <c r="D34" s="2"/>
      <c r="E34" s="2"/>
      <c r="F34" s="18">
        <f>SUM(F29:F32)</f>
        <v>1902299</v>
      </c>
      <c r="G34" s="18">
        <f>SUM(G29:G32)</f>
        <v>1112818.3720884083</v>
      </c>
      <c r="H34" s="18">
        <f>SUM(H29:H32)</f>
        <v>414827.0189409797</v>
      </c>
      <c r="I34" s="18">
        <f>SUM(I29:I32)</f>
        <v>15798.889737391739</v>
      </c>
      <c r="J34" s="18">
        <f ca="1">SUM(J29:J32)</f>
        <v>358854.71923322056</v>
      </c>
    </row>
    <row r="36" spans="3:10" ht="15">
      <c r="C36" s="2" t="s">
        <v>331</v>
      </c>
      <c r="D36" s="2"/>
      <c r="E36" s="2"/>
      <c r="F36" s="18">
        <f>F25+F34</f>
        <v>155374968.281</v>
      </c>
      <c r="G36" s="18">
        <f>G25+G34</f>
        <v>93601821.0900884</v>
      </c>
      <c r="H36" s="18">
        <f>H25+H34</f>
        <v>45258302.079940975</v>
      </c>
      <c r="I36" s="18">
        <f>I25+I34</f>
        <v>3258958.1447373917</v>
      </c>
      <c r="J36" s="18">
        <f>J25+J34</f>
        <v>13255886.96623322</v>
      </c>
    </row>
  </sheetData>
  <sheetProtection/>
  <printOptions/>
  <pageMargins left="0.5" right="0.5" top="0.5" bottom="0.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5:J160"/>
  <sheetViews>
    <sheetView zoomScale="87" zoomScaleNormal="87" zoomScalePageLayoutView="0" workbookViewId="0" topLeftCell="A52">
      <selection activeCell="A74" sqref="A74"/>
    </sheetView>
  </sheetViews>
  <sheetFormatPr defaultColWidth="8.88671875" defaultRowHeight="15"/>
  <cols>
    <col min="1" max="1" width="5.6640625" style="22" customWidth="1"/>
    <col min="2" max="2" width="49.6640625" style="1" customWidth="1"/>
    <col min="3" max="3" width="9.6640625" style="1" customWidth="1"/>
    <col min="4" max="4" width="7.6640625" style="1" customWidth="1"/>
    <col min="5" max="5" width="12.10546875" style="1" bestFit="1" customWidth="1"/>
    <col min="6" max="7" width="12.6640625" style="1" customWidth="1"/>
    <col min="8" max="8" width="9.3359375" style="1" bestFit="1" customWidth="1"/>
    <col min="9" max="9" width="12.6640625" style="1" customWidth="1"/>
    <col min="10" max="16384" width="9.6640625" style="1" customWidth="1"/>
  </cols>
  <sheetData>
    <row r="15" spans="5:9" ht="15.75">
      <c r="E15" s="8" t="s">
        <v>29</v>
      </c>
      <c r="F15" s="8"/>
      <c r="G15" s="8" t="s">
        <v>32</v>
      </c>
      <c r="H15" s="8" t="s">
        <v>34</v>
      </c>
      <c r="I15" s="8" t="s">
        <v>36</v>
      </c>
    </row>
    <row r="16" spans="4:9" ht="15.75">
      <c r="D16" s="1" t="s">
        <v>28</v>
      </c>
      <c r="E16" s="8" t="s">
        <v>30</v>
      </c>
      <c r="F16" s="8" t="s">
        <v>31</v>
      </c>
      <c r="G16" s="8" t="s">
        <v>33</v>
      </c>
      <c r="H16" s="8" t="s">
        <v>35</v>
      </c>
      <c r="I16" s="8" t="s">
        <v>37</v>
      </c>
    </row>
    <row r="18" spans="1:9" ht="15">
      <c r="A18" s="22">
        <v>1</v>
      </c>
      <c r="B18" s="1" t="s">
        <v>339</v>
      </c>
      <c r="C18" s="1" t="s">
        <v>396</v>
      </c>
      <c r="D18" s="1">
        <v>1</v>
      </c>
      <c r="E18" s="3">
        <f aca="true" t="shared" si="0" ref="E18:E26">SUM(F18:I18)</f>
        <v>42314959</v>
      </c>
      <c r="F18" s="3">
        <v>9637652</v>
      </c>
      <c r="G18" s="3">
        <v>5380137</v>
      </c>
      <c r="H18" s="3">
        <v>471075</v>
      </c>
      <c r="I18" s="3">
        <v>26826095</v>
      </c>
    </row>
    <row r="19" spans="1:9" ht="15">
      <c r="A19" s="22">
        <v>1.5</v>
      </c>
      <c r="B19" s="1" t="s">
        <v>340</v>
      </c>
      <c r="C19" s="1" t="s">
        <v>396</v>
      </c>
      <c r="D19" s="1">
        <f aca="true" t="shared" si="1" ref="D19:D50">D18+1</f>
        <v>2</v>
      </c>
      <c r="E19" s="3">
        <f t="shared" si="0"/>
        <v>23332458</v>
      </c>
      <c r="F19" s="3">
        <v>7308713</v>
      </c>
      <c r="G19" s="3">
        <v>3634476</v>
      </c>
      <c r="H19" s="3">
        <v>350228</v>
      </c>
      <c r="I19" s="3">
        <v>12039041</v>
      </c>
    </row>
    <row r="20" spans="1:9" ht="15">
      <c r="A20" s="22">
        <v>2</v>
      </c>
      <c r="B20" s="1" t="s">
        <v>341</v>
      </c>
      <c r="C20" s="1" t="s">
        <v>396</v>
      </c>
      <c r="D20" s="1">
        <f t="shared" si="1"/>
        <v>3</v>
      </c>
      <c r="E20" s="3">
        <f t="shared" si="0"/>
        <v>2078493</v>
      </c>
      <c r="F20" s="3">
        <v>1846837</v>
      </c>
      <c r="G20" s="3">
        <v>226666</v>
      </c>
      <c r="H20" s="3">
        <v>2396</v>
      </c>
      <c r="I20" s="3">
        <v>2594</v>
      </c>
    </row>
    <row r="21" spans="1:9" ht="15">
      <c r="A21" s="22">
        <v>3</v>
      </c>
      <c r="B21" s="1" t="s">
        <v>342</v>
      </c>
      <c r="C21" s="1" t="s">
        <v>396</v>
      </c>
      <c r="D21" s="1">
        <f t="shared" si="1"/>
        <v>4</v>
      </c>
      <c r="E21" s="3">
        <f t="shared" si="0"/>
        <v>273558.11699999997</v>
      </c>
      <c r="F21" s="3">
        <v>117051.818</v>
      </c>
      <c r="G21" s="3">
        <v>52610.699</v>
      </c>
      <c r="H21" s="3">
        <v>4736.079</v>
      </c>
      <c r="I21" s="3">
        <v>99159.521</v>
      </c>
    </row>
    <row r="22" spans="1:9" ht="15">
      <c r="A22" s="22">
        <v>4</v>
      </c>
      <c r="B22" s="1" t="s">
        <v>343</v>
      </c>
      <c r="C22" s="1" t="s">
        <v>396</v>
      </c>
      <c r="D22" s="1">
        <f t="shared" si="1"/>
        <v>5</v>
      </c>
      <c r="E22" s="3">
        <f t="shared" si="0"/>
        <v>11657333</v>
      </c>
      <c r="F22" s="3">
        <v>7003552</v>
      </c>
      <c r="G22" s="3">
        <v>3921199</v>
      </c>
      <c r="H22" s="3">
        <v>363643</v>
      </c>
      <c r="I22" s="3">
        <v>368939</v>
      </c>
    </row>
    <row r="23" spans="1:9" ht="15">
      <c r="A23" s="22">
        <v>4.2</v>
      </c>
      <c r="B23" s="1" t="s">
        <v>344</v>
      </c>
      <c r="C23" s="1" t="s">
        <v>396</v>
      </c>
      <c r="D23" s="1">
        <f t="shared" si="1"/>
        <v>6</v>
      </c>
      <c r="E23" s="3">
        <f t="shared" si="0"/>
        <v>1</v>
      </c>
      <c r="F23" s="3">
        <v>1</v>
      </c>
      <c r="G23" s="3"/>
      <c r="H23" s="3"/>
      <c r="I23" s="3"/>
    </row>
    <row r="24" spans="1:9" ht="15">
      <c r="A24" s="22">
        <v>4.4</v>
      </c>
      <c r="B24" s="1" t="s">
        <v>345</v>
      </c>
      <c r="C24" s="1" t="s">
        <v>396</v>
      </c>
      <c r="D24" s="1">
        <f t="shared" si="1"/>
        <v>7</v>
      </c>
      <c r="E24" s="3">
        <f t="shared" si="0"/>
        <v>1</v>
      </c>
      <c r="F24" s="3"/>
      <c r="G24" s="3">
        <v>1</v>
      </c>
      <c r="H24" s="3"/>
      <c r="I24" s="3"/>
    </row>
    <row r="25" spans="1:9" ht="15">
      <c r="A25" s="22">
        <v>4.6</v>
      </c>
      <c r="B25" s="1" t="s">
        <v>346</v>
      </c>
      <c r="C25" s="1" t="s">
        <v>396</v>
      </c>
      <c r="D25" s="1">
        <f t="shared" si="1"/>
        <v>8</v>
      </c>
      <c r="E25" s="3">
        <f t="shared" si="0"/>
        <v>1</v>
      </c>
      <c r="F25" s="3"/>
      <c r="G25" s="3"/>
      <c r="H25" s="3">
        <v>1</v>
      </c>
      <c r="I25" s="3"/>
    </row>
    <row r="26" spans="1:9" ht="15">
      <c r="A26" s="22">
        <v>5</v>
      </c>
      <c r="B26" s="1" t="s">
        <v>347</v>
      </c>
      <c r="C26" s="1" t="s">
        <v>396</v>
      </c>
      <c r="D26" s="1">
        <f t="shared" si="1"/>
        <v>9</v>
      </c>
      <c r="E26" s="3">
        <f t="shared" si="0"/>
        <v>1</v>
      </c>
      <c r="F26" s="3"/>
      <c r="G26" s="3"/>
      <c r="H26" s="3"/>
      <c r="I26" s="3">
        <v>1</v>
      </c>
    </row>
    <row r="27" spans="1:9" ht="15">
      <c r="A27" s="22">
        <v>6</v>
      </c>
      <c r="B27" s="1" t="s">
        <v>348</v>
      </c>
      <c r="C27" s="1" t="s">
        <v>397</v>
      </c>
      <c r="D27" s="1">
        <f t="shared" si="1"/>
        <v>10</v>
      </c>
      <c r="E27" s="3">
        <f ca="1">SUM(F27:I27)</f>
        <v>411478740.21000004</v>
      </c>
      <c r="F27" s="3">
        <f>'Rate Base'!G36+'Rate Base'!G58+'Rate Base'!G71+'Rate Base'!G101</f>
        <v>305433027.2040696</v>
      </c>
      <c r="G27" s="3">
        <f>'Rate Base'!H36+'Rate Base'!H58+'Rate Base'!H71+'Rate Base'!H101</f>
        <v>67962212.06467433</v>
      </c>
      <c r="H27" s="3">
        <f>'Rate Base'!I36+'Rate Base'!I58+'Rate Base'!I71+'Rate Base'!I101</f>
        <v>3967730.468456856</v>
      </c>
      <c r="I27" s="3">
        <f>'Rate Base'!J36+'Rate Base'!J58+'Rate Base'!J71+'Rate Base'!J101</f>
        <v>34115770.472799234</v>
      </c>
    </row>
    <row r="28" spans="1:9" ht="15">
      <c r="A28" s="22">
        <v>6.2</v>
      </c>
      <c r="B28" s="1" t="s">
        <v>349</v>
      </c>
      <c r="C28" s="1" t="s">
        <v>397</v>
      </c>
      <c r="D28" s="1">
        <f t="shared" si="1"/>
        <v>11</v>
      </c>
      <c r="E28" s="3">
        <f>SUM(F28:I28)</f>
        <v>0</v>
      </c>
      <c r="F28" s="3"/>
      <c r="G28" s="3"/>
      <c r="H28" s="3"/>
      <c r="I28" s="3"/>
    </row>
    <row r="29" spans="1:9" ht="15">
      <c r="A29" s="22">
        <v>6.4</v>
      </c>
      <c r="B29" s="1" t="s">
        <v>350</v>
      </c>
      <c r="C29" s="1" t="s">
        <v>397</v>
      </c>
      <c r="D29" s="1">
        <f t="shared" si="1"/>
        <v>12</v>
      </c>
      <c r="E29" s="3">
        <f ca="1">SUM(F29:I29)</f>
        <v>3640007.7800000003</v>
      </c>
      <c r="F29" s="3">
        <f>'Rate Base'!G90-'Rate Base'!G320</f>
        <v>2992180.6999452175</v>
      </c>
      <c r="G29" s="3">
        <f>'Rate Base'!H90-'Rate Base'!H320</f>
        <v>440721.1480560492</v>
      </c>
      <c r="H29" s="3">
        <f>'Rate Base'!I90-'Rate Base'!I320</f>
        <v>12690.21429415579</v>
      </c>
      <c r="I29" s="3">
        <f>'Rate Base'!J90-'Rate Base'!J320</f>
        <v>194415.7177045777</v>
      </c>
    </row>
    <row r="30" spans="1:9" ht="15">
      <c r="A30" s="22">
        <v>6.6</v>
      </c>
      <c r="B30" s="4" t="s">
        <v>351</v>
      </c>
      <c r="C30" s="1" t="s">
        <v>397</v>
      </c>
      <c r="D30" s="1">
        <f t="shared" si="1"/>
        <v>13</v>
      </c>
      <c r="E30" s="3">
        <f ca="1">SUM(F30:I30)</f>
        <v>4969193.930000001</v>
      </c>
      <c r="F30" s="3">
        <f>'Rate Base'!G90-'Rate Base'!G321</f>
        <v>4084806.1516041392</v>
      </c>
      <c r="G30" s="3">
        <f>'Rate Base'!H90-'Rate Base'!H321</f>
        <v>601654.9925458542</v>
      </c>
      <c r="H30" s="3">
        <f>'Rate Base'!I90-'Rate Base'!I321</f>
        <v>17324.17611506264</v>
      </c>
      <c r="I30" s="3">
        <f>'Rate Base'!J90-'Rate Base'!J321</f>
        <v>265408.6097349443</v>
      </c>
    </row>
    <row r="31" spans="1:9" ht="15">
      <c r="A31" s="22">
        <v>7</v>
      </c>
      <c r="B31" s="1" t="s">
        <v>352</v>
      </c>
      <c r="C31" s="1" t="s">
        <v>397</v>
      </c>
      <c r="D31" s="1">
        <f t="shared" si="1"/>
        <v>14</v>
      </c>
      <c r="E31" s="3">
        <f ca="1">SUM(F31:I31)</f>
        <v>117022197</v>
      </c>
      <c r="F31" s="3">
        <f>Expenses!G179</f>
        <v>75970063.30658574</v>
      </c>
      <c r="G31" s="3">
        <f>Expenses!H179</f>
        <v>35257791.95820745</v>
      </c>
      <c r="H31" s="3">
        <f>Expenses!I179</f>
        <v>2942477.7581584253</v>
      </c>
      <c r="I31" s="3">
        <f>Expenses!J179</f>
        <v>2851863.977048387</v>
      </c>
    </row>
    <row r="32" spans="1:9" ht="15">
      <c r="A32" s="22">
        <v>7.2</v>
      </c>
      <c r="B32" s="1" t="s">
        <v>353</v>
      </c>
      <c r="C32" s="1" t="s">
        <v>397</v>
      </c>
      <c r="D32" s="1">
        <f t="shared" si="1"/>
        <v>15</v>
      </c>
      <c r="E32" s="3">
        <f>SUM(F32:I32)</f>
        <v>0</v>
      </c>
      <c r="F32" s="3"/>
      <c r="G32" s="3"/>
      <c r="H32" s="3"/>
      <c r="I32" s="3"/>
    </row>
    <row r="33" spans="1:9" ht="15">
      <c r="A33" s="22">
        <v>7.4</v>
      </c>
      <c r="B33" s="1" t="s">
        <v>354</v>
      </c>
      <c r="C33" s="1" t="s">
        <v>397</v>
      </c>
      <c r="D33" s="1">
        <f t="shared" si="1"/>
        <v>16</v>
      </c>
      <c r="E33" s="3">
        <f>SUM(F33:I33)</f>
        <v>0</v>
      </c>
      <c r="F33" s="3"/>
      <c r="G33" s="3"/>
      <c r="H33" s="3"/>
      <c r="I33" s="3"/>
    </row>
    <row r="34" spans="1:9" ht="15">
      <c r="A34" s="22">
        <v>7.6</v>
      </c>
      <c r="B34" s="1" t="s">
        <v>355</v>
      </c>
      <c r="C34" s="1" t="s">
        <v>397</v>
      </c>
      <c r="D34" s="1">
        <f t="shared" si="1"/>
        <v>17</v>
      </c>
      <c r="E34" s="3">
        <f>SUM(F34:I34)</f>
        <v>0</v>
      </c>
      <c r="F34" s="3"/>
      <c r="G34" s="3"/>
      <c r="H34" s="3"/>
      <c r="I34" s="3"/>
    </row>
    <row r="35" spans="1:9" ht="15">
      <c r="A35" s="22">
        <v>8</v>
      </c>
      <c r="B35" s="1" t="s">
        <v>356</v>
      </c>
      <c r="C35" s="1" t="s">
        <v>396</v>
      </c>
      <c r="D35" s="1">
        <f t="shared" si="1"/>
        <v>18</v>
      </c>
      <c r="E35" s="3">
        <f>SUM(F35:I35)</f>
        <v>34046761</v>
      </c>
      <c r="F35" s="3">
        <v>24135338</v>
      </c>
      <c r="G35" s="3">
        <v>9911423</v>
      </c>
      <c r="H35" s="3">
        <v>0</v>
      </c>
      <c r="I35" s="3">
        <v>0</v>
      </c>
    </row>
    <row r="36" spans="1:9" ht="15">
      <c r="A36" s="22">
        <v>9</v>
      </c>
      <c r="B36" s="1" t="s">
        <v>357</v>
      </c>
      <c r="C36" s="1" t="s">
        <v>397</v>
      </c>
      <c r="D36" s="1">
        <f t="shared" si="1"/>
        <v>19</v>
      </c>
      <c r="E36" s="3">
        <f ca="1">SUM(F36:I36)</f>
        <v>287487464.16000015</v>
      </c>
      <c r="F36" s="3">
        <f>'Rate Base'!G244+'Rate Base'!G246-'Rate Base'!G465</f>
        <v>214852409.37919933</v>
      </c>
      <c r="G36" s="3">
        <f>'Rate Base'!H244+'Rate Base'!H246-'Rate Base'!H465</f>
        <v>48981635.40637347</v>
      </c>
      <c r="H36" s="3">
        <f>'Rate Base'!I244+'Rate Base'!I246-'Rate Base'!I465</f>
        <v>2923007.6256448794</v>
      </c>
      <c r="I36" s="3">
        <f>'Rate Base'!J244+'Rate Base'!J246-'Rate Base'!J465</f>
        <v>20730411.74878247</v>
      </c>
    </row>
    <row r="37" spans="1:9" ht="15">
      <c r="A37" s="22">
        <v>9.2</v>
      </c>
      <c r="B37" s="1" t="s">
        <v>358</v>
      </c>
      <c r="C37" s="1" t="s">
        <v>397</v>
      </c>
      <c r="D37" s="1">
        <f t="shared" si="1"/>
        <v>20</v>
      </c>
      <c r="E37" s="3">
        <f>SUM(F37:I37)</f>
        <v>0</v>
      </c>
      <c r="F37" s="3"/>
      <c r="G37" s="3"/>
      <c r="H37" s="3"/>
      <c r="I37" s="3"/>
    </row>
    <row r="38" spans="1:9" ht="15">
      <c r="A38" s="22">
        <v>9.4</v>
      </c>
      <c r="B38" s="1" t="s">
        <v>359</v>
      </c>
      <c r="C38" s="1" t="s">
        <v>397</v>
      </c>
      <c r="D38" s="1">
        <f t="shared" si="1"/>
        <v>21</v>
      </c>
      <c r="E38" s="3">
        <f>SUM(F38:I38)</f>
        <v>0</v>
      </c>
      <c r="F38" s="3"/>
      <c r="G38" s="3"/>
      <c r="H38" s="3"/>
      <c r="I38" s="3"/>
    </row>
    <row r="39" spans="1:9" ht="15">
      <c r="A39" s="22">
        <v>9.6</v>
      </c>
      <c r="B39" s="1" t="s">
        <v>360</v>
      </c>
      <c r="C39" s="1" t="s">
        <v>397</v>
      </c>
      <c r="D39" s="1">
        <f t="shared" si="1"/>
        <v>22</v>
      </c>
      <c r="E39" s="3">
        <f>SUM(F39:I39)</f>
        <v>0</v>
      </c>
      <c r="F39" s="3"/>
      <c r="G39" s="3"/>
      <c r="H39" s="3"/>
      <c r="I39" s="3"/>
    </row>
    <row r="40" spans="1:9" ht="15">
      <c r="A40" s="22">
        <v>10</v>
      </c>
      <c r="B40" s="4" t="s">
        <v>361</v>
      </c>
      <c r="C40" s="1" t="s">
        <v>397</v>
      </c>
      <c r="D40" s="1">
        <f t="shared" si="1"/>
        <v>23</v>
      </c>
      <c r="E40" s="3">
        <f ca="1">SUM(F40:I40)</f>
        <v>4220281</v>
      </c>
      <c r="F40" s="3">
        <f>SUM(Expenses!G114:G122)+SUM(Expenses!G127:G134)</f>
        <v>3318690.785651224</v>
      </c>
      <c r="G40" s="3">
        <f>SUM(Expenses!H114:H122)+SUM(Expenses!H127:H134)</f>
        <v>675464.3913890953</v>
      </c>
      <c r="H40" s="3">
        <f>SUM(Expenses!I114:I122)+SUM(Expenses!I127:I134)</f>
        <v>35548.85842284383</v>
      </c>
      <c r="I40" s="3">
        <f>SUM(Expenses!J114:J122)+SUM(Expenses!J127:J134)</f>
        <v>190576.96453683692</v>
      </c>
    </row>
    <row r="41" spans="1:9" ht="15">
      <c r="A41" s="22">
        <v>10.2</v>
      </c>
      <c r="B41" s="1" t="s">
        <v>362</v>
      </c>
      <c r="C41" s="1" t="s">
        <v>397</v>
      </c>
      <c r="D41" s="1">
        <f t="shared" si="1"/>
        <v>24</v>
      </c>
      <c r="E41" s="3">
        <f>SUM(F41:I41)</f>
        <v>0</v>
      </c>
      <c r="F41" s="3"/>
      <c r="G41" s="3"/>
      <c r="H41" s="3"/>
      <c r="I41" s="3"/>
    </row>
    <row r="42" spans="1:9" ht="15">
      <c r="A42" s="22">
        <v>10.4</v>
      </c>
      <c r="B42" s="1" t="s">
        <v>363</v>
      </c>
      <c r="C42" s="1" t="s">
        <v>397</v>
      </c>
      <c r="D42" s="1">
        <f t="shared" si="1"/>
        <v>25</v>
      </c>
      <c r="E42" s="3">
        <f>SUM(F42:I42)</f>
        <v>0</v>
      </c>
      <c r="F42" s="3"/>
      <c r="G42" s="3"/>
      <c r="H42" s="3"/>
      <c r="I42" s="3"/>
    </row>
    <row r="43" spans="1:9" ht="15">
      <c r="A43" s="22">
        <v>10.6</v>
      </c>
      <c r="B43" s="1" t="s">
        <v>364</v>
      </c>
      <c r="C43" s="1" t="s">
        <v>397</v>
      </c>
      <c r="D43" s="1">
        <f t="shared" si="1"/>
        <v>26</v>
      </c>
      <c r="E43" s="3">
        <f>SUM(F43:I43)</f>
        <v>0</v>
      </c>
      <c r="F43" s="3"/>
      <c r="G43" s="3"/>
      <c r="H43" s="3"/>
      <c r="I43" s="3"/>
    </row>
    <row r="44" spans="1:9" ht="15">
      <c r="A44" s="22">
        <v>11</v>
      </c>
      <c r="B44" s="1" t="s">
        <v>365</v>
      </c>
      <c r="C44" s="1" t="s">
        <v>397</v>
      </c>
      <c r="D44" s="1">
        <f t="shared" si="1"/>
        <v>27</v>
      </c>
      <c r="E44" s="3">
        <f ca="1">SUM(F44:I44)</f>
        <v>166866780.05</v>
      </c>
      <c r="F44" s="3">
        <f>(+'Rate Base'!G85+'Rate Base'!G86+'Rate Base'!G88+'Rate Base'!G89+'Rate Base'!G93+'Rate Base'!G83)-('Rate Base'!G318+'Rate Base'!G319+'Rate Base'!G323+'Rate Base'!G317)</f>
        <v>140587242.06317678</v>
      </c>
      <c r="G44" s="3">
        <f>(+'Rate Base'!H85+'Rate Base'!H86+'Rate Base'!H88+'Rate Base'!H89+'Rate Base'!H93+'Rate Base'!H83)-('Rate Base'!H318+'Rate Base'!H319+'Rate Base'!H323+'Rate Base'!H317)</f>
        <v>19585825.131646104</v>
      </c>
      <c r="H44" s="3">
        <f>(+'Rate Base'!I85+'Rate Base'!I86+'Rate Base'!I88+'Rate Base'!I89+'Rate Base'!I93+'Rate Base'!I83)-('Rate Base'!I318+'Rate Base'!I319+'Rate Base'!I323+'Rate Base'!I317)</f>
        <v>461830.4749181596</v>
      </c>
      <c r="I44" s="3">
        <f>(+'Rate Base'!J85+'Rate Base'!J86+'Rate Base'!J88+'Rate Base'!J89+'Rate Base'!J93+'Rate Base'!J83)-('Rate Base'!J318+'Rate Base'!J319+'Rate Base'!J323+'Rate Base'!J317)</f>
        <v>6231882.380258979</v>
      </c>
    </row>
    <row r="45" spans="1:9" ht="15">
      <c r="A45" s="22">
        <v>11.2</v>
      </c>
      <c r="B45" s="1" t="s">
        <v>366</v>
      </c>
      <c r="C45" s="1" t="s">
        <v>397</v>
      </c>
      <c r="D45" s="1">
        <f t="shared" si="1"/>
        <v>28</v>
      </c>
      <c r="E45" s="3">
        <f>SUM(F45:I45)</f>
        <v>0</v>
      </c>
      <c r="F45" s="3"/>
      <c r="G45" s="3"/>
      <c r="H45" s="3"/>
      <c r="I45" s="3"/>
    </row>
    <row r="46" spans="1:9" ht="15">
      <c r="A46" s="22">
        <v>11.4</v>
      </c>
      <c r="B46" s="1" t="s">
        <v>367</v>
      </c>
      <c r="C46" s="1" t="s">
        <v>397</v>
      </c>
      <c r="D46" s="1">
        <f t="shared" si="1"/>
        <v>29</v>
      </c>
      <c r="E46" s="3">
        <f>SUM(F46:I46)</f>
        <v>0</v>
      </c>
      <c r="F46" s="3"/>
      <c r="G46" s="3"/>
      <c r="H46" s="3"/>
      <c r="I46" s="3"/>
    </row>
    <row r="47" spans="1:9" ht="15">
      <c r="A47" s="22">
        <v>11.6</v>
      </c>
      <c r="B47" s="1" t="s">
        <v>368</v>
      </c>
      <c r="C47" s="1" t="s">
        <v>397</v>
      </c>
      <c r="D47" s="1">
        <f t="shared" si="1"/>
        <v>30</v>
      </c>
      <c r="E47" s="3">
        <f>SUM(F47:I47)</f>
        <v>0</v>
      </c>
      <c r="F47" s="3"/>
      <c r="G47" s="3"/>
      <c r="H47" s="3"/>
      <c r="I47" s="3"/>
    </row>
    <row r="48" spans="1:9" ht="15">
      <c r="A48" s="22">
        <v>12</v>
      </c>
      <c r="B48" s="1" t="s">
        <v>369</v>
      </c>
      <c r="C48" s="1" t="s">
        <v>397</v>
      </c>
      <c r="D48" s="1">
        <f t="shared" si="1"/>
        <v>31</v>
      </c>
      <c r="E48" s="3">
        <f ca="1">SUM(F48:I48)</f>
        <v>122145708.74000004</v>
      </c>
      <c r="F48" s="3">
        <f>SUM('Rate Base'!G75:G92)-SUM('Rate Base'!G309:G322)</f>
        <v>100406937.11730418</v>
      </c>
      <c r="G48" s="3">
        <f>SUM('Rate Base'!H75:H92)-SUM('Rate Base'!H309:H322)</f>
        <v>14789033.496519785</v>
      </c>
      <c r="H48" s="3">
        <f>SUM('Rate Base'!I75:I92)-SUM('Rate Base'!I309:I322)</f>
        <v>425838.43571404065</v>
      </c>
      <c r="I48" s="3">
        <f>SUM('Rate Base'!J75:J92)-SUM('Rate Base'!J309:J322)</f>
        <v>6523899.690462038</v>
      </c>
    </row>
    <row r="49" spans="1:9" ht="15">
      <c r="A49" s="22">
        <v>12.2</v>
      </c>
      <c r="B49" s="1" t="s">
        <v>370</v>
      </c>
      <c r="C49" s="1" t="s">
        <v>397</v>
      </c>
      <c r="D49" s="1">
        <f t="shared" si="1"/>
        <v>32</v>
      </c>
      <c r="E49" s="3">
        <f aca="true" t="shared" si="2" ref="E49:E60">SUM(F49:I49)</f>
        <v>0</v>
      </c>
      <c r="F49" s="3"/>
      <c r="G49" s="3"/>
      <c r="H49" s="3"/>
      <c r="I49" s="3"/>
    </row>
    <row r="50" spans="1:9" ht="15">
      <c r="A50" s="22">
        <v>12.4</v>
      </c>
      <c r="B50" s="1" t="s">
        <v>371</v>
      </c>
      <c r="C50" s="1" t="s">
        <v>397</v>
      </c>
      <c r="D50" s="1">
        <f t="shared" si="1"/>
        <v>33</v>
      </c>
      <c r="E50" s="3">
        <f t="shared" si="2"/>
        <v>0</v>
      </c>
      <c r="F50" s="3"/>
      <c r="G50" s="3"/>
      <c r="H50" s="3"/>
      <c r="I50" s="3"/>
    </row>
    <row r="51" spans="1:9" ht="15">
      <c r="A51" s="22">
        <v>12.6</v>
      </c>
      <c r="B51" s="1" t="s">
        <v>372</v>
      </c>
      <c r="C51" s="1" t="s">
        <v>397</v>
      </c>
      <c r="D51" s="1">
        <f aca="true" t="shared" si="3" ref="D51:D82">D50+1</f>
        <v>34</v>
      </c>
      <c r="E51" s="3">
        <f t="shared" si="2"/>
        <v>0</v>
      </c>
      <c r="F51" s="3"/>
      <c r="G51" s="3"/>
      <c r="H51" s="3"/>
      <c r="I51" s="3"/>
    </row>
    <row r="52" spans="1:9" ht="15">
      <c r="A52" s="22">
        <v>13</v>
      </c>
      <c r="B52" s="1" t="s">
        <v>373</v>
      </c>
      <c r="C52" s="1" t="s">
        <v>397</v>
      </c>
      <c r="D52" s="1">
        <f t="shared" si="3"/>
        <v>35</v>
      </c>
      <c r="E52" s="3">
        <f t="shared" si="2"/>
        <v>0</v>
      </c>
      <c r="F52" s="3"/>
      <c r="G52" s="3"/>
      <c r="H52" s="3"/>
      <c r="I52" s="3"/>
    </row>
    <row r="53" spans="1:9" ht="15">
      <c r="A53" s="22">
        <v>13.2</v>
      </c>
      <c r="B53" s="1" t="s">
        <v>374</v>
      </c>
      <c r="C53" s="1" t="s">
        <v>397</v>
      </c>
      <c r="D53" s="1">
        <f t="shared" si="3"/>
        <v>36</v>
      </c>
      <c r="E53" s="3">
        <f t="shared" si="2"/>
        <v>0</v>
      </c>
      <c r="F53" s="3"/>
      <c r="G53" s="3"/>
      <c r="H53" s="3"/>
      <c r="I53" s="3"/>
    </row>
    <row r="54" spans="1:9" ht="15">
      <c r="A54" s="22">
        <v>13.4</v>
      </c>
      <c r="B54" s="1" t="s">
        <v>375</v>
      </c>
      <c r="C54" s="1" t="s">
        <v>397</v>
      </c>
      <c r="D54" s="1">
        <f t="shared" si="3"/>
        <v>37</v>
      </c>
      <c r="E54" s="3">
        <f t="shared" si="2"/>
        <v>0</v>
      </c>
      <c r="F54" s="3"/>
      <c r="G54" s="3"/>
      <c r="H54" s="3"/>
      <c r="I54" s="3"/>
    </row>
    <row r="55" spans="1:9" ht="15">
      <c r="A55" s="22">
        <v>13.6</v>
      </c>
      <c r="B55" s="1" t="s">
        <v>376</v>
      </c>
      <c r="C55" s="1" t="s">
        <v>397</v>
      </c>
      <c r="D55" s="1">
        <f t="shared" si="3"/>
        <v>38</v>
      </c>
      <c r="E55" s="3">
        <f t="shared" si="2"/>
        <v>0</v>
      </c>
      <c r="F55" s="3"/>
      <c r="G55" s="3"/>
      <c r="H55" s="3"/>
      <c r="I55" s="3"/>
    </row>
    <row r="56" spans="1:9" ht="15">
      <c r="A56" s="22">
        <v>14</v>
      </c>
      <c r="B56" s="1" t="s">
        <v>377</v>
      </c>
      <c r="C56" s="1" t="s">
        <v>397</v>
      </c>
      <c r="D56" s="1">
        <f t="shared" si="3"/>
        <v>39</v>
      </c>
      <c r="E56" s="3">
        <f t="shared" si="2"/>
        <v>0</v>
      </c>
      <c r="F56" s="3"/>
      <c r="G56" s="3"/>
      <c r="H56" s="3"/>
      <c r="I56" s="3"/>
    </row>
    <row r="57" spans="1:9" ht="15">
      <c r="A57" s="22">
        <v>14.2</v>
      </c>
      <c r="B57" s="1" t="s">
        <v>378</v>
      </c>
      <c r="C57" s="1" t="s">
        <v>397</v>
      </c>
      <c r="D57" s="1">
        <f t="shared" si="3"/>
        <v>40</v>
      </c>
      <c r="E57" s="3">
        <f t="shared" si="2"/>
        <v>0</v>
      </c>
      <c r="F57" s="3"/>
      <c r="G57" s="3"/>
      <c r="H57" s="3"/>
      <c r="I57" s="3"/>
    </row>
    <row r="58" spans="1:9" ht="15">
      <c r="A58" s="22">
        <v>14.4</v>
      </c>
      <c r="B58" s="1" t="s">
        <v>379</v>
      </c>
      <c r="C58" s="1" t="s">
        <v>397</v>
      </c>
      <c r="D58" s="1">
        <f t="shared" si="3"/>
        <v>41</v>
      </c>
      <c r="E58" s="3">
        <f t="shared" si="2"/>
        <v>0</v>
      </c>
      <c r="F58" s="3"/>
      <c r="G58" s="3"/>
      <c r="H58" s="3"/>
      <c r="I58" s="3"/>
    </row>
    <row r="59" spans="1:9" ht="15">
      <c r="A59" s="22">
        <v>14.6</v>
      </c>
      <c r="B59" s="1" t="s">
        <v>380</v>
      </c>
      <c r="C59" s="1" t="s">
        <v>397</v>
      </c>
      <c r="D59" s="1">
        <f t="shared" si="3"/>
        <v>42</v>
      </c>
      <c r="E59" s="3">
        <f t="shared" si="2"/>
        <v>0</v>
      </c>
      <c r="F59" s="3"/>
      <c r="G59" s="3"/>
      <c r="H59" s="3"/>
      <c r="I59" s="3"/>
    </row>
    <row r="60" spans="1:9" ht="15">
      <c r="A60" s="22">
        <v>16</v>
      </c>
      <c r="B60" s="1" t="s">
        <v>381</v>
      </c>
      <c r="C60" s="1" t="s">
        <v>396</v>
      </c>
      <c r="D60" s="1">
        <f t="shared" si="3"/>
        <v>43</v>
      </c>
      <c r="E60" s="3">
        <f t="shared" si="2"/>
        <v>218503.00001</v>
      </c>
      <c r="F60" s="3">
        <v>0.81264</v>
      </c>
      <c r="G60" s="3">
        <v>0.14803</v>
      </c>
      <c r="H60" s="3">
        <v>0.03934</v>
      </c>
      <c r="I60" s="3">
        <v>218502</v>
      </c>
    </row>
    <row r="61" spans="1:9" ht="15">
      <c r="A61" s="22">
        <v>17</v>
      </c>
      <c r="B61" s="1" t="s">
        <v>382</v>
      </c>
      <c r="C61" s="1" t="s">
        <v>397</v>
      </c>
      <c r="D61" s="1">
        <f t="shared" si="3"/>
        <v>44</v>
      </c>
      <c r="E61" s="3">
        <f ca="1">SUM(F61:I61)</f>
        <v>8135763.000000001</v>
      </c>
      <c r="F61" s="3">
        <f>Expenses!G136+Expenses!G139+Expenses!G140+Expenses!G151+Expenses!G158+Expenses!G167+Expenses!G171+Expenses!G172</f>
        <v>6587182.287264922</v>
      </c>
      <c r="G61" s="3">
        <f>Expenses!H136+Expenses!H139+Expenses!H140+Expenses!H151+Expenses!H158+Expenses!H167+Expenses!H171+Expenses!H172</f>
        <v>1206887.1213941413</v>
      </c>
      <c r="H61" s="3">
        <f>Expenses!I136+Expenses!I139+Expenses!I140+Expenses!I151+Expenses!I158+Expenses!I167+Expenses!I171+Expenses!I172</f>
        <v>54970.30732556674</v>
      </c>
      <c r="I61" s="3">
        <f>Expenses!J136+Expenses!J139+Expenses!J140+Expenses!J151+Expenses!J158+Expenses!J167+Expenses!J171+Expenses!J172</f>
        <v>286723.28401537065</v>
      </c>
    </row>
    <row r="62" spans="1:9" ht="15">
      <c r="A62" s="22">
        <v>17.2</v>
      </c>
      <c r="B62" s="1" t="s">
        <v>383</v>
      </c>
      <c r="C62" s="1" t="s">
        <v>397</v>
      </c>
      <c r="D62" s="1">
        <f t="shared" si="3"/>
        <v>45</v>
      </c>
      <c r="E62" s="3">
        <f>SUM(F62:I62)</f>
        <v>0</v>
      </c>
      <c r="F62" s="3"/>
      <c r="G62" s="3"/>
      <c r="H62" s="3"/>
      <c r="I62" s="3"/>
    </row>
    <row r="63" spans="1:9" ht="15">
      <c r="A63" s="22">
        <v>17.4</v>
      </c>
      <c r="B63" s="1" t="s">
        <v>384</v>
      </c>
      <c r="C63" s="1" t="s">
        <v>397</v>
      </c>
      <c r="D63" s="1">
        <f t="shared" si="3"/>
        <v>46</v>
      </c>
      <c r="E63" s="3">
        <f>SUM(F63:I63)</f>
        <v>0</v>
      </c>
      <c r="F63" s="3"/>
      <c r="G63" s="3"/>
      <c r="H63" s="3"/>
      <c r="I63" s="3"/>
    </row>
    <row r="64" spans="1:9" ht="15">
      <c r="A64" s="22">
        <v>17.6</v>
      </c>
      <c r="B64" s="1" t="s">
        <v>385</v>
      </c>
      <c r="C64" s="1" t="s">
        <v>397</v>
      </c>
      <c r="D64" s="1">
        <f t="shared" si="3"/>
        <v>47</v>
      </c>
      <c r="E64" s="3">
        <f>SUM(F64:I64)</f>
        <v>0</v>
      </c>
      <c r="F64" s="3"/>
      <c r="G64" s="3"/>
      <c r="H64" s="3"/>
      <c r="I64" s="3"/>
    </row>
    <row r="65" spans="1:9" ht="15">
      <c r="A65" s="22">
        <v>18</v>
      </c>
      <c r="B65" s="1" t="s">
        <v>386</v>
      </c>
      <c r="C65" s="1" t="s">
        <v>397</v>
      </c>
      <c r="D65" s="1">
        <f t="shared" si="3"/>
        <v>48</v>
      </c>
      <c r="E65" s="3">
        <f ca="1">SUM(F65:I65)</f>
        <v>155374968.281</v>
      </c>
      <c r="F65" s="3">
        <f>Revenue!G36</f>
        <v>93601821.0900884</v>
      </c>
      <c r="G65" s="3">
        <f>Revenue!H36</f>
        <v>45258302.079940975</v>
      </c>
      <c r="H65" s="3">
        <f ca="1">Revenue!I36</f>
        <v>3258958.1447373917</v>
      </c>
      <c r="I65" s="3">
        <f>Revenue!J36</f>
        <v>13255886.96623322</v>
      </c>
    </row>
    <row r="66" spans="1:9" ht="15">
      <c r="A66" s="22">
        <v>18.2</v>
      </c>
      <c r="B66" s="1" t="s">
        <v>26</v>
      </c>
      <c r="C66" s="1" t="s">
        <v>397</v>
      </c>
      <c r="D66" s="1">
        <f t="shared" si="3"/>
        <v>49</v>
      </c>
      <c r="E66" s="3">
        <f>SUM(F66:I66)</f>
        <v>63205352.938</v>
      </c>
      <c r="F66" s="3">
        <f>Revenue!G20</f>
        <v>36974249.56</v>
      </c>
      <c r="G66" s="3">
        <f>Revenue!H20</f>
        <v>13782947.97</v>
      </c>
      <c r="H66" s="3">
        <f>Revenue!I20</f>
        <v>524930.309</v>
      </c>
      <c r="I66" s="3">
        <f>Revenue!J20</f>
        <v>11923225.099</v>
      </c>
    </row>
    <row r="67" spans="1:9" ht="15">
      <c r="A67" s="22">
        <v>18.4</v>
      </c>
      <c r="B67" s="1" t="s">
        <v>387</v>
      </c>
      <c r="C67" s="1" t="s">
        <v>397</v>
      </c>
      <c r="D67" s="1">
        <f t="shared" si="3"/>
        <v>50</v>
      </c>
      <c r="E67" s="3">
        <f>SUM(F67:I67)</f>
        <v>90267316.343</v>
      </c>
      <c r="F67" s="3">
        <f>Revenue!G22</f>
        <v>55514753.158</v>
      </c>
      <c r="G67" s="3">
        <f>Revenue!H22</f>
        <v>31060527.091</v>
      </c>
      <c r="H67" s="3">
        <f>Revenue!I22</f>
        <v>2718228.946</v>
      </c>
      <c r="I67" s="3">
        <f>Revenue!J22</f>
        <v>973807.148</v>
      </c>
    </row>
    <row r="68" spans="1:9" ht="15">
      <c r="A68" s="22">
        <v>19</v>
      </c>
      <c r="B68" s="1" t="s">
        <v>388</v>
      </c>
      <c r="C68" s="1" t="s">
        <v>397</v>
      </c>
      <c r="D68" s="1">
        <f t="shared" si="3"/>
        <v>51</v>
      </c>
      <c r="E68" s="3">
        <f ca="1">SUM(F68:I68)</f>
        <v>252914290.16000015</v>
      </c>
      <c r="F68" s="3">
        <f>'Rate Base'!G505</f>
        <v>183807529.7609618</v>
      </c>
      <c r="G68" s="3">
        <f>'Rate Base'!H505</f>
        <v>42792388.37106988</v>
      </c>
      <c r="H68" s="3">
        <f>'Rate Base'!I505</f>
        <v>2597432.964331386</v>
      </c>
      <c r="I68" s="3">
        <f>'Rate Base'!J505</f>
        <v>23716939.063637085</v>
      </c>
    </row>
    <row r="69" spans="1:9" ht="15">
      <c r="A69" s="22">
        <v>19.2</v>
      </c>
      <c r="B69" s="1" t="s">
        <v>389</v>
      </c>
      <c r="C69" s="1" t="s">
        <v>397</v>
      </c>
      <c r="D69" s="1">
        <f t="shared" si="3"/>
        <v>52</v>
      </c>
      <c r="E69" s="3">
        <f>SUM(F69:I69)</f>
        <v>0</v>
      </c>
      <c r="F69" s="3"/>
      <c r="G69" s="3"/>
      <c r="H69" s="3"/>
      <c r="I69" s="3"/>
    </row>
    <row r="70" spans="1:9" ht="15">
      <c r="A70" s="22">
        <v>19.4</v>
      </c>
      <c r="B70" s="1" t="s">
        <v>390</v>
      </c>
      <c r="C70" s="1" t="s">
        <v>397</v>
      </c>
      <c r="D70" s="1">
        <f t="shared" si="3"/>
        <v>53</v>
      </c>
      <c r="E70" s="3">
        <f>SUM(F70:I70)</f>
        <v>0</v>
      </c>
      <c r="F70" s="3"/>
      <c r="G70" s="3"/>
      <c r="H70" s="3"/>
      <c r="I70" s="3"/>
    </row>
    <row r="71" spans="1:9" ht="15">
      <c r="A71" s="22">
        <v>19.6</v>
      </c>
      <c r="B71" s="1" t="s">
        <v>391</v>
      </c>
      <c r="C71" s="1" t="s">
        <v>397</v>
      </c>
      <c r="D71" s="1">
        <f t="shared" si="3"/>
        <v>54</v>
      </c>
      <c r="E71" s="3">
        <f>SUM(F71:I71)</f>
        <v>0</v>
      </c>
      <c r="F71" s="3"/>
      <c r="G71" s="3"/>
      <c r="H71" s="3"/>
      <c r="I71" s="3"/>
    </row>
    <row r="72" spans="2:10" ht="15">
      <c r="B72" s="1" t="s">
        <v>392</v>
      </c>
      <c r="D72" s="1">
        <f t="shared" si="3"/>
        <v>55</v>
      </c>
      <c r="E72" s="23">
        <f>SUM(F72:I72)</f>
        <v>1</v>
      </c>
      <c r="F72" s="23">
        <f>(+F21/$E21*0.5)+(F19/$E19*0.5)</f>
        <v>0.37056439088792115</v>
      </c>
      <c r="G72" s="23">
        <f>(+G21/$E21*0.5)+(G19/$E19*0.5)</f>
        <v>0.17404455389793577</v>
      </c>
      <c r="H72" s="23">
        <f>(+H21/$E21*0.5)+(H19/$E19*0.5)</f>
        <v>0.016161607534601594</v>
      </c>
      <c r="I72" s="23">
        <f>(+I21/$E21*0.5)+(I19/$E19*0.5)</f>
        <v>0.43922944767954153</v>
      </c>
      <c r="J72" s="23"/>
    </row>
    <row r="73" spans="2:9" ht="15">
      <c r="B73" s="1" t="s">
        <v>393</v>
      </c>
      <c r="D73" s="1">
        <f t="shared" si="3"/>
        <v>56</v>
      </c>
      <c r="E73" s="5">
        <f ca="1">SUM(F73:I73)</f>
        <v>163306407.04000002</v>
      </c>
      <c r="F73" s="3">
        <f>'Rate Base'!G85+'Rate Base'!G86+'Rate Base'!G88+'Rate Base'!G89</f>
        <v>134242097.5052108</v>
      </c>
      <c r="G73" s="3">
        <f>'Rate Base'!H85+'Rate Base'!H86+'Rate Base'!H88+'Rate Base'!H89</f>
        <v>19772646.52867783</v>
      </c>
      <c r="H73" s="3">
        <f>'Rate Base'!I85+'Rate Base'!I86+'Rate Base'!I88+'Rate Base'!I89</f>
        <v>569337.6020603538</v>
      </c>
      <c r="I73" s="3">
        <f>'Rate Base'!J85+'Rate Base'!J86+'Rate Base'!J88+'Rate Base'!J89</f>
        <v>8722325.40405106</v>
      </c>
    </row>
    <row r="74" spans="2:9" ht="15">
      <c r="B74" s="1" t="s">
        <v>394</v>
      </c>
      <c r="D74" s="1">
        <f t="shared" si="3"/>
        <v>57</v>
      </c>
      <c r="E74" s="3">
        <f ca="1">SUM(F74:I74)</f>
        <v>26430401.657000013</v>
      </c>
      <c r="F74" s="3">
        <f>Expenses!G179-Expenses!G142-Revenue!G22</f>
        <v>20166995.575035103</v>
      </c>
      <c r="G74" s="3">
        <f>Expenses!H179-Expenses!H142-Revenue!H22</f>
        <v>4161879.442760989</v>
      </c>
      <c r="H74" s="3">
        <f>Expenses!I179-Expenses!I142-Revenue!I22</f>
        <v>223874.7663069358</v>
      </c>
      <c r="I74" s="3">
        <f>Expenses!J179-Expenses!J142-Revenue!J22</f>
        <v>1877651.8728969828</v>
      </c>
    </row>
    <row r="75" spans="2:9" ht="15">
      <c r="B75" s="1" t="s">
        <v>395</v>
      </c>
      <c r="D75" s="1">
        <f t="shared" si="3"/>
        <v>58</v>
      </c>
      <c r="E75" s="3">
        <f ca="1">SUM(F75:I75)</f>
        <v>12243607.529999997</v>
      </c>
      <c r="F75" s="3">
        <f>'Rate Base'!G71-'Rate Base'!G305</f>
        <v>5238874.049805619</v>
      </c>
      <c r="G75" s="3">
        <f>'Rate Base'!H71-'Rate Base'!H305</f>
        <v>2354690.686933495</v>
      </c>
      <c r="H75" s="3">
        <f>'Rate Base'!I71-'Rate Base'!I305</f>
        <v>211972.11452904862</v>
      </c>
      <c r="I75" s="3">
        <f>'Rate Base'!J71-'Rate Base'!J305</f>
        <v>4438070.678731835</v>
      </c>
    </row>
    <row r="76" spans="4:8" ht="15">
      <c r="D76" s="1">
        <f t="shared" si="3"/>
        <v>59</v>
      </c>
      <c r="E76" s="3">
        <f aca="true" t="shared" si="4" ref="E76:E85">SUM(F76:I76)</f>
        <v>0</v>
      </c>
      <c r="F76" s="3"/>
      <c r="G76" s="3"/>
      <c r="H76" s="3"/>
    </row>
    <row r="77" spans="4:8" ht="15">
      <c r="D77" s="1">
        <f t="shared" si="3"/>
        <v>60</v>
      </c>
      <c r="E77" s="3">
        <f t="shared" si="4"/>
        <v>0</v>
      </c>
      <c r="F77" s="3"/>
      <c r="G77" s="3"/>
      <c r="H77" s="3"/>
    </row>
    <row r="78" spans="4:8" ht="15">
      <c r="D78" s="1">
        <f t="shared" si="3"/>
        <v>61</v>
      </c>
      <c r="E78" s="3">
        <f t="shared" si="4"/>
        <v>0</v>
      </c>
      <c r="F78" s="3"/>
      <c r="G78" s="3"/>
      <c r="H78" s="3"/>
    </row>
    <row r="79" spans="4:8" ht="15">
      <c r="D79" s="1">
        <f t="shared" si="3"/>
        <v>62</v>
      </c>
      <c r="E79" s="3">
        <f t="shared" si="4"/>
        <v>0</v>
      </c>
      <c r="F79" s="3"/>
      <c r="G79" s="3"/>
      <c r="H79" s="3"/>
    </row>
    <row r="80" spans="4:8" ht="15">
      <c r="D80" s="1">
        <f t="shared" si="3"/>
        <v>63</v>
      </c>
      <c r="E80" s="3">
        <f t="shared" si="4"/>
        <v>0</v>
      </c>
      <c r="F80" s="3"/>
      <c r="G80" s="3"/>
      <c r="H80" s="3"/>
    </row>
    <row r="81" spans="4:8" ht="15">
      <c r="D81" s="1">
        <f t="shared" si="3"/>
        <v>64</v>
      </c>
      <c r="E81" s="3">
        <f t="shared" si="4"/>
        <v>0</v>
      </c>
      <c r="F81" s="3"/>
      <c r="G81" s="3"/>
      <c r="H81" s="3"/>
    </row>
    <row r="82" spans="4:8" ht="15">
      <c r="D82" s="1">
        <f t="shared" si="3"/>
        <v>65</v>
      </c>
      <c r="E82" s="3">
        <f t="shared" si="4"/>
        <v>0</v>
      </c>
      <c r="F82" s="3"/>
      <c r="G82" s="3"/>
      <c r="H82" s="3"/>
    </row>
    <row r="83" spans="4:8" ht="15">
      <c r="D83" s="1">
        <f aca="true" t="shared" si="5" ref="D83:D110">D82+1</f>
        <v>66</v>
      </c>
      <c r="E83" s="3">
        <f t="shared" si="4"/>
        <v>0</v>
      </c>
      <c r="F83" s="3"/>
      <c r="G83" s="3"/>
      <c r="H83" s="3"/>
    </row>
    <row r="84" spans="4:8" ht="15">
      <c r="D84" s="1">
        <f t="shared" si="5"/>
        <v>67</v>
      </c>
      <c r="E84" s="3">
        <f t="shared" si="4"/>
        <v>0</v>
      </c>
      <c r="F84" s="3"/>
      <c r="G84" s="3"/>
      <c r="H84" s="3"/>
    </row>
    <row r="85" spans="4:8" ht="15">
      <c r="D85" s="1">
        <f t="shared" si="5"/>
        <v>68</v>
      </c>
      <c r="E85" s="3">
        <f t="shared" si="4"/>
        <v>0</v>
      </c>
      <c r="F85" s="3"/>
      <c r="G85" s="3"/>
      <c r="H85" s="3"/>
    </row>
    <row r="86" spans="4:8" ht="15">
      <c r="D86" s="1">
        <f t="shared" si="5"/>
        <v>69</v>
      </c>
      <c r="E86" s="3"/>
      <c r="F86" s="3"/>
      <c r="G86" s="3"/>
      <c r="H86" s="3"/>
    </row>
    <row r="87" spans="4:8" ht="15">
      <c r="D87" s="1">
        <f t="shared" si="5"/>
        <v>70</v>
      </c>
      <c r="E87" s="3"/>
      <c r="F87" s="3"/>
      <c r="G87" s="3"/>
      <c r="H87" s="3"/>
    </row>
    <row r="88" spans="4:8" ht="15">
      <c r="D88" s="1">
        <f t="shared" si="5"/>
        <v>71</v>
      </c>
      <c r="E88" s="3"/>
      <c r="F88" s="3"/>
      <c r="G88" s="3"/>
      <c r="H88" s="3"/>
    </row>
    <row r="89" spans="4:8" ht="15">
      <c r="D89" s="1">
        <f t="shared" si="5"/>
        <v>72</v>
      </c>
      <c r="E89" s="3"/>
      <c r="F89" s="3"/>
      <c r="G89" s="3"/>
      <c r="H89" s="3"/>
    </row>
    <row r="90" spans="4:8" ht="15">
      <c r="D90" s="1">
        <f t="shared" si="5"/>
        <v>73</v>
      </c>
      <c r="E90" s="3"/>
      <c r="F90" s="3"/>
      <c r="G90" s="3"/>
      <c r="H90" s="3"/>
    </row>
    <row r="91" spans="4:8" ht="15">
      <c r="D91" s="1">
        <f t="shared" si="5"/>
        <v>74</v>
      </c>
      <c r="E91" s="3"/>
      <c r="F91" s="3"/>
      <c r="G91" s="3"/>
      <c r="H91" s="3"/>
    </row>
    <row r="92" spans="4:8" ht="15">
      <c r="D92" s="1">
        <f t="shared" si="5"/>
        <v>75</v>
      </c>
      <c r="E92" s="3"/>
      <c r="F92" s="3"/>
      <c r="G92" s="3"/>
      <c r="H92" s="3"/>
    </row>
    <row r="93" spans="4:8" ht="15">
      <c r="D93" s="1">
        <f t="shared" si="5"/>
        <v>76</v>
      </c>
      <c r="E93" s="3"/>
      <c r="F93" s="3"/>
      <c r="G93" s="3"/>
      <c r="H93" s="3"/>
    </row>
    <row r="94" spans="4:8" ht="15">
      <c r="D94" s="1">
        <f t="shared" si="5"/>
        <v>77</v>
      </c>
      <c r="E94" s="3"/>
      <c r="F94" s="3"/>
      <c r="G94" s="3"/>
      <c r="H94" s="3"/>
    </row>
    <row r="95" spans="4:8" ht="15">
      <c r="D95" s="1">
        <f t="shared" si="5"/>
        <v>78</v>
      </c>
      <c r="E95" s="3"/>
      <c r="F95" s="3"/>
      <c r="G95" s="3"/>
      <c r="H95" s="3"/>
    </row>
    <row r="96" spans="4:8" ht="15">
      <c r="D96" s="1">
        <f t="shared" si="5"/>
        <v>79</v>
      </c>
      <c r="E96" s="3"/>
      <c r="F96" s="3"/>
      <c r="G96" s="3"/>
      <c r="H96" s="3"/>
    </row>
    <row r="97" spans="4:8" ht="15">
      <c r="D97" s="1">
        <f t="shared" si="5"/>
        <v>80</v>
      </c>
      <c r="E97" s="3"/>
      <c r="F97" s="3"/>
      <c r="G97" s="3"/>
      <c r="H97" s="3"/>
    </row>
    <row r="98" spans="4:8" ht="15">
      <c r="D98" s="1">
        <f t="shared" si="5"/>
        <v>81</v>
      </c>
      <c r="E98" s="3"/>
      <c r="F98" s="3"/>
      <c r="G98" s="3"/>
      <c r="H98" s="3"/>
    </row>
    <row r="99" spans="4:8" ht="15">
      <c r="D99" s="1">
        <f t="shared" si="5"/>
        <v>82</v>
      </c>
      <c r="E99" s="3"/>
      <c r="F99" s="3"/>
      <c r="G99" s="3"/>
      <c r="H99" s="3"/>
    </row>
    <row r="100" spans="4:8" ht="15">
      <c r="D100" s="1">
        <f t="shared" si="5"/>
        <v>83</v>
      </c>
      <c r="E100" s="3"/>
      <c r="F100" s="3"/>
      <c r="G100" s="3"/>
      <c r="H100" s="3"/>
    </row>
    <row r="101" spans="4:8" ht="15">
      <c r="D101" s="1">
        <f t="shared" si="5"/>
        <v>84</v>
      </c>
      <c r="E101" s="3"/>
      <c r="F101" s="3"/>
      <c r="G101" s="3"/>
      <c r="H101" s="3"/>
    </row>
    <row r="102" spans="4:8" ht="15">
      <c r="D102" s="1">
        <f t="shared" si="5"/>
        <v>85</v>
      </c>
      <c r="E102" s="3"/>
      <c r="F102" s="3"/>
      <c r="G102" s="3"/>
      <c r="H102" s="3"/>
    </row>
    <row r="103" spans="4:8" ht="15">
      <c r="D103" s="1">
        <f t="shared" si="5"/>
        <v>86</v>
      </c>
      <c r="E103" s="3"/>
      <c r="F103" s="3"/>
      <c r="G103" s="3"/>
      <c r="H103" s="3"/>
    </row>
    <row r="104" spans="4:8" ht="15">
      <c r="D104" s="1">
        <f t="shared" si="5"/>
        <v>87</v>
      </c>
      <c r="E104" s="3"/>
      <c r="F104" s="3"/>
      <c r="G104" s="3"/>
      <c r="H104" s="3"/>
    </row>
    <row r="105" spans="4:8" ht="15">
      <c r="D105" s="1">
        <f t="shared" si="5"/>
        <v>88</v>
      </c>
      <c r="E105" s="3"/>
      <c r="F105" s="3"/>
      <c r="G105" s="3"/>
      <c r="H105" s="3"/>
    </row>
    <row r="106" spans="4:8" ht="15">
      <c r="D106" s="1">
        <f t="shared" si="5"/>
        <v>89</v>
      </c>
      <c r="E106" s="3"/>
      <c r="F106" s="3"/>
      <c r="G106" s="3"/>
      <c r="H106" s="3"/>
    </row>
    <row r="107" spans="4:8" ht="15">
      <c r="D107" s="1">
        <f t="shared" si="5"/>
        <v>90</v>
      </c>
      <c r="E107" s="3"/>
      <c r="F107" s="3"/>
      <c r="G107" s="3"/>
      <c r="H107" s="3"/>
    </row>
    <row r="108" spans="4:8" ht="15">
      <c r="D108" s="1">
        <f t="shared" si="5"/>
        <v>91</v>
      </c>
      <c r="E108" s="3"/>
      <c r="F108" s="3"/>
      <c r="G108" s="3"/>
      <c r="H108" s="3"/>
    </row>
    <row r="109" spans="4:8" ht="15">
      <c r="D109" s="1">
        <f t="shared" si="5"/>
        <v>92</v>
      </c>
      <c r="E109" s="3"/>
      <c r="F109" s="3"/>
      <c r="G109" s="3"/>
      <c r="H109" s="3"/>
    </row>
    <row r="110" spans="4:8" ht="15">
      <c r="D110" s="1">
        <f t="shared" si="5"/>
        <v>93</v>
      </c>
      <c r="E110" s="3"/>
      <c r="F110" s="3"/>
      <c r="G110" s="3"/>
      <c r="H110" s="3"/>
    </row>
    <row r="111" spans="4:8" ht="15">
      <c r="D111" s="3"/>
      <c r="E111" s="3"/>
      <c r="F111" s="3"/>
      <c r="G111" s="3"/>
      <c r="H111" s="3"/>
    </row>
    <row r="112" spans="4:8" ht="15">
      <c r="D112" s="3"/>
      <c r="E112" s="3"/>
      <c r="F112" s="3"/>
      <c r="G112" s="3"/>
      <c r="H112" s="3"/>
    </row>
    <row r="113" spans="4:8" ht="15">
      <c r="D113" s="3"/>
      <c r="E113" s="3"/>
      <c r="F113" s="3"/>
      <c r="G113" s="3"/>
      <c r="H113" s="3"/>
    </row>
    <row r="114" spans="4:8" ht="15">
      <c r="D114" s="3"/>
      <c r="E114" s="3"/>
      <c r="F114" s="3"/>
      <c r="G114" s="3"/>
      <c r="H114" s="3"/>
    </row>
    <row r="115" spans="4:8" ht="15">
      <c r="D115" s="3"/>
      <c r="E115" s="3"/>
      <c r="F115" s="3"/>
      <c r="G115" s="3"/>
      <c r="H115" s="3"/>
    </row>
    <row r="116" spans="4:8" ht="15">
      <c r="D116" s="3"/>
      <c r="E116" s="3"/>
      <c r="F116" s="3"/>
      <c r="G116" s="3"/>
      <c r="H116" s="3"/>
    </row>
    <row r="117" spans="4:8" ht="15">
      <c r="D117" s="3"/>
      <c r="E117" s="3"/>
      <c r="F117" s="3"/>
      <c r="G117" s="3"/>
      <c r="H117" s="3"/>
    </row>
    <row r="118" spans="4:8" ht="15">
      <c r="D118" s="3"/>
      <c r="E118" s="3"/>
      <c r="F118" s="3"/>
      <c r="G118" s="3"/>
      <c r="H118" s="3"/>
    </row>
    <row r="119" spans="4:8" ht="15">
      <c r="D119" s="3"/>
      <c r="E119" s="3"/>
      <c r="F119" s="3"/>
      <c r="G119" s="3"/>
      <c r="H119" s="3"/>
    </row>
    <row r="120" spans="4:8" ht="15">
      <c r="D120" s="3"/>
      <c r="E120" s="3"/>
      <c r="F120" s="3"/>
      <c r="G120" s="3"/>
      <c r="H120" s="3"/>
    </row>
    <row r="121" spans="4:8" ht="15">
      <c r="D121" s="3"/>
      <c r="E121" s="3"/>
      <c r="F121" s="3"/>
      <c r="G121" s="3"/>
      <c r="H121" s="3"/>
    </row>
    <row r="122" spans="4:8" ht="15">
      <c r="D122" s="3"/>
      <c r="E122" s="3"/>
      <c r="F122" s="3"/>
      <c r="G122" s="3"/>
      <c r="H122" s="3"/>
    </row>
    <row r="123" spans="4:8" ht="15">
      <c r="D123" s="3"/>
      <c r="E123" s="3"/>
      <c r="F123" s="3"/>
      <c r="G123" s="3"/>
      <c r="H123" s="3"/>
    </row>
    <row r="124" spans="4:8" ht="15">
      <c r="D124" s="3"/>
      <c r="E124" s="3"/>
      <c r="F124" s="3"/>
      <c r="G124" s="3"/>
      <c r="H124" s="3"/>
    </row>
    <row r="125" spans="4:8" ht="15">
      <c r="D125" s="3"/>
      <c r="E125" s="3"/>
      <c r="F125" s="3"/>
      <c r="G125" s="3"/>
      <c r="H125" s="3"/>
    </row>
    <row r="126" spans="4:8" ht="15">
      <c r="D126" s="3"/>
      <c r="E126" s="3"/>
      <c r="F126" s="3"/>
      <c r="G126" s="3"/>
      <c r="H126" s="3"/>
    </row>
    <row r="127" spans="4:8" ht="15">
      <c r="D127" s="3"/>
      <c r="E127" s="3"/>
      <c r="F127" s="3"/>
      <c r="G127" s="3"/>
      <c r="H127" s="3"/>
    </row>
    <row r="128" spans="4:8" ht="15">
      <c r="D128" s="3"/>
      <c r="E128" s="3"/>
      <c r="F128" s="3"/>
      <c r="G128" s="3"/>
      <c r="H128" s="3"/>
    </row>
    <row r="129" spans="4:8" ht="15">
      <c r="D129" s="3"/>
      <c r="E129" s="3"/>
      <c r="F129" s="3"/>
      <c r="G129" s="3"/>
      <c r="H129" s="3"/>
    </row>
    <row r="130" spans="4:8" ht="15">
      <c r="D130" s="3"/>
      <c r="E130" s="3"/>
      <c r="F130" s="3"/>
      <c r="G130" s="3"/>
      <c r="H130" s="3"/>
    </row>
    <row r="131" spans="4:8" ht="15">
      <c r="D131" s="3"/>
      <c r="E131" s="3"/>
      <c r="F131" s="3"/>
      <c r="G131" s="3"/>
      <c r="H131" s="3"/>
    </row>
    <row r="132" spans="4:8" ht="15">
      <c r="D132" s="3"/>
      <c r="E132" s="3"/>
      <c r="F132" s="3"/>
      <c r="G132" s="3"/>
      <c r="H132" s="3"/>
    </row>
    <row r="133" spans="4:8" ht="15">
      <c r="D133" s="3"/>
      <c r="E133" s="3"/>
      <c r="F133" s="3"/>
      <c r="G133" s="3"/>
      <c r="H133" s="3"/>
    </row>
    <row r="134" spans="4:8" ht="15">
      <c r="D134" s="3"/>
      <c r="E134" s="3"/>
      <c r="F134" s="3"/>
      <c r="G134" s="3"/>
      <c r="H134" s="3"/>
    </row>
    <row r="135" spans="4:8" ht="15">
      <c r="D135" s="3"/>
      <c r="E135" s="3"/>
      <c r="F135" s="3"/>
      <c r="G135" s="3"/>
      <c r="H135" s="3"/>
    </row>
    <row r="136" spans="4:8" ht="15">
      <c r="D136" s="3"/>
      <c r="E136" s="3"/>
      <c r="F136" s="3"/>
      <c r="G136" s="3"/>
      <c r="H136" s="3"/>
    </row>
    <row r="137" spans="4:8" ht="15">
      <c r="D137" s="3"/>
      <c r="E137" s="3"/>
      <c r="F137" s="3"/>
      <c r="G137" s="3"/>
      <c r="H137" s="3"/>
    </row>
    <row r="138" spans="4:8" ht="15">
      <c r="D138" s="3"/>
      <c r="E138" s="3"/>
      <c r="F138" s="3"/>
      <c r="G138" s="3"/>
      <c r="H138" s="3"/>
    </row>
    <row r="139" spans="4:8" ht="15">
      <c r="D139" s="3"/>
      <c r="E139" s="3"/>
      <c r="F139" s="3"/>
      <c r="G139" s="3"/>
      <c r="H139" s="3"/>
    </row>
    <row r="140" spans="4:8" ht="15">
      <c r="D140" s="3"/>
      <c r="E140" s="3"/>
      <c r="F140" s="3"/>
      <c r="G140" s="3"/>
      <c r="H140" s="3"/>
    </row>
    <row r="141" spans="4:8" ht="15">
      <c r="D141" s="3"/>
      <c r="E141" s="3"/>
      <c r="F141" s="3"/>
      <c r="G141" s="3"/>
      <c r="H141" s="3"/>
    </row>
    <row r="142" spans="4:8" ht="15">
      <c r="D142" s="3"/>
      <c r="E142" s="3"/>
      <c r="F142" s="3"/>
      <c r="G142" s="3"/>
      <c r="H142" s="3"/>
    </row>
    <row r="143" spans="4:8" ht="15">
      <c r="D143" s="3"/>
      <c r="E143" s="3"/>
      <c r="F143" s="3"/>
      <c r="G143" s="3"/>
      <c r="H143" s="3"/>
    </row>
    <row r="144" spans="4:8" ht="15">
      <c r="D144" s="3"/>
      <c r="E144" s="3"/>
      <c r="F144" s="3"/>
      <c r="G144" s="3"/>
      <c r="H144" s="3"/>
    </row>
    <row r="145" spans="4:8" ht="15">
      <c r="D145" s="3"/>
      <c r="E145" s="3"/>
      <c r="F145" s="3"/>
      <c r="G145" s="3"/>
      <c r="H145" s="3"/>
    </row>
    <row r="146" spans="4:8" ht="15">
      <c r="D146" s="3"/>
      <c r="E146" s="3"/>
      <c r="F146" s="3"/>
      <c r="G146" s="3"/>
      <c r="H146" s="3"/>
    </row>
    <row r="147" spans="4:8" ht="15">
      <c r="D147" s="3"/>
      <c r="E147" s="3"/>
      <c r="F147" s="3"/>
      <c r="G147" s="3"/>
      <c r="H147" s="3"/>
    </row>
    <row r="148" spans="4:8" ht="15">
      <c r="D148" s="3"/>
      <c r="E148" s="3"/>
      <c r="F148" s="3"/>
      <c r="G148" s="3"/>
      <c r="H148" s="3"/>
    </row>
    <row r="149" spans="4:8" ht="15">
      <c r="D149" s="3"/>
      <c r="E149" s="3"/>
      <c r="F149" s="3"/>
      <c r="G149" s="3"/>
      <c r="H149" s="3"/>
    </row>
    <row r="150" spans="4:8" ht="15">
      <c r="D150" s="3"/>
      <c r="E150" s="3"/>
      <c r="F150" s="3"/>
      <c r="G150" s="3"/>
      <c r="H150" s="3"/>
    </row>
    <row r="151" spans="4:8" ht="15">
      <c r="D151" s="3"/>
      <c r="E151" s="3"/>
      <c r="F151" s="3"/>
      <c r="G151" s="3"/>
      <c r="H151" s="3"/>
    </row>
    <row r="152" spans="4:8" ht="15">
      <c r="D152" s="3"/>
      <c r="E152" s="3"/>
      <c r="F152" s="3"/>
      <c r="G152" s="3"/>
      <c r="H152" s="3"/>
    </row>
    <row r="153" spans="4:8" ht="15">
      <c r="D153" s="3"/>
      <c r="E153" s="3"/>
      <c r="F153" s="3"/>
      <c r="G153" s="3"/>
      <c r="H153" s="3"/>
    </row>
    <row r="154" spans="4:8" ht="15">
      <c r="D154" s="3"/>
      <c r="E154" s="3"/>
      <c r="F154" s="3"/>
      <c r="G154" s="3"/>
      <c r="H154" s="3"/>
    </row>
    <row r="155" spans="4:8" ht="15">
      <c r="D155" s="3"/>
      <c r="E155" s="3"/>
      <c r="F155" s="3"/>
      <c r="G155" s="3"/>
      <c r="H155" s="3"/>
    </row>
    <row r="156" spans="4:8" ht="15">
      <c r="D156" s="3"/>
      <c r="E156" s="3"/>
      <c r="F156" s="3"/>
      <c r="G156" s="3"/>
      <c r="H156" s="3"/>
    </row>
    <row r="157" spans="4:8" ht="15">
      <c r="D157" s="3"/>
      <c r="E157" s="3"/>
      <c r="F157" s="3"/>
      <c r="G157" s="3"/>
      <c r="H157" s="3"/>
    </row>
    <row r="158" spans="4:8" ht="15">
      <c r="D158" s="3"/>
      <c r="E158" s="3"/>
      <c r="F158" s="3"/>
      <c r="G158" s="3"/>
      <c r="H158" s="3"/>
    </row>
    <row r="159" spans="4:8" ht="15">
      <c r="D159" s="3"/>
      <c r="E159" s="3"/>
      <c r="F159" s="3"/>
      <c r="G159" s="3"/>
      <c r="H159" s="3"/>
    </row>
    <row r="160" spans="4:8" ht="15">
      <c r="D160" s="3"/>
      <c r="E160" s="3"/>
      <c r="F160" s="3"/>
      <c r="G160" s="3"/>
      <c r="H160" s="3"/>
    </row>
  </sheetData>
  <sheetProtection/>
  <printOptions/>
  <pageMargins left="0.5" right="0.5" top="0.5" bottom="0.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0"/>
  <sheetViews>
    <sheetView zoomScale="87" zoomScaleNormal="87" zoomScalePageLayoutView="0" workbookViewId="0" topLeftCell="A43">
      <selection activeCell="E89" sqref="E89"/>
    </sheetView>
  </sheetViews>
  <sheetFormatPr defaultColWidth="8.88671875" defaultRowHeight="15"/>
  <cols>
    <col min="1" max="1" width="5.6640625" style="1" customWidth="1"/>
    <col min="2" max="2" width="49.6640625" style="1" customWidth="1"/>
    <col min="3" max="3" width="9.6640625" style="1" customWidth="1"/>
    <col min="4" max="4" width="7.6640625" style="1" customWidth="1"/>
    <col min="5" max="5" width="10.10546875" style="1" bestFit="1" customWidth="1"/>
    <col min="6" max="6" width="10.99609375" style="1" bestFit="1" customWidth="1"/>
    <col min="7" max="7" width="14.99609375" style="1" bestFit="1" customWidth="1"/>
    <col min="8" max="8" width="10.10546875" style="1" bestFit="1" customWidth="1"/>
    <col min="9" max="9" width="14.10546875" style="1" bestFit="1" customWidth="1"/>
    <col min="10" max="16384" width="9.6640625" style="1" customWidth="1"/>
  </cols>
  <sheetData>
    <row r="1" ht="15">
      <c r="A1" s="22"/>
    </row>
    <row r="2" ht="15">
      <c r="A2" s="22"/>
    </row>
    <row r="3" ht="15">
      <c r="A3" s="22"/>
    </row>
    <row r="4" ht="15">
      <c r="A4" s="22"/>
    </row>
    <row r="5" ht="15">
      <c r="A5" s="22"/>
    </row>
    <row r="6" ht="15">
      <c r="A6" s="22"/>
    </row>
    <row r="7" ht="15">
      <c r="A7" s="22"/>
    </row>
    <row r="8" ht="15">
      <c r="A8" s="22"/>
    </row>
    <row r="9" ht="15">
      <c r="A9" s="22"/>
    </row>
    <row r="10" ht="15">
      <c r="A10" s="22"/>
    </row>
    <row r="11" ht="15">
      <c r="A11" s="22"/>
    </row>
    <row r="12" ht="15">
      <c r="A12" s="22"/>
    </row>
    <row r="13" ht="15">
      <c r="A13" s="22"/>
    </row>
    <row r="14" ht="15">
      <c r="A14" s="22"/>
    </row>
    <row r="15" spans="1:9" ht="15.75">
      <c r="A15" s="22"/>
      <c r="E15" s="8" t="s">
        <v>29</v>
      </c>
      <c r="F15" s="8"/>
      <c r="G15" s="8" t="s">
        <v>32</v>
      </c>
      <c r="H15" s="8" t="s">
        <v>34</v>
      </c>
      <c r="I15" s="8" t="s">
        <v>36</v>
      </c>
    </row>
    <row r="16" spans="1:9" ht="15.75">
      <c r="A16" s="22"/>
      <c r="D16" s="1" t="s">
        <v>28</v>
      </c>
      <c r="E16" s="8" t="s">
        <v>30</v>
      </c>
      <c r="F16" s="8" t="s">
        <v>31</v>
      </c>
      <c r="G16" s="8" t="s">
        <v>33</v>
      </c>
      <c r="H16" s="8" t="s">
        <v>35</v>
      </c>
      <c r="I16" s="8" t="s">
        <v>37</v>
      </c>
    </row>
    <row r="17" ht="15">
      <c r="A17" s="22"/>
    </row>
    <row r="18" spans="1:9" ht="15">
      <c r="A18" s="22">
        <f>'Alloc Amt'!A18</f>
        <v>1</v>
      </c>
      <c r="B18" s="22" t="str">
        <f>'Alloc Amt'!B18</f>
        <v>Mcf</v>
      </c>
      <c r="C18" s="22" t="str">
        <f>'Alloc Amt'!C18</f>
        <v>External</v>
      </c>
      <c r="D18" s="22">
        <f>'Alloc Amt'!D18</f>
        <v>1</v>
      </c>
      <c r="E18" s="23">
        <f aca="true" t="shared" si="0" ref="E18:E49">SUM(F18:I18)</f>
        <v>1</v>
      </c>
      <c r="F18" s="23">
        <f>'Alloc Amt'!F18/'Alloc Amt'!$E18</f>
        <v>0.2277599276416645</v>
      </c>
      <c r="G18" s="23">
        <f>'Alloc Amt'!G18/'Alloc Amt'!$E18</f>
        <v>0.1271450363451847</v>
      </c>
      <c r="H18" s="23">
        <f>'Alloc Amt'!H18/'Alloc Amt'!$E18</f>
        <v>0.011132587886945607</v>
      </c>
      <c r="I18" s="23">
        <f>'Alloc Amt'!I18/'Alloc Amt'!$E18</f>
        <v>0.6339624481262052</v>
      </c>
    </row>
    <row r="19" spans="1:9" ht="15">
      <c r="A19" s="22">
        <f>'Alloc Amt'!A19</f>
        <v>1.5</v>
      </c>
      <c r="B19" s="22" t="str">
        <f>'Alloc Amt'!B19</f>
        <v>Winter Volumes</v>
      </c>
      <c r="C19" s="22" t="str">
        <f>'Alloc Amt'!C19</f>
        <v>External</v>
      </c>
      <c r="D19" s="22">
        <f>'Alloc Amt'!D19</f>
        <v>2</v>
      </c>
      <c r="E19" s="23">
        <f t="shared" si="0"/>
        <v>1</v>
      </c>
      <c r="F19" s="23">
        <f>'Alloc Amt'!F19/'Alloc Amt'!$E19</f>
        <v>0.31324230820430493</v>
      </c>
      <c r="G19" s="23">
        <f>'Alloc Amt'!G19/'Alloc Amt'!$E19</f>
        <v>0.1557691007094066</v>
      </c>
      <c r="H19" s="23">
        <f>'Alloc Amt'!H19/'Alloc Amt'!$E19</f>
        <v>0.015010334530549674</v>
      </c>
      <c r="I19" s="23">
        <f>'Alloc Amt'!I19/'Alloc Amt'!$E19</f>
        <v>0.5159782565557388</v>
      </c>
    </row>
    <row r="20" spans="1:9" ht="15">
      <c r="A20" s="22">
        <f>'Alloc Amt'!A20</f>
        <v>2</v>
      </c>
      <c r="B20" s="22" t="str">
        <f>'Alloc Amt'!B20</f>
        <v>Customers</v>
      </c>
      <c r="C20" s="22" t="str">
        <f>'Alloc Amt'!C20</f>
        <v>External</v>
      </c>
      <c r="D20" s="22">
        <f>'Alloc Amt'!D20</f>
        <v>3</v>
      </c>
      <c r="E20" s="23">
        <f t="shared" si="0"/>
        <v>1</v>
      </c>
      <c r="F20" s="23">
        <f>'Alloc Amt'!F20/'Alloc Amt'!$E20</f>
        <v>0.8885461726356548</v>
      </c>
      <c r="G20" s="23">
        <f>'Alloc Amt'!G20/'Alloc Amt'!$E20</f>
        <v>0.10905304949307022</v>
      </c>
      <c r="H20" s="23">
        <f>'Alloc Amt'!H20/'Alloc Amt'!$E20</f>
        <v>0.0011527582724599023</v>
      </c>
      <c r="I20" s="23">
        <f>'Alloc Amt'!I20/'Alloc Amt'!$E20</f>
        <v>0.0012480195988151031</v>
      </c>
    </row>
    <row r="21" spans="1:9" ht="15">
      <c r="A21" s="22">
        <f>'Alloc Amt'!A21</f>
        <v>3</v>
      </c>
      <c r="B21" s="22" t="str">
        <f>'Alloc Amt'!B21</f>
        <v>Peak Day</v>
      </c>
      <c r="C21" s="22" t="str">
        <f>'Alloc Amt'!C21</f>
        <v>External</v>
      </c>
      <c r="D21" s="22">
        <f>'Alloc Amt'!D21</f>
        <v>4</v>
      </c>
      <c r="E21" s="23">
        <f t="shared" si="0"/>
        <v>1</v>
      </c>
      <c r="F21" s="23">
        <f>'Alloc Amt'!F21/'Alloc Amt'!$E21</f>
        <v>0.4278864735715373</v>
      </c>
      <c r="G21" s="23">
        <f>'Alloc Amt'!G21/'Alloc Amt'!$E21</f>
        <v>0.19232000708646493</v>
      </c>
      <c r="H21" s="23">
        <f>'Alloc Amt'!H21/'Alloc Amt'!$E21</f>
        <v>0.01731288053865351</v>
      </c>
      <c r="I21" s="23">
        <f>'Alloc Amt'!I21/'Alloc Amt'!$E21</f>
        <v>0.3624806388033443</v>
      </c>
    </row>
    <row r="22" spans="1:9" ht="15">
      <c r="A22" s="22">
        <f>'Alloc Amt'!A22</f>
        <v>4</v>
      </c>
      <c r="B22" s="22" t="str">
        <f>'Alloc Amt'!B22</f>
        <v>Meter Investment</v>
      </c>
      <c r="C22" s="22" t="str">
        <f>'Alloc Amt'!C22</f>
        <v>External</v>
      </c>
      <c r="D22" s="22">
        <f>'Alloc Amt'!D22</f>
        <v>5</v>
      </c>
      <c r="E22" s="23">
        <f t="shared" si="0"/>
        <v>1</v>
      </c>
      <c r="F22" s="23">
        <f>'Alloc Amt'!F22/'Alloc Amt'!$E22</f>
        <v>0.6007851023900578</v>
      </c>
      <c r="G22" s="23">
        <f>'Alloc Amt'!G22/'Alloc Amt'!$E22</f>
        <v>0.33637187854203016</v>
      </c>
      <c r="H22" s="23">
        <f>'Alloc Amt'!H22/'Alloc Amt'!$E22</f>
        <v>0.03119435637636842</v>
      </c>
      <c r="I22" s="23">
        <f>'Alloc Amt'!I22/'Alloc Amt'!$E22</f>
        <v>0.031648662691543594</v>
      </c>
    </row>
    <row r="23" spans="1:9" ht="15">
      <c r="A23" s="22">
        <f>'Alloc Amt'!A23</f>
        <v>4.2</v>
      </c>
      <c r="B23" s="22" t="str">
        <f>'Alloc Amt'!B23</f>
        <v>Direct to Residential</v>
      </c>
      <c r="C23" s="22" t="str">
        <f>'Alloc Amt'!C23</f>
        <v>External</v>
      </c>
      <c r="D23" s="22">
        <f>'Alloc Amt'!D23</f>
        <v>6</v>
      </c>
      <c r="E23" s="23">
        <f t="shared" si="0"/>
        <v>1</v>
      </c>
      <c r="F23" s="23">
        <f>'Alloc Amt'!F23/'Alloc Amt'!$E23</f>
        <v>1</v>
      </c>
      <c r="G23" s="23">
        <f>'Alloc Amt'!G23/'Alloc Amt'!$E23</f>
        <v>0</v>
      </c>
      <c r="H23" s="23">
        <f>'Alloc Amt'!H23/'Alloc Amt'!$E23</f>
        <v>0</v>
      </c>
      <c r="I23" s="23">
        <f>'Alloc Amt'!I23/'Alloc Amt'!$E23</f>
        <v>0</v>
      </c>
    </row>
    <row r="24" spans="1:9" ht="15">
      <c r="A24" s="22">
        <f>'Alloc Amt'!A24</f>
        <v>4.4</v>
      </c>
      <c r="B24" s="22" t="str">
        <f>'Alloc Amt'!B24</f>
        <v>Direct to Commercial &amp; Public Authority</v>
      </c>
      <c r="C24" s="22" t="str">
        <f>'Alloc Amt'!C24</f>
        <v>External</v>
      </c>
      <c r="D24" s="22">
        <f>'Alloc Amt'!D24</f>
        <v>7</v>
      </c>
      <c r="E24" s="23">
        <f t="shared" si="0"/>
        <v>1</v>
      </c>
      <c r="F24" s="23">
        <f>'Alloc Amt'!F24/'Alloc Amt'!$E24</f>
        <v>0</v>
      </c>
      <c r="G24" s="23">
        <f>'Alloc Amt'!G24/'Alloc Amt'!$E24</f>
        <v>1</v>
      </c>
      <c r="H24" s="23">
        <f>'Alloc Amt'!H24/'Alloc Amt'!$E24</f>
        <v>0</v>
      </c>
      <c r="I24" s="23">
        <f>'Alloc Amt'!I24/'Alloc Amt'!$E24</f>
        <v>0</v>
      </c>
    </row>
    <row r="25" spans="1:9" ht="15">
      <c r="A25" s="22">
        <f>'Alloc Amt'!A25</f>
        <v>4.6</v>
      </c>
      <c r="B25" s="22" t="str">
        <f>'Alloc Amt'!B25</f>
        <v>Direct to Industrial</v>
      </c>
      <c r="C25" s="22" t="str">
        <f>'Alloc Amt'!C25</f>
        <v>External</v>
      </c>
      <c r="D25" s="22">
        <f>'Alloc Amt'!D25</f>
        <v>8</v>
      </c>
      <c r="E25" s="23">
        <f t="shared" si="0"/>
        <v>1</v>
      </c>
      <c r="F25" s="23">
        <f>'Alloc Amt'!F25/'Alloc Amt'!$E25</f>
        <v>0</v>
      </c>
      <c r="G25" s="23">
        <f>'Alloc Amt'!G25/'Alloc Amt'!$E25</f>
        <v>0</v>
      </c>
      <c r="H25" s="23">
        <f>'Alloc Amt'!H25/'Alloc Amt'!$E25</f>
        <v>1</v>
      </c>
      <c r="I25" s="23">
        <f>'Alloc Amt'!I25/'Alloc Amt'!$E25</f>
        <v>0</v>
      </c>
    </row>
    <row r="26" spans="1:9" ht="15">
      <c r="A26" s="22">
        <f>'Alloc Amt'!A26</f>
        <v>5</v>
      </c>
      <c r="B26" s="22" t="str">
        <f>'Alloc Amt'!B26</f>
        <v>Direct to I &amp; T</v>
      </c>
      <c r="C26" s="22" t="str">
        <f>'Alloc Amt'!C26</f>
        <v>External</v>
      </c>
      <c r="D26" s="22">
        <f>'Alloc Amt'!D26</f>
        <v>9</v>
      </c>
      <c r="E26" s="23">
        <f t="shared" si="0"/>
        <v>1</v>
      </c>
      <c r="F26" s="23">
        <f>'Alloc Amt'!F26/'Alloc Amt'!$E26</f>
        <v>0</v>
      </c>
      <c r="G26" s="23">
        <f>'Alloc Amt'!G26/'Alloc Amt'!$E26</f>
        <v>0</v>
      </c>
      <c r="H26" s="23">
        <f>'Alloc Amt'!H26/'Alloc Amt'!$E26</f>
        <v>0</v>
      </c>
      <c r="I26" s="23">
        <f>'Alloc Amt'!I26/'Alloc Amt'!$E26</f>
        <v>1</v>
      </c>
    </row>
    <row r="27" spans="1:9" ht="15">
      <c r="A27" s="22">
        <f>'Alloc Amt'!A27</f>
        <v>6</v>
      </c>
      <c r="B27" s="22" t="str">
        <f>'Alloc Amt'!B27</f>
        <v>P, S, T &amp; D Plant</v>
      </c>
      <c r="C27" s="22" t="str">
        <f>'Alloc Amt'!C27</f>
        <v>Internal</v>
      </c>
      <c r="D27" s="22">
        <f>'Alloc Amt'!D27</f>
        <v>10</v>
      </c>
      <c r="E27" s="23">
        <f t="shared" si="0"/>
        <v>0.9999999999999999</v>
      </c>
      <c r="F27" s="23">
        <f ca="1">'Alloc Amt'!F27/'Alloc Amt'!$E27</f>
        <v>0.7422814288004053</v>
      </c>
      <c r="G27" s="23">
        <f ca="1">'Alloc Amt'!G27/'Alloc Amt'!$E27</f>
        <v>0.16516579211355978</v>
      </c>
      <c r="H27" s="23">
        <f ca="1">'Alloc Amt'!H27/'Alloc Amt'!$E27</f>
        <v>0.009642613531945555</v>
      </c>
      <c r="I27" s="23">
        <f ca="1">'Alloc Amt'!I27/'Alloc Amt'!$E27</f>
        <v>0.08291016555408937</v>
      </c>
    </row>
    <row r="28" spans="1:9" ht="15">
      <c r="A28" s="22">
        <f>'Alloc Amt'!A28</f>
        <v>6.2</v>
      </c>
      <c r="B28" s="22" t="str">
        <f>'Alloc Amt'!B28</f>
        <v>P, S, T &amp; D Plant - Customer</v>
      </c>
      <c r="C28" s="22" t="str">
        <f>'Alloc Amt'!C28</f>
        <v>Internal</v>
      </c>
      <c r="D28" s="22">
        <f>'Alloc Amt'!D28</f>
        <v>11</v>
      </c>
      <c r="E28" s="23" t="e">
        <f t="shared" si="0"/>
        <v>#DIV/0!</v>
      </c>
      <c r="F28" s="23" t="e">
        <f>'Alloc Amt'!F28/'Alloc Amt'!$E28</f>
        <v>#DIV/0!</v>
      </c>
      <c r="G28" s="23" t="e">
        <f>'Alloc Amt'!G28/'Alloc Amt'!$E28</f>
        <v>#DIV/0!</v>
      </c>
      <c r="H28" s="23" t="e">
        <f>'Alloc Amt'!H28/'Alloc Amt'!$E28</f>
        <v>#DIV/0!</v>
      </c>
      <c r="I28" s="23" t="e">
        <f>'Alloc Amt'!I28/'Alloc Amt'!$E28</f>
        <v>#DIV/0!</v>
      </c>
    </row>
    <row r="29" spans="1:9" ht="15">
      <c r="A29" s="22">
        <f>'Alloc Amt'!A29</f>
        <v>6.4</v>
      </c>
      <c r="B29" s="22" t="str">
        <f>'Alloc Amt'!B29</f>
        <v>Acct. 378 - General (Net Plant)</v>
      </c>
      <c r="C29" s="22" t="str">
        <f>'Alloc Amt'!C29</f>
        <v>Internal</v>
      </c>
      <c r="D29" s="22">
        <f>'Alloc Amt'!D29</f>
        <v>12</v>
      </c>
      <c r="E29" s="23">
        <f t="shared" si="0"/>
        <v>1</v>
      </c>
      <c r="F29" s="23">
        <f ca="1">'Alloc Amt'!F29/'Alloc Amt'!$E29</f>
        <v>0.8220259078526523</v>
      </c>
      <c r="G29" s="23">
        <f ca="1">'Alloc Amt'!G29/'Alloc Amt'!$E29</f>
        <v>0.12107697969152395</v>
      </c>
      <c r="H29" s="23">
        <f ca="1">'Alloc Amt'!H29/'Alloc Amt'!$E29</f>
        <v>0.0034863151567647993</v>
      </c>
      <c r="I29" s="23">
        <f ca="1">'Alloc Amt'!I29/'Alloc Amt'!$E29</f>
        <v>0.05341079729905898</v>
      </c>
    </row>
    <row r="30" spans="1:9" ht="15">
      <c r="A30" s="22">
        <f>'Alloc Amt'!A30</f>
        <v>6.6</v>
      </c>
      <c r="B30" s="22" t="str">
        <f>'Alloc Amt'!B30</f>
        <v>Acct. 378 - City Gate (Net Plant)</v>
      </c>
      <c r="C30" s="22" t="str">
        <f>'Alloc Amt'!C30</f>
        <v>Internal</v>
      </c>
      <c r="D30" s="22">
        <f>'Alloc Amt'!D30</f>
        <v>13</v>
      </c>
      <c r="E30" s="23">
        <f t="shared" si="0"/>
        <v>0.9999999999999999</v>
      </c>
      <c r="F30" s="23">
        <f ca="1">'Alloc Amt'!F30/'Alloc Amt'!$E30</f>
        <v>0.8220259078526522</v>
      </c>
      <c r="G30" s="23">
        <f ca="1">'Alloc Amt'!G30/'Alloc Amt'!$E30</f>
        <v>0.12107697969152395</v>
      </c>
      <c r="H30" s="23">
        <f ca="1">'Alloc Amt'!H30/'Alloc Amt'!$E30</f>
        <v>0.0034863151567647993</v>
      </c>
      <c r="I30" s="23">
        <f ca="1">'Alloc Amt'!I30/'Alloc Amt'!$E30</f>
        <v>0.053410797299058975</v>
      </c>
    </row>
    <row r="31" spans="1:9" ht="15">
      <c r="A31" s="22">
        <f>'Alloc Amt'!A31</f>
        <v>7</v>
      </c>
      <c r="B31" s="22" t="str">
        <f>'Alloc Amt'!B31</f>
        <v>Allocated O&amp;M Expenses</v>
      </c>
      <c r="C31" s="22" t="str">
        <f>'Alloc Amt'!C31</f>
        <v>Internal</v>
      </c>
      <c r="D31" s="22">
        <f>'Alloc Amt'!D31</f>
        <v>14</v>
      </c>
      <c r="E31" s="23">
        <f t="shared" si="0"/>
        <v>1.0000000000000002</v>
      </c>
      <c r="F31" s="23">
        <f ca="1">'Alloc Amt'!F31/'Alloc Amt'!$E31</f>
        <v>0.6491936167168845</v>
      </c>
      <c r="G31" s="23">
        <f ca="1">'Alloc Amt'!G31/'Alloc Amt'!$E31</f>
        <v>0.3012914888122247</v>
      </c>
      <c r="H31" s="23">
        <f ca="1">'Alloc Amt'!H31/'Alloc Amt'!$E31</f>
        <v>0.025144612164121526</v>
      </c>
      <c r="I31" s="23">
        <f ca="1">'Alloc Amt'!I31/'Alloc Amt'!$E31</f>
        <v>0.024370282306769433</v>
      </c>
    </row>
    <row r="32" spans="1:9" ht="15">
      <c r="A32" s="22">
        <f>'Alloc Amt'!A32</f>
        <v>7.2</v>
      </c>
      <c r="B32" s="22" t="str">
        <f>'Alloc Amt'!B32</f>
        <v>Allocated O&amp;M Expenses - Cust</v>
      </c>
      <c r="C32" s="22" t="str">
        <f>'Alloc Amt'!C32</f>
        <v>Internal</v>
      </c>
      <c r="D32" s="22">
        <f>'Alloc Amt'!D32</f>
        <v>15</v>
      </c>
      <c r="E32" s="23" t="e">
        <f t="shared" si="0"/>
        <v>#DIV/0!</v>
      </c>
      <c r="F32" s="23" t="e">
        <f>'Alloc Amt'!F32/'Alloc Amt'!$E32</f>
        <v>#DIV/0!</v>
      </c>
      <c r="G32" s="23" t="e">
        <f>'Alloc Amt'!G32/'Alloc Amt'!$E32</f>
        <v>#DIV/0!</v>
      </c>
      <c r="H32" s="23" t="e">
        <f>'Alloc Amt'!H32/'Alloc Amt'!$E32</f>
        <v>#DIV/0!</v>
      </c>
      <c r="I32" s="23" t="e">
        <f>'Alloc Amt'!I32/'Alloc Amt'!$E32</f>
        <v>#DIV/0!</v>
      </c>
    </row>
    <row r="33" spans="1:9" ht="15">
      <c r="A33" s="22">
        <f>'Alloc Amt'!A33</f>
        <v>7.4</v>
      </c>
      <c r="B33" s="22" t="str">
        <f>'Alloc Amt'!B33</f>
        <v>Allocated O&amp;M Expenses - Demand</v>
      </c>
      <c r="C33" s="22" t="str">
        <f>'Alloc Amt'!C33</f>
        <v>Internal</v>
      </c>
      <c r="D33" s="22">
        <f>'Alloc Amt'!D33</f>
        <v>16</v>
      </c>
      <c r="E33" s="23" t="e">
        <f t="shared" si="0"/>
        <v>#DIV/0!</v>
      </c>
      <c r="F33" s="23" t="e">
        <f>'Alloc Amt'!F33/'Alloc Amt'!$E33</f>
        <v>#DIV/0!</v>
      </c>
      <c r="G33" s="23" t="e">
        <f>'Alloc Amt'!G33/'Alloc Amt'!$E33</f>
        <v>#DIV/0!</v>
      </c>
      <c r="H33" s="23" t="e">
        <f>'Alloc Amt'!H33/'Alloc Amt'!$E33</f>
        <v>#DIV/0!</v>
      </c>
      <c r="I33" s="23" t="e">
        <f>'Alloc Amt'!I33/'Alloc Amt'!$E33</f>
        <v>#DIV/0!</v>
      </c>
    </row>
    <row r="34" spans="1:9" ht="15">
      <c r="A34" s="22">
        <f>'Alloc Amt'!A34</f>
        <v>7.6</v>
      </c>
      <c r="B34" s="22" t="str">
        <f>'Alloc Amt'!B34</f>
        <v>Allocated O&amp;M Expenses - Comm</v>
      </c>
      <c r="C34" s="22" t="str">
        <f>'Alloc Amt'!C34</f>
        <v>Internal</v>
      </c>
      <c r="D34" s="22">
        <f>'Alloc Amt'!D34</f>
        <v>17</v>
      </c>
      <c r="E34" s="23" t="e">
        <f t="shared" si="0"/>
        <v>#DIV/0!</v>
      </c>
      <c r="F34" s="23" t="e">
        <f>'Alloc Amt'!F34/'Alloc Amt'!$E34</f>
        <v>#DIV/0!</v>
      </c>
      <c r="G34" s="23" t="e">
        <f>'Alloc Amt'!G34/'Alloc Amt'!$E34</f>
        <v>#DIV/0!</v>
      </c>
      <c r="H34" s="23" t="e">
        <f>'Alloc Amt'!H34/'Alloc Amt'!$E34</f>
        <v>#DIV/0!</v>
      </c>
      <c r="I34" s="23" t="e">
        <f>'Alloc Amt'!I34/'Alloc Amt'!$E34</f>
        <v>#DIV/0!</v>
      </c>
    </row>
    <row r="35" spans="1:9" ht="15">
      <c r="A35" s="22">
        <f>'Alloc Amt'!A35</f>
        <v>8</v>
      </c>
      <c r="B35" s="22" t="str">
        <f>'Alloc Amt'!B35</f>
        <v>Customer Deposit Balances</v>
      </c>
      <c r="C35" s="22" t="str">
        <f>'Alloc Amt'!C35</f>
        <v>External</v>
      </c>
      <c r="D35" s="22">
        <f>'Alloc Amt'!D35</f>
        <v>18</v>
      </c>
      <c r="E35" s="23">
        <f t="shared" si="0"/>
        <v>1</v>
      </c>
      <c r="F35" s="23">
        <f>'Alloc Amt'!F35/'Alloc Amt'!$E35</f>
        <v>0.7088879321002077</v>
      </c>
      <c r="G35" s="23">
        <f>'Alloc Amt'!G35/'Alloc Amt'!$E35</f>
        <v>0.29111206789979227</v>
      </c>
      <c r="H35" s="23">
        <f>'Alloc Amt'!H35/'Alloc Amt'!$E35</f>
        <v>0</v>
      </c>
      <c r="I35" s="23">
        <f>'Alloc Amt'!I35/'Alloc Amt'!$E35</f>
        <v>0</v>
      </c>
    </row>
    <row r="36" spans="1:9" ht="15">
      <c r="A36" s="22">
        <f>'Alloc Amt'!A36</f>
        <v>9</v>
      </c>
      <c r="B36" s="22" t="str">
        <f>'Alloc Amt'!B36</f>
        <v>Allocated Net Plant</v>
      </c>
      <c r="C36" s="22" t="str">
        <f>'Alloc Amt'!C36</f>
        <v>Internal</v>
      </c>
      <c r="D36" s="22">
        <f>'Alloc Amt'!D36</f>
        <v>19</v>
      </c>
      <c r="E36" s="23">
        <f t="shared" si="0"/>
        <v>1</v>
      </c>
      <c r="F36" s="23">
        <f ca="1">'Alloc Amt'!F36/'Alloc Amt'!$E36</f>
        <v>0.7473453147147452</v>
      </c>
      <c r="G36" s="23">
        <f ca="1">'Alloc Amt'!G36/'Alloc Amt'!$E36</f>
        <v>0.1703783347544953</v>
      </c>
      <c r="H36" s="23">
        <f ca="1">'Alloc Amt'!H36/'Alloc Amt'!$E36</f>
        <v>0.010167426375217841</v>
      </c>
      <c r="I36" s="23">
        <f ca="1">'Alloc Amt'!I36/'Alloc Amt'!$E36</f>
        <v>0.07210892415554172</v>
      </c>
    </row>
    <row r="37" spans="1:9" ht="15">
      <c r="A37" s="22">
        <f>'Alloc Amt'!A37</f>
        <v>9.2</v>
      </c>
      <c r="B37" s="22" t="str">
        <f>'Alloc Amt'!B37</f>
        <v>Allocated Net Plant - Cust</v>
      </c>
      <c r="C37" s="22" t="str">
        <f>'Alloc Amt'!C37</f>
        <v>Internal</v>
      </c>
      <c r="D37" s="22">
        <f>'Alloc Amt'!D37</f>
        <v>20</v>
      </c>
      <c r="E37" s="23" t="e">
        <f t="shared" si="0"/>
        <v>#DIV/0!</v>
      </c>
      <c r="F37" s="23" t="e">
        <f>'Alloc Amt'!F37/'Alloc Amt'!$E37</f>
        <v>#DIV/0!</v>
      </c>
      <c r="G37" s="23" t="e">
        <f>'Alloc Amt'!G37/'Alloc Amt'!$E37</f>
        <v>#DIV/0!</v>
      </c>
      <c r="H37" s="23" t="e">
        <f>'Alloc Amt'!H37/'Alloc Amt'!$E37</f>
        <v>#DIV/0!</v>
      </c>
      <c r="I37" s="23" t="e">
        <f>'Alloc Amt'!I37/'Alloc Amt'!$E37</f>
        <v>#DIV/0!</v>
      </c>
    </row>
    <row r="38" spans="1:9" ht="15">
      <c r="A38" s="22">
        <f>'Alloc Amt'!A38</f>
        <v>9.4</v>
      </c>
      <c r="B38" s="22" t="str">
        <f>'Alloc Amt'!B38</f>
        <v>Allocated Net Plant - Demand</v>
      </c>
      <c r="C38" s="22" t="str">
        <f>'Alloc Amt'!C38</f>
        <v>Internal</v>
      </c>
      <c r="D38" s="22">
        <f>'Alloc Amt'!D38</f>
        <v>21</v>
      </c>
      <c r="E38" s="23" t="e">
        <f t="shared" si="0"/>
        <v>#DIV/0!</v>
      </c>
      <c r="F38" s="23" t="e">
        <f>'Alloc Amt'!F38/'Alloc Amt'!$E38</f>
        <v>#DIV/0!</v>
      </c>
      <c r="G38" s="23" t="e">
        <f>'Alloc Amt'!G38/'Alloc Amt'!$E38</f>
        <v>#DIV/0!</v>
      </c>
      <c r="H38" s="23" t="e">
        <f>'Alloc Amt'!H38/'Alloc Amt'!$E38</f>
        <v>#DIV/0!</v>
      </c>
      <c r="I38" s="23" t="e">
        <f>'Alloc Amt'!I38/'Alloc Amt'!$E38</f>
        <v>#DIV/0!</v>
      </c>
    </row>
    <row r="39" spans="1:9" ht="15">
      <c r="A39" s="22">
        <f>'Alloc Amt'!A39</f>
        <v>9.6</v>
      </c>
      <c r="B39" s="22" t="str">
        <f>'Alloc Amt'!B39</f>
        <v>Allocated Net Plant - Comm</v>
      </c>
      <c r="C39" s="22" t="str">
        <f>'Alloc Amt'!C39</f>
        <v>Internal</v>
      </c>
      <c r="D39" s="22">
        <f>'Alloc Amt'!D39</f>
        <v>22</v>
      </c>
      <c r="E39" s="23" t="e">
        <f t="shared" si="0"/>
        <v>#DIV/0!</v>
      </c>
      <c r="F39" s="23" t="e">
        <f>'Alloc Amt'!F39/'Alloc Amt'!$E39</f>
        <v>#DIV/0!</v>
      </c>
      <c r="G39" s="23" t="e">
        <f>'Alloc Amt'!G39/'Alloc Amt'!$E39</f>
        <v>#DIV/0!</v>
      </c>
      <c r="H39" s="23" t="e">
        <f>'Alloc Amt'!H39/'Alloc Amt'!$E39</f>
        <v>#DIV/0!</v>
      </c>
      <c r="I39" s="23" t="e">
        <f>'Alloc Amt'!I39/'Alloc Amt'!$E39</f>
        <v>#DIV/0!</v>
      </c>
    </row>
    <row r="40" spans="1:9" ht="15">
      <c r="A40" s="22">
        <f>'Alloc Amt'!A40</f>
        <v>10</v>
      </c>
      <c r="B40" s="22" t="str">
        <f>'Alloc Amt'!B40</f>
        <v>Composite of Accts. 871-879 &amp; 886-894</v>
      </c>
      <c r="C40" s="22" t="str">
        <f>'Alloc Amt'!C40</f>
        <v>Internal</v>
      </c>
      <c r="D40" s="22">
        <f>'Alloc Amt'!D40</f>
        <v>23</v>
      </c>
      <c r="E40" s="23">
        <f t="shared" si="0"/>
        <v>1</v>
      </c>
      <c r="F40" s="23">
        <f ca="1">'Alloc Amt'!F40/'Alloc Amt'!$E40</f>
        <v>0.7863672550835417</v>
      </c>
      <c r="G40" s="23">
        <f ca="1">'Alloc Amt'!G40/'Alloc Amt'!$E40</f>
        <v>0.16005199449730845</v>
      </c>
      <c r="H40" s="23">
        <f ca="1">'Alloc Amt'!H40/'Alloc Amt'!$E40</f>
        <v>0.0084233392096033</v>
      </c>
      <c r="I40" s="23">
        <f ca="1">'Alloc Amt'!I40/'Alloc Amt'!$E40</f>
        <v>0.045157411209546694</v>
      </c>
    </row>
    <row r="41" spans="1:9" ht="15">
      <c r="A41" s="22">
        <f>'Alloc Amt'!A41</f>
        <v>10.2</v>
      </c>
      <c r="B41" s="22" t="str">
        <f>'Alloc Amt'!B41</f>
        <v>Composite of Accts. 871-879 &amp; 886-893 - Cust</v>
      </c>
      <c r="C41" s="22" t="str">
        <f>'Alloc Amt'!C41</f>
        <v>Internal</v>
      </c>
      <c r="D41" s="22">
        <f>'Alloc Amt'!D41</f>
        <v>24</v>
      </c>
      <c r="E41" s="23" t="e">
        <f t="shared" si="0"/>
        <v>#DIV/0!</v>
      </c>
      <c r="F41" s="23" t="e">
        <f>'Alloc Amt'!F41/'Alloc Amt'!$E41</f>
        <v>#DIV/0!</v>
      </c>
      <c r="G41" s="23" t="e">
        <f>'Alloc Amt'!G41/'Alloc Amt'!$E41</f>
        <v>#DIV/0!</v>
      </c>
      <c r="H41" s="23" t="e">
        <f>'Alloc Amt'!H41/'Alloc Amt'!$E41</f>
        <v>#DIV/0!</v>
      </c>
      <c r="I41" s="23" t="e">
        <f>'Alloc Amt'!I41/'Alloc Amt'!$E41</f>
        <v>#DIV/0!</v>
      </c>
    </row>
    <row r="42" spans="1:9" ht="15">
      <c r="A42" s="22">
        <f>'Alloc Amt'!A42</f>
        <v>10.4</v>
      </c>
      <c r="B42" s="22" t="str">
        <f>'Alloc Amt'!B42</f>
        <v>Composite of Accts. 871-879 &amp; 886-893 - Demand</v>
      </c>
      <c r="C42" s="22" t="str">
        <f>'Alloc Amt'!C42</f>
        <v>Internal</v>
      </c>
      <c r="D42" s="22">
        <f>'Alloc Amt'!D42</f>
        <v>25</v>
      </c>
      <c r="E42" s="23" t="e">
        <f t="shared" si="0"/>
        <v>#DIV/0!</v>
      </c>
      <c r="F42" s="23" t="e">
        <f>'Alloc Amt'!F42/'Alloc Amt'!$E42</f>
        <v>#DIV/0!</v>
      </c>
      <c r="G42" s="23" t="e">
        <f>'Alloc Amt'!G42/'Alloc Amt'!$E42</f>
        <v>#DIV/0!</v>
      </c>
      <c r="H42" s="23" t="e">
        <f>'Alloc Amt'!H42/'Alloc Amt'!$E42</f>
        <v>#DIV/0!</v>
      </c>
      <c r="I42" s="23" t="e">
        <f>'Alloc Amt'!I42/'Alloc Amt'!$E42</f>
        <v>#DIV/0!</v>
      </c>
    </row>
    <row r="43" spans="1:9" ht="15">
      <c r="A43" s="22">
        <f>'Alloc Amt'!A43</f>
        <v>10.6</v>
      </c>
      <c r="B43" s="22" t="str">
        <f>'Alloc Amt'!B43</f>
        <v>Composite of Accts. 871-879 &amp; 886-893 - Comm</v>
      </c>
      <c r="C43" s="22" t="str">
        <f>'Alloc Amt'!C43</f>
        <v>Internal</v>
      </c>
      <c r="D43" s="22">
        <f>'Alloc Amt'!D43</f>
        <v>26</v>
      </c>
      <c r="E43" s="23" t="e">
        <f t="shared" si="0"/>
        <v>#DIV/0!</v>
      </c>
      <c r="F43" s="23" t="e">
        <f>'Alloc Amt'!F43/'Alloc Amt'!$E43</f>
        <v>#DIV/0!</v>
      </c>
      <c r="G43" s="23" t="e">
        <f>'Alloc Amt'!G43/'Alloc Amt'!$E43</f>
        <v>#DIV/0!</v>
      </c>
      <c r="H43" s="23" t="e">
        <f>'Alloc Amt'!H43/'Alloc Amt'!$E43</f>
        <v>#DIV/0!</v>
      </c>
      <c r="I43" s="23" t="e">
        <f>'Alloc Amt'!I43/'Alloc Amt'!$E43</f>
        <v>#DIV/0!</v>
      </c>
    </row>
    <row r="44" spans="1:9" ht="15">
      <c r="A44" s="22">
        <f>'Alloc Amt'!A44</f>
        <v>11</v>
      </c>
      <c r="B44" s="22" t="str">
        <f>'Alloc Amt'!B44</f>
        <v>Composite of Accts. 376 &amp; 380</v>
      </c>
      <c r="C44" s="22" t="str">
        <f>'Alloc Amt'!C44</f>
        <v>Internal</v>
      </c>
      <c r="D44" s="22">
        <f>'Alloc Amt'!D44</f>
        <v>27</v>
      </c>
      <c r="E44" s="23">
        <f t="shared" si="0"/>
        <v>1</v>
      </c>
      <c r="F44" s="23">
        <f ca="1">'Alloc Amt'!F44/'Alloc Amt'!$E44</f>
        <v>0.8425118649802625</v>
      </c>
      <c r="G44" s="23">
        <f ca="1">'Alloc Amt'!G44/'Alloc Amt'!$E44</f>
        <v>0.11737402211379282</v>
      </c>
      <c r="H44" s="23">
        <f ca="1">'Alloc Amt'!H44/'Alloc Amt'!$E44</f>
        <v>0.0027676597749400843</v>
      </c>
      <c r="I44" s="23">
        <f ca="1">'Alloc Amt'!I44/'Alloc Amt'!$E44</f>
        <v>0.037346453131004605</v>
      </c>
    </row>
    <row r="45" spans="1:9" ht="15">
      <c r="A45" s="22">
        <f>'Alloc Amt'!A45</f>
        <v>11.2</v>
      </c>
      <c r="B45" s="22" t="str">
        <f>'Alloc Amt'!B45</f>
        <v>Composite of Accts. 376 &amp; 380 - Cust</v>
      </c>
      <c r="C45" s="22" t="str">
        <f>'Alloc Amt'!C45</f>
        <v>Internal</v>
      </c>
      <c r="D45" s="22">
        <f>'Alloc Amt'!D45</f>
        <v>28</v>
      </c>
      <c r="E45" s="23" t="e">
        <f t="shared" si="0"/>
        <v>#DIV/0!</v>
      </c>
      <c r="F45" s="23" t="e">
        <f>'Alloc Amt'!F45/'Alloc Amt'!$E45</f>
        <v>#DIV/0!</v>
      </c>
      <c r="G45" s="23" t="e">
        <f>'Alloc Amt'!G45/'Alloc Amt'!$E45</f>
        <v>#DIV/0!</v>
      </c>
      <c r="H45" s="23" t="e">
        <f>'Alloc Amt'!H45/'Alloc Amt'!$E45</f>
        <v>#DIV/0!</v>
      </c>
      <c r="I45" s="23" t="e">
        <f>'Alloc Amt'!I45/'Alloc Amt'!$E45</f>
        <v>#DIV/0!</v>
      </c>
    </row>
    <row r="46" spans="1:9" ht="15">
      <c r="A46" s="22">
        <f>'Alloc Amt'!A46</f>
        <v>11.4</v>
      </c>
      <c r="B46" s="22" t="str">
        <f>'Alloc Amt'!B46</f>
        <v>Composite of Accts. 376 &amp; 380 - Demand</v>
      </c>
      <c r="C46" s="22" t="str">
        <f>'Alloc Amt'!C46</f>
        <v>Internal</v>
      </c>
      <c r="D46" s="22">
        <f>'Alloc Amt'!D46</f>
        <v>29</v>
      </c>
      <c r="E46" s="23" t="e">
        <f t="shared" si="0"/>
        <v>#DIV/0!</v>
      </c>
      <c r="F46" s="23" t="e">
        <f>'Alloc Amt'!F46/'Alloc Amt'!$E46</f>
        <v>#DIV/0!</v>
      </c>
      <c r="G46" s="23" t="e">
        <f>'Alloc Amt'!G46/'Alloc Amt'!$E46</f>
        <v>#DIV/0!</v>
      </c>
      <c r="H46" s="23" t="e">
        <f>'Alloc Amt'!H46/'Alloc Amt'!$E46</f>
        <v>#DIV/0!</v>
      </c>
      <c r="I46" s="23" t="e">
        <f>'Alloc Amt'!I46/'Alloc Amt'!$E46</f>
        <v>#DIV/0!</v>
      </c>
    </row>
    <row r="47" spans="1:9" ht="15">
      <c r="A47" s="22">
        <f>'Alloc Amt'!A47</f>
        <v>11.6</v>
      </c>
      <c r="B47" s="22" t="str">
        <f>'Alloc Amt'!B47</f>
        <v>Composite of Accts. 376 &amp; 380 - Comm</v>
      </c>
      <c r="C47" s="22" t="str">
        <f>'Alloc Amt'!C47</f>
        <v>Internal</v>
      </c>
      <c r="D47" s="22">
        <f>'Alloc Amt'!D47</f>
        <v>30</v>
      </c>
      <c r="E47" s="23" t="e">
        <f t="shared" si="0"/>
        <v>#DIV/0!</v>
      </c>
      <c r="F47" s="23" t="e">
        <f>'Alloc Amt'!F47/'Alloc Amt'!$E47</f>
        <v>#DIV/0!</v>
      </c>
      <c r="G47" s="23" t="e">
        <f>'Alloc Amt'!G47/'Alloc Amt'!$E47</f>
        <v>#DIV/0!</v>
      </c>
      <c r="H47" s="23" t="e">
        <f>'Alloc Amt'!H47/'Alloc Amt'!$E47</f>
        <v>#DIV/0!</v>
      </c>
      <c r="I47" s="23" t="e">
        <f>'Alloc Amt'!I47/'Alloc Amt'!$E47</f>
        <v>#DIV/0!</v>
      </c>
    </row>
    <row r="48" spans="1:9" ht="15">
      <c r="A48" s="22">
        <f>'Alloc Amt'!A48</f>
        <v>12</v>
      </c>
      <c r="B48" s="22" t="str">
        <f>'Alloc Amt'!B48</f>
        <v>Composite of Accts. 374-379</v>
      </c>
      <c r="C48" s="22" t="str">
        <f>'Alloc Amt'!C48</f>
        <v>Internal</v>
      </c>
      <c r="D48" s="22">
        <f>'Alloc Amt'!D48</f>
        <v>31</v>
      </c>
      <c r="E48" s="23">
        <f t="shared" si="0"/>
        <v>1</v>
      </c>
      <c r="F48" s="23">
        <f ca="1">'Alloc Amt'!F48/'Alloc Amt'!$E48</f>
        <v>0.8220259078526523</v>
      </c>
      <c r="G48" s="23">
        <f ca="1">'Alloc Amt'!G48/'Alloc Amt'!$E48</f>
        <v>0.12107697969152396</v>
      </c>
      <c r="H48" s="23">
        <f ca="1">'Alloc Amt'!H48/'Alloc Amt'!$E48</f>
        <v>0.0034863151567647984</v>
      </c>
      <c r="I48" s="23">
        <f ca="1">'Alloc Amt'!I48/'Alloc Amt'!$E48</f>
        <v>0.053410797299058975</v>
      </c>
    </row>
    <row r="49" spans="1:9" ht="15">
      <c r="A49" s="22">
        <f>'Alloc Amt'!A49</f>
        <v>12.2</v>
      </c>
      <c r="B49" s="22" t="str">
        <f>'Alloc Amt'!B49</f>
        <v>Composite of Accts. 374-379 - Cust</v>
      </c>
      <c r="C49" s="22" t="str">
        <f>'Alloc Amt'!C49</f>
        <v>Internal</v>
      </c>
      <c r="D49" s="22">
        <f>'Alloc Amt'!D49</f>
        <v>32</v>
      </c>
      <c r="E49" s="23" t="e">
        <f t="shared" si="0"/>
        <v>#DIV/0!</v>
      </c>
      <c r="F49" s="23" t="e">
        <f>'Alloc Amt'!F49/'Alloc Amt'!$E49</f>
        <v>#DIV/0!</v>
      </c>
      <c r="G49" s="23" t="e">
        <f>'Alloc Amt'!G49/'Alloc Amt'!$E49</f>
        <v>#DIV/0!</v>
      </c>
      <c r="H49" s="23" t="e">
        <f>'Alloc Amt'!H49/'Alloc Amt'!$E49</f>
        <v>#DIV/0!</v>
      </c>
      <c r="I49" s="23" t="e">
        <f>'Alloc Amt'!I49/'Alloc Amt'!$E49</f>
        <v>#DIV/0!</v>
      </c>
    </row>
    <row r="50" spans="1:9" ht="15">
      <c r="A50" s="22">
        <f>'Alloc Amt'!A50</f>
        <v>12.4</v>
      </c>
      <c r="B50" s="22" t="str">
        <f>'Alloc Amt'!B50</f>
        <v>Composite of Accts. 374-379 - Demand</v>
      </c>
      <c r="C50" s="22" t="str">
        <f>'Alloc Amt'!C50</f>
        <v>Internal</v>
      </c>
      <c r="D50" s="22">
        <f>'Alloc Amt'!D50</f>
        <v>33</v>
      </c>
      <c r="E50" s="23" t="e">
        <f aca="true" t="shared" si="1" ref="E50:E81">SUM(F50:I50)</f>
        <v>#DIV/0!</v>
      </c>
      <c r="F50" s="23" t="e">
        <f>'Alloc Amt'!F50/'Alloc Amt'!$E50</f>
        <v>#DIV/0!</v>
      </c>
      <c r="G50" s="23" t="e">
        <f>'Alloc Amt'!G50/'Alloc Amt'!$E50</f>
        <v>#DIV/0!</v>
      </c>
      <c r="H50" s="23" t="e">
        <f>'Alloc Amt'!H50/'Alloc Amt'!$E50</f>
        <v>#DIV/0!</v>
      </c>
      <c r="I50" s="23" t="e">
        <f>'Alloc Amt'!I50/'Alloc Amt'!$E50</f>
        <v>#DIV/0!</v>
      </c>
    </row>
    <row r="51" spans="1:9" ht="15">
      <c r="A51" s="22">
        <f>'Alloc Amt'!A51</f>
        <v>12.6</v>
      </c>
      <c r="B51" s="22" t="str">
        <f>'Alloc Amt'!B51</f>
        <v>Composite of Accts. 374-379 - Comm</v>
      </c>
      <c r="C51" s="22" t="str">
        <f>'Alloc Amt'!C51</f>
        <v>Internal</v>
      </c>
      <c r="D51" s="22">
        <f>'Alloc Amt'!D51</f>
        <v>34</v>
      </c>
      <c r="E51" s="23" t="e">
        <f t="shared" si="1"/>
        <v>#DIV/0!</v>
      </c>
      <c r="F51" s="23" t="e">
        <f>'Alloc Amt'!F51/'Alloc Amt'!$E51</f>
        <v>#DIV/0!</v>
      </c>
      <c r="G51" s="23" t="e">
        <f>'Alloc Amt'!G51/'Alloc Amt'!$E51</f>
        <v>#DIV/0!</v>
      </c>
      <c r="H51" s="23" t="e">
        <f>'Alloc Amt'!H51/'Alloc Amt'!$E51</f>
        <v>#DIV/0!</v>
      </c>
      <c r="I51" s="23" t="e">
        <f>'Alloc Amt'!I51/'Alloc Amt'!$E51</f>
        <v>#DIV/0!</v>
      </c>
    </row>
    <row r="52" spans="1:9" ht="15">
      <c r="A52" s="22">
        <f>'Alloc Amt'!A52</f>
        <v>13</v>
      </c>
      <c r="B52" s="22" t="str">
        <f>'Alloc Amt'!B52</f>
        <v>Composite of Accts. 381-383</v>
      </c>
      <c r="C52" s="22" t="str">
        <f>'Alloc Amt'!C52</f>
        <v>Internal</v>
      </c>
      <c r="D52" s="22">
        <f>'Alloc Amt'!D52</f>
        <v>35</v>
      </c>
      <c r="E52" s="23" t="e">
        <f t="shared" si="1"/>
        <v>#DIV/0!</v>
      </c>
      <c r="F52" s="23" t="e">
        <f>'Alloc Amt'!F52/'Alloc Amt'!$E52</f>
        <v>#DIV/0!</v>
      </c>
      <c r="G52" s="23" t="e">
        <f>'Alloc Amt'!G52/'Alloc Amt'!$E52</f>
        <v>#DIV/0!</v>
      </c>
      <c r="H52" s="23" t="e">
        <f>'Alloc Amt'!H52/'Alloc Amt'!$E52</f>
        <v>#DIV/0!</v>
      </c>
      <c r="I52" s="23" t="e">
        <f>'Alloc Amt'!I52/'Alloc Amt'!$E52</f>
        <v>#DIV/0!</v>
      </c>
    </row>
    <row r="53" spans="1:9" ht="15">
      <c r="A53" s="22">
        <f>'Alloc Amt'!A53</f>
        <v>13.2</v>
      </c>
      <c r="B53" s="22" t="str">
        <f>'Alloc Amt'!B53</f>
        <v>Composite of Accts. 381-383 - Cust</v>
      </c>
      <c r="C53" s="22" t="str">
        <f>'Alloc Amt'!C53</f>
        <v>Internal</v>
      </c>
      <c r="D53" s="22">
        <f>'Alloc Amt'!D53</f>
        <v>36</v>
      </c>
      <c r="E53" s="23" t="e">
        <f t="shared" si="1"/>
        <v>#DIV/0!</v>
      </c>
      <c r="F53" s="23" t="e">
        <f>'Alloc Amt'!F53/'Alloc Amt'!$E53</f>
        <v>#DIV/0!</v>
      </c>
      <c r="G53" s="23" t="e">
        <f>'Alloc Amt'!G53/'Alloc Amt'!$E53</f>
        <v>#DIV/0!</v>
      </c>
      <c r="H53" s="23" t="e">
        <f>'Alloc Amt'!H53/'Alloc Amt'!$E53</f>
        <v>#DIV/0!</v>
      </c>
      <c r="I53" s="23" t="e">
        <f>'Alloc Amt'!I53/'Alloc Amt'!$E53</f>
        <v>#DIV/0!</v>
      </c>
    </row>
    <row r="54" spans="1:9" ht="15">
      <c r="A54" s="22">
        <f>'Alloc Amt'!A54</f>
        <v>13.4</v>
      </c>
      <c r="B54" s="22" t="str">
        <f>'Alloc Amt'!B54</f>
        <v>Composite of Accts. 381-383 - Demand</v>
      </c>
      <c r="C54" s="22" t="str">
        <f>'Alloc Amt'!C54</f>
        <v>Internal</v>
      </c>
      <c r="D54" s="22">
        <f>'Alloc Amt'!D54</f>
        <v>37</v>
      </c>
      <c r="E54" s="23" t="e">
        <f t="shared" si="1"/>
        <v>#DIV/0!</v>
      </c>
      <c r="F54" s="23" t="e">
        <f>'Alloc Amt'!F54/'Alloc Amt'!$E54</f>
        <v>#DIV/0!</v>
      </c>
      <c r="G54" s="23" t="e">
        <f>'Alloc Amt'!G54/'Alloc Amt'!$E54</f>
        <v>#DIV/0!</v>
      </c>
      <c r="H54" s="23" t="e">
        <f>'Alloc Amt'!H54/'Alloc Amt'!$E54</f>
        <v>#DIV/0!</v>
      </c>
      <c r="I54" s="23" t="e">
        <f>'Alloc Amt'!I54/'Alloc Amt'!$E54</f>
        <v>#DIV/0!</v>
      </c>
    </row>
    <row r="55" spans="1:9" ht="15">
      <c r="A55" s="22">
        <f>'Alloc Amt'!A55</f>
        <v>13.6</v>
      </c>
      <c r="B55" s="22" t="str">
        <f>'Alloc Amt'!B55</f>
        <v>Composite of Accts. 381-383 - Comm</v>
      </c>
      <c r="C55" s="22" t="str">
        <f>'Alloc Amt'!C55</f>
        <v>Internal</v>
      </c>
      <c r="D55" s="22">
        <f>'Alloc Amt'!D55</f>
        <v>38</v>
      </c>
      <c r="E55" s="23" t="e">
        <f t="shared" si="1"/>
        <v>#DIV/0!</v>
      </c>
      <c r="F55" s="23" t="e">
        <f>'Alloc Amt'!F55/'Alloc Amt'!$E55</f>
        <v>#DIV/0!</v>
      </c>
      <c r="G55" s="23" t="e">
        <f>'Alloc Amt'!G55/'Alloc Amt'!$E55</f>
        <v>#DIV/0!</v>
      </c>
      <c r="H55" s="23" t="e">
        <f>'Alloc Amt'!H55/'Alloc Amt'!$E55</f>
        <v>#DIV/0!</v>
      </c>
      <c r="I55" s="23" t="e">
        <f>'Alloc Amt'!I55/'Alloc Amt'!$E55</f>
        <v>#DIV/0!</v>
      </c>
    </row>
    <row r="56" spans="1:9" ht="15">
      <c r="A56" s="22">
        <f>'Alloc Amt'!A56</f>
        <v>14</v>
      </c>
      <c r="B56" s="22" t="str">
        <f>'Alloc Amt'!B56</f>
        <v>Account 380</v>
      </c>
      <c r="C56" s="22" t="str">
        <f>'Alloc Amt'!C56</f>
        <v>Internal</v>
      </c>
      <c r="D56" s="22">
        <f>'Alloc Amt'!D56</f>
        <v>39</v>
      </c>
      <c r="E56" s="23" t="e">
        <f t="shared" si="1"/>
        <v>#DIV/0!</v>
      </c>
      <c r="F56" s="23" t="e">
        <f>'Alloc Amt'!F56/'Alloc Amt'!$E56</f>
        <v>#DIV/0!</v>
      </c>
      <c r="G56" s="23" t="e">
        <f>'Alloc Amt'!G56/'Alloc Amt'!$E56</f>
        <v>#DIV/0!</v>
      </c>
      <c r="H56" s="23" t="e">
        <f>'Alloc Amt'!H56/'Alloc Amt'!$E56</f>
        <v>#DIV/0!</v>
      </c>
      <c r="I56" s="23" t="e">
        <f>'Alloc Amt'!I56/'Alloc Amt'!$E56</f>
        <v>#DIV/0!</v>
      </c>
    </row>
    <row r="57" spans="1:9" ht="15">
      <c r="A57" s="22">
        <f>'Alloc Amt'!A57</f>
        <v>14.2</v>
      </c>
      <c r="B57" s="22" t="str">
        <f>'Alloc Amt'!B57</f>
        <v>Account 380 - Cust</v>
      </c>
      <c r="C57" s="22" t="str">
        <f>'Alloc Amt'!C57</f>
        <v>Internal</v>
      </c>
      <c r="D57" s="22">
        <f>'Alloc Amt'!D57</f>
        <v>40</v>
      </c>
      <c r="E57" s="23" t="e">
        <f t="shared" si="1"/>
        <v>#DIV/0!</v>
      </c>
      <c r="F57" s="23" t="e">
        <f>'Alloc Amt'!F57/'Alloc Amt'!$E57</f>
        <v>#DIV/0!</v>
      </c>
      <c r="G57" s="23" t="e">
        <f>'Alloc Amt'!G57/'Alloc Amt'!$E57</f>
        <v>#DIV/0!</v>
      </c>
      <c r="H57" s="23" t="e">
        <f>'Alloc Amt'!H57/'Alloc Amt'!$E57</f>
        <v>#DIV/0!</v>
      </c>
      <c r="I57" s="23" t="e">
        <f>'Alloc Amt'!I57/'Alloc Amt'!$E57</f>
        <v>#DIV/0!</v>
      </c>
    </row>
    <row r="58" spans="1:9" ht="15">
      <c r="A58" s="22">
        <f>'Alloc Amt'!A58</f>
        <v>14.4</v>
      </c>
      <c r="B58" s="22" t="str">
        <f>'Alloc Amt'!B58</f>
        <v>Account 380 - Demand</v>
      </c>
      <c r="C58" s="22" t="str">
        <f>'Alloc Amt'!C58</f>
        <v>Internal</v>
      </c>
      <c r="D58" s="22">
        <f>'Alloc Amt'!D58</f>
        <v>41</v>
      </c>
      <c r="E58" s="23" t="e">
        <f t="shared" si="1"/>
        <v>#DIV/0!</v>
      </c>
      <c r="F58" s="23" t="e">
        <f>'Alloc Amt'!F58/'Alloc Amt'!$E58</f>
        <v>#DIV/0!</v>
      </c>
      <c r="G58" s="23" t="e">
        <f>'Alloc Amt'!G58/'Alloc Amt'!$E58</f>
        <v>#DIV/0!</v>
      </c>
      <c r="H58" s="23" t="e">
        <f>'Alloc Amt'!H58/'Alloc Amt'!$E58</f>
        <v>#DIV/0!</v>
      </c>
      <c r="I58" s="23" t="e">
        <f>'Alloc Amt'!I58/'Alloc Amt'!$E58</f>
        <v>#DIV/0!</v>
      </c>
    </row>
    <row r="59" spans="1:9" ht="15">
      <c r="A59" s="22">
        <f>'Alloc Amt'!A59</f>
        <v>14.6</v>
      </c>
      <c r="B59" s="22" t="str">
        <f>'Alloc Amt'!B59</f>
        <v>Account 380 - Comm</v>
      </c>
      <c r="C59" s="22" t="str">
        <f>'Alloc Amt'!C59</f>
        <v>Internal</v>
      </c>
      <c r="D59" s="22">
        <f>'Alloc Amt'!D59</f>
        <v>42</v>
      </c>
      <c r="E59" s="23" t="e">
        <f t="shared" si="1"/>
        <v>#DIV/0!</v>
      </c>
      <c r="F59" s="23" t="e">
        <f>'Alloc Amt'!F59/'Alloc Amt'!$E59</f>
        <v>#DIV/0!</v>
      </c>
      <c r="G59" s="23" t="e">
        <f>'Alloc Amt'!G59/'Alloc Amt'!$E59</f>
        <v>#DIV/0!</v>
      </c>
      <c r="H59" s="23" t="e">
        <f>'Alloc Amt'!H59/'Alloc Amt'!$E59</f>
        <v>#DIV/0!</v>
      </c>
      <c r="I59" s="23" t="e">
        <f>'Alloc Amt'!I59/'Alloc Amt'!$E59</f>
        <v>#DIV/0!</v>
      </c>
    </row>
    <row r="60" spans="1:9" ht="15">
      <c r="A60" s="22">
        <f>'Alloc Amt'!A60</f>
        <v>16</v>
      </c>
      <c r="B60" s="22" t="str">
        <f>'Alloc Amt'!B60</f>
        <v>GUD 9400 Allocation Factors</v>
      </c>
      <c r="C60" s="22" t="str">
        <f>'Alloc Amt'!C60</f>
        <v>External</v>
      </c>
      <c r="D60" s="22">
        <f>'Alloc Amt'!D60</f>
        <v>43</v>
      </c>
      <c r="E60" s="23">
        <f t="shared" si="1"/>
        <v>1</v>
      </c>
      <c r="F60" s="23">
        <f>'Alloc Amt'!F60/'Alloc Amt'!$E60</f>
        <v>3.7191251376997514E-06</v>
      </c>
      <c r="G60" s="23">
        <f>'Alloc Amt'!G60/'Alloc Amt'!$E60</f>
        <v>6.774735358014547E-07</v>
      </c>
      <c r="H60" s="23">
        <f>'Alloc Amt'!H60/'Alloc Amt'!$E60</f>
        <v>1.8004329459183428E-07</v>
      </c>
      <c r="I60" s="23">
        <f>'Alloc Amt'!I60/'Alloc Amt'!$E60</f>
        <v>0.9999954233580319</v>
      </c>
    </row>
    <row r="61" spans="1:9" ht="15">
      <c r="A61" s="22">
        <f>'Alloc Amt'!A61</f>
        <v>17</v>
      </c>
      <c r="B61" s="22" t="str">
        <f>'Alloc Amt'!B61</f>
        <v>Composite of Accts. 870-902, 905-916, 924 &amp; 928-930.1</v>
      </c>
      <c r="C61" s="22" t="str">
        <f>'Alloc Amt'!C61</f>
        <v>Internal</v>
      </c>
      <c r="D61" s="22">
        <f>'Alloc Amt'!D61</f>
        <v>44</v>
      </c>
      <c r="E61" s="23">
        <f t="shared" si="1"/>
        <v>1</v>
      </c>
      <c r="F61" s="23">
        <f ca="1">'Alloc Amt'!F61/'Alloc Amt'!$E61</f>
        <v>0.8096575929344206</v>
      </c>
      <c r="G61" s="23">
        <f ca="1">'Alloc Amt'!G61/'Alloc Amt'!$E61</f>
        <v>0.14834344626240234</v>
      </c>
      <c r="H61" s="23">
        <f ca="1">'Alloc Amt'!H61/'Alloc Amt'!$E61</f>
        <v>0.006756625939763331</v>
      </c>
      <c r="I61" s="23">
        <f ca="1">'Alloc Amt'!I61/'Alloc Amt'!$E61</f>
        <v>0.035242334863413625</v>
      </c>
    </row>
    <row r="62" spans="1:9" ht="15">
      <c r="A62" s="22">
        <f>'Alloc Amt'!A62</f>
        <v>17.2</v>
      </c>
      <c r="B62" s="22" t="str">
        <f>'Alloc Amt'!B62</f>
        <v>Composite of Accts. 870-902, 905-916, 924 &amp; 928-930.1 -    Cust</v>
      </c>
      <c r="C62" s="22" t="str">
        <f>'Alloc Amt'!C62</f>
        <v>Internal</v>
      </c>
      <c r="D62" s="22">
        <f>'Alloc Amt'!D62</f>
        <v>45</v>
      </c>
      <c r="E62" s="23" t="e">
        <f t="shared" si="1"/>
        <v>#DIV/0!</v>
      </c>
      <c r="F62" s="23" t="e">
        <f>'Alloc Amt'!F62/'Alloc Amt'!$E62</f>
        <v>#DIV/0!</v>
      </c>
      <c r="G62" s="23" t="e">
        <f>'Alloc Amt'!G62/'Alloc Amt'!$E62</f>
        <v>#DIV/0!</v>
      </c>
      <c r="H62" s="23" t="e">
        <f>'Alloc Amt'!H62/'Alloc Amt'!$E62</f>
        <v>#DIV/0!</v>
      </c>
      <c r="I62" s="23" t="e">
        <f>'Alloc Amt'!I62/'Alloc Amt'!$E62</f>
        <v>#DIV/0!</v>
      </c>
    </row>
    <row r="63" spans="1:9" ht="15">
      <c r="A63" s="22">
        <f>'Alloc Amt'!A63</f>
        <v>17.4</v>
      </c>
      <c r="B63" s="22" t="str">
        <f>'Alloc Amt'!B63</f>
        <v>Composite of Accts. 870-902, 905-916, 924 &amp; 928-930.1 -    Demand</v>
      </c>
      <c r="C63" s="22" t="str">
        <f>'Alloc Amt'!C63</f>
        <v>Internal</v>
      </c>
      <c r="D63" s="22">
        <f>'Alloc Amt'!D63</f>
        <v>46</v>
      </c>
      <c r="E63" s="23" t="e">
        <f t="shared" si="1"/>
        <v>#DIV/0!</v>
      </c>
      <c r="F63" s="23" t="e">
        <f>'Alloc Amt'!F63/'Alloc Amt'!$E63</f>
        <v>#DIV/0!</v>
      </c>
      <c r="G63" s="23" t="e">
        <f>'Alloc Amt'!G63/'Alloc Amt'!$E63</f>
        <v>#DIV/0!</v>
      </c>
      <c r="H63" s="23" t="e">
        <f>'Alloc Amt'!H63/'Alloc Amt'!$E63</f>
        <v>#DIV/0!</v>
      </c>
      <c r="I63" s="23" t="e">
        <f>'Alloc Amt'!I63/'Alloc Amt'!$E63</f>
        <v>#DIV/0!</v>
      </c>
    </row>
    <row r="64" spans="1:9" ht="15">
      <c r="A64" s="22">
        <f>'Alloc Amt'!A64</f>
        <v>17.6</v>
      </c>
      <c r="B64" s="22" t="str">
        <f>'Alloc Amt'!B64</f>
        <v>Composite of Accts. 870-902, 905-916, 924 &amp; 928-930.1 -    Comm</v>
      </c>
      <c r="C64" s="22" t="str">
        <f>'Alloc Amt'!C64</f>
        <v>Internal</v>
      </c>
      <c r="D64" s="22">
        <f>'Alloc Amt'!D64</f>
        <v>47</v>
      </c>
      <c r="E64" s="23" t="e">
        <f t="shared" si="1"/>
        <v>#DIV/0!</v>
      </c>
      <c r="F64" s="23" t="e">
        <f>'Alloc Amt'!F64/'Alloc Amt'!$E64</f>
        <v>#DIV/0!</v>
      </c>
      <c r="G64" s="23" t="e">
        <f>'Alloc Amt'!G64/'Alloc Amt'!$E64</f>
        <v>#DIV/0!</v>
      </c>
      <c r="H64" s="23" t="e">
        <f>'Alloc Amt'!H64/'Alloc Amt'!$E64</f>
        <v>#DIV/0!</v>
      </c>
      <c r="I64" s="23" t="e">
        <f>'Alloc Amt'!I64/'Alloc Amt'!$E64</f>
        <v>#DIV/0!</v>
      </c>
    </row>
    <row r="65" spans="1:9" ht="15">
      <c r="A65" s="22">
        <f>'Alloc Amt'!A65</f>
        <v>18</v>
      </c>
      <c r="B65" s="22" t="str">
        <f>'Alloc Amt'!B65</f>
        <v>Total Revenue</v>
      </c>
      <c r="C65" s="22" t="str">
        <f>'Alloc Amt'!C65</f>
        <v>Internal</v>
      </c>
      <c r="D65" s="22">
        <f>'Alloc Amt'!D65</f>
        <v>48</v>
      </c>
      <c r="E65" s="23">
        <f t="shared" si="1"/>
        <v>1</v>
      </c>
      <c r="F65" s="23">
        <f ca="1">'Alloc Amt'!F65/'Alloc Amt'!$E65</f>
        <v>0.602425359281856</v>
      </c>
      <c r="G65" s="23">
        <f ca="1">'Alloc Amt'!G65/'Alloc Amt'!$E65</f>
        <v>0.2912843849988118</v>
      </c>
      <c r="H65" s="23">
        <f>'Alloc Amt'!H65/'Alloc Amt'!$E65</f>
        <v>0.020974795237566676</v>
      </c>
      <c r="I65" s="23">
        <f ca="1">'Alloc Amt'!I65/'Alloc Amt'!$E65</f>
        <v>0.08531546048176548</v>
      </c>
    </row>
    <row r="66" spans="1:9" ht="15">
      <c r="A66" s="22">
        <f>'Alloc Amt'!A66</f>
        <v>18.2</v>
      </c>
      <c r="B66" s="22" t="str">
        <f>'Alloc Amt'!B66</f>
        <v>Base Revenues</v>
      </c>
      <c r="C66" s="22" t="str">
        <f>'Alloc Amt'!C66</f>
        <v>Internal</v>
      </c>
      <c r="D66" s="22">
        <f>'Alloc Amt'!D66</f>
        <v>49</v>
      </c>
      <c r="E66" s="23">
        <f t="shared" si="1"/>
        <v>1</v>
      </c>
      <c r="F66" s="23">
        <f>'Alloc Amt'!F66/'Alloc Amt'!$E66</f>
        <v>0.5849860469297457</v>
      </c>
      <c r="G66" s="23">
        <f>'Alloc Amt'!G66/'Alloc Amt'!$E66</f>
        <v>0.21806614992752435</v>
      </c>
      <c r="H66" s="23">
        <f>'Alloc Amt'!H66/'Alloc Amt'!$E66</f>
        <v>0.008305155886320572</v>
      </c>
      <c r="I66" s="23">
        <f>'Alloc Amt'!I66/'Alloc Amt'!$E66</f>
        <v>0.1886426472564095</v>
      </c>
    </row>
    <row r="67" spans="1:9" ht="15">
      <c r="A67" s="22">
        <f>'Alloc Amt'!A67</f>
        <v>18.4</v>
      </c>
      <c r="B67" s="22" t="str">
        <f>'Alloc Amt'!B67</f>
        <v>Gas Costs</v>
      </c>
      <c r="C67" s="22" t="str">
        <f>'Alloc Amt'!C67</f>
        <v>Internal</v>
      </c>
      <c r="D67" s="22">
        <f>'Alloc Amt'!D67</f>
        <v>50</v>
      </c>
      <c r="E67" s="23">
        <f t="shared" si="1"/>
        <v>1</v>
      </c>
      <c r="F67" s="23">
        <f>'Alloc Amt'!F67/'Alloc Amt'!$E67</f>
        <v>0.6150039173320901</v>
      </c>
      <c r="G67" s="23">
        <f>'Alloc Amt'!G67/'Alloc Amt'!$E67</f>
        <v>0.3440949432126179</v>
      </c>
      <c r="H67" s="23">
        <f>'Alloc Amt'!H67/'Alloc Amt'!$E67</f>
        <v>0.030113102461927704</v>
      </c>
      <c r="I67" s="23">
        <f>'Alloc Amt'!I67/'Alloc Amt'!$E67</f>
        <v>0.01078803699336428</v>
      </c>
    </row>
    <row r="68" spans="1:9" ht="15">
      <c r="A68" s="22">
        <f>'Alloc Amt'!A68</f>
        <v>19</v>
      </c>
      <c r="B68" s="22" t="str">
        <f>'Alloc Amt'!B68</f>
        <v>Rate Base</v>
      </c>
      <c r="C68" s="22" t="str">
        <f>'Alloc Amt'!C68</f>
        <v>Internal</v>
      </c>
      <c r="D68" s="22">
        <f>'Alloc Amt'!D68</f>
        <v>51</v>
      </c>
      <c r="E68" s="23">
        <f t="shared" si="1"/>
        <v>0.9999999999999999</v>
      </c>
      <c r="F68" s="23">
        <f ca="1">'Alloc Amt'!F68/'Alloc Amt'!$E68</f>
        <v>0.7267581821678814</v>
      </c>
      <c r="G68" s="23">
        <f ca="1">'Alloc Amt'!G68/'Alloc Amt'!$E68</f>
        <v>0.16919719460690932</v>
      </c>
      <c r="H68" s="23">
        <f ca="1">'Alloc Amt'!H68/'Alloc Amt'!$E68</f>
        <v>0.010270012669858167</v>
      </c>
      <c r="I68" s="23">
        <f ca="1">'Alloc Amt'!I68/'Alloc Amt'!$E68</f>
        <v>0.09377461055535112</v>
      </c>
    </row>
    <row r="69" spans="1:9" ht="15">
      <c r="A69" s="22">
        <f>'Alloc Amt'!A69</f>
        <v>19.2</v>
      </c>
      <c r="B69" s="22" t="str">
        <f>'Alloc Amt'!B69</f>
        <v>Rate Base - Cust</v>
      </c>
      <c r="C69" s="22" t="str">
        <f>'Alloc Amt'!C69</f>
        <v>Internal</v>
      </c>
      <c r="D69" s="22">
        <f>'Alloc Amt'!D69</f>
        <v>52</v>
      </c>
      <c r="E69" s="23" t="e">
        <f t="shared" si="1"/>
        <v>#DIV/0!</v>
      </c>
      <c r="F69" s="23" t="e">
        <f>'Alloc Amt'!F69/'Alloc Amt'!$E69</f>
        <v>#DIV/0!</v>
      </c>
      <c r="G69" s="23" t="e">
        <f>'Alloc Amt'!G69/'Alloc Amt'!$E69</f>
        <v>#DIV/0!</v>
      </c>
      <c r="H69" s="23" t="e">
        <f>'Alloc Amt'!H69/'Alloc Amt'!$E69</f>
        <v>#DIV/0!</v>
      </c>
      <c r="I69" s="23" t="e">
        <f>'Alloc Amt'!I69/'Alloc Amt'!$E69</f>
        <v>#DIV/0!</v>
      </c>
    </row>
    <row r="70" spans="1:9" ht="15">
      <c r="A70" s="22">
        <f>'Alloc Amt'!A70</f>
        <v>19.4</v>
      </c>
      <c r="B70" s="22" t="str">
        <f>'Alloc Amt'!B70</f>
        <v>Rate Base - Demand</v>
      </c>
      <c r="C70" s="22" t="str">
        <f>'Alloc Amt'!C70</f>
        <v>Internal</v>
      </c>
      <c r="D70" s="22">
        <f>'Alloc Amt'!D70</f>
        <v>53</v>
      </c>
      <c r="E70" s="23" t="e">
        <f t="shared" si="1"/>
        <v>#DIV/0!</v>
      </c>
      <c r="F70" s="23" t="e">
        <f>'Alloc Amt'!F70/'Alloc Amt'!$E70</f>
        <v>#DIV/0!</v>
      </c>
      <c r="G70" s="23" t="e">
        <f>'Alloc Amt'!G70/'Alloc Amt'!$E70</f>
        <v>#DIV/0!</v>
      </c>
      <c r="H70" s="23" t="e">
        <f>'Alloc Amt'!H70/'Alloc Amt'!$E70</f>
        <v>#DIV/0!</v>
      </c>
      <c r="I70" s="23" t="e">
        <f>'Alloc Amt'!I70/'Alloc Amt'!$E70</f>
        <v>#DIV/0!</v>
      </c>
    </row>
    <row r="71" spans="1:9" ht="15">
      <c r="A71" s="22">
        <f>'Alloc Amt'!A71</f>
        <v>19.6</v>
      </c>
      <c r="B71" s="22" t="str">
        <f>'Alloc Amt'!B71</f>
        <v>Rate Base - Comm</v>
      </c>
      <c r="C71" s="22" t="str">
        <f>'Alloc Amt'!C71</f>
        <v>Internal</v>
      </c>
      <c r="D71" s="22">
        <f>'Alloc Amt'!D71</f>
        <v>54</v>
      </c>
      <c r="E71" s="23" t="e">
        <f t="shared" si="1"/>
        <v>#DIV/0!</v>
      </c>
      <c r="F71" s="23" t="e">
        <f>'Alloc Amt'!F71/'Alloc Amt'!$E71</f>
        <v>#DIV/0!</v>
      </c>
      <c r="G71" s="23" t="e">
        <f>'Alloc Amt'!G71/'Alloc Amt'!$E71</f>
        <v>#DIV/0!</v>
      </c>
      <c r="H71" s="23" t="e">
        <f>'Alloc Amt'!H71/'Alloc Amt'!$E71</f>
        <v>#DIV/0!</v>
      </c>
      <c r="I71" s="23" t="e">
        <f>'Alloc Amt'!I71/'Alloc Amt'!$E71</f>
        <v>#DIV/0!</v>
      </c>
    </row>
    <row r="72" spans="1:9" ht="15">
      <c r="A72" s="22">
        <f>'Alloc Amt'!A72</f>
        <v>0</v>
      </c>
      <c r="B72" s="22" t="str">
        <f>'Alloc Amt'!B72</f>
        <v> 50% Peak Demand/ 50% Winter MCF</v>
      </c>
      <c r="C72" s="22">
        <f>'Alloc Amt'!C72</f>
        <v>0</v>
      </c>
      <c r="D72" s="22">
        <f>'Alloc Amt'!D72</f>
        <v>55</v>
      </c>
      <c r="E72" s="23">
        <f t="shared" si="1"/>
        <v>1</v>
      </c>
      <c r="F72" s="23">
        <f>'Alloc Amt'!F72/'Alloc Amt'!$E72</f>
        <v>0.37056439088792115</v>
      </c>
      <c r="G72" s="23">
        <f>'Alloc Amt'!G72/'Alloc Amt'!$E72</f>
        <v>0.17404455389793577</v>
      </c>
      <c r="H72" s="23">
        <f>'Alloc Amt'!H72/'Alloc Amt'!$E72</f>
        <v>0.016161607534601594</v>
      </c>
      <c r="I72" s="23">
        <f>'Alloc Amt'!I72/'Alloc Amt'!$E72</f>
        <v>0.43922944767954153</v>
      </c>
    </row>
    <row r="73" spans="1:9" ht="15">
      <c r="A73" s="22">
        <f>'Alloc Amt'!A73</f>
        <v>0</v>
      </c>
      <c r="B73" s="22" t="str">
        <f>'Alloc Amt'!B73</f>
        <v>Distribution Mains ( Acct 376)</v>
      </c>
      <c r="C73" s="22">
        <f>'Alloc Amt'!C73</f>
        <v>0</v>
      </c>
      <c r="D73" s="22">
        <f>'Alloc Amt'!D73</f>
        <v>56</v>
      </c>
      <c r="E73" s="23">
        <f t="shared" si="1"/>
        <v>1</v>
      </c>
      <c r="F73" s="23">
        <f ca="1">'Alloc Amt'!F73/'Alloc Amt'!$E73</f>
        <v>0.8220259078526523</v>
      </c>
      <c r="G73" s="23">
        <f ca="1">'Alloc Amt'!G73/'Alloc Amt'!$E73</f>
        <v>0.12107697969152396</v>
      </c>
      <c r="H73" s="23">
        <f ca="1">'Alloc Amt'!H73/'Alloc Amt'!$E73</f>
        <v>0.0034863151567647997</v>
      </c>
      <c r="I73" s="23">
        <f ca="1">'Alloc Amt'!I73/'Alloc Amt'!$E73</f>
        <v>0.05341079729905898</v>
      </c>
    </row>
    <row r="74" spans="1:9" ht="15">
      <c r="A74" s="22">
        <f>'Alloc Amt'!A74</f>
        <v>0</v>
      </c>
      <c r="B74" s="22" t="str">
        <f>'Alloc Amt'!B74</f>
        <v>O&amp;M Excluding Gas Costs and Uncollectibles</v>
      </c>
      <c r="C74" s="22">
        <f>'Alloc Amt'!C74</f>
        <v>0</v>
      </c>
      <c r="D74" s="22">
        <f>'Alloc Amt'!D74</f>
        <v>57</v>
      </c>
      <c r="E74" s="23">
        <f t="shared" si="1"/>
        <v>1</v>
      </c>
      <c r="F74" s="23">
        <f ca="1">'Alloc Amt'!F74/'Alloc Amt'!$E74</f>
        <v>0.7630226674854158</v>
      </c>
      <c r="G74" s="23">
        <f ca="1">'Alloc Amt'!G74/'Alloc Amt'!$E74</f>
        <v>0.15746561466494882</v>
      </c>
      <c r="H74" s="23">
        <f ca="1">'Alloc Amt'!H74/'Alloc Amt'!$E74</f>
        <v>0.008470350515753258</v>
      </c>
      <c r="I74" s="23">
        <f ca="1">'Alloc Amt'!I74/'Alloc Amt'!$E74</f>
        <v>0.07104136733388206</v>
      </c>
    </row>
    <row r="75" spans="1:9" ht="15">
      <c r="A75" s="22">
        <f>'Alloc Amt'!A75</f>
        <v>0</v>
      </c>
      <c r="B75" s="22" t="str">
        <f>'Alloc Amt'!B75</f>
        <v>Transmission Plant (Net)</v>
      </c>
      <c r="C75" s="22">
        <f>'Alloc Amt'!C75</f>
        <v>0</v>
      </c>
      <c r="D75" s="22">
        <f>'Alloc Amt'!D75</f>
        <v>58</v>
      </c>
      <c r="E75" s="23">
        <f t="shared" si="1"/>
        <v>1</v>
      </c>
      <c r="F75" s="23">
        <f ca="1">'Alloc Amt'!F75/'Alloc Amt'!$E75</f>
        <v>0.4278864735715373</v>
      </c>
      <c r="G75" s="23">
        <f ca="1">'Alloc Amt'!G75/'Alloc Amt'!$E75</f>
        <v>0.19232000708646493</v>
      </c>
      <c r="H75" s="23">
        <f ca="1">'Alloc Amt'!H75/'Alloc Amt'!$E75</f>
        <v>0.017312880538653517</v>
      </c>
      <c r="I75" s="23">
        <f ca="1">'Alloc Amt'!I75/'Alloc Amt'!$E75</f>
        <v>0.3624806388033443</v>
      </c>
    </row>
    <row r="76" spans="1:9" ht="15">
      <c r="A76" s="22">
        <f>'Alloc Amt'!A76</f>
        <v>0</v>
      </c>
      <c r="B76" s="22">
        <f>'Alloc Amt'!B76</f>
        <v>0</v>
      </c>
      <c r="C76" s="22">
        <f>'Alloc Amt'!C76</f>
        <v>0</v>
      </c>
      <c r="D76" s="22">
        <f>'Alloc Amt'!D76</f>
        <v>59</v>
      </c>
      <c r="E76" s="23" t="e">
        <f t="shared" si="1"/>
        <v>#DIV/0!</v>
      </c>
      <c r="F76" s="23" t="e">
        <f>'Alloc Amt'!F76/'Alloc Amt'!$E76</f>
        <v>#DIV/0!</v>
      </c>
      <c r="G76" s="23" t="e">
        <f>'Alloc Amt'!G76/'Alloc Amt'!$E76</f>
        <v>#DIV/0!</v>
      </c>
      <c r="H76" s="23" t="e">
        <f>'Alloc Amt'!H76/'Alloc Amt'!$E76</f>
        <v>#DIV/0!</v>
      </c>
      <c r="I76" s="23" t="e">
        <f>'Alloc Amt'!I76/'Alloc Amt'!$E76</f>
        <v>#DIV/0!</v>
      </c>
    </row>
    <row r="77" spans="1:9" ht="15">
      <c r="A77" s="22">
        <f>'Alloc Amt'!A77</f>
        <v>0</v>
      </c>
      <c r="B77" s="22">
        <f>'Alloc Amt'!B77</f>
        <v>0</v>
      </c>
      <c r="C77" s="22">
        <f>'Alloc Amt'!C77</f>
        <v>0</v>
      </c>
      <c r="D77" s="22">
        <f>'Alloc Amt'!D77</f>
        <v>60</v>
      </c>
      <c r="E77" s="23" t="e">
        <f t="shared" si="1"/>
        <v>#DIV/0!</v>
      </c>
      <c r="F77" s="23" t="e">
        <f>'Alloc Amt'!F77/'Alloc Amt'!$E77</f>
        <v>#DIV/0!</v>
      </c>
      <c r="G77" s="23" t="e">
        <f>'Alloc Amt'!G77/'Alloc Amt'!$E77</f>
        <v>#DIV/0!</v>
      </c>
      <c r="H77" s="23" t="e">
        <f>'Alloc Amt'!H77/'Alloc Amt'!$E77</f>
        <v>#DIV/0!</v>
      </c>
      <c r="I77" s="23" t="e">
        <f>'Alloc Amt'!I77/'Alloc Amt'!$E77</f>
        <v>#DIV/0!</v>
      </c>
    </row>
    <row r="78" spans="1:9" ht="15">
      <c r="A78" s="22">
        <f>'Alloc Amt'!A78</f>
        <v>0</v>
      </c>
      <c r="B78" s="22">
        <f>'Alloc Amt'!B78</f>
        <v>0</v>
      </c>
      <c r="C78" s="22">
        <f>'Alloc Amt'!C78</f>
        <v>0</v>
      </c>
      <c r="D78" s="22">
        <f>'Alloc Amt'!D78</f>
        <v>61</v>
      </c>
      <c r="E78" s="23" t="e">
        <f t="shared" si="1"/>
        <v>#DIV/0!</v>
      </c>
      <c r="F78" s="23" t="e">
        <f>'Alloc Amt'!F78/'Alloc Amt'!$E78</f>
        <v>#DIV/0!</v>
      </c>
      <c r="G78" s="23" t="e">
        <f>'Alloc Amt'!G78/'Alloc Amt'!$E78</f>
        <v>#DIV/0!</v>
      </c>
      <c r="H78" s="23" t="e">
        <f>'Alloc Amt'!H78/'Alloc Amt'!$E78</f>
        <v>#DIV/0!</v>
      </c>
      <c r="I78" s="23" t="e">
        <f>'Alloc Amt'!I78/'Alloc Amt'!$E78</f>
        <v>#DIV/0!</v>
      </c>
    </row>
    <row r="79" spans="1:9" ht="15">
      <c r="A79" s="22">
        <f>'Alloc Amt'!A79</f>
        <v>0</v>
      </c>
      <c r="B79" s="22">
        <f>'Alloc Amt'!B79</f>
        <v>0</v>
      </c>
      <c r="C79" s="22">
        <f>'Alloc Amt'!C79</f>
        <v>0</v>
      </c>
      <c r="D79" s="22">
        <f>'Alloc Amt'!D79</f>
        <v>62</v>
      </c>
      <c r="E79" s="23" t="e">
        <f t="shared" si="1"/>
        <v>#DIV/0!</v>
      </c>
      <c r="F79" s="23" t="e">
        <f>'Alloc Amt'!F79/'Alloc Amt'!$E79</f>
        <v>#DIV/0!</v>
      </c>
      <c r="G79" s="23" t="e">
        <f>'Alloc Amt'!G79/'Alloc Amt'!$E79</f>
        <v>#DIV/0!</v>
      </c>
      <c r="H79" s="23" t="e">
        <f>'Alloc Amt'!H79/'Alloc Amt'!$E79</f>
        <v>#DIV/0!</v>
      </c>
      <c r="I79" s="23" t="e">
        <f>'Alloc Amt'!I79/'Alloc Amt'!$E79</f>
        <v>#DIV/0!</v>
      </c>
    </row>
    <row r="80" spans="1:9" ht="15">
      <c r="A80" s="22">
        <f>'Alloc Amt'!A80</f>
        <v>0</v>
      </c>
      <c r="B80" s="22">
        <f>'Alloc Amt'!B80</f>
        <v>0</v>
      </c>
      <c r="C80" s="22">
        <f>'Alloc Amt'!C80</f>
        <v>0</v>
      </c>
      <c r="D80" s="22">
        <f>'Alloc Amt'!D80</f>
        <v>63</v>
      </c>
      <c r="E80" s="23" t="e">
        <f t="shared" si="1"/>
        <v>#DIV/0!</v>
      </c>
      <c r="F80" s="23" t="e">
        <f>'Alloc Amt'!F80/'Alloc Amt'!$E80</f>
        <v>#DIV/0!</v>
      </c>
      <c r="G80" s="23" t="e">
        <f>'Alloc Amt'!G80/'Alloc Amt'!$E80</f>
        <v>#DIV/0!</v>
      </c>
      <c r="H80" s="23" t="e">
        <f>'Alloc Amt'!H80/'Alloc Amt'!$E80</f>
        <v>#DIV/0!</v>
      </c>
      <c r="I80" s="23" t="e">
        <f>'Alloc Amt'!I80/'Alloc Amt'!$E80</f>
        <v>#DIV/0!</v>
      </c>
    </row>
    <row r="81" spans="1:9" ht="15">
      <c r="A81" s="22">
        <f>'Alloc Amt'!A81</f>
        <v>0</v>
      </c>
      <c r="B81" s="22">
        <f>'Alloc Amt'!B81</f>
        <v>0</v>
      </c>
      <c r="C81" s="22">
        <f>'Alloc Amt'!C81</f>
        <v>0</v>
      </c>
      <c r="D81" s="22">
        <f>'Alloc Amt'!D81</f>
        <v>64</v>
      </c>
      <c r="E81" s="23" t="e">
        <f t="shared" si="1"/>
        <v>#DIV/0!</v>
      </c>
      <c r="F81" s="23" t="e">
        <f>'Alloc Amt'!F81/'Alloc Amt'!$E81</f>
        <v>#DIV/0!</v>
      </c>
      <c r="G81" s="23" t="e">
        <f>'Alloc Amt'!G81/'Alloc Amt'!$E81</f>
        <v>#DIV/0!</v>
      </c>
      <c r="H81" s="23" t="e">
        <f>'Alloc Amt'!H81/'Alloc Amt'!$E81</f>
        <v>#DIV/0!</v>
      </c>
      <c r="I81" s="23" t="e">
        <f>'Alloc Amt'!I81/'Alloc Amt'!$E81</f>
        <v>#DIV/0!</v>
      </c>
    </row>
    <row r="82" spans="1:9" ht="15">
      <c r="A82" s="22">
        <f>'Alloc Amt'!A82</f>
        <v>0</v>
      </c>
      <c r="B82" s="22">
        <f>'Alloc Amt'!B82</f>
        <v>0</v>
      </c>
      <c r="C82" s="22">
        <f>'Alloc Amt'!C82</f>
        <v>0</v>
      </c>
      <c r="D82" s="22">
        <f>'Alloc Amt'!D82</f>
        <v>65</v>
      </c>
      <c r="E82" s="23" t="e">
        <f aca="true" t="shared" si="2" ref="E82:E113">SUM(F82:I82)</f>
        <v>#DIV/0!</v>
      </c>
      <c r="F82" s="23" t="e">
        <f>'Alloc Amt'!F82/'Alloc Amt'!$E82</f>
        <v>#DIV/0!</v>
      </c>
      <c r="G82" s="23" t="e">
        <f>'Alloc Amt'!G82/'Alloc Amt'!$E82</f>
        <v>#DIV/0!</v>
      </c>
      <c r="H82" s="23" t="e">
        <f>'Alloc Amt'!H82/'Alloc Amt'!$E82</f>
        <v>#DIV/0!</v>
      </c>
      <c r="I82" s="23" t="e">
        <f>'Alloc Amt'!I82/'Alloc Amt'!$E82</f>
        <v>#DIV/0!</v>
      </c>
    </row>
    <row r="83" spans="1:9" ht="15">
      <c r="A83" s="22">
        <f>'Alloc Amt'!A83</f>
        <v>0</v>
      </c>
      <c r="B83" s="22">
        <f>'Alloc Amt'!B83</f>
        <v>0</v>
      </c>
      <c r="C83" s="22">
        <f>'Alloc Amt'!C83</f>
        <v>0</v>
      </c>
      <c r="D83" s="22">
        <f>'Alloc Amt'!D83</f>
        <v>66</v>
      </c>
      <c r="E83" s="23" t="e">
        <f t="shared" si="2"/>
        <v>#DIV/0!</v>
      </c>
      <c r="F83" s="23" t="e">
        <f>'Alloc Amt'!F83/'Alloc Amt'!$E83</f>
        <v>#DIV/0!</v>
      </c>
      <c r="G83" s="23" t="e">
        <f>'Alloc Amt'!G83/'Alloc Amt'!$E83</f>
        <v>#DIV/0!</v>
      </c>
      <c r="H83" s="23" t="e">
        <f>'Alloc Amt'!H83/'Alloc Amt'!$E83</f>
        <v>#DIV/0!</v>
      </c>
      <c r="I83" s="23" t="e">
        <f>'Alloc Amt'!I83/'Alloc Amt'!$E83</f>
        <v>#DIV/0!</v>
      </c>
    </row>
    <row r="84" spans="1:9" ht="15">
      <c r="A84" s="22">
        <f>'Alloc Amt'!A84</f>
        <v>0</v>
      </c>
      <c r="B84" s="22">
        <f>'Alloc Amt'!B84</f>
        <v>0</v>
      </c>
      <c r="C84" s="22">
        <f>'Alloc Amt'!C84</f>
        <v>0</v>
      </c>
      <c r="D84" s="22">
        <f>'Alloc Amt'!D84</f>
        <v>67</v>
      </c>
      <c r="E84" s="23" t="e">
        <f t="shared" si="2"/>
        <v>#DIV/0!</v>
      </c>
      <c r="F84" s="23" t="e">
        <f>'Alloc Amt'!F84/'Alloc Amt'!$E84</f>
        <v>#DIV/0!</v>
      </c>
      <c r="G84" s="23" t="e">
        <f>'Alloc Amt'!G84/'Alloc Amt'!$E84</f>
        <v>#DIV/0!</v>
      </c>
      <c r="H84" s="23" t="e">
        <f>'Alloc Amt'!H84/'Alloc Amt'!$E84</f>
        <v>#DIV/0!</v>
      </c>
      <c r="I84" s="23" t="e">
        <f>'Alloc Amt'!I84/'Alloc Amt'!$E84</f>
        <v>#DIV/0!</v>
      </c>
    </row>
    <row r="85" spans="1:9" ht="15">
      <c r="A85" s="22">
        <f>'Alloc Amt'!A85</f>
        <v>0</v>
      </c>
      <c r="B85" s="22">
        <f>'Alloc Amt'!B85</f>
        <v>0</v>
      </c>
      <c r="C85" s="22">
        <f>'Alloc Amt'!C85</f>
        <v>0</v>
      </c>
      <c r="D85" s="22">
        <f>'Alloc Amt'!D85</f>
        <v>68</v>
      </c>
      <c r="E85" s="23" t="e">
        <f t="shared" si="2"/>
        <v>#DIV/0!</v>
      </c>
      <c r="F85" s="23" t="e">
        <f>'Alloc Amt'!F85/'Alloc Amt'!$E85</f>
        <v>#DIV/0!</v>
      </c>
      <c r="G85" s="23" t="e">
        <f>'Alloc Amt'!G85/'Alloc Amt'!$E85</f>
        <v>#DIV/0!</v>
      </c>
      <c r="H85" s="23" t="e">
        <f>'Alloc Amt'!H85/'Alloc Amt'!$E85</f>
        <v>#DIV/0!</v>
      </c>
      <c r="I85" s="23" t="e">
        <f>'Alloc Amt'!I85/'Alloc Amt'!$E85</f>
        <v>#DIV/0!</v>
      </c>
    </row>
    <row r="86" spans="1:9" ht="15">
      <c r="A86" s="22">
        <f>'Alloc Amt'!A86</f>
        <v>0</v>
      </c>
      <c r="B86" s="22">
        <f>'Alloc Amt'!B86</f>
        <v>0</v>
      </c>
      <c r="C86" s="22">
        <f>'Alloc Amt'!C86</f>
        <v>0</v>
      </c>
      <c r="D86" s="22">
        <f>'Alloc Amt'!D86</f>
        <v>69</v>
      </c>
      <c r="E86" s="23" t="e">
        <f t="shared" si="2"/>
        <v>#DIV/0!</v>
      </c>
      <c r="F86" s="23" t="e">
        <f>'Alloc Amt'!F86/'Alloc Amt'!$E86</f>
        <v>#DIV/0!</v>
      </c>
      <c r="G86" s="23" t="e">
        <f>'Alloc Amt'!G86/'Alloc Amt'!$E86</f>
        <v>#DIV/0!</v>
      </c>
      <c r="H86" s="23" t="e">
        <f>'Alloc Amt'!H86/'Alloc Amt'!$E86</f>
        <v>#DIV/0!</v>
      </c>
      <c r="I86" s="23" t="e">
        <f>'Alloc Amt'!I86/'Alloc Amt'!$E86</f>
        <v>#DIV/0!</v>
      </c>
    </row>
    <row r="87" spans="1:9" ht="15">
      <c r="A87" s="22">
        <f>'Alloc Amt'!A87</f>
        <v>0</v>
      </c>
      <c r="B87" s="22">
        <f>'Alloc Amt'!B87</f>
        <v>0</v>
      </c>
      <c r="C87" s="22">
        <f>'Alloc Amt'!C87</f>
        <v>0</v>
      </c>
      <c r="D87" s="22">
        <f>'Alloc Amt'!D87</f>
        <v>70</v>
      </c>
      <c r="E87" s="23" t="e">
        <f t="shared" si="2"/>
        <v>#DIV/0!</v>
      </c>
      <c r="F87" s="23" t="e">
        <f>'Alloc Amt'!F87/'Alloc Amt'!$E87</f>
        <v>#DIV/0!</v>
      </c>
      <c r="G87" s="23" t="e">
        <f>'Alloc Amt'!G87/'Alloc Amt'!$E87</f>
        <v>#DIV/0!</v>
      </c>
      <c r="H87" s="23" t="e">
        <f>'Alloc Amt'!H87/'Alloc Amt'!$E87</f>
        <v>#DIV/0!</v>
      </c>
      <c r="I87" s="23" t="e">
        <f>'Alloc Amt'!I87/'Alloc Amt'!$E87</f>
        <v>#DIV/0!</v>
      </c>
    </row>
    <row r="88" spans="1:9" ht="15">
      <c r="A88" s="22">
        <f>'Alloc Amt'!A88</f>
        <v>0</v>
      </c>
      <c r="B88" s="22">
        <f>'Alloc Amt'!B88</f>
        <v>0</v>
      </c>
      <c r="C88" s="22">
        <f>'Alloc Amt'!C88</f>
        <v>0</v>
      </c>
      <c r="D88" s="22">
        <f>'Alloc Amt'!D88</f>
        <v>71</v>
      </c>
      <c r="E88" s="23" t="e">
        <f t="shared" si="2"/>
        <v>#DIV/0!</v>
      </c>
      <c r="F88" s="23" t="e">
        <f>'Alloc Amt'!F88/'Alloc Amt'!$E88</f>
        <v>#DIV/0!</v>
      </c>
      <c r="G88" s="23" t="e">
        <f>'Alloc Amt'!G88/'Alloc Amt'!$E88</f>
        <v>#DIV/0!</v>
      </c>
      <c r="H88" s="23" t="e">
        <f>'Alloc Amt'!H88/'Alloc Amt'!$E88</f>
        <v>#DIV/0!</v>
      </c>
      <c r="I88" s="23" t="e">
        <f>'Alloc Amt'!I88/'Alloc Amt'!$E88</f>
        <v>#DIV/0!</v>
      </c>
    </row>
    <row r="89" spans="1:9" ht="15">
      <c r="A89" s="22">
        <f>'Alloc Amt'!A89</f>
        <v>0</v>
      </c>
      <c r="B89" s="22">
        <f>'Alloc Amt'!B89</f>
        <v>0</v>
      </c>
      <c r="C89" s="22">
        <f>'Alloc Amt'!C89</f>
        <v>0</v>
      </c>
      <c r="D89" s="22">
        <f>'Alloc Amt'!D89</f>
        <v>72</v>
      </c>
      <c r="E89" s="23" t="e">
        <f t="shared" si="2"/>
        <v>#DIV/0!</v>
      </c>
      <c r="F89" s="23" t="e">
        <f>'Alloc Amt'!F89/'Alloc Amt'!$E89</f>
        <v>#DIV/0!</v>
      </c>
      <c r="G89" s="23" t="e">
        <f>'Alloc Amt'!G89/'Alloc Amt'!$E89</f>
        <v>#DIV/0!</v>
      </c>
      <c r="H89" s="23" t="e">
        <f>'Alloc Amt'!H89/'Alloc Amt'!$E89</f>
        <v>#DIV/0!</v>
      </c>
      <c r="I89" s="23" t="e">
        <f>'Alloc Amt'!I89/'Alloc Amt'!$E89</f>
        <v>#DIV/0!</v>
      </c>
    </row>
    <row r="90" spans="1:9" ht="15">
      <c r="A90" s="22">
        <f>'Alloc Amt'!A90</f>
        <v>0</v>
      </c>
      <c r="B90" s="22">
        <f>'Alloc Amt'!B90</f>
        <v>0</v>
      </c>
      <c r="C90" s="22">
        <f>'Alloc Amt'!C90</f>
        <v>0</v>
      </c>
      <c r="D90" s="22">
        <f>'Alloc Amt'!D90</f>
        <v>73</v>
      </c>
      <c r="E90" s="23" t="e">
        <f t="shared" si="2"/>
        <v>#DIV/0!</v>
      </c>
      <c r="F90" s="23" t="e">
        <f>'Alloc Amt'!F90/'Alloc Amt'!$E90</f>
        <v>#DIV/0!</v>
      </c>
      <c r="G90" s="23" t="e">
        <f>'Alloc Amt'!G90/'Alloc Amt'!$E90</f>
        <v>#DIV/0!</v>
      </c>
      <c r="H90" s="23" t="e">
        <f>'Alloc Amt'!H90/'Alloc Amt'!$E90</f>
        <v>#DIV/0!</v>
      </c>
      <c r="I90" s="23" t="e">
        <f>'Alloc Amt'!I90/'Alloc Amt'!$E90</f>
        <v>#DIV/0!</v>
      </c>
    </row>
    <row r="91" spans="1:9" ht="15">
      <c r="A91" s="22">
        <f>'Alloc Amt'!A91</f>
        <v>0</v>
      </c>
      <c r="B91" s="22">
        <f>'Alloc Amt'!B91</f>
        <v>0</v>
      </c>
      <c r="C91" s="22">
        <f>'Alloc Amt'!C91</f>
        <v>0</v>
      </c>
      <c r="D91" s="22">
        <f>'Alloc Amt'!D91</f>
        <v>74</v>
      </c>
      <c r="E91" s="23" t="e">
        <f t="shared" si="2"/>
        <v>#DIV/0!</v>
      </c>
      <c r="F91" s="23" t="e">
        <f>'Alloc Amt'!F91/'Alloc Amt'!$E91</f>
        <v>#DIV/0!</v>
      </c>
      <c r="G91" s="23" t="e">
        <f>'Alloc Amt'!G91/'Alloc Amt'!$E91</f>
        <v>#DIV/0!</v>
      </c>
      <c r="H91" s="23" t="e">
        <f>'Alloc Amt'!H91/'Alloc Amt'!$E91</f>
        <v>#DIV/0!</v>
      </c>
      <c r="I91" s="23" t="e">
        <f>'Alloc Amt'!I91/'Alloc Amt'!$E91</f>
        <v>#DIV/0!</v>
      </c>
    </row>
    <row r="92" spans="1:9" ht="15">
      <c r="A92" s="22">
        <f>'Alloc Amt'!A92</f>
        <v>0</v>
      </c>
      <c r="B92" s="22">
        <f>'Alloc Amt'!B92</f>
        <v>0</v>
      </c>
      <c r="C92" s="22">
        <f>'Alloc Amt'!C92</f>
        <v>0</v>
      </c>
      <c r="D92" s="22">
        <f>'Alloc Amt'!D92</f>
        <v>75</v>
      </c>
      <c r="E92" s="23" t="e">
        <f t="shared" si="2"/>
        <v>#DIV/0!</v>
      </c>
      <c r="F92" s="23" t="e">
        <f>'Alloc Amt'!F92/'Alloc Amt'!$E92</f>
        <v>#DIV/0!</v>
      </c>
      <c r="G92" s="23" t="e">
        <f>'Alloc Amt'!G92/'Alloc Amt'!$E92</f>
        <v>#DIV/0!</v>
      </c>
      <c r="H92" s="23" t="e">
        <f>'Alloc Amt'!H92/'Alloc Amt'!$E92</f>
        <v>#DIV/0!</v>
      </c>
      <c r="I92" s="23" t="e">
        <f>'Alloc Amt'!I92/'Alloc Amt'!$E92</f>
        <v>#DIV/0!</v>
      </c>
    </row>
    <row r="93" spans="1:9" ht="15">
      <c r="A93" s="22">
        <f>'Alloc Amt'!A93</f>
        <v>0</v>
      </c>
      <c r="B93" s="22">
        <f>'Alloc Amt'!B93</f>
        <v>0</v>
      </c>
      <c r="C93" s="22">
        <f>'Alloc Amt'!C93</f>
        <v>0</v>
      </c>
      <c r="D93" s="22">
        <f>'Alloc Amt'!D93</f>
        <v>76</v>
      </c>
      <c r="E93" s="23" t="e">
        <f t="shared" si="2"/>
        <v>#DIV/0!</v>
      </c>
      <c r="F93" s="23" t="e">
        <f>'Alloc Amt'!F93/'Alloc Amt'!$E93</f>
        <v>#DIV/0!</v>
      </c>
      <c r="G93" s="23" t="e">
        <f>'Alloc Amt'!G93/'Alloc Amt'!$E93</f>
        <v>#DIV/0!</v>
      </c>
      <c r="H93" s="23" t="e">
        <f>'Alloc Amt'!H93/'Alloc Amt'!$E93</f>
        <v>#DIV/0!</v>
      </c>
      <c r="I93" s="23" t="e">
        <f>'Alloc Amt'!I93/'Alloc Amt'!$E93</f>
        <v>#DIV/0!</v>
      </c>
    </row>
    <row r="94" spans="1:9" ht="15">
      <c r="A94" s="22">
        <f>'Alloc Amt'!A94</f>
        <v>0</v>
      </c>
      <c r="B94" s="22">
        <f>'Alloc Amt'!B94</f>
        <v>0</v>
      </c>
      <c r="C94" s="22">
        <f>'Alloc Amt'!C94</f>
        <v>0</v>
      </c>
      <c r="D94" s="22">
        <f>'Alloc Amt'!D94</f>
        <v>77</v>
      </c>
      <c r="E94" s="23" t="e">
        <f t="shared" si="2"/>
        <v>#DIV/0!</v>
      </c>
      <c r="F94" s="23" t="e">
        <f>'Alloc Amt'!F94/'Alloc Amt'!$E94</f>
        <v>#DIV/0!</v>
      </c>
      <c r="G94" s="23" t="e">
        <f>'Alloc Amt'!G94/'Alloc Amt'!$E94</f>
        <v>#DIV/0!</v>
      </c>
      <c r="H94" s="23" t="e">
        <f>'Alloc Amt'!H94/'Alloc Amt'!$E94</f>
        <v>#DIV/0!</v>
      </c>
      <c r="I94" s="23" t="e">
        <f>'Alloc Amt'!I94/'Alloc Amt'!$E94</f>
        <v>#DIV/0!</v>
      </c>
    </row>
    <row r="95" spans="1:9" ht="15">
      <c r="A95" s="22">
        <f>'Alloc Amt'!A95</f>
        <v>0</v>
      </c>
      <c r="B95" s="22">
        <f>'Alloc Amt'!B95</f>
        <v>0</v>
      </c>
      <c r="C95" s="22">
        <f>'Alloc Amt'!C95</f>
        <v>0</v>
      </c>
      <c r="D95" s="22">
        <f>'Alloc Amt'!D95</f>
        <v>78</v>
      </c>
      <c r="E95" s="23" t="e">
        <f t="shared" si="2"/>
        <v>#DIV/0!</v>
      </c>
      <c r="F95" s="23" t="e">
        <f>'Alloc Amt'!F95/'Alloc Amt'!$E95</f>
        <v>#DIV/0!</v>
      </c>
      <c r="G95" s="23" t="e">
        <f>'Alloc Amt'!G95/'Alloc Amt'!$E95</f>
        <v>#DIV/0!</v>
      </c>
      <c r="H95" s="23" t="e">
        <f>'Alloc Amt'!H95/'Alloc Amt'!$E95</f>
        <v>#DIV/0!</v>
      </c>
      <c r="I95" s="23" t="e">
        <f>'Alloc Amt'!I95/'Alloc Amt'!$E95</f>
        <v>#DIV/0!</v>
      </c>
    </row>
    <row r="96" spans="1:9" ht="15">
      <c r="A96" s="22">
        <f>'Alloc Amt'!A96</f>
        <v>0</v>
      </c>
      <c r="B96" s="22">
        <f>'Alloc Amt'!B96</f>
        <v>0</v>
      </c>
      <c r="C96" s="22">
        <f>'Alloc Amt'!C96</f>
        <v>0</v>
      </c>
      <c r="D96" s="22">
        <f>'Alloc Amt'!D96</f>
        <v>79</v>
      </c>
      <c r="E96" s="23" t="e">
        <f t="shared" si="2"/>
        <v>#DIV/0!</v>
      </c>
      <c r="F96" s="23" t="e">
        <f>'Alloc Amt'!F96/'Alloc Amt'!$E96</f>
        <v>#DIV/0!</v>
      </c>
      <c r="G96" s="23" t="e">
        <f>'Alloc Amt'!G96/'Alloc Amt'!$E96</f>
        <v>#DIV/0!</v>
      </c>
      <c r="H96" s="23" t="e">
        <f>'Alloc Amt'!H96/'Alloc Amt'!$E96</f>
        <v>#DIV/0!</v>
      </c>
      <c r="I96" s="23" t="e">
        <f>'Alloc Amt'!I96/'Alloc Amt'!$E96</f>
        <v>#DIV/0!</v>
      </c>
    </row>
    <row r="97" spans="1:9" ht="15">
      <c r="A97" s="22">
        <f>'Alloc Amt'!A97</f>
        <v>0</v>
      </c>
      <c r="B97" s="22">
        <f>'Alloc Amt'!B97</f>
        <v>0</v>
      </c>
      <c r="C97" s="22">
        <f>'Alloc Amt'!C97</f>
        <v>0</v>
      </c>
      <c r="D97" s="22">
        <f>'Alloc Amt'!D97</f>
        <v>80</v>
      </c>
      <c r="E97" s="23" t="e">
        <f t="shared" si="2"/>
        <v>#DIV/0!</v>
      </c>
      <c r="F97" s="23" t="e">
        <f>'Alloc Amt'!F97/'Alloc Amt'!$E97</f>
        <v>#DIV/0!</v>
      </c>
      <c r="G97" s="23" t="e">
        <f>'Alloc Amt'!G97/'Alloc Amt'!$E97</f>
        <v>#DIV/0!</v>
      </c>
      <c r="H97" s="23" t="e">
        <f>'Alloc Amt'!H97/'Alloc Amt'!$E97</f>
        <v>#DIV/0!</v>
      </c>
      <c r="I97" s="23" t="e">
        <f>'Alloc Amt'!I97/'Alloc Amt'!$E97</f>
        <v>#DIV/0!</v>
      </c>
    </row>
    <row r="98" spans="1:9" ht="15">
      <c r="A98" s="22">
        <f>'Alloc Amt'!A98</f>
        <v>0</v>
      </c>
      <c r="B98" s="22">
        <f>'Alloc Amt'!B98</f>
        <v>0</v>
      </c>
      <c r="C98" s="22">
        <f>'Alloc Amt'!C98</f>
        <v>0</v>
      </c>
      <c r="D98" s="22">
        <f>'Alloc Amt'!D98</f>
        <v>81</v>
      </c>
      <c r="E98" s="23" t="e">
        <f t="shared" si="2"/>
        <v>#DIV/0!</v>
      </c>
      <c r="F98" s="23" t="e">
        <f>'Alloc Amt'!F98/'Alloc Amt'!$E98</f>
        <v>#DIV/0!</v>
      </c>
      <c r="G98" s="23" t="e">
        <f>'Alloc Amt'!G98/'Alloc Amt'!$E98</f>
        <v>#DIV/0!</v>
      </c>
      <c r="H98" s="23" t="e">
        <f>'Alloc Amt'!H98/'Alloc Amt'!$E98</f>
        <v>#DIV/0!</v>
      </c>
      <c r="I98" s="23" t="e">
        <f>'Alloc Amt'!I98/'Alloc Amt'!$E98</f>
        <v>#DIV/0!</v>
      </c>
    </row>
    <row r="99" spans="1:9" ht="15">
      <c r="A99" s="22">
        <f>'Alloc Amt'!A99</f>
        <v>0</v>
      </c>
      <c r="B99" s="22">
        <f>'Alloc Amt'!B99</f>
        <v>0</v>
      </c>
      <c r="C99" s="22">
        <f>'Alloc Amt'!C99</f>
        <v>0</v>
      </c>
      <c r="D99" s="22">
        <f>'Alloc Amt'!D99</f>
        <v>82</v>
      </c>
      <c r="E99" s="23" t="e">
        <f t="shared" si="2"/>
        <v>#DIV/0!</v>
      </c>
      <c r="F99" s="23" t="e">
        <f>'Alloc Amt'!F99/'Alloc Amt'!$E99</f>
        <v>#DIV/0!</v>
      </c>
      <c r="G99" s="23" t="e">
        <f>'Alloc Amt'!G99/'Alloc Amt'!$E99</f>
        <v>#DIV/0!</v>
      </c>
      <c r="H99" s="23" t="e">
        <f>'Alloc Amt'!H99/'Alloc Amt'!$E99</f>
        <v>#DIV/0!</v>
      </c>
      <c r="I99" s="23" t="e">
        <f>'Alloc Amt'!I99/'Alloc Amt'!$E99</f>
        <v>#DIV/0!</v>
      </c>
    </row>
    <row r="100" spans="1:9" ht="15">
      <c r="A100" s="22">
        <f>'Alloc Amt'!A100</f>
        <v>0</v>
      </c>
      <c r="B100" s="22">
        <f>'Alloc Amt'!B100</f>
        <v>0</v>
      </c>
      <c r="C100" s="22">
        <f>'Alloc Amt'!C100</f>
        <v>0</v>
      </c>
      <c r="D100" s="22">
        <f>'Alloc Amt'!D100</f>
        <v>83</v>
      </c>
      <c r="E100" s="23" t="e">
        <f t="shared" si="2"/>
        <v>#DIV/0!</v>
      </c>
      <c r="F100" s="23" t="e">
        <f>'Alloc Amt'!F100/'Alloc Amt'!$E100</f>
        <v>#DIV/0!</v>
      </c>
      <c r="G100" s="23" t="e">
        <f>'Alloc Amt'!G100/'Alloc Amt'!$E100</f>
        <v>#DIV/0!</v>
      </c>
      <c r="H100" s="23" t="e">
        <f>'Alloc Amt'!H100/'Alloc Amt'!$E100</f>
        <v>#DIV/0!</v>
      </c>
      <c r="I100" s="23" t="e">
        <f>'Alloc Amt'!I100/'Alloc Amt'!$E100</f>
        <v>#DIV/0!</v>
      </c>
    </row>
    <row r="101" spans="1:9" ht="15">
      <c r="A101" s="22">
        <f>'Alloc Amt'!A101</f>
        <v>0</v>
      </c>
      <c r="B101" s="22">
        <f>'Alloc Amt'!B101</f>
        <v>0</v>
      </c>
      <c r="C101" s="22">
        <f>'Alloc Amt'!C101</f>
        <v>0</v>
      </c>
      <c r="D101" s="22">
        <f>'Alloc Amt'!D101</f>
        <v>84</v>
      </c>
      <c r="E101" s="23" t="e">
        <f t="shared" si="2"/>
        <v>#DIV/0!</v>
      </c>
      <c r="F101" s="23" t="e">
        <f>'Alloc Amt'!F101/'Alloc Amt'!$E101</f>
        <v>#DIV/0!</v>
      </c>
      <c r="G101" s="23" t="e">
        <f>'Alloc Amt'!G101/'Alloc Amt'!$E101</f>
        <v>#DIV/0!</v>
      </c>
      <c r="H101" s="23" t="e">
        <f>'Alloc Amt'!H101/'Alloc Amt'!$E101</f>
        <v>#DIV/0!</v>
      </c>
      <c r="I101" s="23" t="e">
        <f>'Alloc Amt'!I101/'Alloc Amt'!$E101</f>
        <v>#DIV/0!</v>
      </c>
    </row>
    <row r="102" spans="1:9" ht="15">
      <c r="A102" s="22">
        <f>'Alloc Amt'!A102</f>
        <v>0</v>
      </c>
      <c r="B102" s="22">
        <f>'Alloc Amt'!B102</f>
        <v>0</v>
      </c>
      <c r="C102" s="22">
        <f>'Alloc Amt'!C102</f>
        <v>0</v>
      </c>
      <c r="D102" s="22">
        <f>'Alloc Amt'!D102</f>
        <v>85</v>
      </c>
      <c r="E102" s="23" t="e">
        <f t="shared" si="2"/>
        <v>#DIV/0!</v>
      </c>
      <c r="F102" s="23" t="e">
        <f>'Alloc Amt'!F102/'Alloc Amt'!$E102</f>
        <v>#DIV/0!</v>
      </c>
      <c r="G102" s="23" t="e">
        <f>'Alloc Amt'!G102/'Alloc Amt'!$E102</f>
        <v>#DIV/0!</v>
      </c>
      <c r="H102" s="23" t="e">
        <f>'Alloc Amt'!H102/'Alloc Amt'!$E102</f>
        <v>#DIV/0!</v>
      </c>
      <c r="I102" s="23" t="e">
        <f>'Alloc Amt'!I102/'Alloc Amt'!$E102</f>
        <v>#DIV/0!</v>
      </c>
    </row>
    <row r="103" spans="1:9" ht="15">
      <c r="A103" s="22">
        <f>'Alloc Amt'!A103</f>
        <v>0</v>
      </c>
      <c r="B103" s="22">
        <f>'Alloc Amt'!B103</f>
        <v>0</v>
      </c>
      <c r="C103" s="22">
        <f>'Alloc Amt'!C103</f>
        <v>0</v>
      </c>
      <c r="D103" s="22">
        <f>'Alloc Amt'!D103</f>
        <v>86</v>
      </c>
      <c r="E103" s="23" t="e">
        <f t="shared" si="2"/>
        <v>#DIV/0!</v>
      </c>
      <c r="F103" s="23" t="e">
        <f>'Alloc Amt'!F103/'Alloc Amt'!$E103</f>
        <v>#DIV/0!</v>
      </c>
      <c r="G103" s="23" t="e">
        <f>'Alloc Amt'!G103/'Alloc Amt'!$E103</f>
        <v>#DIV/0!</v>
      </c>
      <c r="H103" s="23" t="e">
        <f>'Alloc Amt'!H103/'Alloc Amt'!$E103</f>
        <v>#DIV/0!</v>
      </c>
      <c r="I103" s="23" t="e">
        <f>'Alloc Amt'!I103/'Alloc Amt'!$E103</f>
        <v>#DIV/0!</v>
      </c>
    </row>
    <row r="104" spans="1:9" ht="15">
      <c r="A104" s="22">
        <f>'Alloc Amt'!A104</f>
        <v>0</v>
      </c>
      <c r="B104" s="22">
        <f>'Alloc Amt'!B104</f>
        <v>0</v>
      </c>
      <c r="C104" s="22">
        <f>'Alloc Amt'!C104</f>
        <v>0</v>
      </c>
      <c r="D104" s="22">
        <f>'Alloc Amt'!D104</f>
        <v>87</v>
      </c>
      <c r="E104" s="23" t="e">
        <f t="shared" si="2"/>
        <v>#DIV/0!</v>
      </c>
      <c r="F104" s="23" t="e">
        <f>'Alloc Amt'!F104/'Alloc Amt'!$E104</f>
        <v>#DIV/0!</v>
      </c>
      <c r="G104" s="23" t="e">
        <f>'Alloc Amt'!G104/'Alloc Amt'!$E104</f>
        <v>#DIV/0!</v>
      </c>
      <c r="H104" s="23" t="e">
        <f>'Alloc Amt'!H104/'Alloc Amt'!$E104</f>
        <v>#DIV/0!</v>
      </c>
      <c r="I104" s="23" t="e">
        <f>'Alloc Amt'!I104/'Alloc Amt'!$E104</f>
        <v>#DIV/0!</v>
      </c>
    </row>
    <row r="105" spans="1:9" ht="15">
      <c r="A105" s="22">
        <f>'Alloc Amt'!A105</f>
        <v>0</v>
      </c>
      <c r="B105" s="22">
        <f>'Alloc Amt'!B105</f>
        <v>0</v>
      </c>
      <c r="C105" s="22">
        <f>'Alloc Amt'!C105</f>
        <v>0</v>
      </c>
      <c r="D105" s="22">
        <f>'Alloc Amt'!D105</f>
        <v>88</v>
      </c>
      <c r="E105" s="23" t="e">
        <f t="shared" si="2"/>
        <v>#DIV/0!</v>
      </c>
      <c r="F105" s="23" t="e">
        <f>'Alloc Amt'!F105/'Alloc Amt'!$E105</f>
        <v>#DIV/0!</v>
      </c>
      <c r="G105" s="23" t="e">
        <f>'Alloc Amt'!G105/'Alloc Amt'!$E105</f>
        <v>#DIV/0!</v>
      </c>
      <c r="H105" s="23" t="e">
        <f>'Alloc Amt'!H105/'Alloc Amt'!$E105</f>
        <v>#DIV/0!</v>
      </c>
      <c r="I105" s="23" t="e">
        <f>'Alloc Amt'!I105/'Alloc Amt'!$E105</f>
        <v>#DIV/0!</v>
      </c>
    </row>
    <row r="106" spans="1:9" ht="15">
      <c r="A106" s="22">
        <f>'Alloc Amt'!A106</f>
        <v>0</v>
      </c>
      <c r="B106" s="22">
        <f>'Alloc Amt'!B106</f>
        <v>0</v>
      </c>
      <c r="C106" s="22">
        <f>'Alloc Amt'!C106</f>
        <v>0</v>
      </c>
      <c r="D106" s="22">
        <f>'Alloc Amt'!D106</f>
        <v>89</v>
      </c>
      <c r="E106" s="23" t="e">
        <f t="shared" si="2"/>
        <v>#DIV/0!</v>
      </c>
      <c r="F106" s="23" t="e">
        <f>'Alloc Amt'!F106/'Alloc Amt'!$E106</f>
        <v>#DIV/0!</v>
      </c>
      <c r="G106" s="23" t="e">
        <f>'Alloc Amt'!G106/'Alloc Amt'!$E106</f>
        <v>#DIV/0!</v>
      </c>
      <c r="H106" s="23" t="e">
        <f>'Alloc Amt'!H106/'Alloc Amt'!$E106</f>
        <v>#DIV/0!</v>
      </c>
      <c r="I106" s="23" t="e">
        <f>'Alloc Amt'!I106/'Alloc Amt'!$E106</f>
        <v>#DIV/0!</v>
      </c>
    </row>
    <row r="107" spans="1:9" ht="15">
      <c r="A107" s="22">
        <f>'Alloc Amt'!A107</f>
        <v>0</v>
      </c>
      <c r="B107" s="22">
        <f>'Alloc Amt'!B107</f>
        <v>0</v>
      </c>
      <c r="C107" s="22">
        <f>'Alloc Amt'!C107</f>
        <v>0</v>
      </c>
      <c r="D107" s="22">
        <f>'Alloc Amt'!D107</f>
        <v>90</v>
      </c>
      <c r="E107" s="23" t="e">
        <f t="shared" si="2"/>
        <v>#DIV/0!</v>
      </c>
      <c r="F107" s="23" t="e">
        <f>'Alloc Amt'!F107/'Alloc Amt'!$E107</f>
        <v>#DIV/0!</v>
      </c>
      <c r="G107" s="23" t="e">
        <f>'Alloc Amt'!G107/'Alloc Amt'!$E107</f>
        <v>#DIV/0!</v>
      </c>
      <c r="H107" s="23" t="e">
        <f>'Alloc Amt'!H107/'Alloc Amt'!$E107</f>
        <v>#DIV/0!</v>
      </c>
      <c r="I107" s="23" t="e">
        <f>'Alloc Amt'!I107/'Alloc Amt'!$E107</f>
        <v>#DIV/0!</v>
      </c>
    </row>
    <row r="108" spans="1:9" ht="15">
      <c r="A108" s="22">
        <f>'Alloc Amt'!A108</f>
        <v>0</v>
      </c>
      <c r="B108" s="22">
        <f>'Alloc Amt'!B108</f>
        <v>0</v>
      </c>
      <c r="C108" s="22">
        <f>'Alloc Amt'!C108</f>
        <v>0</v>
      </c>
      <c r="D108" s="22">
        <f>'Alloc Amt'!D108</f>
        <v>91</v>
      </c>
      <c r="E108" s="23" t="e">
        <f t="shared" si="2"/>
        <v>#DIV/0!</v>
      </c>
      <c r="F108" s="23" t="e">
        <f>'Alloc Amt'!F108/'Alloc Amt'!$E108</f>
        <v>#DIV/0!</v>
      </c>
      <c r="G108" s="23" t="e">
        <f>'Alloc Amt'!G108/'Alloc Amt'!$E108</f>
        <v>#DIV/0!</v>
      </c>
      <c r="H108" s="23" t="e">
        <f>'Alloc Amt'!H108/'Alloc Amt'!$E108</f>
        <v>#DIV/0!</v>
      </c>
      <c r="I108" s="23" t="e">
        <f>'Alloc Amt'!I108/'Alloc Amt'!$E108</f>
        <v>#DIV/0!</v>
      </c>
    </row>
    <row r="109" spans="1:9" ht="15">
      <c r="A109" s="22">
        <f>'Alloc Amt'!A109</f>
        <v>0</v>
      </c>
      <c r="B109" s="22">
        <f>'Alloc Amt'!B109</f>
        <v>0</v>
      </c>
      <c r="C109" s="22">
        <f>'Alloc Amt'!C109</f>
        <v>0</v>
      </c>
      <c r="D109" s="22">
        <f>'Alloc Amt'!D109</f>
        <v>92</v>
      </c>
      <c r="E109" s="23" t="e">
        <f t="shared" si="2"/>
        <v>#DIV/0!</v>
      </c>
      <c r="F109" s="23" t="e">
        <f>'Alloc Amt'!F109/'Alloc Amt'!$E109</f>
        <v>#DIV/0!</v>
      </c>
      <c r="G109" s="23" t="e">
        <f>'Alloc Amt'!G109/'Alloc Amt'!$E109</f>
        <v>#DIV/0!</v>
      </c>
      <c r="H109" s="23" t="e">
        <f>'Alloc Amt'!H109/'Alloc Amt'!$E109</f>
        <v>#DIV/0!</v>
      </c>
      <c r="I109" s="23" t="e">
        <f>'Alloc Amt'!I109/'Alloc Amt'!$E109</f>
        <v>#DIV/0!</v>
      </c>
    </row>
    <row r="110" spans="1:9" ht="15">
      <c r="A110" s="22">
        <f>'Alloc Amt'!A110</f>
        <v>0</v>
      </c>
      <c r="B110" s="22">
        <f>'Alloc Amt'!B110</f>
        <v>0</v>
      </c>
      <c r="C110" s="22">
        <f>'Alloc Amt'!C110</f>
        <v>0</v>
      </c>
      <c r="D110" s="22">
        <f>'Alloc Amt'!D110</f>
        <v>93</v>
      </c>
      <c r="E110" s="23" t="e">
        <f t="shared" si="2"/>
        <v>#DIV/0!</v>
      </c>
      <c r="F110" s="23" t="e">
        <f>'Alloc Amt'!F110/'Alloc Amt'!$E110</f>
        <v>#DIV/0!</v>
      </c>
      <c r="G110" s="23" t="e">
        <f>'Alloc Amt'!G110/'Alloc Amt'!$E110</f>
        <v>#DIV/0!</v>
      </c>
      <c r="H110" s="23" t="e">
        <f>'Alloc Amt'!H110/'Alloc Amt'!$E110</f>
        <v>#DIV/0!</v>
      </c>
      <c r="I110" s="23" t="e">
        <f>'Alloc Amt'!I110/'Alloc Amt'!$E110</f>
        <v>#DIV/0!</v>
      </c>
    </row>
  </sheetData>
  <sheetProtection/>
  <printOptions/>
  <pageMargins left="0.5" right="0.5" top="0.5" bottom="0.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1"/>
  <sheetViews>
    <sheetView zoomScale="87" zoomScaleNormal="87" zoomScalePageLayoutView="0" workbookViewId="0" topLeftCell="A1">
      <selection activeCell="B20" sqref="B20"/>
    </sheetView>
  </sheetViews>
  <sheetFormatPr defaultColWidth="8.88671875" defaultRowHeight="15"/>
  <cols>
    <col min="1" max="16384" width="9.6640625" style="1" customWidth="1"/>
  </cols>
  <sheetData>
    <row r="3" ht="15">
      <c r="A3" s="1" t="s">
        <v>398</v>
      </c>
    </row>
    <row r="4" ht="15">
      <c r="A4" s="1" t="s">
        <v>399</v>
      </c>
    </row>
    <row r="5" ht="15">
      <c r="B5" s="4" t="s">
        <v>400</v>
      </c>
    </row>
    <row r="6" ht="15">
      <c r="C6" s="4" t="s">
        <v>406</v>
      </c>
    </row>
    <row r="7" ht="15">
      <c r="C7" s="4"/>
    </row>
    <row r="8" spans="2:3" ht="15">
      <c r="B8" s="4" t="s">
        <v>401</v>
      </c>
      <c r="C8" s="4"/>
    </row>
    <row r="9" ht="15">
      <c r="C9" s="4" t="s">
        <v>407</v>
      </c>
    </row>
    <row r="11" ht="15">
      <c r="B11" s="1" t="s">
        <v>402</v>
      </c>
    </row>
    <row r="12" ht="15">
      <c r="C12" s="1" t="s">
        <v>408</v>
      </c>
    </row>
    <row r="14" ht="15">
      <c r="B14" s="4" t="s">
        <v>403</v>
      </c>
    </row>
    <row r="15" ht="15">
      <c r="C15" s="1" t="s">
        <v>409</v>
      </c>
    </row>
    <row r="17" ht="15">
      <c r="B17" s="1" t="s">
        <v>404</v>
      </c>
    </row>
    <row r="18" ht="15">
      <c r="C18" s="4" t="s">
        <v>410</v>
      </c>
    </row>
    <row r="20" ht="15">
      <c r="B20" s="4" t="s">
        <v>405</v>
      </c>
    </row>
    <row r="21" ht="15">
      <c r="C21" s="1" t="s">
        <v>408</v>
      </c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Dutton, Gregory (KYOAG)</dc:creator>
  <cp:keywords/>
  <dc:description/>
  <cp:lastModifiedBy>Dutton, Gregory (KYOAG)</cp:lastModifiedBy>
  <dcterms:created xsi:type="dcterms:W3CDTF">2013-11-06T19:56:25Z</dcterms:created>
  <dcterms:modified xsi:type="dcterms:W3CDTF">2013-11-06T19:56:25Z</dcterms:modified>
  <cp:category/>
  <cp:version/>
  <cp:contentType/>
  <cp:contentStatus/>
</cp:coreProperties>
</file>