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/>
  </bookViews>
  <sheets>
    <sheet name="Summary (All Sr Officers)" sheetId="11" r:id="rId1"/>
    <sheet name="Executive Chairman (Best)" sheetId="1" r:id="rId2"/>
    <sheet name="President and CEO (Cocklin)" sheetId="10" r:id="rId3"/>
    <sheet name="Sr VP Utility Ops (Sweetin)" sheetId="9" r:id="rId4"/>
    <sheet name="Sr VP CFO (Meisenheimer)" sheetId="8" r:id="rId5"/>
    <sheet name="Sr VP CFO (Eckert)" sheetId="7" r:id="rId6"/>
    <sheet name="Sr VP GenCounsel (Gregory)" sheetId="6" r:id="rId7"/>
    <sheet name="Sr VP HR (Haefner)" sheetId="5" r:id="rId8"/>
  </sheets>
  <definedNames>
    <definedName name="_xlnm.Print_Area" localSheetId="1">'Executive Chairman (Best)'!$A$1:$AN$26</definedName>
    <definedName name="_xlnm.Print_Area" localSheetId="2">'President and CEO (Cocklin)'!$A$1:$AN$27</definedName>
    <definedName name="_xlnm.Print_Area" localSheetId="5">'Sr VP CFO (Eckert)'!$A$1:$AH$26</definedName>
    <definedName name="_xlnm.Print_Area" localSheetId="4">'Sr VP CFO (Meisenheimer)'!$A$1:$AN$26</definedName>
    <definedName name="_xlnm.Print_Area" localSheetId="6">'Sr VP GenCounsel (Gregory)'!$A$1:$AN$29</definedName>
    <definedName name="_xlnm.Print_Area" localSheetId="7">'Sr VP HR (Haefner)'!$A$1:$AN$24</definedName>
    <definedName name="_xlnm.Print_Area" localSheetId="3">'Sr VP Utility Ops (Sweetin)'!$A$1:$AH$24</definedName>
    <definedName name="_xlnm.Print_Area" localSheetId="0">'Summary (All Sr Officers)'!$A$1:$AN$26</definedName>
    <definedName name="_xlnm.Print_Titles" localSheetId="1">'Executive Chairman (Best)'!$A:$B</definedName>
    <definedName name="_xlnm.Print_Titles" localSheetId="2">'President and CEO (Cocklin)'!$A:$B</definedName>
    <definedName name="_xlnm.Print_Titles" localSheetId="5">'Sr VP CFO (Eckert)'!$A:$B</definedName>
    <definedName name="_xlnm.Print_Titles" localSheetId="4">'Sr VP CFO (Meisenheimer)'!$A:$B</definedName>
    <definedName name="_xlnm.Print_Titles" localSheetId="6">'Sr VP GenCounsel (Gregory)'!$A:$B</definedName>
    <definedName name="_xlnm.Print_Titles" localSheetId="7">'Sr VP HR (Haefner)'!$A:$B</definedName>
    <definedName name="_xlnm.Print_Titles" localSheetId="3">'Sr VP Utility Ops (Sweetin)'!$A:$B</definedName>
    <definedName name="_xlnm.Print_Titles" localSheetId="0">'Summary (All Sr Officers)'!$A:$B</definedName>
  </definedNames>
  <calcPr calcId="145621"/>
</workbook>
</file>

<file path=xl/calcChain.xml><?xml version="1.0" encoding="utf-8"?>
<calcChain xmlns="http://schemas.openxmlformats.org/spreadsheetml/2006/main">
  <c r="D10" i="11" l="1"/>
  <c r="C10" i="11"/>
  <c r="I17" i="11"/>
  <c r="I10" i="11"/>
  <c r="H17" i="11"/>
  <c r="H10" i="11"/>
  <c r="G17" i="11"/>
  <c r="F17" i="11"/>
  <c r="G10" i="11"/>
  <c r="G9" i="11"/>
  <c r="G8" i="11"/>
  <c r="F9" i="11"/>
  <c r="F10" i="11"/>
  <c r="F8" i="11"/>
  <c r="Z17" i="11"/>
  <c r="Y17" i="11"/>
  <c r="O17" i="11"/>
  <c r="P17" i="11"/>
  <c r="S17" i="11"/>
  <c r="S10" i="11"/>
  <c r="Q17" i="11"/>
  <c r="Q10" i="11"/>
  <c r="P10" i="11"/>
  <c r="O10" i="11"/>
  <c r="O9" i="11"/>
  <c r="O8" i="11"/>
  <c r="N9" i="11"/>
  <c r="N10" i="11"/>
  <c r="N11" i="11"/>
  <c r="N12" i="11"/>
  <c r="N13" i="11"/>
  <c r="N14" i="11"/>
  <c r="N15" i="11"/>
  <c r="N16" i="11"/>
  <c r="N8" i="11"/>
  <c r="AA17" i="11"/>
  <c r="AA10" i="11"/>
  <c r="Z10" i="11"/>
  <c r="Y10" i="11"/>
  <c r="Y9" i="11"/>
  <c r="Z9" i="11" s="1"/>
  <c r="AA9" i="11" s="1"/>
  <c r="Y8" i="11"/>
  <c r="X12" i="11"/>
  <c r="X13" i="11"/>
  <c r="X14" i="11"/>
  <c r="X15" i="11"/>
  <c r="X16" i="11"/>
  <c r="X9" i="11"/>
  <c r="X10" i="11"/>
  <c r="X11" i="11"/>
  <c r="U11" i="11" s="1"/>
  <c r="X8" i="11"/>
  <c r="AI9" i="11"/>
  <c r="AI10" i="11"/>
  <c r="AI8" i="11"/>
  <c r="AG10" i="11"/>
  <c r="AH10" i="11" s="1"/>
  <c r="AG9" i="11"/>
  <c r="AH9" i="11" s="1"/>
  <c r="AG8" i="11"/>
  <c r="AF9" i="11"/>
  <c r="AF10" i="11"/>
  <c r="AF8" i="11"/>
  <c r="AN9" i="11"/>
  <c r="AN10" i="11"/>
  <c r="AN8" i="11"/>
  <c r="AL9" i="11"/>
  <c r="AL10" i="11"/>
  <c r="AL8" i="11"/>
  <c r="AM8" i="11" s="1"/>
  <c r="AK9" i="11"/>
  <c r="AK10" i="11"/>
  <c r="AK11" i="11"/>
  <c r="AK12" i="11"/>
  <c r="AK13" i="11"/>
  <c r="AK14" i="11"/>
  <c r="AK15" i="11"/>
  <c r="AK16" i="11"/>
  <c r="AK8" i="11"/>
  <c r="AK17" i="11"/>
  <c r="AF17" i="11"/>
  <c r="X17" i="11"/>
  <c r="N17" i="11"/>
  <c r="K17" i="11" s="1"/>
  <c r="L17" i="11" s="1"/>
  <c r="AC16" i="11"/>
  <c r="U16" i="11"/>
  <c r="K16" i="11"/>
  <c r="AC15" i="11"/>
  <c r="U15" i="11"/>
  <c r="K15" i="11"/>
  <c r="AC14" i="11"/>
  <c r="U14" i="11"/>
  <c r="K14" i="11"/>
  <c r="AC13" i="11"/>
  <c r="U13" i="11"/>
  <c r="K13" i="11"/>
  <c r="AC12" i="11"/>
  <c r="U12" i="11"/>
  <c r="K12" i="11"/>
  <c r="AC11" i="11"/>
  <c r="K11" i="11"/>
  <c r="AM10" i="11"/>
  <c r="AC10" i="11"/>
  <c r="AD10" i="11" s="1"/>
  <c r="U10" i="11"/>
  <c r="V10" i="11" s="1"/>
  <c r="K10" i="11"/>
  <c r="AM9" i="11"/>
  <c r="AC9" i="11"/>
  <c r="AD9" i="11" s="1"/>
  <c r="U9" i="11"/>
  <c r="V9" i="11" s="1"/>
  <c r="P9" i="11"/>
  <c r="Q9" i="11" s="1"/>
  <c r="S9" i="11" s="1"/>
  <c r="K9" i="11"/>
  <c r="L9" i="11" s="1"/>
  <c r="C9" i="11"/>
  <c r="D9" i="11" s="1"/>
  <c r="AL17" i="11"/>
  <c r="AC8" i="11"/>
  <c r="AD8" i="11" s="1"/>
  <c r="U8" i="11"/>
  <c r="V8" i="11" s="1"/>
  <c r="K8" i="11"/>
  <c r="L8" i="11" s="1"/>
  <c r="C8" i="11"/>
  <c r="D9" i="1"/>
  <c r="D17" i="1"/>
  <c r="D8" i="1"/>
  <c r="C17" i="1"/>
  <c r="C9" i="1"/>
  <c r="C8" i="1"/>
  <c r="I17" i="1"/>
  <c r="I9" i="1"/>
  <c r="I8" i="1"/>
  <c r="H17" i="1"/>
  <c r="H9" i="1"/>
  <c r="H8" i="1"/>
  <c r="G17" i="1"/>
  <c r="G9" i="1"/>
  <c r="G8" i="1"/>
  <c r="F17" i="1"/>
  <c r="F9" i="1"/>
  <c r="F8" i="1"/>
  <c r="S17" i="1"/>
  <c r="S9" i="1"/>
  <c r="S8" i="1"/>
  <c r="Q17" i="1"/>
  <c r="Q9" i="1"/>
  <c r="Q8" i="1"/>
  <c r="P17" i="1"/>
  <c r="P9" i="1"/>
  <c r="P8" i="1"/>
  <c r="O17" i="1"/>
  <c r="O9" i="1"/>
  <c r="O8" i="1"/>
  <c r="AA17" i="1"/>
  <c r="AA9" i="1"/>
  <c r="AA8" i="1"/>
  <c r="Z17" i="1"/>
  <c r="Z9" i="1"/>
  <c r="Z8" i="1"/>
  <c r="Y17" i="1"/>
  <c r="Y9" i="1"/>
  <c r="Y8" i="1"/>
  <c r="AI17" i="1"/>
  <c r="AI10" i="1"/>
  <c r="AI9" i="1"/>
  <c r="AI8" i="1"/>
  <c r="AH17" i="1"/>
  <c r="AH9" i="1"/>
  <c r="AH10" i="1"/>
  <c r="AH8" i="1"/>
  <c r="AG17" i="1"/>
  <c r="AG10" i="1"/>
  <c r="AG9" i="1"/>
  <c r="AG8" i="1"/>
  <c r="AN17" i="1"/>
  <c r="AN9" i="1"/>
  <c r="AN10" i="1"/>
  <c r="AN8" i="1"/>
  <c r="AM17" i="1"/>
  <c r="AM9" i="1"/>
  <c r="AM10" i="1"/>
  <c r="AM8" i="1"/>
  <c r="AL17" i="1"/>
  <c r="AL10" i="1"/>
  <c r="AL9" i="1"/>
  <c r="AL8" i="1"/>
  <c r="D17" i="10"/>
  <c r="C17" i="10"/>
  <c r="D9" i="10"/>
  <c r="D10" i="10"/>
  <c r="D8" i="10"/>
  <c r="C9" i="10"/>
  <c r="C10" i="10"/>
  <c r="C8" i="10"/>
  <c r="I17" i="10"/>
  <c r="I10" i="10"/>
  <c r="I9" i="10"/>
  <c r="I8" i="10"/>
  <c r="H17" i="10"/>
  <c r="H9" i="10"/>
  <c r="H10" i="10"/>
  <c r="H8" i="10"/>
  <c r="G17" i="10"/>
  <c r="G10" i="10"/>
  <c r="G9" i="10"/>
  <c r="G8" i="10"/>
  <c r="F17" i="10"/>
  <c r="F10" i="10"/>
  <c r="F9" i="10"/>
  <c r="F8" i="10"/>
  <c r="S17" i="10"/>
  <c r="S10" i="10"/>
  <c r="S9" i="10"/>
  <c r="S8" i="10"/>
  <c r="Q17" i="10"/>
  <c r="Q10" i="10"/>
  <c r="Q9" i="10"/>
  <c r="Q8" i="10"/>
  <c r="P17" i="10"/>
  <c r="P9" i="10"/>
  <c r="P10" i="10"/>
  <c r="P8" i="10"/>
  <c r="O17" i="10"/>
  <c r="O10" i="10"/>
  <c r="O9" i="10"/>
  <c r="O8" i="10"/>
  <c r="AA17" i="10"/>
  <c r="AA10" i="10"/>
  <c r="AA9" i="10"/>
  <c r="AA8" i="10"/>
  <c r="Z17" i="10"/>
  <c r="Z9" i="10"/>
  <c r="Z10" i="10"/>
  <c r="Z8" i="10"/>
  <c r="Y17" i="10"/>
  <c r="Y10" i="10"/>
  <c r="Y9" i="10"/>
  <c r="Y8" i="10"/>
  <c r="AI17" i="10"/>
  <c r="AI10" i="10"/>
  <c r="AI9" i="10"/>
  <c r="AI8" i="10"/>
  <c r="AH17" i="10"/>
  <c r="AH9" i="10"/>
  <c r="AH10" i="10"/>
  <c r="AH8" i="10"/>
  <c r="AG17" i="10"/>
  <c r="AG9" i="10"/>
  <c r="AG10" i="10"/>
  <c r="AG8" i="10"/>
  <c r="AL9" i="10"/>
  <c r="AM9" i="10" s="1"/>
  <c r="AN9" i="10" s="1"/>
  <c r="AL8" i="10"/>
  <c r="D9" i="9"/>
  <c r="D17" i="9"/>
  <c r="D8" i="9"/>
  <c r="C17" i="9"/>
  <c r="C9" i="9"/>
  <c r="C8" i="9"/>
  <c r="I17" i="9"/>
  <c r="I9" i="9"/>
  <c r="I8" i="9"/>
  <c r="H17" i="9"/>
  <c r="H9" i="9"/>
  <c r="H8" i="9"/>
  <c r="G17" i="9"/>
  <c r="G9" i="9"/>
  <c r="G8" i="9"/>
  <c r="F17" i="9"/>
  <c r="F9" i="9"/>
  <c r="F8" i="9"/>
  <c r="S17" i="9"/>
  <c r="S9" i="9"/>
  <c r="S8" i="9"/>
  <c r="Q17" i="9"/>
  <c r="Q9" i="9"/>
  <c r="Q8" i="9"/>
  <c r="P17" i="9"/>
  <c r="P9" i="9"/>
  <c r="P8" i="9"/>
  <c r="O17" i="9"/>
  <c r="O9" i="9"/>
  <c r="O8" i="9"/>
  <c r="D9" i="8"/>
  <c r="D17" i="8"/>
  <c r="D8" i="8"/>
  <c r="C17" i="8"/>
  <c r="C9" i="8"/>
  <c r="C8" i="8"/>
  <c r="I17" i="8"/>
  <c r="I9" i="8"/>
  <c r="I8" i="8"/>
  <c r="H17" i="8"/>
  <c r="H9" i="8"/>
  <c r="H8" i="8"/>
  <c r="G17" i="8"/>
  <c r="G9" i="8"/>
  <c r="G8" i="8"/>
  <c r="F17" i="8"/>
  <c r="F9" i="8"/>
  <c r="F8" i="8"/>
  <c r="S17" i="8"/>
  <c r="S9" i="8"/>
  <c r="S8" i="8"/>
  <c r="Q17" i="8"/>
  <c r="Q9" i="8"/>
  <c r="Q8" i="8"/>
  <c r="P17" i="8"/>
  <c r="O17" i="8"/>
  <c r="P9" i="8"/>
  <c r="P8" i="8"/>
  <c r="O9" i="8"/>
  <c r="O8" i="8"/>
  <c r="AA17" i="8"/>
  <c r="AA9" i="8"/>
  <c r="AA8" i="8"/>
  <c r="Z17" i="8"/>
  <c r="Z9" i="8"/>
  <c r="Z8" i="8"/>
  <c r="Y17" i="8"/>
  <c r="Y9" i="8"/>
  <c r="Y8" i="8"/>
  <c r="AI17" i="8"/>
  <c r="AI9" i="8"/>
  <c r="AI8" i="8"/>
  <c r="AH17" i="8"/>
  <c r="AG9" i="8"/>
  <c r="AH9" i="8" s="1"/>
  <c r="AH8" i="8"/>
  <c r="G9" i="6"/>
  <c r="H9" i="6" s="1"/>
  <c r="I9" i="6" s="1"/>
  <c r="G8" i="6"/>
  <c r="O9" i="6"/>
  <c r="O17" i="6" s="1"/>
  <c r="O8" i="6"/>
  <c r="P8" i="6" s="1"/>
  <c r="AG8" i="8"/>
  <c r="AN17" i="8"/>
  <c r="AN9" i="8"/>
  <c r="AN8" i="8"/>
  <c r="AM17" i="8"/>
  <c r="AM9" i="8"/>
  <c r="AM10" i="8"/>
  <c r="AM11" i="8"/>
  <c r="AM12" i="8"/>
  <c r="AM13" i="8"/>
  <c r="AM14" i="8"/>
  <c r="AM15" i="8"/>
  <c r="AM16" i="8"/>
  <c r="AM8" i="8"/>
  <c r="AL17" i="8"/>
  <c r="AL9" i="8"/>
  <c r="AL8" i="8"/>
  <c r="D9" i="7"/>
  <c r="D10" i="7"/>
  <c r="D17" i="7"/>
  <c r="D8" i="7"/>
  <c r="C17" i="7"/>
  <c r="C9" i="7"/>
  <c r="C10" i="7"/>
  <c r="C8" i="7"/>
  <c r="I17" i="7"/>
  <c r="I10" i="7"/>
  <c r="I9" i="7"/>
  <c r="I8" i="7"/>
  <c r="H17" i="7"/>
  <c r="H9" i="7"/>
  <c r="H10" i="7"/>
  <c r="H8" i="7"/>
  <c r="G17" i="7"/>
  <c r="G9" i="7"/>
  <c r="G10" i="7"/>
  <c r="G8" i="7"/>
  <c r="F17" i="7"/>
  <c r="F9" i="7"/>
  <c r="F10" i="7"/>
  <c r="F8" i="7"/>
  <c r="S17" i="7"/>
  <c r="S10" i="7"/>
  <c r="S9" i="7"/>
  <c r="S8" i="7"/>
  <c r="Q17" i="7"/>
  <c r="Q9" i="7"/>
  <c r="Q10" i="7"/>
  <c r="Q8" i="7"/>
  <c r="P17" i="7"/>
  <c r="P9" i="7"/>
  <c r="P10" i="7"/>
  <c r="P8" i="7"/>
  <c r="O17" i="7"/>
  <c r="O9" i="7"/>
  <c r="O10" i="7"/>
  <c r="O8" i="7"/>
  <c r="D17" i="6"/>
  <c r="D9" i="6"/>
  <c r="D8" i="6"/>
  <c r="C17" i="6"/>
  <c r="C9" i="6"/>
  <c r="C10" i="6"/>
  <c r="C11" i="6"/>
  <c r="C12" i="6"/>
  <c r="C13" i="6"/>
  <c r="C14" i="6"/>
  <c r="C15" i="6"/>
  <c r="C16" i="6"/>
  <c r="C8" i="6"/>
  <c r="H8" i="6"/>
  <c r="F17" i="6"/>
  <c r="F9" i="6"/>
  <c r="F8" i="6"/>
  <c r="P9" i="6"/>
  <c r="Q9" i="6" s="1"/>
  <c r="S9" i="6" s="1"/>
  <c r="AA17" i="6"/>
  <c r="AA9" i="6"/>
  <c r="AA8" i="6"/>
  <c r="Z17" i="6"/>
  <c r="Z9" i="6"/>
  <c r="Z8" i="6"/>
  <c r="Y17" i="6"/>
  <c r="Y9" i="6"/>
  <c r="Y8" i="6"/>
  <c r="AI17" i="6"/>
  <c r="AI9" i="6"/>
  <c r="AI8" i="6"/>
  <c r="AG9" i="6"/>
  <c r="AG8" i="6"/>
  <c r="AH9" i="6"/>
  <c r="AH8" i="6"/>
  <c r="AN17" i="6"/>
  <c r="AN9" i="6"/>
  <c r="AN8" i="6"/>
  <c r="AM17" i="6"/>
  <c r="AM9" i="6"/>
  <c r="AM8" i="6"/>
  <c r="AL17" i="6"/>
  <c r="AL9" i="6"/>
  <c r="AL8" i="6"/>
  <c r="D17" i="5"/>
  <c r="D9" i="5"/>
  <c r="D8" i="5"/>
  <c r="C17" i="5"/>
  <c r="C9" i="5"/>
  <c r="C10" i="5"/>
  <c r="C11" i="5"/>
  <c r="C12" i="5"/>
  <c r="C13" i="5"/>
  <c r="C14" i="5"/>
  <c r="C15" i="5"/>
  <c r="C16" i="5"/>
  <c r="C8" i="5"/>
  <c r="AA17" i="5"/>
  <c r="S17" i="5"/>
  <c r="I17" i="5"/>
  <c r="I9" i="5"/>
  <c r="I10" i="5"/>
  <c r="I11" i="5"/>
  <c r="I12" i="5"/>
  <c r="I13" i="5"/>
  <c r="I14" i="5"/>
  <c r="I15" i="5"/>
  <c r="I16" i="5"/>
  <c r="I8" i="5"/>
  <c r="H17" i="5"/>
  <c r="H9" i="5"/>
  <c r="H10" i="5"/>
  <c r="H11" i="5"/>
  <c r="H12" i="5"/>
  <c r="H13" i="5"/>
  <c r="H14" i="5"/>
  <c r="H15" i="5"/>
  <c r="H16" i="5"/>
  <c r="H8" i="5"/>
  <c r="G17" i="5"/>
  <c r="G9" i="5"/>
  <c r="G8" i="5"/>
  <c r="F17" i="5"/>
  <c r="F9" i="5"/>
  <c r="F8" i="5"/>
  <c r="S9" i="5"/>
  <c r="S10" i="5"/>
  <c r="S11" i="5"/>
  <c r="S12" i="5"/>
  <c r="S13" i="5"/>
  <c r="S14" i="5"/>
  <c r="S15" i="5"/>
  <c r="S16" i="5"/>
  <c r="S8" i="5"/>
  <c r="Q17" i="5"/>
  <c r="Q9" i="5"/>
  <c r="Q8" i="5"/>
  <c r="P9" i="5"/>
  <c r="P10" i="5"/>
  <c r="P11" i="5"/>
  <c r="P12" i="5"/>
  <c r="P13" i="5"/>
  <c r="P14" i="5"/>
  <c r="P15" i="5"/>
  <c r="P16" i="5"/>
  <c r="P17" i="5"/>
  <c r="P8" i="5"/>
  <c r="O17" i="5"/>
  <c r="O9" i="5"/>
  <c r="O8" i="5"/>
  <c r="Q10" i="5"/>
  <c r="Q11" i="5"/>
  <c r="Q12" i="5"/>
  <c r="Q13" i="5"/>
  <c r="Q14" i="5"/>
  <c r="Q15" i="5"/>
  <c r="Q16" i="5"/>
  <c r="AA10" i="5"/>
  <c r="AA11" i="5"/>
  <c r="AA12" i="5"/>
  <c r="AA13" i="5"/>
  <c r="AA14" i="5"/>
  <c r="AA15" i="5"/>
  <c r="AA16" i="5"/>
  <c r="AA9" i="5"/>
  <c r="AA8" i="5"/>
  <c r="AI17" i="5"/>
  <c r="AI9" i="5"/>
  <c r="AI8" i="5"/>
  <c r="AN17" i="5"/>
  <c r="AN9" i="5"/>
  <c r="AN8" i="5"/>
  <c r="C17" i="11" l="1"/>
  <c r="D17" i="11" s="1"/>
  <c r="D8" i="11"/>
  <c r="P8" i="11"/>
  <c r="Z8" i="11"/>
  <c r="U17" i="11"/>
  <c r="V17" i="11" s="1"/>
  <c r="AG17" i="11"/>
  <c r="AC17" i="11"/>
  <c r="AD17" i="11" s="1"/>
  <c r="AM17" i="11"/>
  <c r="H8" i="11"/>
  <c r="Q8" i="11"/>
  <c r="AH8" i="11"/>
  <c r="AN17" i="11"/>
  <c r="AL17" i="10"/>
  <c r="AM8" i="10"/>
  <c r="AG17" i="8"/>
  <c r="G17" i="6"/>
  <c r="H17" i="6"/>
  <c r="I8" i="6"/>
  <c r="I17" i="6" s="1"/>
  <c r="Q8" i="6"/>
  <c r="P17" i="6"/>
  <c r="AG17" i="6"/>
  <c r="AH17" i="6"/>
  <c r="Z9" i="5"/>
  <c r="Z10" i="5"/>
  <c r="Z11" i="5"/>
  <c r="Z12" i="5"/>
  <c r="Z13" i="5"/>
  <c r="Z14" i="5"/>
  <c r="Z15" i="5"/>
  <c r="Z16" i="5"/>
  <c r="Z17" i="5"/>
  <c r="Z8" i="5"/>
  <c r="Y17" i="5"/>
  <c r="Y9" i="5"/>
  <c r="Y8" i="5"/>
  <c r="AH10" i="5"/>
  <c r="AH11" i="5"/>
  <c r="AH12" i="5"/>
  <c r="AH13" i="5"/>
  <c r="AH14" i="5"/>
  <c r="AH15" i="5"/>
  <c r="AH16" i="5"/>
  <c r="AG9" i="5"/>
  <c r="AH9" i="5" s="1"/>
  <c r="AG8" i="5"/>
  <c r="AG17" i="5" s="1"/>
  <c r="AM10" i="5"/>
  <c r="AM11" i="5"/>
  <c r="AM12" i="5"/>
  <c r="AM13" i="5"/>
  <c r="AM14" i="5"/>
  <c r="AM15" i="5"/>
  <c r="AM16" i="5"/>
  <c r="AL9" i="5"/>
  <c r="AM9" i="5" s="1"/>
  <c r="AL8" i="5"/>
  <c r="AA8" i="11" l="1"/>
  <c r="AI17" i="11"/>
  <c r="AH17" i="11"/>
  <c r="S8" i="11"/>
  <c r="H9" i="11"/>
  <c r="I9" i="11" s="1"/>
  <c r="I8" i="11"/>
  <c r="AN8" i="10"/>
  <c r="AN17" i="10" s="1"/>
  <c r="AM17" i="10"/>
  <c r="Q17" i="6"/>
  <c r="S8" i="6"/>
  <c r="S17" i="6" s="1"/>
  <c r="AL17" i="5"/>
  <c r="AM8" i="5"/>
  <c r="AH8" i="5"/>
  <c r="AC9" i="5"/>
  <c r="AD9" i="5" s="1"/>
  <c r="AC10" i="5"/>
  <c r="AC11" i="5"/>
  <c r="AC12" i="5"/>
  <c r="AC13" i="5"/>
  <c r="AC14" i="5"/>
  <c r="AC15" i="5"/>
  <c r="AC16" i="5"/>
  <c r="AC8" i="5"/>
  <c r="AD8" i="5" s="1"/>
  <c r="U9" i="5"/>
  <c r="V9" i="5" s="1"/>
  <c r="U10" i="5"/>
  <c r="U11" i="5"/>
  <c r="U12" i="5"/>
  <c r="U13" i="5"/>
  <c r="U14" i="5"/>
  <c r="U15" i="5"/>
  <c r="U16" i="5"/>
  <c r="U8" i="5"/>
  <c r="V8" i="5" s="1"/>
  <c r="K9" i="5"/>
  <c r="L9" i="5" s="1"/>
  <c r="K10" i="5"/>
  <c r="K11" i="5"/>
  <c r="K12" i="5"/>
  <c r="K13" i="5"/>
  <c r="K14" i="5"/>
  <c r="K15" i="5"/>
  <c r="K16" i="5"/>
  <c r="K8" i="5"/>
  <c r="L8" i="5" s="1"/>
  <c r="N17" i="5"/>
  <c r="K17" i="5" s="1"/>
  <c r="L17" i="5" s="1"/>
  <c r="X17" i="5"/>
  <c r="AF17" i="5"/>
  <c r="AH17" i="5" s="1"/>
  <c r="AK17" i="5"/>
  <c r="AD9" i="6"/>
  <c r="AD17" i="6"/>
  <c r="AD8" i="6"/>
  <c r="AC9" i="6"/>
  <c r="AC10" i="6"/>
  <c r="AC11" i="6"/>
  <c r="AC12" i="6"/>
  <c r="AC13" i="6"/>
  <c r="AC14" i="6"/>
  <c r="AC15" i="6"/>
  <c r="AC16" i="6"/>
  <c r="AC17" i="6"/>
  <c r="AC8" i="6"/>
  <c r="V9" i="6"/>
  <c r="V17" i="6"/>
  <c r="V8" i="6"/>
  <c r="U9" i="6"/>
  <c r="U10" i="6"/>
  <c r="U11" i="6"/>
  <c r="U12" i="6"/>
  <c r="U13" i="6"/>
  <c r="U14" i="6"/>
  <c r="U15" i="6"/>
  <c r="U16" i="6"/>
  <c r="U17" i="6"/>
  <c r="U8" i="6"/>
  <c r="L9" i="6"/>
  <c r="L17" i="6"/>
  <c r="L8" i="6"/>
  <c r="K9" i="6"/>
  <c r="K10" i="6"/>
  <c r="K11" i="6"/>
  <c r="K12" i="6"/>
  <c r="K13" i="6"/>
  <c r="K14" i="6"/>
  <c r="K15" i="6"/>
  <c r="K16" i="6"/>
  <c r="K17" i="6"/>
  <c r="K8" i="6"/>
  <c r="N17" i="6"/>
  <c r="X17" i="6"/>
  <c r="AF17" i="6"/>
  <c r="AK17" i="6"/>
  <c r="N17" i="7"/>
  <c r="AD9" i="8"/>
  <c r="AD17" i="8"/>
  <c r="AD8" i="8"/>
  <c r="AC9" i="8"/>
  <c r="AC10" i="8"/>
  <c r="AC11" i="8"/>
  <c r="AC12" i="8"/>
  <c r="AC13" i="8"/>
  <c r="AC14" i="8"/>
  <c r="AC15" i="8"/>
  <c r="AC16" i="8"/>
  <c r="AC17" i="8"/>
  <c r="AC8" i="8"/>
  <c r="V9" i="8"/>
  <c r="V17" i="8"/>
  <c r="V8" i="8"/>
  <c r="U9" i="8"/>
  <c r="U10" i="8"/>
  <c r="U11" i="8"/>
  <c r="U12" i="8"/>
  <c r="U13" i="8"/>
  <c r="U14" i="8"/>
  <c r="U15" i="8"/>
  <c r="U16" i="8"/>
  <c r="U17" i="8"/>
  <c r="U8" i="8"/>
  <c r="L9" i="8"/>
  <c r="L17" i="8"/>
  <c r="L8" i="8"/>
  <c r="K9" i="8"/>
  <c r="K10" i="8"/>
  <c r="K11" i="8"/>
  <c r="K12" i="8"/>
  <c r="K13" i="8"/>
  <c r="K14" i="8"/>
  <c r="K15" i="8"/>
  <c r="K16" i="8"/>
  <c r="K17" i="8"/>
  <c r="K8" i="8"/>
  <c r="N17" i="8"/>
  <c r="X17" i="8"/>
  <c r="AF17" i="8"/>
  <c r="AK17" i="8"/>
  <c r="N17" i="9"/>
  <c r="AD9" i="10"/>
  <c r="AC9" i="10"/>
  <c r="AC10" i="10"/>
  <c r="AC11" i="10"/>
  <c r="AC12" i="10"/>
  <c r="AC13" i="10"/>
  <c r="AC14" i="10"/>
  <c r="AC15" i="10"/>
  <c r="AC16" i="10"/>
  <c r="AC8" i="10"/>
  <c r="AD8" i="10" s="1"/>
  <c r="U9" i="10"/>
  <c r="V9" i="10" s="1"/>
  <c r="U10" i="10"/>
  <c r="V10" i="10" s="1"/>
  <c r="U11" i="10"/>
  <c r="U12" i="10"/>
  <c r="U13" i="10"/>
  <c r="U14" i="10"/>
  <c r="U15" i="10"/>
  <c r="U16" i="10"/>
  <c r="U8" i="10"/>
  <c r="V8" i="10" s="1"/>
  <c r="K10" i="10"/>
  <c r="L10" i="10" s="1"/>
  <c r="K9" i="10"/>
  <c r="L9" i="10" s="1"/>
  <c r="K8" i="10"/>
  <c r="K17" i="10" s="1"/>
  <c r="N17" i="10"/>
  <c r="X17" i="10"/>
  <c r="U17" i="10" s="1"/>
  <c r="V17" i="10" s="1"/>
  <c r="AF17" i="10"/>
  <c r="AK17" i="10"/>
  <c r="AD9" i="1"/>
  <c r="AD10" i="1"/>
  <c r="AD17" i="1"/>
  <c r="AD8" i="1"/>
  <c r="AC9" i="1"/>
  <c r="AC10" i="1"/>
  <c r="AC11" i="1"/>
  <c r="AC12" i="1"/>
  <c r="AC13" i="1"/>
  <c r="AC14" i="1"/>
  <c r="AC15" i="1"/>
  <c r="AC16" i="1"/>
  <c r="AC17" i="1"/>
  <c r="AC8" i="1"/>
  <c r="V9" i="1"/>
  <c r="V10" i="1"/>
  <c r="V17" i="1"/>
  <c r="V8" i="1"/>
  <c r="U9" i="1"/>
  <c r="U10" i="1"/>
  <c r="U11" i="1"/>
  <c r="U12" i="1"/>
  <c r="U13" i="1"/>
  <c r="U14" i="1"/>
  <c r="U15" i="1"/>
  <c r="U16" i="1"/>
  <c r="U17" i="1"/>
  <c r="U8" i="1"/>
  <c r="L9" i="1"/>
  <c r="L17" i="1"/>
  <c r="L8" i="1"/>
  <c r="K9" i="1"/>
  <c r="K10" i="1"/>
  <c r="K11" i="1"/>
  <c r="K12" i="1"/>
  <c r="K13" i="1"/>
  <c r="K14" i="1"/>
  <c r="K15" i="1"/>
  <c r="K16" i="1"/>
  <c r="K17" i="1"/>
  <c r="K8" i="1"/>
  <c r="N17" i="1"/>
  <c r="X17" i="1"/>
  <c r="AF17" i="1"/>
  <c r="AK17" i="1"/>
  <c r="L17" i="10" l="1"/>
  <c r="AC17" i="10"/>
  <c r="AD17" i="10" s="1"/>
  <c r="L8" i="10"/>
  <c r="AM17" i="5"/>
  <c r="U17" i="5"/>
  <c r="V17" i="5" s="1"/>
  <c r="AC17" i="5"/>
  <c r="AD17" i="5" s="1"/>
</calcChain>
</file>

<file path=xl/sharedStrings.xml><?xml version="1.0" encoding="utf-8"?>
<sst xmlns="http://schemas.openxmlformats.org/spreadsheetml/2006/main" count="574" uniqueCount="118">
  <si>
    <t>OAG Schedule 1 - Data Request Regarding Expensed and Capitalized Payroll Costs</t>
  </si>
  <si>
    <t>Total</t>
  </si>
  <si>
    <t>Forecasted</t>
  </si>
  <si>
    <t>Actual</t>
  </si>
  <si>
    <t xml:space="preserve">        Forecasted Test Period</t>
  </si>
  <si>
    <t>FYE September 30, 2012</t>
  </si>
  <si>
    <t>FYE September 30, 2011</t>
  </si>
  <si>
    <t>FYE September 30, 2010</t>
  </si>
  <si>
    <t>Line</t>
  </si>
  <si>
    <t>Payroll</t>
  </si>
  <si>
    <t>Assigned/Alloc. To Atmos</t>
  </si>
  <si>
    <t>Base Period</t>
  </si>
  <si>
    <t>Grand</t>
  </si>
  <si>
    <t>Chairman of the Board - Base Salary</t>
  </si>
  <si>
    <t>Chairman of the Board - Short-term Incentive</t>
  </si>
  <si>
    <t>Chairman of the Board - Long-Term Incentive</t>
  </si>
  <si>
    <t>Chairman of the Board - Deferred Comp.</t>
  </si>
  <si>
    <t>Chairman of the Board - SERP</t>
  </si>
  <si>
    <t>Chairman of the Board - Benefits</t>
  </si>
  <si>
    <t>Chairman of the Board - Other Bonus</t>
  </si>
  <si>
    <t>Chairman of the Board - COLA or Merit Pay</t>
  </si>
  <si>
    <t>Chairman of the Board - Other (Describe)</t>
  </si>
  <si>
    <t>Chairman of the Board - Total Compensation</t>
  </si>
  <si>
    <t>Amount</t>
  </si>
  <si>
    <t>Percent</t>
  </si>
  <si>
    <t>Change from September 30, 2012 to Base Period</t>
  </si>
  <si>
    <t>Change from Base Period to Forecasted Period</t>
  </si>
  <si>
    <t>Change from Sept. 2011 to Sept. 2012</t>
  </si>
  <si>
    <t>Change from September 2010 to Sept. 2011</t>
  </si>
  <si>
    <t>Amont</t>
  </si>
  <si>
    <t>Include all Officers for KY - Kentucky Direct, DGO - Division General Office, SSU - Shared Services Unit, plus all other affiliates with amounts assigned/allocated to KY-Atmos</t>
  </si>
  <si>
    <t>"Total" is total compensation paid, and "Assigned/Allocated" is amount included in Kentucky Atmos operations and for this rate case.</t>
  </si>
  <si>
    <t>Note - "Assigned/Allocated" includes all amounts recorded on Atmos Kentucky books for purposes of this rate case, including directly incurred and assigned/allocated from all other affiliates.</t>
  </si>
  <si>
    <t>Not broken out between actual and forecast</t>
  </si>
  <si>
    <t>Note:</t>
  </si>
  <si>
    <t>Robert Best retired from the Company in</t>
  </si>
  <si>
    <t>April 2013.</t>
  </si>
  <si>
    <t>President and CEO - Base Salary</t>
  </si>
  <si>
    <t>President and CEO - Long-Term Incentive</t>
  </si>
  <si>
    <t>President and CEO - Short-term Incentive</t>
  </si>
  <si>
    <t>President and CEO - Other Bonus</t>
  </si>
  <si>
    <t>President and CEO - COLA or Merit Pay</t>
  </si>
  <si>
    <t>President and CEO - Deferred Comp.</t>
  </si>
  <si>
    <t>President and CEO - SERP</t>
  </si>
  <si>
    <t>President and CEO - Benefits</t>
  </si>
  <si>
    <t>President and CEO - Other (Describe)</t>
  </si>
  <si>
    <t>President and CEO - Total Compensation</t>
  </si>
  <si>
    <t xml:space="preserve">If FY10 Kim Cocklin was the Sr VP of Utility </t>
  </si>
  <si>
    <t>Operations and was promoted to President</t>
  </si>
  <si>
    <t>and CEO in FY11</t>
  </si>
  <si>
    <t>Sr VP, Utility Operations - Base Salary</t>
  </si>
  <si>
    <t>Sr VP, Utility Operations - Long-Term Incentive</t>
  </si>
  <si>
    <t>Sr VP, Utility Operations - Short-term Incentive</t>
  </si>
  <si>
    <t>Sr VP, Utility Operations - Other Bonus</t>
  </si>
  <si>
    <t>Sr VP, Utility Operations - COLA or Merit Pay</t>
  </si>
  <si>
    <t>Sr VP, Utility Operations - Deferred Comp.</t>
  </si>
  <si>
    <t>Sr VP, Utility Operations - SERP</t>
  </si>
  <si>
    <t>Sr VP, Utility Operations - Benefits</t>
  </si>
  <si>
    <t>Sr VP, Utility Operations - Other (Describe)</t>
  </si>
  <si>
    <t>Sr VP, Utility Operations - Total Compensation</t>
  </si>
  <si>
    <t>Sr VP, CFO - Base Salary</t>
  </si>
  <si>
    <t>Sr VP, CFO - Long-Term Incentive</t>
  </si>
  <si>
    <t>Fred Meisenheimer retired from the Company</t>
  </si>
  <si>
    <t>on October 1, 2012.</t>
  </si>
  <si>
    <t>Sr VP, CFO - Short-term Incentive</t>
  </si>
  <si>
    <t>Sr VP, CFO - Other Bonus</t>
  </si>
  <si>
    <t>Sr VP, CFO - COLA or Merit Pay</t>
  </si>
  <si>
    <t>Sr VP, CFO - Deferred Comp.</t>
  </si>
  <si>
    <t>Sr VP, CFO - SERP</t>
  </si>
  <si>
    <t>Sr VP, CFO - Benefits</t>
  </si>
  <si>
    <t>Sr VP, CFO - Other (Describe)</t>
  </si>
  <si>
    <t>Sr VP, CFO - Total Compensation</t>
  </si>
  <si>
    <t>Bret Eckert became Sr VP, CFO on October 1,</t>
  </si>
  <si>
    <t>Sr VP, General Counsel - Base Salary</t>
  </si>
  <si>
    <t>Sr VP, General Counsel - Long-Term Incentive</t>
  </si>
  <si>
    <t>Sr VP, General Counsel - Short-term Incentive</t>
  </si>
  <si>
    <t>Sr VP, General Counsel - Other Bonus</t>
  </si>
  <si>
    <t>Sr VP, General Counsel - COLA or Merit Pay</t>
  </si>
  <si>
    <t>Sr VP, General Counsel - Deferred Comp.</t>
  </si>
  <si>
    <t>Sr VP, General Counsel - SERP</t>
  </si>
  <si>
    <t>Sr VP, General Counsel - Benefits</t>
  </si>
  <si>
    <t>Sr VP, General Counsel - Other (Describe)</t>
  </si>
  <si>
    <t>Sr VP, General Counsel - Total Compensation</t>
  </si>
  <si>
    <t>Please note that there was a change between</t>
  </si>
  <si>
    <t>the base period Long-term incentive for Mr.</t>
  </si>
  <si>
    <t xml:space="preserve">Gregory in this file compared to Staff 1-36 </t>
  </si>
  <si>
    <t>due to a correction that was discovered.  There</t>
  </si>
  <si>
    <t>were no other changes made.</t>
  </si>
  <si>
    <t>Robert Best</t>
  </si>
  <si>
    <t>Kim Cocklin</t>
  </si>
  <si>
    <t>Marvin Sweetin</t>
  </si>
  <si>
    <t>Fred Meisenheimer</t>
  </si>
  <si>
    <t>Bret Eckert</t>
  </si>
  <si>
    <t>Louis Gregory</t>
  </si>
  <si>
    <t>Mike Haefner</t>
  </si>
  <si>
    <t>The short-term incentive in this schedule</t>
  </si>
  <si>
    <t xml:space="preserve">is the cash portion of the Management </t>
  </si>
  <si>
    <t>Incentive Plan (MIP) bonus that the Officer</t>
  </si>
  <si>
    <t>elected.  If stock was selected it is included</t>
  </si>
  <si>
    <t>in the Long-term Incentive line.</t>
  </si>
  <si>
    <t>Gross</t>
  </si>
  <si>
    <t>Capital</t>
  </si>
  <si>
    <t>Net Expense</t>
  </si>
  <si>
    <t>Assigned/Alloc. To KY</t>
  </si>
  <si>
    <t>Assigned/Alloc. To Atmos KY</t>
  </si>
  <si>
    <t>included in column o</t>
  </si>
  <si>
    <t>N/A</t>
  </si>
  <si>
    <t xml:space="preserve">Gross </t>
  </si>
  <si>
    <t>All Senior Officers - Base Salary</t>
  </si>
  <si>
    <t>All Senior Officers - Long-Term Incentive</t>
  </si>
  <si>
    <t>All Senior Officers - Short-term Incentive</t>
  </si>
  <si>
    <t>All Senior Officers - Other Bonus</t>
  </si>
  <si>
    <t>All Senior Officers - COLA or Merit Pay</t>
  </si>
  <si>
    <t>All Senior Officers - Deferred Comp.</t>
  </si>
  <si>
    <t>All Senior Officers - SERP</t>
  </si>
  <si>
    <t>All Senior Officers - Benefits</t>
  </si>
  <si>
    <t>All Senior Officers - Other (Describe)</t>
  </si>
  <si>
    <t>All Senior Officers - Total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</si>
</sst>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1" fillId="6" borderId="1" xfId="0" applyFont="1" applyFill="1" applyBorder="1"/>
    <xf numFmtId="0" fontId="1" fillId="0" borderId="0" xfId="0" applyFont="1" applyFill="1" applyBorder="1"/>
    <xf numFmtId="0" fontId="2" fillId="7" borderId="1" xfId="0" applyFont="1" applyFill="1" applyBorder="1"/>
    <xf numFmtId="0" fontId="1" fillId="7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2" fillId="0" borderId="0" xfId="0" applyFont="1" applyFill="1" applyBorder="1"/>
    <xf numFmtId="0" fontId="4" fillId="5" borderId="1" xfId="0" applyFont="1" applyFill="1" applyBorder="1"/>
    <xf numFmtId="0" fontId="1" fillId="0" borderId="2" xfId="0" applyFont="1" applyBorder="1"/>
    <xf numFmtId="0" fontId="1" fillId="3" borderId="0" xfId="0" applyFont="1" applyFill="1" applyBorder="1"/>
    <xf numFmtId="41" fontId="1" fillId="0" borderId="0" xfId="0" applyNumberFormat="1" applyFont="1"/>
    <xf numFmtId="41" fontId="1" fillId="0" borderId="0" xfId="0" applyNumberFormat="1" applyFont="1" applyBorder="1"/>
    <xf numFmtId="41" fontId="1" fillId="0" borderId="2" xfId="0" applyNumberFormat="1" applyFont="1" applyBorder="1"/>
    <xf numFmtId="0" fontId="2" fillId="3" borderId="0" xfId="0" applyFont="1" applyFill="1" applyBorder="1"/>
    <xf numFmtId="0" fontId="1" fillId="0" borderId="0" xfId="0" applyFont="1" applyAlignment="1">
      <alignment horizontal="left"/>
    </xf>
    <xf numFmtId="10" fontId="1" fillId="0" borderId="0" xfId="1" applyNumberFormat="1" applyFont="1"/>
    <xf numFmtId="10" fontId="1" fillId="0" borderId="2" xfId="1" applyNumberFormat="1" applyFont="1" applyBorder="1"/>
    <xf numFmtId="0" fontId="1" fillId="0" borderId="2" xfId="0" applyFont="1" applyBorder="1" applyAlignment="1">
      <alignment horizontal="center"/>
    </xf>
    <xf numFmtId="43" fontId="1" fillId="0" borderId="0" xfId="0" applyNumberFormat="1" applyFont="1"/>
    <xf numFmtId="0" fontId="2" fillId="7" borderId="1" xfId="0" applyFont="1" applyFill="1" applyBorder="1" applyAlignment="1">
      <alignment horizontal="center"/>
    </xf>
    <xf numFmtId="43" fontId="1" fillId="0" borderId="2" xfId="0" applyNumberFormat="1" applyFont="1" applyBorder="1"/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1" fontId="1" fillId="0" borderId="0" xfId="0" applyNumberFormat="1" applyFont="1" applyFill="1"/>
    <xf numFmtId="41" fontId="1" fillId="0" borderId="0" xfId="0" applyNumberFormat="1" applyFont="1" applyFill="1" applyBorder="1"/>
    <xf numFmtId="41" fontId="1" fillId="0" borderId="2" xfId="0" applyNumberFormat="1" applyFont="1" applyFill="1" applyBorder="1"/>
    <xf numFmtId="41" fontId="2" fillId="0" borderId="2" xfId="0" applyNumberFormat="1" applyFont="1" applyBorder="1"/>
    <xf numFmtId="9" fontId="1" fillId="0" borderId="0" xfId="1" applyFont="1"/>
    <xf numFmtId="9" fontId="2" fillId="0" borderId="2" xfId="1" applyFont="1" applyBorder="1"/>
    <xf numFmtId="164" fontId="1" fillId="0" borderId="2" xfId="0" applyNumberFormat="1" applyFont="1" applyBorder="1"/>
    <xf numFmtId="0" fontId="2" fillId="2" borderId="1" xfId="0" applyFont="1" applyFill="1" applyBorder="1" applyAlignment="1">
      <alignment horizontal="center"/>
    </xf>
    <xf numFmtId="0" fontId="6" fillId="0" borderId="0" xfId="0" applyFont="1" applyFill="1" applyBorder="1"/>
    <xf numFmtId="41" fontId="6" fillId="0" borderId="0" xfId="0" applyNumberFormat="1" applyFont="1" applyFill="1"/>
    <xf numFmtId="41" fontId="6" fillId="0" borderId="0" xfId="0" applyNumberFormat="1" applyFont="1" applyFill="1" applyBorder="1"/>
    <xf numFmtId="41" fontId="6" fillId="0" borderId="2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7.7109375" style="1" customWidth="1"/>
    <col min="2" max="2" width="33.8554687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9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7" style="1" bestFit="1" customWidth="1"/>
    <col min="13" max="13" width="1.28515625" style="1" customWidth="1"/>
    <col min="14" max="15" width="9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7.7109375" style="1" bestFit="1" customWidth="1"/>
    <col min="20" max="20" width="1.42578125" style="1" customWidth="1"/>
    <col min="21" max="21" width="31.7109375" style="1" bestFit="1" customWidth="1"/>
    <col min="22" max="22" width="7.28515625" style="1" bestFit="1" customWidth="1"/>
    <col min="23" max="23" width="1.140625" style="1" customWidth="1"/>
    <col min="24" max="24" width="20.42578125" style="1" bestFit="1" customWidth="1"/>
    <col min="25" max="25" width="9" style="1" bestFit="1" customWidth="1"/>
    <col min="26" max="26" width="10.42578125" style="1" bestFit="1" customWidth="1"/>
    <col min="27" max="27" width="25" style="1" bestFit="1" customWidth="1"/>
    <col min="28" max="28" width="0.85546875" style="1" customWidth="1"/>
    <col min="29" max="29" width="36.140625" style="1" bestFit="1" customWidth="1"/>
    <col min="30" max="30" width="6.7109375" style="1" bestFit="1" customWidth="1"/>
    <col min="31" max="31" width="1" style="1" customWidth="1"/>
    <col min="32" max="32" width="20.42578125" style="1" bestFit="1" customWidth="1"/>
    <col min="33" max="33" width="9" style="1" bestFit="1" customWidth="1"/>
    <col min="34" max="34" width="10.42578125" style="1" bestFit="1" customWidth="1"/>
    <col min="35" max="35" width="25" style="1" bestFit="1" customWidth="1"/>
    <col min="36" max="36" width="1.28515625" style="1" customWidth="1"/>
    <col min="37" max="37" width="20.42578125" style="1" bestFit="1" customWidth="1"/>
    <col min="38" max="38" width="9" style="1" bestFit="1" customWidth="1"/>
    <col min="39" max="39" width="10.42578125" style="1" bestFit="1" customWidth="1"/>
    <col min="40" max="40" width="25" style="1" bestFit="1" customWidth="1"/>
    <col min="41" max="16384" width="9.140625" style="1"/>
  </cols>
  <sheetData>
    <row r="1" spans="1:40" ht="15.75" x14ac:dyDescent="0.25">
      <c r="A1" s="15" t="s">
        <v>0</v>
      </c>
    </row>
    <row r="2" spans="1:40" x14ac:dyDescent="0.2">
      <c r="A2" s="6" t="s">
        <v>30</v>
      </c>
    </row>
    <row r="3" spans="1:40" x14ac:dyDescent="0.2">
      <c r="A3" s="6" t="s">
        <v>31</v>
      </c>
    </row>
    <row r="4" spans="1:40" x14ac:dyDescent="0.2">
      <c r="A4" s="6" t="s">
        <v>32</v>
      </c>
      <c r="N4" s="27"/>
      <c r="O4" s="27"/>
      <c r="P4" s="31"/>
      <c r="Q4" s="3" t="s">
        <v>11</v>
      </c>
      <c r="R4" s="2"/>
      <c r="S4" s="2"/>
      <c r="T4" s="11"/>
      <c r="U4" s="11"/>
      <c r="V4" s="11"/>
    </row>
    <row r="5" spans="1:40" x14ac:dyDescent="0.2">
      <c r="N5" s="53"/>
      <c r="O5" s="53"/>
      <c r="P5" s="53"/>
      <c r="Q5" s="3"/>
      <c r="R5" s="2"/>
      <c r="S5" s="27"/>
      <c r="T5" s="11"/>
      <c r="U5" s="11"/>
      <c r="V5" s="11"/>
    </row>
    <row r="6" spans="1:40" x14ac:dyDescent="0.2">
      <c r="B6" s="6" t="s">
        <v>88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4" t="s">
        <v>33</v>
      </c>
      <c r="O6" s="54"/>
      <c r="P6" s="54"/>
      <c r="Q6" s="35" t="s">
        <v>3</v>
      </c>
      <c r="R6" s="35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7"/>
      <c r="AA6" s="40" t="s">
        <v>102</v>
      </c>
      <c r="AB6" s="24"/>
      <c r="AC6" s="25" t="s">
        <v>28</v>
      </c>
      <c r="AD6" s="8"/>
      <c r="AF6" s="9" t="s">
        <v>6</v>
      </c>
      <c r="AG6" s="9"/>
      <c r="AH6" s="9"/>
      <c r="AI6" s="39" t="s">
        <v>102</v>
      </c>
      <c r="AK6" s="12" t="s">
        <v>7</v>
      </c>
      <c r="AL6" s="12"/>
      <c r="AM6" s="12"/>
      <c r="AN6" s="37" t="s">
        <v>102</v>
      </c>
    </row>
    <row r="7" spans="1:40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35" t="s">
        <v>23</v>
      </c>
      <c r="V7" s="35" t="s">
        <v>24</v>
      </c>
      <c r="X7" s="14" t="s">
        <v>100</v>
      </c>
      <c r="Y7" s="14" t="s">
        <v>101</v>
      </c>
      <c r="Z7" s="14" t="s">
        <v>102</v>
      </c>
      <c r="AA7" s="14" t="s">
        <v>104</v>
      </c>
      <c r="AB7" s="18"/>
      <c r="AC7" s="35" t="s">
        <v>29</v>
      </c>
      <c r="AD7" s="35" t="s">
        <v>24</v>
      </c>
      <c r="AF7" s="14" t="s">
        <v>100</v>
      </c>
      <c r="AG7" s="14" t="s">
        <v>101</v>
      </c>
      <c r="AH7" s="14" t="s">
        <v>102</v>
      </c>
      <c r="AI7" s="14" t="s">
        <v>104</v>
      </c>
      <c r="AK7" s="14" t="s">
        <v>100</v>
      </c>
      <c r="AL7" s="14" t="s">
        <v>101</v>
      </c>
      <c r="AM7" s="14" t="s">
        <v>102</v>
      </c>
      <c r="AN7" s="14" t="s">
        <v>104</v>
      </c>
    </row>
    <row r="8" spans="1:40" x14ac:dyDescent="0.2">
      <c r="A8" s="5">
        <v>1</v>
      </c>
      <c r="B8" s="1" t="s">
        <v>108</v>
      </c>
      <c r="C8" s="28">
        <f>F8-N8</f>
        <v>77889.588300000411</v>
      </c>
      <c r="D8" s="45">
        <f>C8/N8</f>
        <v>3.0000000000000158E-2</v>
      </c>
      <c r="F8" s="28">
        <f>'Executive Chairman (Best)'!F8+'President and CEO (Cocklin)'!F8+'Sr VP Utility Ops (Sweetin)'!F8+'Sr VP CFO (Meisenheimer)'!F8+'Sr VP CFO (Eckert)'!F8+'Sr VP GenCounsel (Gregory)'!F8+'Sr VP HR (Haefner)'!F8</f>
        <v>2674209.1983000003</v>
      </c>
      <c r="G8" s="28">
        <f>'Executive Chairman (Best)'!G8+'President and CEO (Cocklin)'!G8+'Sr VP Utility Ops (Sweetin)'!G8+'Sr VP CFO (Meisenheimer)'!G8+'Sr VP CFO (Eckert)'!G8+'Sr VP GenCounsel (Gregory)'!G8+'Sr VP HR (Haefner)'!G8</f>
        <v>1573699.9461723003</v>
      </c>
      <c r="H8" s="28">
        <f>F8-G8</f>
        <v>1100509.2521277</v>
      </c>
      <c r="I8" s="28">
        <f>H8*0.0555</f>
        <v>61078.263493087354</v>
      </c>
      <c r="K8" s="28">
        <f>N8-X8</f>
        <v>135714.22999999998</v>
      </c>
      <c r="L8" s="33">
        <f>K8/X8</f>
        <v>5.5154813162279596E-2</v>
      </c>
      <c r="N8" s="28">
        <f>'Executive Chairman (Best)'!N8+'President and CEO (Cocklin)'!N8+'Sr VP Utility Ops (Sweetin)'!N8+'Sr VP CFO (Meisenheimer)'!N8+'Sr VP CFO (Eckert)'!N8+'Sr VP GenCounsel (Gregory)'!N8+'Sr VP HR (Haefner)'!N8</f>
        <v>2596319.61</v>
      </c>
      <c r="O8" s="28">
        <f>'Executive Chairman (Best)'!O8+'President and CEO (Cocklin)'!O8+'Sr VP Utility Ops (Sweetin)'!O8+'Sr VP CFO (Meisenheimer)'!O8+'Sr VP CFO (Eckert)'!O8+'Sr VP GenCounsel (Gregory)'!O8+'Sr VP HR (Haefner)'!O8</f>
        <v>1527864.02541</v>
      </c>
      <c r="P8" s="50">
        <f>N8-O8</f>
        <v>1068455.5845899999</v>
      </c>
      <c r="Q8" s="28">
        <f>P8*0.0533</f>
        <v>56948.682658646991</v>
      </c>
      <c r="R8" s="1" t="s">
        <v>105</v>
      </c>
      <c r="S8" s="28">
        <f>Q8</f>
        <v>56948.682658646991</v>
      </c>
      <c r="U8" s="28">
        <f>X8-AF8</f>
        <v>-67914.14000000013</v>
      </c>
      <c r="V8" s="33">
        <f>U8/AF8</f>
        <v>-2.6859250823580802E-2</v>
      </c>
      <c r="X8" s="28">
        <f>'Executive Chairman (Best)'!X8+'President and CEO (Cocklin)'!X8+'Sr VP CFO (Meisenheimer)'!X8+'Sr VP GenCounsel (Gregory)'!X8+'Sr VP HR (Haefner)'!X8</f>
        <v>2460605.38</v>
      </c>
      <c r="Y8" s="28">
        <f>'Executive Chairman (Best)'!Y8+'President and CEO (Cocklin)'!Y8+'Sr VP CFO (Meisenheimer)'!Y8+'Sr VP GenCounsel (Gregory)'!Y8+'Sr VP HR (Haefner)'!Y8</f>
        <v>1382481.8395699998</v>
      </c>
      <c r="Z8" s="28">
        <f>X8-Y8</f>
        <v>1078123.5404300001</v>
      </c>
      <c r="AA8" s="28">
        <f>Z8*0.0527</f>
        <v>56817.110580660999</v>
      </c>
      <c r="AC8" s="28">
        <f>AF8-AK8</f>
        <v>115486.77000000002</v>
      </c>
      <c r="AD8" s="33">
        <f>AC8/AK8</f>
        <v>4.7859594943334284E-2</v>
      </c>
      <c r="AF8" s="28">
        <f>'Executive Chairman (Best)'!AF8+'President and CEO (Cocklin)'!AF8+'Sr VP CFO (Meisenheimer)'!AF8+'Sr VP GenCounsel (Gregory)'!AF8+'Sr VP HR (Haefner)'!AF8</f>
        <v>2528519.52</v>
      </c>
      <c r="AG8" s="28">
        <f>'Executive Chairman (Best)'!AG8+'President and CEO (Cocklin)'!AG8+'Sr VP CFO (Meisenheimer)'!AG8+'Sr VP GenCounsel (Gregory)'!AG8+'Sr VP HR (Haefner)'!AG8</f>
        <v>1378180.1789779998</v>
      </c>
      <c r="AH8" s="28">
        <f>AF8-AG8</f>
        <v>1150339.3410220002</v>
      </c>
      <c r="AI8" s="28">
        <f>AH8*0.0492</f>
        <v>56596.695578282408</v>
      </c>
      <c r="AK8" s="28">
        <f>'Executive Chairman (Best)'!AK8+'President and CEO (Cocklin)'!AK8+'Sr VP CFO (Meisenheimer)'!AK8+'Sr VP GenCounsel (Gregory)'!AK8+'Sr VP HR (Haefner)'!AK8</f>
        <v>2413032.75</v>
      </c>
      <c r="AL8" s="28">
        <f>'Executive Chairman (Best)'!AL8+'President and CEO (Cocklin)'!AL8+'Sr VP CFO (Meisenheimer)'!AL8+'Sr VP GenCounsel (Gregory)'!AL8+'Sr VP HR (Haefner)'!AL8</f>
        <v>1249263.3543430001</v>
      </c>
      <c r="AM8" s="28">
        <f>AK8-AL8</f>
        <v>1163769.3956569999</v>
      </c>
      <c r="AN8" s="28">
        <f>AM8*0.0512</f>
        <v>59584.993057638399</v>
      </c>
    </row>
    <row r="9" spans="1:40" x14ac:dyDescent="0.2">
      <c r="A9" s="5">
        <v>2</v>
      </c>
      <c r="B9" s="1" t="s">
        <v>109</v>
      </c>
      <c r="C9" s="28">
        <f>F9-N9</f>
        <v>126484.27979999967</v>
      </c>
      <c r="D9" s="45">
        <f t="shared" ref="D9:D17" si="0">C9/N9</f>
        <v>2.9999999999999919E-2</v>
      </c>
      <c r="F9" s="28">
        <f>'Executive Chairman (Best)'!F9+'President and CEO (Cocklin)'!F9+'Sr VP Utility Ops (Sweetin)'!F9+'Sr VP CFO (Meisenheimer)'!F9+'Sr VP CFO (Eckert)'!F9+'Sr VP GenCounsel (Gregory)'!F9+'Sr VP HR (Haefner)'!F9</f>
        <v>4342626.9397999998</v>
      </c>
      <c r="G9" s="28">
        <f>'Executive Chairman (Best)'!G9+'President and CEO (Cocklin)'!G9+'Sr VP Utility Ops (Sweetin)'!G9+'Sr VP CFO (Meisenheimer)'!G9+'Sr VP CFO (Eckert)'!G9+'Sr VP GenCounsel (Gregory)'!G9+'Sr VP HR (Haefner)'!G9</f>
        <v>2581236.5178097999</v>
      </c>
      <c r="H9" s="28">
        <f>F9-G9</f>
        <v>1761390.4219901999</v>
      </c>
      <c r="I9" s="28">
        <f>H9*0.0555</f>
        <v>97757.168420456102</v>
      </c>
      <c r="K9" s="28">
        <f t="shared" ref="K9:K17" si="1">N9-X9</f>
        <v>-4382208</v>
      </c>
      <c r="L9" s="33">
        <f t="shared" ref="L9:L17" si="2">K9/X9</f>
        <v>-0.50965681364756066</v>
      </c>
      <c r="N9" s="28">
        <f>'Executive Chairman (Best)'!N9+'President and CEO (Cocklin)'!N9+'Sr VP Utility Ops (Sweetin)'!N9+'Sr VP CFO (Meisenheimer)'!N9+'Sr VP CFO (Eckert)'!N9+'Sr VP GenCounsel (Gregory)'!N9+'Sr VP HR (Haefner)'!N9</f>
        <v>4216142.66</v>
      </c>
      <c r="O9" s="28">
        <f>'Executive Chairman (Best)'!O9+'President and CEO (Cocklin)'!O9+'Sr VP Utility Ops (Sweetin)'!O9+'Sr VP CFO (Meisenheimer)'!O9+'Sr VP CFO (Eckert)'!O9+'Sr VP GenCounsel (Gregory)'!O9+'Sr VP HR (Haefner)'!O9</f>
        <v>2506054.8716600002</v>
      </c>
      <c r="P9" s="50">
        <f>N9-O9</f>
        <v>1710087.78834</v>
      </c>
      <c r="Q9" s="28">
        <f>P9*0.0533</f>
        <v>91147.679118521992</v>
      </c>
      <c r="R9" s="1" t="s">
        <v>105</v>
      </c>
      <c r="S9" s="28">
        <f>Q9</f>
        <v>91147.679118521992</v>
      </c>
      <c r="U9" s="28">
        <f t="shared" ref="U9:U17" si="3">X9-AF9</f>
        <v>5156219.1500000004</v>
      </c>
      <c r="V9" s="33">
        <f t="shared" ref="V9:V17" si="4">U9/AF9</f>
        <v>1.4979727343421578</v>
      </c>
      <c r="X9" s="28">
        <f>'Executive Chairman (Best)'!X9+'President and CEO (Cocklin)'!X9+'Sr VP CFO (Meisenheimer)'!X9+'Sr VP GenCounsel (Gregory)'!X9+'Sr VP HR (Haefner)'!X9</f>
        <v>8598350.6600000001</v>
      </c>
      <c r="Y9" s="28">
        <f>'Executive Chairman (Best)'!Y9+'President and CEO (Cocklin)'!Y9+'Sr VP CFO (Meisenheimer)'!Y9+'Sr VP GenCounsel (Gregory)'!Y9+'Sr VP HR (Haefner)'!Y9</f>
        <v>4890715.3508019987</v>
      </c>
      <c r="Z9" s="28">
        <f>X9-Y9</f>
        <v>3707635.3091980014</v>
      </c>
      <c r="AA9" s="28">
        <f>Z9*0.0527</f>
        <v>195392.38079473466</v>
      </c>
      <c r="AC9" s="28">
        <f t="shared" ref="AC9:AC17" si="5">AF9-AK9</f>
        <v>770447.4299999997</v>
      </c>
      <c r="AD9" s="33">
        <f t="shared" ref="AD9:AD17" si="6">AC9/AK9</f>
        <v>0.2883751996605825</v>
      </c>
      <c r="AF9" s="28">
        <f>'Executive Chairman (Best)'!AF9+'President and CEO (Cocklin)'!AF9+'Sr VP CFO (Meisenheimer)'!AF9+'Sr VP GenCounsel (Gregory)'!AF9+'Sr VP HR (Haefner)'!AF9</f>
        <v>3442131.51</v>
      </c>
      <c r="AG9" s="28">
        <f>'Executive Chairman (Best)'!AG9+'President and CEO (Cocklin)'!AG9+'Sr VP CFO (Meisenheimer)'!AG9+'Sr VP GenCounsel (Gregory)'!AG9+'Sr VP HR (Haefner)'!AG9</f>
        <v>1895065.357936</v>
      </c>
      <c r="AH9" s="28">
        <f t="shared" ref="AH9:AH10" si="7">AF9-AG9</f>
        <v>1547066.1520639998</v>
      </c>
      <c r="AI9" s="28">
        <f t="shared" ref="AI9:AI10" si="8">AH9*0.0492</f>
        <v>76115.654681548796</v>
      </c>
      <c r="AK9" s="28">
        <f>'Executive Chairman (Best)'!AK9+'President and CEO (Cocklin)'!AK9+'Sr VP CFO (Meisenheimer)'!AK9+'Sr VP GenCounsel (Gregory)'!AK9+'Sr VP HR (Haefner)'!AK9</f>
        <v>2671684.08</v>
      </c>
      <c r="AL9" s="28">
        <f>'Executive Chairman (Best)'!AL9+'President and CEO (Cocklin)'!AL9+'Sr VP CFO (Meisenheimer)'!AL9+'Sr VP GenCounsel (Gregory)'!AL9+'Sr VP HR (Haefner)'!AL9</f>
        <v>1418991.4059880003</v>
      </c>
      <c r="AM9" s="28">
        <f t="shared" ref="AM9:AM10" si="9">AK9-AL9</f>
        <v>1252692.6740119997</v>
      </c>
      <c r="AN9" s="28">
        <f t="shared" ref="AN9:AN10" si="10">AM9*0.0512</f>
        <v>64137.864909414391</v>
      </c>
    </row>
    <row r="10" spans="1:40" x14ac:dyDescent="0.2">
      <c r="A10" s="5">
        <v>3</v>
      </c>
      <c r="B10" s="1" t="s">
        <v>110</v>
      </c>
      <c r="C10" s="28">
        <f>F10-N10</f>
        <v>33630.579600000056</v>
      </c>
      <c r="D10" s="45">
        <f t="shared" si="0"/>
        <v>3.0000000000000047E-2</v>
      </c>
      <c r="F10" s="28">
        <f>'Executive Chairman (Best)'!F10+'President and CEO (Cocklin)'!F10+'Sr VP Utility Ops (Sweetin)'!F10+'Sr VP CFO (Meisenheimer)'!F10+'Sr VP CFO (Eckert)'!F10+'Sr VP GenCounsel (Gregory)'!F10+'Sr VP HR (Haefner)'!F10</f>
        <v>1154649.8996000001</v>
      </c>
      <c r="G10" s="28">
        <f>'Executive Chairman (Best)'!G10+'President and CEO (Cocklin)'!G10+'Sr VP Utility Ops (Sweetin)'!G10+'Sr VP CFO (Meisenheimer)'!G10+'Sr VP CFO (Eckert)'!G10+'Sr VP GenCounsel (Gregory)'!G10+'Sr VP HR (Haefner)'!G10</f>
        <v>714728.28785239998</v>
      </c>
      <c r="H10" s="28">
        <f>F10-G10</f>
        <v>439921.61174760014</v>
      </c>
      <c r="I10" s="29">
        <f>H10*0.0555</f>
        <v>24415.649451991809</v>
      </c>
      <c r="J10" s="17"/>
      <c r="K10" s="28">
        <f t="shared" si="1"/>
        <v>823687.24</v>
      </c>
      <c r="L10" s="33">
        <v>0</v>
      </c>
      <c r="M10" s="17"/>
      <c r="N10" s="28">
        <f>'Executive Chairman (Best)'!N10+'President and CEO (Cocklin)'!N10+'Sr VP Utility Ops (Sweetin)'!N10+'Sr VP CFO (Meisenheimer)'!N10+'Sr VP CFO (Eckert)'!N10+'Sr VP GenCounsel (Gregory)'!N10+'Sr VP HR (Haefner)'!N10</f>
        <v>1121019.32</v>
      </c>
      <c r="O10" s="28">
        <f>'Executive Chairman (Best)'!O10+'President and CEO (Cocklin)'!O10+'Sr VP Utility Ops (Sweetin)'!O10+'Sr VP CFO (Meisenheimer)'!O10+'Sr VP CFO (Eckert)'!O10+'Sr VP GenCounsel (Gregory)'!O10+'Sr VP HR (Haefner)'!O10</f>
        <v>693910.95907999994</v>
      </c>
      <c r="P10" s="50">
        <f>N10-O10</f>
        <v>427108.36092000012</v>
      </c>
      <c r="Q10" s="29">
        <f>P10*0.0533</f>
        <v>22764.875637036006</v>
      </c>
      <c r="R10" s="17"/>
      <c r="S10" s="29">
        <f>Q10</f>
        <v>22764.875637036006</v>
      </c>
      <c r="T10" s="17"/>
      <c r="U10" s="28">
        <f t="shared" si="3"/>
        <v>-413408.92</v>
      </c>
      <c r="V10" s="33">
        <f t="shared" si="4"/>
        <v>-0.58165902909780076</v>
      </c>
      <c r="W10" s="17"/>
      <c r="X10" s="28">
        <f>'Executive Chairman (Best)'!X10+'President and CEO (Cocklin)'!X10+'Sr VP CFO (Meisenheimer)'!X10+'Sr VP GenCounsel (Gregory)'!X10+'Sr VP HR (Haefner)'!X10</f>
        <v>297332.08</v>
      </c>
      <c r="Y10" s="28">
        <f>'Executive Chairman (Best)'!Y10+'President and CEO (Cocklin)'!Y10+'Sr VP CFO (Meisenheimer)'!Y10+'Sr VP GenCounsel (Gregory)'!Y10+'Sr VP HR (Haefner)'!Y10</f>
        <v>173909.53359199999</v>
      </c>
      <c r="Z10" s="28">
        <f>X10-Y10</f>
        <v>123422.54640800002</v>
      </c>
      <c r="AA10" s="29">
        <f>Z10*0.0527</f>
        <v>6504.3681957016006</v>
      </c>
      <c r="AB10" s="17"/>
      <c r="AC10" s="28">
        <f t="shared" si="5"/>
        <v>217991</v>
      </c>
      <c r="AD10" s="33">
        <f t="shared" si="6"/>
        <v>0.44239675291730085</v>
      </c>
      <c r="AE10" s="17"/>
      <c r="AF10" s="28">
        <f>'Executive Chairman (Best)'!AF10+'President and CEO (Cocklin)'!AF10+'Sr VP CFO (Meisenheimer)'!AF10+'Sr VP GenCounsel (Gregory)'!AF10+'Sr VP HR (Haefner)'!AF10</f>
        <v>710741</v>
      </c>
      <c r="AG10" s="28">
        <f>'Executive Chairman (Best)'!AG10+'President and CEO (Cocklin)'!AG10+'Sr VP CFO (Meisenheimer)'!AG10+'Sr VP GenCounsel (Gregory)'!AG10+'Sr VP HR (Haefner)'!AG10</f>
        <v>402137.25779999996</v>
      </c>
      <c r="AH10" s="28">
        <f t="shared" si="7"/>
        <v>308603.74220000004</v>
      </c>
      <c r="AI10" s="28">
        <f t="shared" si="8"/>
        <v>15183.304116240002</v>
      </c>
      <c r="AJ10" s="17"/>
      <c r="AK10" s="28">
        <f>'Executive Chairman (Best)'!AK10+'President and CEO (Cocklin)'!AK10+'Sr VP CFO (Meisenheimer)'!AK10+'Sr VP GenCounsel (Gregory)'!AK10+'Sr VP HR (Haefner)'!AK10</f>
        <v>492750</v>
      </c>
      <c r="AL10" s="28">
        <f>'Executive Chairman (Best)'!AL10+'President and CEO (Cocklin)'!AL10+'Sr VP CFO (Meisenheimer)'!AL10+'Sr VP GenCounsel (Gregory)'!AL10+'Sr VP HR (Haefner)'!AL10</f>
        <v>279931.27500000002</v>
      </c>
      <c r="AM10" s="28">
        <f t="shared" si="9"/>
        <v>212818.72499999998</v>
      </c>
      <c r="AN10" s="28">
        <f t="shared" si="10"/>
        <v>10896.318719999999</v>
      </c>
    </row>
    <row r="11" spans="1:40" x14ac:dyDescent="0.2">
      <c r="A11" s="5">
        <v>4</v>
      </c>
      <c r="B11" s="1" t="s">
        <v>111</v>
      </c>
      <c r="D11" s="45"/>
      <c r="F11" s="29"/>
      <c r="G11" s="29"/>
      <c r="H11" s="17"/>
      <c r="I11" s="29"/>
      <c r="J11" s="17"/>
      <c r="K11" s="28">
        <f t="shared" si="1"/>
        <v>0</v>
      </c>
      <c r="L11" s="33">
        <v>0</v>
      </c>
      <c r="M11" s="17"/>
      <c r="N11" s="28">
        <f>'Executive Chairman (Best)'!N11+'President and CEO (Cocklin)'!N11+'Sr VP Utility Ops (Sweetin)'!N11+'Sr VP CFO (Meisenheimer)'!N11+'Sr VP CFO (Eckert)'!N11+'Sr VP GenCounsel (Gregory)'!N11+'Sr VP HR (Haefner)'!N11</f>
        <v>0</v>
      </c>
      <c r="O11" s="29"/>
      <c r="P11" s="49"/>
      <c r="Q11" s="29"/>
      <c r="R11" s="17"/>
      <c r="S11" s="29"/>
      <c r="T11" s="17"/>
      <c r="U11" s="28">
        <f t="shared" si="3"/>
        <v>0</v>
      </c>
      <c r="V11" s="33">
        <v>0</v>
      </c>
      <c r="W11" s="17"/>
      <c r="X11" s="28">
        <f>'Executive Chairman (Best)'!X11+'President and CEO (Cocklin)'!X11+'Sr VP CFO (Meisenheimer)'!X11+'Sr VP GenCounsel (Gregory)'!X11+'Sr VP HR (Haefner)'!X11</f>
        <v>0</v>
      </c>
      <c r="Y11" s="29"/>
      <c r="Z11" s="29"/>
      <c r="AA11" s="29"/>
      <c r="AB11" s="17"/>
      <c r="AC11" s="28">
        <f t="shared" si="5"/>
        <v>0</v>
      </c>
      <c r="AD11" s="33">
        <v>0</v>
      </c>
      <c r="AE11" s="17"/>
      <c r="AF11" s="29"/>
      <c r="AG11" s="29"/>
      <c r="AH11" s="29"/>
      <c r="AI11" s="29"/>
      <c r="AJ11" s="17"/>
      <c r="AK11" s="28">
        <f>'Executive Chairman (Best)'!AK11+'President and CEO (Cocklin)'!AK11+'Sr VP CFO (Meisenheimer)'!AK11+'Sr VP GenCounsel (Gregory)'!AK11+'Sr VP HR (Haefner)'!AK11</f>
        <v>0</v>
      </c>
      <c r="AL11" s="29"/>
      <c r="AM11" s="29"/>
      <c r="AN11" s="29"/>
    </row>
    <row r="12" spans="1:40" x14ac:dyDescent="0.2">
      <c r="A12" s="5"/>
      <c r="B12" s="1" t="s">
        <v>112</v>
      </c>
      <c r="D12" s="45"/>
      <c r="F12" s="29"/>
      <c r="G12" s="29"/>
      <c r="H12" s="17"/>
      <c r="I12" s="29"/>
      <c r="J12" s="17"/>
      <c r="K12" s="28">
        <f t="shared" si="1"/>
        <v>0</v>
      </c>
      <c r="L12" s="33">
        <v>0</v>
      </c>
      <c r="M12" s="17"/>
      <c r="N12" s="28">
        <f>'Executive Chairman (Best)'!N12+'President and CEO (Cocklin)'!N12+'Sr VP Utility Ops (Sweetin)'!N12+'Sr VP CFO (Meisenheimer)'!N12+'Sr VP CFO (Eckert)'!N12+'Sr VP GenCounsel (Gregory)'!N12+'Sr VP HR (Haefner)'!N12</f>
        <v>0</v>
      </c>
      <c r="O12" s="29"/>
      <c r="P12" s="49"/>
      <c r="Q12" s="29"/>
      <c r="R12" s="17"/>
      <c r="S12" s="29"/>
      <c r="T12" s="17"/>
      <c r="U12" s="28">
        <f t="shared" si="3"/>
        <v>0</v>
      </c>
      <c r="V12" s="33">
        <v>0</v>
      </c>
      <c r="W12" s="17"/>
      <c r="X12" s="28">
        <f>'Executive Chairman (Best)'!X12+'President and CEO (Cocklin)'!X12+'Sr VP CFO (Meisenheimer)'!X12+'Sr VP GenCounsel (Gregory)'!X12+'Sr VP HR (Haefner)'!X12</f>
        <v>0</v>
      </c>
      <c r="Y12" s="29"/>
      <c r="Z12" s="29"/>
      <c r="AA12" s="29"/>
      <c r="AB12" s="17"/>
      <c r="AC12" s="28">
        <f t="shared" si="5"/>
        <v>0</v>
      </c>
      <c r="AD12" s="33">
        <v>0</v>
      </c>
      <c r="AE12" s="17"/>
      <c r="AF12" s="29"/>
      <c r="AG12" s="29"/>
      <c r="AH12" s="29"/>
      <c r="AI12" s="29"/>
      <c r="AJ12" s="17"/>
      <c r="AK12" s="28">
        <f>'Executive Chairman (Best)'!AK12+'President and CEO (Cocklin)'!AK12+'Sr VP CFO (Meisenheimer)'!AK12+'Sr VP GenCounsel (Gregory)'!AK12+'Sr VP HR (Haefner)'!AK12</f>
        <v>0</v>
      </c>
      <c r="AL12" s="29"/>
      <c r="AM12" s="29"/>
      <c r="AN12" s="29"/>
    </row>
    <row r="13" spans="1:40" x14ac:dyDescent="0.2">
      <c r="A13" s="5">
        <v>5</v>
      </c>
      <c r="B13" s="1" t="s">
        <v>113</v>
      </c>
      <c r="D13" s="45"/>
      <c r="F13" s="29"/>
      <c r="G13" s="29"/>
      <c r="H13" s="17"/>
      <c r="I13" s="29"/>
      <c r="J13" s="17"/>
      <c r="K13" s="28">
        <f t="shared" si="1"/>
        <v>0</v>
      </c>
      <c r="L13" s="33">
        <v>0</v>
      </c>
      <c r="M13" s="17"/>
      <c r="N13" s="28">
        <f>'Executive Chairman (Best)'!N13+'President and CEO (Cocklin)'!N13+'Sr VP Utility Ops (Sweetin)'!N13+'Sr VP CFO (Meisenheimer)'!N13+'Sr VP CFO (Eckert)'!N13+'Sr VP GenCounsel (Gregory)'!N13+'Sr VP HR (Haefner)'!N13</f>
        <v>0</v>
      </c>
      <c r="O13" s="29"/>
      <c r="P13" s="49"/>
      <c r="Q13" s="29"/>
      <c r="R13" s="17"/>
      <c r="S13" s="29"/>
      <c r="T13" s="17"/>
      <c r="U13" s="28">
        <f t="shared" si="3"/>
        <v>0</v>
      </c>
      <c r="V13" s="33">
        <v>0</v>
      </c>
      <c r="W13" s="17"/>
      <c r="X13" s="28">
        <f>'Executive Chairman (Best)'!X13+'President and CEO (Cocklin)'!X13+'Sr VP CFO (Meisenheimer)'!X13+'Sr VP GenCounsel (Gregory)'!X13+'Sr VP HR (Haefner)'!X13</f>
        <v>0</v>
      </c>
      <c r="Y13" s="29"/>
      <c r="Z13" s="29"/>
      <c r="AA13" s="29"/>
      <c r="AB13" s="17"/>
      <c r="AC13" s="28">
        <f t="shared" si="5"/>
        <v>0</v>
      </c>
      <c r="AD13" s="33">
        <v>0</v>
      </c>
      <c r="AE13" s="17"/>
      <c r="AF13" s="29"/>
      <c r="AG13" s="29"/>
      <c r="AH13" s="29"/>
      <c r="AI13" s="29"/>
      <c r="AJ13" s="17"/>
      <c r="AK13" s="28">
        <f>'Executive Chairman (Best)'!AK13+'President and CEO (Cocklin)'!AK13+'Sr VP CFO (Meisenheimer)'!AK13+'Sr VP GenCounsel (Gregory)'!AK13+'Sr VP HR (Haefner)'!AK13</f>
        <v>0</v>
      </c>
      <c r="AL13" s="29"/>
      <c r="AM13" s="29"/>
      <c r="AN13" s="29"/>
    </row>
    <row r="14" spans="1:40" x14ac:dyDescent="0.2">
      <c r="A14" s="5">
        <v>6</v>
      </c>
      <c r="B14" s="1" t="s">
        <v>114</v>
      </c>
      <c r="D14" s="45"/>
      <c r="F14" s="29"/>
      <c r="G14" s="29"/>
      <c r="H14" s="17"/>
      <c r="I14" s="29"/>
      <c r="J14" s="17"/>
      <c r="K14" s="28">
        <f t="shared" si="1"/>
        <v>0</v>
      </c>
      <c r="L14" s="33">
        <v>0</v>
      </c>
      <c r="M14" s="17"/>
      <c r="N14" s="28">
        <f>'Executive Chairman (Best)'!N14+'President and CEO (Cocklin)'!N14+'Sr VP Utility Ops (Sweetin)'!N14+'Sr VP CFO (Meisenheimer)'!N14+'Sr VP CFO (Eckert)'!N14+'Sr VP GenCounsel (Gregory)'!N14+'Sr VP HR (Haefner)'!N14</f>
        <v>0</v>
      </c>
      <c r="O14" s="29"/>
      <c r="P14" s="49"/>
      <c r="Q14" s="29"/>
      <c r="R14" s="17"/>
      <c r="S14" s="29"/>
      <c r="T14" s="17"/>
      <c r="U14" s="28">
        <f t="shared" si="3"/>
        <v>0</v>
      </c>
      <c r="V14" s="33">
        <v>0</v>
      </c>
      <c r="W14" s="17"/>
      <c r="X14" s="28">
        <f>'Executive Chairman (Best)'!X14+'President and CEO (Cocklin)'!X14+'Sr VP CFO (Meisenheimer)'!X14+'Sr VP GenCounsel (Gregory)'!X14+'Sr VP HR (Haefner)'!X14</f>
        <v>0</v>
      </c>
      <c r="Y14" s="29"/>
      <c r="Z14" s="29"/>
      <c r="AA14" s="29"/>
      <c r="AB14" s="17"/>
      <c r="AC14" s="28">
        <f t="shared" si="5"/>
        <v>0</v>
      </c>
      <c r="AD14" s="33">
        <v>0</v>
      </c>
      <c r="AE14" s="17"/>
      <c r="AF14" s="29"/>
      <c r="AG14" s="29"/>
      <c r="AH14" s="29"/>
      <c r="AI14" s="29"/>
      <c r="AJ14" s="17"/>
      <c r="AK14" s="28">
        <f>'Executive Chairman (Best)'!AK14+'President and CEO (Cocklin)'!AK14+'Sr VP CFO (Meisenheimer)'!AK14+'Sr VP GenCounsel (Gregory)'!AK14+'Sr VP HR (Haefner)'!AK14</f>
        <v>0</v>
      </c>
      <c r="AL14" s="29"/>
      <c r="AM14" s="29"/>
      <c r="AN14" s="29"/>
    </row>
    <row r="15" spans="1:40" x14ac:dyDescent="0.2">
      <c r="A15" s="5">
        <v>7</v>
      </c>
      <c r="B15" s="1" t="s">
        <v>115</v>
      </c>
      <c r="D15" s="45"/>
      <c r="F15" s="29"/>
      <c r="G15" s="29"/>
      <c r="H15" s="17"/>
      <c r="I15" s="29"/>
      <c r="J15" s="17"/>
      <c r="K15" s="28">
        <f t="shared" si="1"/>
        <v>0</v>
      </c>
      <c r="L15" s="33">
        <v>0</v>
      </c>
      <c r="M15" s="17"/>
      <c r="N15" s="28">
        <f>'Executive Chairman (Best)'!N15+'President and CEO (Cocklin)'!N15+'Sr VP Utility Ops (Sweetin)'!N15+'Sr VP CFO (Meisenheimer)'!N15+'Sr VP CFO (Eckert)'!N15+'Sr VP GenCounsel (Gregory)'!N15+'Sr VP HR (Haefner)'!N15</f>
        <v>0</v>
      </c>
      <c r="O15" s="29"/>
      <c r="P15" s="49"/>
      <c r="Q15" s="29"/>
      <c r="R15" s="17"/>
      <c r="S15" s="29"/>
      <c r="T15" s="17"/>
      <c r="U15" s="28">
        <f t="shared" si="3"/>
        <v>0</v>
      </c>
      <c r="V15" s="33">
        <v>0</v>
      </c>
      <c r="W15" s="17"/>
      <c r="X15" s="28">
        <f>'Executive Chairman (Best)'!X15+'President and CEO (Cocklin)'!X15+'Sr VP CFO (Meisenheimer)'!X15+'Sr VP GenCounsel (Gregory)'!X15+'Sr VP HR (Haefner)'!X15</f>
        <v>0</v>
      </c>
      <c r="Y15" s="29"/>
      <c r="Z15" s="29"/>
      <c r="AA15" s="29"/>
      <c r="AB15" s="17"/>
      <c r="AC15" s="28">
        <f t="shared" si="5"/>
        <v>0</v>
      </c>
      <c r="AD15" s="33">
        <v>0</v>
      </c>
      <c r="AE15" s="17"/>
      <c r="AF15" s="29"/>
      <c r="AG15" s="29"/>
      <c r="AH15" s="29"/>
      <c r="AI15" s="29"/>
      <c r="AJ15" s="17"/>
      <c r="AK15" s="28">
        <f>'Executive Chairman (Best)'!AK15+'President and CEO (Cocklin)'!AK15+'Sr VP CFO (Meisenheimer)'!AK15+'Sr VP GenCounsel (Gregory)'!AK15+'Sr VP HR (Haefner)'!AK15</f>
        <v>0</v>
      </c>
      <c r="AL15" s="29"/>
      <c r="AM15" s="29"/>
      <c r="AN15" s="29"/>
    </row>
    <row r="16" spans="1:40" x14ac:dyDescent="0.2">
      <c r="A16" s="5">
        <v>8</v>
      </c>
      <c r="B16" s="1" t="s">
        <v>116</v>
      </c>
      <c r="D16" s="45"/>
      <c r="F16" s="29"/>
      <c r="G16" s="29"/>
      <c r="H16" s="17"/>
      <c r="I16" s="29"/>
      <c r="J16" s="17"/>
      <c r="K16" s="28">
        <f t="shared" si="1"/>
        <v>0</v>
      </c>
      <c r="L16" s="33">
        <v>0</v>
      </c>
      <c r="M16" s="17"/>
      <c r="N16" s="28">
        <f>'Executive Chairman (Best)'!N16+'President and CEO (Cocklin)'!N16+'Sr VP Utility Ops (Sweetin)'!N16+'Sr VP CFO (Meisenheimer)'!N16+'Sr VP CFO (Eckert)'!N16+'Sr VP GenCounsel (Gregory)'!N16+'Sr VP HR (Haefner)'!N16</f>
        <v>0</v>
      </c>
      <c r="O16" s="29"/>
      <c r="P16" s="49"/>
      <c r="Q16" s="29"/>
      <c r="R16" s="17"/>
      <c r="S16" s="29"/>
      <c r="T16" s="17"/>
      <c r="U16" s="28">
        <f t="shared" si="3"/>
        <v>0</v>
      </c>
      <c r="V16" s="33">
        <v>0</v>
      </c>
      <c r="W16" s="17"/>
      <c r="X16" s="28">
        <f>'Executive Chairman (Best)'!X16+'President and CEO (Cocklin)'!X16+'Sr VP CFO (Meisenheimer)'!X16+'Sr VP GenCounsel (Gregory)'!X16+'Sr VP HR (Haefner)'!X16</f>
        <v>0</v>
      </c>
      <c r="Y16" s="29"/>
      <c r="Z16" s="29"/>
      <c r="AA16" s="29"/>
      <c r="AB16" s="17"/>
      <c r="AC16" s="28">
        <f t="shared" si="5"/>
        <v>0</v>
      </c>
      <c r="AD16" s="33">
        <v>0</v>
      </c>
      <c r="AE16" s="17"/>
      <c r="AF16" s="29"/>
      <c r="AG16" s="29"/>
      <c r="AH16" s="29"/>
      <c r="AI16" s="29"/>
      <c r="AJ16" s="17"/>
      <c r="AK16" s="28">
        <f>'Executive Chairman (Best)'!AK16+'President and CEO (Cocklin)'!AK16+'Sr VP CFO (Meisenheimer)'!AK16+'Sr VP GenCounsel (Gregory)'!AK16+'Sr VP HR (Haefner)'!AK16</f>
        <v>0</v>
      </c>
      <c r="AL16" s="29"/>
      <c r="AM16" s="29"/>
      <c r="AN16" s="29"/>
    </row>
    <row r="17" spans="1:40" x14ac:dyDescent="0.2">
      <c r="A17" s="5">
        <v>9</v>
      </c>
      <c r="B17" s="6" t="s">
        <v>117</v>
      </c>
      <c r="C17" s="44">
        <f>SUM(C8:C9)</f>
        <v>204373.86810000008</v>
      </c>
      <c r="D17" s="46">
        <f t="shared" si="0"/>
        <v>2.5760930529870944E-2</v>
      </c>
      <c r="E17" s="26"/>
      <c r="F17" s="30">
        <f>SUM(F8:F10)</f>
        <v>8171486.0377000002</v>
      </c>
      <c r="G17" s="30">
        <f>SUM(G8:G10)</f>
        <v>4869664.7518345006</v>
      </c>
      <c r="H17" s="30">
        <f>SUM(H8:H10)</f>
        <v>3301821.2858655001</v>
      </c>
      <c r="I17" s="30">
        <f>SUM(I8:I10)</f>
        <v>183251.08136553527</v>
      </c>
      <c r="J17" s="26"/>
      <c r="K17" s="30">
        <f t="shared" si="1"/>
        <v>-3422806.5299999993</v>
      </c>
      <c r="L17" s="34">
        <f t="shared" si="2"/>
        <v>-0.30140187478793906</v>
      </c>
      <c r="M17" s="26"/>
      <c r="N17" s="30">
        <f>SUM(N8:N16)</f>
        <v>7933481.5899999999</v>
      </c>
      <c r="O17" s="30">
        <f>SUM(O8:O10)</f>
        <v>4727829.8561499994</v>
      </c>
      <c r="P17" s="52">
        <f>SUM(P8:P10)</f>
        <v>3205651.7338499995</v>
      </c>
      <c r="Q17" s="30">
        <f>SUM(Q8:Q10)</f>
        <v>170861.23741420498</v>
      </c>
      <c r="R17" s="26"/>
      <c r="S17" s="30">
        <f>SUM(S8:S10)</f>
        <v>170861.23741420498</v>
      </c>
      <c r="T17" s="26"/>
      <c r="U17" s="30">
        <f t="shared" si="3"/>
        <v>4674896.09</v>
      </c>
      <c r="V17" s="34">
        <f t="shared" si="4"/>
        <v>0.69968893742641236</v>
      </c>
      <c r="W17" s="26"/>
      <c r="X17" s="30">
        <f>SUM(X8:X16)</f>
        <v>11356288.119999999</v>
      </c>
      <c r="Y17" s="30">
        <f>SUM(Y8:Y10)</f>
        <v>6447106.7239639983</v>
      </c>
      <c r="Z17" s="30">
        <f>SUM(Z8:Z10)</f>
        <v>4909181.3960360019</v>
      </c>
      <c r="AA17" s="30">
        <f>SUM(AA8:AA10)</f>
        <v>258713.85957109727</v>
      </c>
      <c r="AB17" s="26"/>
      <c r="AC17" s="30">
        <f t="shared" si="5"/>
        <v>1103925.1999999993</v>
      </c>
      <c r="AD17" s="34">
        <f t="shared" si="6"/>
        <v>0.19792591039039836</v>
      </c>
      <c r="AE17" s="26"/>
      <c r="AF17" s="30">
        <f>SUM(AF8:AF16)</f>
        <v>6681392.0299999993</v>
      </c>
      <c r="AG17" s="30">
        <f>SUM(AG8:AG10)</f>
        <v>3675382.7947139996</v>
      </c>
      <c r="AH17" s="30">
        <f>SUM(AH8:AH10)</f>
        <v>3006009.2352860002</v>
      </c>
      <c r="AI17" s="30">
        <f>SUM(AI8:AI10)</f>
        <v>147895.65437607121</v>
      </c>
      <c r="AJ17" s="26"/>
      <c r="AK17" s="30">
        <f>SUM(AK8:AK16)</f>
        <v>5577466.8300000001</v>
      </c>
      <c r="AL17" s="30">
        <f>SUM(AL8:AL10)</f>
        <v>2948186.0353310001</v>
      </c>
      <c r="AM17" s="30">
        <f>SUM(AM8:AM10)</f>
        <v>2629280.794669</v>
      </c>
      <c r="AN17" s="30">
        <f>SUM(AN8:AN10)</f>
        <v>134619.17668705279</v>
      </c>
    </row>
    <row r="18" spans="1:40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">
      <c r="A19" s="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2" spans="1:40" x14ac:dyDescent="0.2">
      <c r="A22" s="5"/>
    </row>
  </sheetData>
  <mergeCells count="2">
    <mergeCell ref="N5:P5"/>
    <mergeCell ref="N6:P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8.28515625" style="1" customWidth="1"/>
    <col min="2" max="2" width="36.4257812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7.7109375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7" style="1" bestFit="1" customWidth="1"/>
    <col min="13" max="13" width="1.28515625" style="1" customWidth="1"/>
    <col min="14" max="14" width="9" style="1" bestFit="1" customWidth="1"/>
    <col min="15" max="15" width="7.7109375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6.85546875" style="1" bestFit="1" customWidth="1"/>
    <col min="20" max="20" width="1.42578125" style="1" customWidth="1"/>
    <col min="21" max="21" width="31.7109375" style="1" bestFit="1" customWidth="1"/>
    <col min="22" max="22" width="7.85546875" style="1" bestFit="1" customWidth="1"/>
    <col min="23" max="23" width="1.140625" style="1" customWidth="1"/>
    <col min="24" max="24" width="20.42578125" style="1" bestFit="1" customWidth="1"/>
    <col min="25" max="25" width="9" style="1" bestFit="1" customWidth="1"/>
    <col min="26" max="26" width="10.42578125" style="1" bestFit="1" customWidth="1"/>
    <col min="27" max="27" width="25" style="1" bestFit="1" customWidth="1"/>
    <col min="28" max="28" width="0.85546875" style="1" customWidth="1"/>
    <col min="29" max="29" width="36.140625" style="1" bestFit="1" customWidth="1"/>
    <col min="30" max="30" width="7" style="1" bestFit="1" customWidth="1"/>
    <col min="31" max="31" width="1" style="1" customWidth="1"/>
    <col min="32" max="32" width="20.42578125" style="1" bestFit="1" customWidth="1"/>
    <col min="33" max="33" width="9" style="1" bestFit="1" customWidth="1"/>
    <col min="34" max="34" width="10.42578125" style="1" bestFit="1" customWidth="1"/>
    <col min="35" max="35" width="25" style="1" bestFit="1" customWidth="1"/>
    <col min="36" max="36" width="1.28515625" style="1" customWidth="1"/>
    <col min="37" max="37" width="20.42578125" style="1" bestFit="1" customWidth="1"/>
    <col min="38" max="38" width="9" style="1" bestFit="1" customWidth="1"/>
    <col min="39" max="39" width="10.42578125" style="1" bestFit="1" customWidth="1"/>
    <col min="40" max="40" width="25" style="1" bestFit="1" customWidth="1"/>
    <col min="41" max="16384" width="9.140625" style="1"/>
  </cols>
  <sheetData>
    <row r="1" spans="1:40" ht="15.75" x14ac:dyDescent="0.25">
      <c r="A1" s="15" t="s">
        <v>0</v>
      </c>
    </row>
    <row r="2" spans="1:40" x14ac:dyDescent="0.2">
      <c r="A2" s="6" t="s">
        <v>30</v>
      </c>
    </row>
    <row r="3" spans="1:40" x14ac:dyDescent="0.2">
      <c r="A3" s="6" t="s">
        <v>31</v>
      </c>
    </row>
    <row r="4" spans="1:40" x14ac:dyDescent="0.2">
      <c r="A4" s="6" t="s">
        <v>32</v>
      </c>
      <c r="N4" s="27"/>
      <c r="O4" s="27"/>
      <c r="P4" s="31"/>
      <c r="Q4" s="3" t="s">
        <v>11</v>
      </c>
      <c r="R4" s="2"/>
      <c r="S4" s="2"/>
      <c r="T4" s="11"/>
      <c r="U4" s="11"/>
      <c r="V4" s="11"/>
    </row>
    <row r="5" spans="1:40" x14ac:dyDescent="0.2">
      <c r="N5" s="53"/>
      <c r="O5" s="53"/>
      <c r="P5" s="53"/>
      <c r="Q5" s="3"/>
      <c r="R5" s="2"/>
      <c r="S5" s="27"/>
      <c r="T5" s="11"/>
      <c r="U5" s="11"/>
      <c r="V5" s="11"/>
    </row>
    <row r="6" spans="1:40" x14ac:dyDescent="0.2">
      <c r="B6" s="6" t="s">
        <v>88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4" t="s">
        <v>33</v>
      </c>
      <c r="O6" s="54"/>
      <c r="P6" s="54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7"/>
      <c r="AA6" s="40" t="s">
        <v>102</v>
      </c>
      <c r="AB6" s="24"/>
      <c r="AC6" s="25" t="s">
        <v>28</v>
      </c>
      <c r="AD6" s="8"/>
      <c r="AF6" s="9" t="s">
        <v>6</v>
      </c>
      <c r="AG6" s="9"/>
      <c r="AH6" s="9"/>
      <c r="AI6" s="39" t="s">
        <v>102</v>
      </c>
      <c r="AK6" s="12" t="s">
        <v>7</v>
      </c>
      <c r="AL6" s="12"/>
      <c r="AM6" s="12"/>
      <c r="AN6" s="37" t="s">
        <v>102</v>
      </c>
    </row>
    <row r="7" spans="1:40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16" t="s">
        <v>23</v>
      </c>
      <c r="V7" s="16" t="s">
        <v>24</v>
      </c>
      <c r="X7" s="14" t="s">
        <v>100</v>
      </c>
      <c r="Y7" s="14" t="s">
        <v>101</v>
      </c>
      <c r="Z7" s="14" t="s">
        <v>102</v>
      </c>
      <c r="AA7" s="14" t="s">
        <v>104</v>
      </c>
      <c r="AB7" s="18"/>
      <c r="AC7" s="16" t="s">
        <v>29</v>
      </c>
      <c r="AD7" s="16" t="s">
        <v>24</v>
      </c>
      <c r="AF7" s="14" t="s">
        <v>100</v>
      </c>
      <c r="AG7" s="14" t="s">
        <v>101</v>
      </c>
      <c r="AH7" s="14" t="s">
        <v>102</v>
      </c>
      <c r="AI7" s="14" t="s">
        <v>104</v>
      </c>
      <c r="AK7" s="14" t="s">
        <v>100</v>
      </c>
      <c r="AL7" s="14" t="s">
        <v>101</v>
      </c>
      <c r="AM7" s="14" t="s">
        <v>102</v>
      </c>
      <c r="AN7" s="14" t="s">
        <v>104</v>
      </c>
    </row>
    <row r="8" spans="1:40" x14ac:dyDescent="0.2">
      <c r="A8" s="5">
        <v>1</v>
      </c>
      <c r="B8" s="1" t="s">
        <v>13</v>
      </c>
      <c r="C8" s="28">
        <f>F8-N8</f>
        <v>11637.507900000026</v>
      </c>
      <c r="D8" s="45">
        <f>C8/N8</f>
        <v>3.0000000000000068E-2</v>
      </c>
      <c r="F8" s="28">
        <f>N8*1.03</f>
        <v>399554.43790000002</v>
      </c>
      <c r="G8" s="28">
        <f>F8*0.619</f>
        <v>247324.19706010001</v>
      </c>
      <c r="H8" s="28">
        <f>F8-G8</f>
        <v>152230.24083990001</v>
      </c>
      <c r="I8" s="28">
        <f>H8*0.0555</f>
        <v>8448.7783666144514</v>
      </c>
      <c r="K8" s="28">
        <f>N8-X8</f>
        <v>-131403.44</v>
      </c>
      <c r="L8" s="33">
        <f>K8/X8</f>
        <v>-0.25302962793467931</v>
      </c>
      <c r="N8" s="28">
        <v>387916.93</v>
      </c>
      <c r="O8" s="28">
        <f>N8*0.619</f>
        <v>240120.57967000001</v>
      </c>
      <c r="P8" s="50">
        <f>N8-O8</f>
        <v>147796.35032999999</v>
      </c>
      <c r="Q8" s="28">
        <f>P8*0.0533</f>
        <v>7877.5454725889995</v>
      </c>
      <c r="R8" s="1" t="s">
        <v>105</v>
      </c>
      <c r="S8" s="28">
        <f>Q8</f>
        <v>7877.5454725889995</v>
      </c>
      <c r="U8" s="28">
        <f>X8-AF8</f>
        <v>-230679.79000000004</v>
      </c>
      <c r="V8" s="33">
        <f>U8/AF8</f>
        <v>-0.30757298771776265</v>
      </c>
      <c r="X8" s="28">
        <v>519320.37</v>
      </c>
      <c r="Y8" s="28">
        <f>X8*0.5849</f>
        <v>303750.484413</v>
      </c>
      <c r="Z8" s="28">
        <f>X8-Y8</f>
        <v>215569.885587</v>
      </c>
      <c r="AA8" s="28">
        <f>Z8*0.0527</f>
        <v>11360.532970434899</v>
      </c>
      <c r="AC8" s="28">
        <f>AF8-AK8</f>
        <v>-125427.51000000001</v>
      </c>
      <c r="AD8" s="33">
        <f>AC8/AK8</f>
        <v>-0.14327569746567412</v>
      </c>
      <c r="AF8" s="28">
        <v>750000.16</v>
      </c>
      <c r="AG8" s="28">
        <f>AF8*0.5658</f>
        <v>424350.09052799997</v>
      </c>
      <c r="AH8" s="28">
        <f>AF8-AG8</f>
        <v>325650.06947200006</v>
      </c>
      <c r="AI8" s="28">
        <f>AH8*0.0492</f>
        <v>16021.983418022402</v>
      </c>
      <c r="AK8" s="28">
        <v>875427.67</v>
      </c>
      <c r="AL8" s="28">
        <f>AK8*0.5681</f>
        <v>497330.45932700008</v>
      </c>
      <c r="AM8" s="28">
        <f>AK8-AL8</f>
        <v>378097.21067299997</v>
      </c>
      <c r="AN8" s="28">
        <f>AM8*0.0512</f>
        <v>19358.577186457598</v>
      </c>
    </row>
    <row r="9" spans="1:40" x14ac:dyDescent="0.2">
      <c r="A9" s="5">
        <v>2</v>
      </c>
      <c r="B9" s="1" t="s">
        <v>15</v>
      </c>
      <c r="C9" s="28">
        <f>F9-N9</f>
        <v>20821.590599999996</v>
      </c>
      <c r="D9" s="45">
        <f t="shared" ref="D9:D17" si="0">C9/N9</f>
        <v>2.9999999999999992E-2</v>
      </c>
      <c r="F9" s="28">
        <f>N9*1.03</f>
        <v>714874.61060000001</v>
      </c>
      <c r="G9" s="28">
        <f>F9*0.619</f>
        <v>442507.38396140002</v>
      </c>
      <c r="H9" s="28">
        <f>F9-G9</f>
        <v>272367.2266386</v>
      </c>
      <c r="I9" s="28">
        <f>H9*0.0555</f>
        <v>15116.3810784423</v>
      </c>
      <c r="K9" s="28">
        <f t="shared" ref="K9:K17" si="1">N9-X9</f>
        <v>-2460456.94</v>
      </c>
      <c r="L9" s="33">
        <f t="shared" ref="L9:L17" si="2">K9/X9</f>
        <v>-0.77998071687812964</v>
      </c>
      <c r="N9" s="28">
        <v>694053.02</v>
      </c>
      <c r="O9" s="28">
        <f>N9*0.619</f>
        <v>429618.81938</v>
      </c>
      <c r="P9" s="50">
        <f>N9-O9</f>
        <v>264434.20062000002</v>
      </c>
      <c r="Q9" s="28">
        <f>P9*0.0533</f>
        <v>14094.342893046001</v>
      </c>
      <c r="R9" s="1" t="s">
        <v>105</v>
      </c>
      <c r="S9" s="28">
        <f>Q9</f>
        <v>14094.342893046001</v>
      </c>
      <c r="U9" s="28">
        <f t="shared" ref="U9:U17" si="3">X9-AF9</f>
        <v>1820740.0999999999</v>
      </c>
      <c r="V9" s="33">
        <f t="shared" ref="V9:V17" si="4">U9/AF9</f>
        <v>1.3651081454187304</v>
      </c>
      <c r="X9" s="28">
        <v>3154509.96</v>
      </c>
      <c r="Y9" s="28">
        <f>X9*0.5849</f>
        <v>1845072.8756039999</v>
      </c>
      <c r="Z9" s="28">
        <f>X9-Y9</f>
        <v>1309437.084396</v>
      </c>
      <c r="AA9" s="28">
        <f>Z9*0.0527</f>
        <v>69007.334347669195</v>
      </c>
      <c r="AC9" s="28">
        <f t="shared" ref="AC9:AC17" si="5">AF9-AK9</f>
        <v>76983.970000000205</v>
      </c>
      <c r="AD9" s="33">
        <f t="shared" ref="AD9:AD17" si="6">AC9/AK9</f>
        <v>6.1254642188893614E-2</v>
      </c>
      <c r="AF9" s="28">
        <v>1333769.8600000001</v>
      </c>
      <c r="AG9" s="28">
        <f>AF9*0.5658</f>
        <v>754646.98678799998</v>
      </c>
      <c r="AH9" s="28">
        <f t="shared" ref="AH9:AH10" si="7">AF9-AG9</f>
        <v>579122.87321200012</v>
      </c>
      <c r="AI9" s="28">
        <f>AH9*0.0492</f>
        <v>28492.845362030406</v>
      </c>
      <c r="AK9" s="28">
        <v>1256785.8899999999</v>
      </c>
      <c r="AL9" s="28">
        <f>AK9*0.5681</f>
        <v>713980.06410900003</v>
      </c>
      <c r="AM9" s="28">
        <f t="shared" ref="AM9:AM10" si="8">AK9-AL9</f>
        <v>542805.82589099987</v>
      </c>
      <c r="AN9" s="28">
        <f t="shared" ref="AN9:AN10" si="9">AM9*0.0512</f>
        <v>27791.658285619196</v>
      </c>
    </row>
    <row r="10" spans="1:40" x14ac:dyDescent="0.2">
      <c r="A10" s="5">
        <v>3</v>
      </c>
      <c r="B10" s="1" t="s">
        <v>14</v>
      </c>
      <c r="D10" s="45"/>
      <c r="F10" s="29"/>
      <c r="G10" s="29"/>
      <c r="H10" s="17"/>
      <c r="I10" s="29"/>
      <c r="J10" s="17"/>
      <c r="K10" s="28">
        <f t="shared" si="1"/>
        <v>0</v>
      </c>
      <c r="L10" s="33">
        <v>0</v>
      </c>
      <c r="M10" s="17"/>
      <c r="N10" s="29"/>
      <c r="O10" s="29"/>
      <c r="P10" s="49"/>
      <c r="Q10" s="29"/>
      <c r="R10" s="17"/>
      <c r="S10" s="29"/>
      <c r="T10" s="17"/>
      <c r="U10" s="28">
        <f t="shared" si="3"/>
        <v>-529614</v>
      </c>
      <c r="V10" s="33">
        <f t="shared" si="4"/>
        <v>-1</v>
      </c>
      <c r="W10" s="17"/>
      <c r="X10" s="29"/>
      <c r="Y10" s="29"/>
      <c r="Z10" s="29"/>
      <c r="AA10" s="29"/>
      <c r="AB10" s="17"/>
      <c r="AC10" s="28">
        <f t="shared" si="5"/>
        <v>36864</v>
      </c>
      <c r="AD10" s="33">
        <f t="shared" si="6"/>
        <v>7.4812785388127856E-2</v>
      </c>
      <c r="AE10" s="17"/>
      <c r="AF10" s="29">
        <v>529614</v>
      </c>
      <c r="AG10" s="29">
        <f>AF10*0.5658</f>
        <v>299655.60119999998</v>
      </c>
      <c r="AH10" s="28">
        <f t="shared" si="7"/>
        <v>229958.39880000002</v>
      </c>
      <c r="AI10" s="29">
        <f>AH10*0.0492</f>
        <v>11313.953220960002</v>
      </c>
      <c r="AJ10" s="17"/>
      <c r="AK10" s="29">
        <v>492750</v>
      </c>
      <c r="AL10" s="29">
        <f>AK10*0.5681</f>
        <v>279931.27500000002</v>
      </c>
      <c r="AM10" s="28">
        <f t="shared" si="8"/>
        <v>212818.72499999998</v>
      </c>
      <c r="AN10" s="28">
        <f t="shared" si="9"/>
        <v>10896.318719999999</v>
      </c>
    </row>
    <row r="11" spans="1:40" x14ac:dyDescent="0.2">
      <c r="A11" s="5">
        <v>4</v>
      </c>
      <c r="B11" s="1" t="s">
        <v>19</v>
      </c>
      <c r="D11" s="45"/>
      <c r="F11" s="29"/>
      <c r="G11" s="29"/>
      <c r="H11" s="17"/>
      <c r="I11" s="29"/>
      <c r="J11" s="17"/>
      <c r="K11" s="28">
        <f t="shared" si="1"/>
        <v>0</v>
      </c>
      <c r="L11" s="33">
        <v>0</v>
      </c>
      <c r="M11" s="17"/>
      <c r="N11" s="29"/>
      <c r="O11" s="29"/>
      <c r="P11" s="49"/>
      <c r="Q11" s="29"/>
      <c r="R11" s="17"/>
      <c r="S11" s="29"/>
      <c r="T11" s="17"/>
      <c r="U11" s="28">
        <f t="shared" si="3"/>
        <v>0</v>
      </c>
      <c r="V11" s="33">
        <v>0</v>
      </c>
      <c r="W11" s="17"/>
      <c r="X11" s="29"/>
      <c r="Y11" s="29"/>
      <c r="Z11" s="29"/>
      <c r="AA11" s="29"/>
      <c r="AB11" s="17"/>
      <c r="AC11" s="28">
        <f t="shared" si="5"/>
        <v>0</v>
      </c>
      <c r="AD11" s="33">
        <v>0</v>
      </c>
      <c r="AE11" s="17"/>
      <c r="AF11" s="29"/>
      <c r="AG11" s="29"/>
      <c r="AH11" s="29"/>
      <c r="AI11" s="29"/>
      <c r="AJ11" s="17"/>
      <c r="AK11" s="29"/>
      <c r="AL11" s="29"/>
      <c r="AM11" s="29"/>
      <c r="AN11" s="29"/>
    </row>
    <row r="12" spans="1:40" x14ac:dyDescent="0.2">
      <c r="A12" s="5"/>
      <c r="B12" s="1" t="s">
        <v>20</v>
      </c>
      <c r="D12" s="45"/>
      <c r="F12" s="29"/>
      <c r="G12" s="29"/>
      <c r="H12" s="17"/>
      <c r="I12" s="29"/>
      <c r="J12" s="17"/>
      <c r="K12" s="28">
        <f t="shared" si="1"/>
        <v>0</v>
      </c>
      <c r="L12" s="33">
        <v>0</v>
      </c>
      <c r="M12" s="17"/>
      <c r="N12" s="29"/>
      <c r="O12" s="29"/>
      <c r="P12" s="49"/>
      <c r="Q12" s="29"/>
      <c r="R12" s="17"/>
      <c r="S12" s="29"/>
      <c r="T12" s="17"/>
      <c r="U12" s="28">
        <f t="shared" si="3"/>
        <v>0</v>
      </c>
      <c r="V12" s="33">
        <v>0</v>
      </c>
      <c r="W12" s="17"/>
      <c r="X12" s="29"/>
      <c r="Y12" s="29"/>
      <c r="Z12" s="29"/>
      <c r="AA12" s="29"/>
      <c r="AB12" s="17"/>
      <c r="AC12" s="28">
        <f t="shared" si="5"/>
        <v>0</v>
      </c>
      <c r="AD12" s="33">
        <v>0</v>
      </c>
      <c r="AE12" s="17"/>
      <c r="AF12" s="29"/>
      <c r="AG12" s="29"/>
      <c r="AH12" s="29"/>
      <c r="AI12" s="29"/>
      <c r="AJ12" s="17"/>
      <c r="AK12" s="29"/>
      <c r="AL12" s="29"/>
      <c r="AM12" s="29"/>
      <c r="AN12" s="29"/>
    </row>
    <row r="13" spans="1:40" x14ac:dyDescent="0.2">
      <c r="A13" s="5">
        <v>5</v>
      </c>
      <c r="B13" s="1" t="s">
        <v>16</v>
      </c>
      <c r="D13" s="45"/>
      <c r="F13" s="29"/>
      <c r="G13" s="29"/>
      <c r="H13" s="17"/>
      <c r="I13" s="29"/>
      <c r="J13" s="17"/>
      <c r="K13" s="28">
        <f t="shared" si="1"/>
        <v>0</v>
      </c>
      <c r="L13" s="33">
        <v>0</v>
      </c>
      <c r="M13" s="17"/>
      <c r="N13" s="29"/>
      <c r="O13" s="29"/>
      <c r="P13" s="49"/>
      <c r="Q13" s="29"/>
      <c r="R13" s="17"/>
      <c r="S13" s="29"/>
      <c r="T13" s="17"/>
      <c r="U13" s="28">
        <f t="shared" si="3"/>
        <v>0</v>
      </c>
      <c r="V13" s="33">
        <v>0</v>
      </c>
      <c r="W13" s="17"/>
      <c r="X13" s="29"/>
      <c r="Y13" s="29"/>
      <c r="Z13" s="29"/>
      <c r="AA13" s="29"/>
      <c r="AB13" s="17"/>
      <c r="AC13" s="28">
        <f t="shared" si="5"/>
        <v>0</v>
      </c>
      <c r="AD13" s="33">
        <v>0</v>
      </c>
      <c r="AE13" s="17"/>
      <c r="AF13" s="29"/>
      <c r="AG13" s="29"/>
      <c r="AH13" s="29"/>
      <c r="AI13" s="29"/>
      <c r="AJ13" s="17"/>
      <c r="AK13" s="29"/>
      <c r="AL13" s="29"/>
      <c r="AM13" s="29"/>
      <c r="AN13" s="29"/>
    </row>
    <row r="14" spans="1:40" x14ac:dyDescent="0.2">
      <c r="A14" s="5">
        <v>6</v>
      </c>
      <c r="B14" s="1" t="s">
        <v>17</v>
      </c>
      <c r="D14" s="45"/>
      <c r="F14" s="29"/>
      <c r="G14" s="29"/>
      <c r="H14" s="17"/>
      <c r="I14" s="29"/>
      <c r="J14" s="17"/>
      <c r="K14" s="28">
        <f t="shared" si="1"/>
        <v>0</v>
      </c>
      <c r="L14" s="33">
        <v>0</v>
      </c>
      <c r="M14" s="17"/>
      <c r="N14" s="29"/>
      <c r="O14" s="29"/>
      <c r="P14" s="49"/>
      <c r="Q14" s="29"/>
      <c r="R14" s="17"/>
      <c r="S14" s="29"/>
      <c r="T14" s="17"/>
      <c r="U14" s="28">
        <f t="shared" si="3"/>
        <v>0</v>
      </c>
      <c r="V14" s="33">
        <v>0</v>
      </c>
      <c r="W14" s="17"/>
      <c r="X14" s="29"/>
      <c r="Y14" s="29"/>
      <c r="Z14" s="29"/>
      <c r="AA14" s="29"/>
      <c r="AB14" s="17"/>
      <c r="AC14" s="28">
        <f t="shared" si="5"/>
        <v>0</v>
      </c>
      <c r="AD14" s="33">
        <v>0</v>
      </c>
      <c r="AE14" s="17"/>
      <c r="AF14" s="29"/>
      <c r="AG14" s="29"/>
      <c r="AH14" s="29"/>
      <c r="AI14" s="29"/>
      <c r="AJ14" s="17"/>
      <c r="AK14" s="29"/>
      <c r="AL14" s="29"/>
      <c r="AM14" s="29"/>
      <c r="AN14" s="29"/>
    </row>
    <row r="15" spans="1:40" x14ac:dyDescent="0.2">
      <c r="A15" s="5">
        <v>7</v>
      </c>
      <c r="B15" s="1" t="s">
        <v>18</v>
      </c>
      <c r="D15" s="45"/>
      <c r="F15" s="29"/>
      <c r="G15" s="29"/>
      <c r="H15" s="17"/>
      <c r="I15" s="29"/>
      <c r="J15" s="17"/>
      <c r="K15" s="28">
        <f t="shared" si="1"/>
        <v>0</v>
      </c>
      <c r="L15" s="33">
        <v>0</v>
      </c>
      <c r="M15" s="17"/>
      <c r="N15" s="29"/>
      <c r="O15" s="29"/>
      <c r="P15" s="49"/>
      <c r="Q15" s="29"/>
      <c r="R15" s="17"/>
      <c r="S15" s="29"/>
      <c r="T15" s="17"/>
      <c r="U15" s="28">
        <f t="shared" si="3"/>
        <v>0</v>
      </c>
      <c r="V15" s="33">
        <v>0</v>
      </c>
      <c r="W15" s="17"/>
      <c r="X15" s="29"/>
      <c r="Y15" s="29"/>
      <c r="Z15" s="29"/>
      <c r="AA15" s="29"/>
      <c r="AB15" s="17"/>
      <c r="AC15" s="28">
        <f t="shared" si="5"/>
        <v>0</v>
      </c>
      <c r="AD15" s="33">
        <v>0</v>
      </c>
      <c r="AE15" s="17"/>
      <c r="AF15" s="29"/>
      <c r="AG15" s="29"/>
      <c r="AH15" s="29"/>
      <c r="AI15" s="29"/>
      <c r="AJ15" s="17"/>
      <c r="AK15" s="29"/>
      <c r="AL15" s="29"/>
      <c r="AM15" s="29"/>
      <c r="AN15" s="29"/>
    </row>
    <row r="16" spans="1:40" x14ac:dyDescent="0.2">
      <c r="A16" s="5">
        <v>8</v>
      </c>
      <c r="B16" s="1" t="s">
        <v>21</v>
      </c>
      <c r="D16" s="45"/>
      <c r="F16" s="29"/>
      <c r="G16" s="29"/>
      <c r="H16" s="17"/>
      <c r="I16" s="29"/>
      <c r="J16" s="17"/>
      <c r="K16" s="28">
        <f t="shared" si="1"/>
        <v>0</v>
      </c>
      <c r="L16" s="33">
        <v>0</v>
      </c>
      <c r="M16" s="17"/>
      <c r="N16" s="29"/>
      <c r="O16" s="29"/>
      <c r="P16" s="49"/>
      <c r="Q16" s="29"/>
      <c r="R16" s="17"/>
      <c r="S16" s="29"/>
      <c r="T16" s="17"/>
      <c r="U16" s="28">
        <f t="shared" si="3"/>
        <v>0</v>
      </c>
      <c r="V16" s="33">
        <v>0</v>
      </c>
      <c r="W16" s="17"/>
      <c r="X16" s="29"/>
      <c r="Y16" s="29"/>
      <c r="Z16" s="29"/>
      <c r="AA16" s="29"/>
      <c r="AB16" s="17"/>
      <c r="AC16" s="28">
        <f t="shared" si="5"/>
        <v>0</v>
      </c>
      <c r="AD16" s="33">
        <v>0</v>
      </c>
      <c r="AE16" s="17"/>
      <c r="AF16" s="29"/>
      <c r="AG16" s="29"/>
      <c r="AH16" s="29"/>
      <c r="AI16" s="29"/>
      <c r="AJ16" s="17"/>
      <c r="AK16" s="29"/>
      <c r="AL16" s="29"/>
      <c r="AM16" s="29"/>
      <c r="AN16" s="29"/>
    </row>
    <row r="17" spans="1:40" x14ac:dyDescent="0.2">
      <c r="A17" s="5">
        <v>9</v>
      </c>
      <c r="B17" s="6" t="s">
        <v>22</v>
      </c>
      <c r="C17" s="44">
        <f>SUM(C8:C9)</f>
        <v>32459.098500000022</v>
      </c>
      <c r="D17" s="46">
        <f t="shared" si="0"/>
        <v>3.0000000000000023E-2</v>
      </c>
      <c r="E17" s="26"/>
      <c r="F17" s="30">
        <f>SUM(F8:F9)</f>
        <v>1114429.0485</v>
      </c>
      <c r="G17" s="30">
        <f>SUM(G8:G9)</f>
        <v>689831.58102150005</v>
      </c>
      <c r="H17" s="30">
        <f>SUM(H8:H9)</f>
        <v>424597.46747849998</v>
      </c>
      <c r="I17" s="30">
        <f>SUM(I8:I9)</f>
        <v>23565.15944505675</v>
      </c>
      <c r="J17" s="26"/>
      <c r="K17" s="30">
        <f t="shared" si="1"/>
        <v>-2591860.38</v>
      </c>
      <c r="L17" s="34">
        <f t="shared" si="2"/>
        <v>-0.70549267309249952</v>
      </c>
      <c r="M17" s="26"/>
      <c r="N17" s="30">
        <f>SUM(N8:N16)</f>
        <v>1081969.95</v>
      </c>
      <c r="O17" s="30">
        <f>SUM(O8:O9)</f>
        <v>669739.39905000001</v>
      </c>
      <c r="P17" s="52">
        <f>SUM(P8:P9)</f>
        <v>412230.55095</v>
      </c>
      <c r="Q17" s="30">
        <f>SUM(Q8:Q9)</f>
        <v>21971.888365635001</v>
      </c>
      <c r="R17" s="26"/>
      <c r="S17" s="30">
        <f>SUM(S8:S9)</f>
        <v>21971.888365635001</v>
      </c>
      <c r="T17" s="26"/>
      <c r="U17" s="30">
        <f t="shared" si="3"/>
        <v>1060446.31</v>
      </c>
      <c r="V17" s="34">
        <f t="shared" si="4"/>
        <v>0.40577515661092933</v>
      </c>
      <c r="W17" s="26"/>
      <c r="X17" s="30">
        <f>SUM(X8:X16)</f>
        <v>3673830.33</v>
      </c>
      <c r="Y17" s="30">
        <f>SUM(Y8:Y9)</f>
        <v>2148823.3600169998</v>
      </c>
      <c r="Z17" s="30">
        <f>SUM(Z8:Z9)</f>
        <v>1525006.9699830001</v>
      </c>
      <c r="AA17" s="30">
        <f>SUM(AA8:AA9)</f>
        <v>80367.867318104094</v>
      </c>
      <c r="AB17" s="26"/>
      <c r="AC17" s="30">
        <f t="shared" si="5"/>
        <v>-11579.540000000037</v>
      </c>
      <c r="AD17" s="34">
        <f t="shared" si="6"/>
        <v>-4.4113145707820938E-3</v>
      </c>
      <c r="AE17" s="26"/>
      <c r="AF17" s="30">
        <f>SUM(AF8:AF16)</f>
        <v>2613384.02</v>
      </c>
      <c r="AG17" s="30">
        <f>SUM(AG8:AG10)</f>
        <v>1478652.6785159998</v>
      </c>
      <c r="AH17" s="30">
        <f>SUM(AH8:AH10)</f>
        <v>1134731.3414840002</v>
      </c>
      <c r="AI17" s="30">
        <f>SUM(AI8:AI10)</f>
        <v>55828.782001012805</v>
      </c>
      <c r="AJ17" s="26"/>
      <c r="AK17" s="30">
        <f>SUM(AK8:AK16)</f>
        <v>2624963.56</v>
      </c>
      <c r="AL17" s="30">
        <f>SUM(AL8:AL10)</f>
        <v>1491241.798436</v>
      </c>
      <c r="AM17" s="30">
        <f>SUM(AM8:AM10)</f>
        <v>1133721.7615639998</v>
      </c>
      <c r="AN17" s="30">
        <f>SUM(AN8:AN10)</f>
        <v>58046.554192076786</v>
      </c>
    </row>
    <row r="18" spans="1:40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">
      <c r="A19" s="5" t="s">
        <v>34</v>
      </c>
      <c r="B19" s="1" t="s">
        <v>35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x14ac:dyDescent="0.2">
      <c r="B20" s="1" t="s">
        <v>36</v>
      </c>
    </row>
    <row r="22" spans="1:40" x14ac:dyDescent="0.2">
      <c r="A22" s="5" t="s">
        <v>34</v>
      </c>
      <c r="B22" s="1" t="s">
        <v>95</v>
      </c>
    </row>
    <row r="23" spans="1:40" x14ac:dyDescent="0.2">
      <c r="B23" s="1" t="s">
        <v>96</v>
      </c>
    </row>
    <row r="24" spans="1:40" x14ac:dyDescent="0.2">
      <c r="B24" s="1" t="s">
        <v>97</v>
      </c>
    </row>
    <row r="25" spans="1:40" x14ac:dyDescent="0.2">
      <c r="B25" s="1" t="s">
        <v>98</v>
      </c>
    </row>
    <row r="26" spans="1:40" x14ac:dyDescent="0.2">
      <c r="B26" s="1" t="s">
        <v>99</v>
      </c>
    </row>
  </sheetData>
  <mergeCells count="2">
    <mergeCell ref="N5:P5"/>
    <mergeCell ref="N6:P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8" style="1" customWidth="1"/>
    <col min="2" max="2" width="35.2851562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9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7.28515625" style="1" bestFit="1" customWidth="1"/>
    <col min="13" max="13" width="1.28515625" style="1" customWidth="1"/>
    <col min="14" max="15" width="9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6.85546875" style="1" bestFit="1" customWidth="1"/>
    <col min="20" max="20" width="1.42578125" style="1" customWidth="1"/>
    <col min="21" max="21" width="31.7109375" style="1" bestFit="1" customWidth="1"/>
    <col min="22" max="22" width="7.28515625" style="1" bestFit="1" customWidth="1"/>
    <col min="23" max="23" width="1.140625" style="1" customWidth="1"/>
    <col min="24" max="24" width="20.42578125" style="1" bestFit="1" customWidth="1"/>
    <col min="25" max="25" width="9" style="1" bestFit="1" customWidth="1"/>
    <col min="26" max="26" width="10.42578125" style="1" bestFit="1" customWidth="1"/>
    <col min="27" max="27" width="25" style="1" bestFit="1" customWidth="1"/>
    <col min="28" max="28" width="0.85546875" style="1" customWidth="1"/>
    <col min="29" max="29" width="36.140625" style="1" bestFit="1" customWidth="1"/>
    <col min="30" max="30" width="6.7109375" style="1" bestFit="1" customWidth="1"/>
    <col min="31" max="31" width="1" style="1" customWidth="1"/>
    <col min="32" max="32" width="20.42578125" style="1" bestFit="1" customWidth="1"/>
    <col min="33" max="33" width="9" style="1" bestFit="1" customWidth="1"/>
    <col min="34" max="34" width="10.42578125" style="1" bestFit="1" customWidth="1"/>
    <col min="35" max="35" width="25" style="1" bestFit="1" customWidth="1"/>
    <col min="36" max="36" width="1.28515625" style="1" customWidth="1"/>
    <col min="37" max="37" width="20.42578125" style="1" bestFit="1" customWidth="1"/>
    <col min="38" max="38" width="7.7109375" style="1" bestFit="1" customWidth="1"/>
    <col min="39" max="39" width="10.42578125" style="1" bestFit="1" customWidth="1"/>
    <col min="40" max="40" width="25" style="1" bestFit="1" customWidth="1"/>
    <col min="41" max="16384" width="9.140625" style="1"/>
  </cols>
  <sheetData>
    <row r="1" spans="1:40" ht="15.75" x14ac:dyDescent="0.25">
      <c r="A1" s="15" t="s">
        <v>0</v>
      </c>
    </row>
    <row r="2" spans="1:40" x14ac:dyDescent="0.2">
      <c r="A2" s="6" t="s">
        <v>30</v>
      </c>
    </row>
    <row r="3" spans="1:40" x14ac:dyDescent="0.2">
      <c r="A3" s="6" t="s">
        <v>31</v>
      </c>
    </row>
    <row r="4" spans="1:40" x14ac:dyDescent="0.2">
      <c r="A4" s="6" t="s">
        <v>32</v>
      </c>
      <c r="N4" s="2"/>
      <c r="O4" s="2"/>
      <c r="P4" s="3"/>
      <c r="Q4" s="3" t="s">
        <v>11</v>
      </c>
      <c r="R4" s="2"/>
      <c r="S4" s="2"/>
      <c r="T4" s="11"/>
      <c r="U4" s="11"/>
      <c r="V4" s="11"/>
    </row>
    <row r="5" spans="1:40" x14ac:dyDescent="0.2">
      <c r="N5" s="2"/>
      <c r="O5" s="2"/>
      <c r="P5" s="3"/>
      <c r="Q5" s="3"/>
      <c r="R5" s="2"/>
      <c r="S5" s="27"/>
      <c r="T5" s="11"/>
      <c r="U5" s="11"/>
      <c r="V5" s="11"/>
    </row>
    <row r="6" spans="1:40" x14ac:dyDescent="0.2">
      <c r="B6" s="6" t="s">
        <v>89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5" t="s">
        <v>33</v>
      </c>
      <c r="O6" s="55"/>
      <c r="P6" s="55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7"/>
      <c r="AA6" s="40" t="s">
        <v>102</v>
      </c>
      <c r="AB6" s="24"/>
      <c r="AC6" s="25" t="s">
        <v>28</v>
      </c>
      <c r="AD6" s="8"/>
      <c r="AF6" s="9" t="s">
        <v>6</v>
      </c>
      <c r="AG6" s="9"/>
      <c r="AH6" s="9"/>
      <c r="AI6" s="39" t="s">
        <v>102</v>
      </c>
      <c r="AK6" s="12" t="s">
        <v>7</v>
      </c>
      <c r="AL6" s="12"/>
      <c r="AM6" s="12"/>
      <c r="AN6" s="37" t="s">
        <v>102</v>
      </c>
    </row>
    <row r="7" spans="1:40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16" t="s">
        <v>23</v>
      </c>
      <c r="V7" s="16" t="s">
        <v>24</v>
      </c>
      <c r="X7" s="14" t="s">
        <v>100</v>
      </c>
      <c r="Y7" s="14" t="s">
        <v>101</v>
      </c>
      <c r="Z7" s="14" t="s">
        <v>102</v>
      </c>
      <c r="AA7" s="14" t="s">
        <v>104</v>
      </c>
      <c r="AB7" s="18"/>
      <c r="AC7" s="16" t="s">
        <v>29</v>
      </c>
      <c r="AD7" s="16" t="s">
        <v>24</v>
      </c>
      <c r="AF7" s="14" t="s">
        <v>100</v>
      </c>
      <c r="AG7" s="14" t="s">
        <v>101</v>
      </c>
      <c r="AH7" s="14" t="s">
        <v>102</v>
      </c>
      <c r="AI7" s="14" t="s">
        <v>104</v>
      </c>
      <c r="AK7" s="14" t="s">
        <v>100</v>
      </c>
      <c r="AL7" s="14" t="s">
        <v>101</v>
      </c>
      <c r="AM7" s="14" t="s">
        <v>102</v>
      </c>
      <c r="AN7" s="14" t="s">
        <v>104</v>
      </c>
    </row>
    <row r="8" spans="1:40" x14ac:dyDescent="0.2">
      <c r="A8" s="5">
        <v>1</v>
      </c>
      <c r="B8" s="1" t="s">
        <v>37</v>
      </c>
      <c r="C8" s="28">
        <f>F8-N8</f>
        <v>25930.10970000003</v>
      </c>
      <c r="D8" s="45">
        <f>C8/N8</f>
        <v>3.0000000000000034E-2</v>
      </c>
      <c r="F8" s="28">
        <f>N8*1.03</f>
        <v>890267.09970000002</v>
      </c>
      <c r="G8" s="28">
        <f>F8*0.619</f>
        <v>551075.3347143</v>
      </c>
      <c r="H8" s="28">
        <f>F8-G8</f>
        <v>339191.76498570002</v>
      </c>
      <c r="I8" s="28">
        <f>H8*0.0555</f>
        <v>18825.14295670635</v>
      </c>
      <c r="K8" s="28">
        <f>N8-X8</f>
        <v>18183.079999999958</v>
      </c>
      <c r="L8" s="33">
        <f>K8/X8</f>
        <v>2.1489092924004756E-2</v>
      </c>
      <c r="N8" s="28">
        <v>864336.99</v>
      </c>
      <c r="O8" s="28">
        <f>N8*0.619</f>
        <v>535024.59681000002</v>
      </c>
      <c r="P8" s="41">
        <f>N8-O8</f>
        <v>329312.39318999997</v>
      </c>
      <c r="Q8" s="28">
        <f>P8*0.0533</f>
        <v>17552.350557026999</v>
      </c>
      <c r="R8" s="1" t="s">
        <v>105</v>
      </c>
      <c r="S8" s="28">
        <f>Q8</f>
        <v>17552.350557026999</v>
      </c>
      <c r="U8" s="28">
        <f>X8-AF8</f>
        <v>102823.71000000008</v>
      </c>
      <c r="V8" s="33">
        <f>U8/AF8</f>
        <v>0.13832844407505585</v>
      </c>
      <c r="X8" s="28">
        <v>846153.91</v>
      </c>
      <c r="Y8" s="28">
        <f>X8*0.5849</f>
        <v>494915.421959</v>
      </c>
      <c r="Z8" s="28">
        <f>X8-Y8</f>
        <v>351238.48804100003</v>
      </c>
      <c r="AA8" s="28">
        <f>Z8*0.0527</f>
        <v>18510.2683197607</v>
      </c>
      <c r="AC8" s="28">
        <f t="shared" ref="AC8:AC17" si="0">AF8-AK8</f>
        <v>189683.56999999995</v>
      </c>
      <c r="AD8" s="33">
        <f>AC8/AK8</f>
        <v>0.34260764849232433</v>
      </c>
      <c r="AF8" s="28">
        <v>743330.2</v>
      </c>
      <c r="AG8" s="28">
        <f>AF8*0.5658</f>
        <v>420576.22715999995</v>
      </c>
      <c r="AH8" s="28">
        <f>AF8-AG8</f>
        <v>322753.97284</v>
      </c>
      <c r="AI8" s="28">
        <f>AH8*0.0492</f>
        <v>15879.495463728001</v>
      </c>
      <c r="AK8" s="28">
        <v>553646.63</v>
      </c>
      <c r="AL8" s="28">
        <f>AK8*0.5681</f>
        <v>314526.65050300001</v>
      </c>
      <c r="AM8" s="28">
        <f>AK8-AL8</f>
        <v>239119.97949699999</v>
      </c>
      <c r="AN8" s="28">
        <f>AM8*0.0512</f>
        <v>12242.942950246401</v>
      </c>
    </row>
    <row r="9" spans="1:40" x14ac:dyDescent="0.2">
      <c r="A9" s="5">
        <v>2</v>
      </c>
      <c r="B9" s="1" t="s">
        <v>38</v>
      </c>
      <c r="C9" s="28">
        <f t="shared" ref="C9:C10" si="1">F9-N9</f>
        <v>60610.340700000059</v>
      </c>
      <c r="D9" s="45">
        <f t="shared" ref="D9:D10" si="2">C9/N9</f>
        <v>3.000000000000003E-2</v>
      </c>
      <c r="F9" s="28">
        <f>N9*1.03</f>
        <v>2080955.0307</v>
      </c>
      <c r="G9" s="28">
        <f>F9*0.619</f>
        <v>1288111.1640033</v>
      </c>
      <c r="H9" s="28">
        <f t="shared" ref="H9:H10" si="3">F9-G9</f>
        <v>792843.86669669999</v>
      </c>
      <c r="I9" s="28">
        <f>H9*0.0555</f>
        <v>44002.834601666851</v>
      </c>
      <c r="K9" s="28">
        <f>N9-X9</f>
        <v>-967104.89000000013</v>
      </c>
      <c r="L9" s="33">
        <f t="shared" ref="L9:L17" si="4">K9/X9</f>
        <v>-0.32372258145357558</v>
      </c>
      <c r="N9" s="28">
        <v>2020344.69</v>
      </c>
      <c r="O9" s="28">
        <f>N9*0.619</f>
        <v>1250593.36311</v>
      </c>
      <c r="P9" s="41">
        <f t="shared" ref="P9:P10" si="5">N9-O9</f>
        <v>769751.32688999991</v>
      </c>
      <c r="Q9" s="28">
        <f>P9*0.0533</f>
        <v>41027.745723236992</v>
      </c>
      <c r="R9" s="1" t="s">
        <v>105</v>
      </c>
      <c r="S9" s="28">
        <f>Q9</f>
        <v>41027.745723236992</v>
      </c>
      <c r="U9" s="28">
        <f t="shared" ref="U9:U17" si="6">X9-AF9</f>
        <v>2033456.23</v>
      </c>
      <c r="V9" s="33">
        <f t="shared" ref="V9:V17" si="7">U9/AF9</f>
        <v>2.1315203402623299</v>
      </c>
      <c r="X9" s="28">
        <v>2987449.58</v>
      </c>
      <c r="Y9" s="28">
        <f>X9*0.5849</f>
        <v>1747359.2593419999</v>
      </c>
      <c r="Z9" s="28">
        <f t="shared" ref="Z9:Z10" si="8">X9-Y9</f>
        <v>1240090.3206580002</v>
      </c>
      <c r="AA9" s="28">
        <f>Z9*0.0527</f>
        <v>65352.759898676602</v>
      </c>
      <c r="AC9" s="28">
        <f t="shared" si="0"/>
        <v>396445.53999999992</v>
      </c>
      <c r="AD9" s="33">
        <f>AC9/AK9</f>
        <v>0.71105209793578039</v>
      </c>
      <c r="AF9" s="28">
        <v>953993.35</v>
      </c>
      <c r="AG9" s="28">
        <f t="shared" ref="AG9:AG10" si="9">AF9*0.5658</f>
        <v>539769.43742999993</v>
      </c>
      <c r="AH9" s="28">
        <f t="shared" ref="AH9:AH10" si="10">AF9-AG9</f>
        <v>414223.91257000004</v>
      </c>
      <c r="AI9" s="28">
        <f>AH9*0.0492</f>
        <v>20379.816498444001</v>
      </c>
      <c r="AK9" s="28">
        <v>557547.81000000006</v>
      </c>
      <c r="AL9" s="28">
        <f>AK9*0.5681</f>
        <v>316742.91086100007</v>
      </c>
      <c r="AM9" s="28">
        <f>AK9-AL9</f>
        <v>240804.89913899999</v>
      </c>
      <c r="AN9" s="28">
        <f>AM9*0.0512</f>
        <v>12329.2108359168</v>
      </c>
    </row>
    <row r="10" spans="1:40" x14ac:dyDescent="0.2">
      <c r="A10" s="5">
        <v>3</v>
      </c>
      <c r="B10" s="1" t="s">
        <v>39</v>
      </c>
      <c r="C10" s="28">
        <f t="shared" si="1"/>
        <v>29014.617599999998</v>
      </c>
      <c r="D10" s="45">
        <f t="shared" si="2"/>
        <v>2.9999999999999995E-2</v>
      </c>
      <c r="F10" s="29">
        <f>N10*1.03</f>
        <v>996168.53760000004</v>
      </c>
      <c r="G10" s="29">
        <f>F10*0.619</f>
        <v>616628.32477439998</v>
      </c>
      <c r="H10" s="28">
        <f t="shared" si="3"/>
        <v>379540.21282560006</v>
      </c>
      <c r="I10" s="29">
        <f>H10*0.0555</f>
        <v>21064.481811820802</v>
      </c>
      <c r="J10" s="17"/>
      <c r="K10" s="29">
        <f>N10-X10</f>
        <v>669821.84000000008</v>
      </c>
      <c r="L10" s="33">
        <f t="shared" si="4"/>
        <v>2.2527735318704933</v>
      </c>
      <c r="M10" s="17"/>
      <c r="N10" s="29">
        <v>967153.92</v>
      </c>
      <c r="O10" s="29">
        <f>N10*0.619</f>
        <v>598668.27648</v>
      </c>
      <c r="P10" s="41">
        <f t="shared" si="5"/>
        <v>368485.64352000004</v>
      </c>
      <c r="Q10" s="29">
        <f>P10*0.0533</f>
        <v>19640.284799616002</v>
      </c>
      <c r="R10" s="1" t="s">
        <v>105</v>
      </c>
      <c r="S10" s="29">
        <f>Q10</f>
        <v>19640.284799616002</v>
      </c>
      <c r="T10" s="17"/>
      <c r="U10" s="28">
        <f t="shared" si="6"/>
        <v>116205.08000000002</v>
      </c>
      <c r="V10" s="33">
        <f t="shared" si="7"/>
        <v>0.6415668564046223</v>
      </c>
      <c r="W10" s="17"/>
      <c r="X10" s="29">
        <v>297332.08</v>
      </c>
      <c r="Y10" s="29">
        <f>X10*0.5849</f>
        <v>173909.53359199999</v>
      </c>
      <c r="Z10" s="28">
        <f t="shared" si="8"/>
        <v>123422.54640800002</v>
      </c>
      <c r="AA10" s="29">
        <f>Z10*0.0527</f>
        <v>6504.3681957016006</v>
      </c>
      <c r="AB10" s="17"/>
      <c r="AC10" s="28">
        <f t="shared" si="0"/>
        <v>181127</v>
      </c>
      <c r="AD10" s="33">
        <v>0</v>
      </c>
      <c r="AE10" s="17"/>
      <c r="AF10" s="29">
        <v>181127</v>
      </c>
      <c r="AG10" s="28">
        <f t="shared" si="9"/>
        <v>102481.65659999999</v>
      </c>
      <c r="AH10" s="28">
        <f t="shared" si="10"/>
        <v>78645.343400000012</v>
      </c>
      <c r="AI10" s="29">
        <f>AH10*0.0492</f>
        <v>3869.3508952800007</v>
      </c>
      <c r="AJ10" s="17"/>
      <c r="AK10" s="29"/>
      <c r="AL10" s="29"/>
      <c r="AM10" s="29"/>
      <c r="AN10" s="29"/>
    </row>
    <row r="11" spans="1:40" x14ac:dyDescent="0.2">
      <c r="A11" s="5">
        <v>4</v>
      </c>
      <c r="B11" s="1" t="s">
        <v>40</v>
      </c>
      <c r="F11" s="29"/>
      <c r="G11" s="29"/>
      <c r="H11" s="17"/>
      <c r="I11" s="29"/>
      <c r="J11" s="17"/>
      <c r="K11" s="29"/>
      <c r="L11" s="33">
        <v>0</v>
      </c>
      <c r="M11" s="17"/>
      <c r="N11" s="29"/>
      <c r="O11" s="29"/>
      <c r="P11" s="11"/>
      <c r="Q11" s="29"/>
      <c r="R11" s="17"/>
      <c r="S11" s="17"/>
      <c r="T11" s="17"/>
      <c r="U11" s="28">
        <f t="shared" si="6"/>
        <v>0</v>
      </c>
      <c r="V11" s="33">
        <v>0</v>
      </c>
      <c r="W11" s="17"/>
      <c r="X11" s="29"/>
      <c r="Y11" s="29"/>
      <c r="Z11" s="29"/>
      <c r="AA11" s="29"/>
      <c r="AB11" s="17"/>
      <c r="AC11" s="28">
        <f t="shared" si="0"/>
        <v>0</v>
      </c>
      <c r="AD11" s="33">
        <v>0</v>
      </c>
      <c r="AE11" s="17"/>
      <c r="AF11" s="29"/>
      <c r="AG11" s="29"/>
      <c r="AH11" s="29"/>
      <c r="AI11" s="29"/>
      <c r="AJ11" s="17"/>
      <c r="AK11" s="29"/>
      <c r="AL11" s="29"/>
      <c r="AM11" s="29"/>
      <c r="AN11" s="29"/>
    </row>
    <row r="12" spans="1:40" x14ac:dyDescent="0.2">
      <c r="A12" s="5"/>
      <c r="B12" s="1" t="s">
        <v>41</v>
      </c>
      <c r="F12" s="29"/>
      <c r="G12" s="29"/>
      <c r="H12" s="17"/>
      <c r="I12" s="29"/>
      <c r="J12" s="17"/>
      <c r="K12" s="29"/>
      <c r="L12" s="33">
        <v>0</v>
      </c>
      <c r="M12" s="17"/>
      <c r="N12" s="29"/>
      <c r="O12" s="29"/>
      <c r="P12" s="11"/>
      <c r="Q12" s="29"/>
      <c r="R12" s="17"/>
      <c r="S12" s="17"/>
      <c r="T12" s="17"/>
      <c r="U12" s="28">
        <f t="shared" si="6"/>
        <v>0</v>
      </c>
      <c r="V12" s="33">
        <v>0</v>
      </c>
      <c r="W12" s="17"/>
      <c r="X12" s="29"/>
      <c r="Y12" s="29"/>
      <c r="Z12" s="29"/>
      <c r="AA12" s="29"/>
      <c r="AB12" s="17"/>
      <c r="AC12" s="28">
        <f t="shared" si="0"/>
        <v>0</v>
      </c>
      <c r="AD12" s="33">
        <v>0</v>
      </c>
      <c r="AE12" s="17"/>
      <c r="AF12" s="29"/>
      <c r="AG12" s="29"/>
      <c r="AH12" s="29"/>
      <c r="AI12" s="29"/>
      <c r="AJ12" s="17"/>
      <c r="AK12" s="29"/>
      <c r="AL12" s="29"/>
      <c r="AM12" s="29"/>
      <c r="AN12" s="29"/>
    </row>
    <row r="13" spans="1:40" x14ac:dyDescent="0.2">
      <c r="A13" s="5">
        <v>5</v>
      </c>
      <c r="B13" s="1" t="s">
        <v>42</v>
      </c>
      <c r="F13" s="29"/>
      <c r="G13" s="29"/>
      <c r="H13" s="17"/>
      <c r="I13" s="29"/>
      <c r="J13" s="17"/>
      <c r="K13" s="29"/>
      <c r="L13" s="33">
        <v>0</v>
      </c>
      <c r="M13" s="17"/>
      <c r="N13" s="29"/>
      <c r="O13" s="29"/>
      <c r="P13" s="11"/>
      <c r="Q13" s="29"/>
      <c r="R13" s="17"/>
      <c r="S13" s="17"/>
      <c r="T13" s="17"/>
      <c r="U13" s="28">
        <f t="shared" si="6"/>
        <v>0</v>
      </c>
      <c r="V13" s="33">
        <v>0</v>
      </c>
      <c r="W13" s="17"/>
      <c r="X13" s="29"/>
      <c r="Y13" s="29"/>
      <c r="Z13" s="29"/>
      <c r="AA13" s="29"/>
      <c r="AB13" s="17"/>
      <c r="AC13" s="28">
        <f t="shared" si="0"/>
        <v>0</v>
      </c>
      <c r="AD13" s="33">
        <v>0</v>
      </c>
      <c r="AE13" s="17"/>
      <c r="AF13" s="29"/>
      <c r="AG13" s="29"/>
      <c r="AH13" s="29"/>
      <c r="AI13" s="29"/>
      <c r="AJ13" s="17"/>
      <c r="AK13" s="29"/>
      <c r="AL13" s="29"/>
      <c r="AM13" s="29"/>
      <c r="AN13" s="29"/>
    </row>
    <row r="14" spans="1:40" x14ac:dyDescent="0.2">
      <c r="A14" s="5">
        <v>6</v>
      </c>
      <c r="B14" s="1" t="s">
        <v>43</v>
      </c>
      <c r="F14" s="29"/>
      <c r="G14" s="29"/>
      <c r="H14" s="17"/>
      <c r="I14" s="29"/>
      <c r="J14" s="17"/>
      <c r="K14" s="29"/>
      <c r="L14" s="33">
        <v>0</v>
      </c>
      <c r="M14" s="17"/>
      <c r="N14" s="29"/>
      <c r="O14" s="29"/>
      <c r="P14" s="11"/>
      <c r="Q14" s="29"/>
      <c r="R14" s="17"/>
      <c r="S14" s="17"/>
      <c r="T14" s="17"/>
      <c r="U14" s="28">
        <f t="shared" si="6"/>
        <v>0</v>
      </c>
      <c r="V14" s="33">
        <v>0</v>
      </c>
      <c r="W14" s="17"/>
      <c r="X14" s="29"/>
      <c r="Y14" s="29"/>
      <c r="Z14" s="29"/>
      <c r="AA14" s="29"/>
      <c r="AB14" s="17"/>
      <c r="AC14" s="28">
        <f t="shared" si="0"/>
        <v>0</v>
      </c>
      <c r="AD14" s="33">
        <v>0</v>
      </c>
      <c r="AE14" s="17"/>
      <c r="AF14" s="29"/>
      <c r="AG14" s="29"/>
      <c r="AH14" s="29"/>
      <c r="AI14" s="29"/>
      <c r="AJ14" s="17"/>
      <c r="AK14" s="29"/>
      <c r="AL14" s="29"/>
      <c r="AM14" s="29"/>
      <c r="AN14" s="29"/>
    </row>
    <row r="15" spans="1:40" x14ac:dyDescent="0.2">
      <c r="A15" s="5">
        <v>7</v>
      </c>
      <c r="B15" s="1" t="s">
        <v>44</v>
      </c>
      <c r="F15" s="29"/>
      <c r="G15" s="29"/>
      <c r="H15" s="17"/>
      <c r="I15" s="29"/>
      <c r="J15" s="17"/>
      <c r="K15" s="29"/>
      <c r="L15" s="33">
        <v>0</v>
      </c>
      <c r="M15" s="17"/>
      <c r="N15" s="29"/>
      <c r="O15" s="29"/>
      <c r="P15" s="11"/>
      <c r="Q15" s="29"/>
      <c r="R15" s="17"/>
      <c r="S15" s="17"/>
      <c r="T15" s="17"/>
      <c r="U15" s="28">
        <f t="shared" si="6"/>
        <v>0</v>
      </c>
      <c r="V15" s="33">
        <v>0</v>
      </c>
      <c r="W15" s="17"/>
      <c r="X15" s="29"/>
      <c r="Y15" s="29"/>
      <c r="Z15" s="29"/>
      <c r="AA15" s="29"/>
      <c r="AB15" s="17"/>
      <c r="AC15" s="28">
        <f t="shared" si="0"/>
        <v>0</v>
      </c>
      <c r="AD15" s="33">
        <v>0</v>
      </c>
      <c r="AE15" s="17"/>
      <c r="AF15" s="29"/>
      <c r="AG15" s="29"/>
      <c r="AH15" s="29"/>
      <c r="AI15" s="29"/>
      <c r="AJ15" s="17"/>
      <c r="AK15" s="29"/>
      <c r="AL15" s="29"/>
      <c r="AM15" s="29"/>
      <c r="AN15" s="29"/>
    </row>
    <row r="16" spans="1:40" x14ac:dyDescent="0.2">
      <c r="A16" s="5">
        <v>8</v>
      </c>
      <c r="B16" s="1" t="s">
        <v>45</v>
      </c>
      <c r="F16" s="29"/>
      <c r="G16" s="29"/>
      <c r="H16" s="17"/>
      <c r="I16" s="29"/>
      <c r="J16" s="17"/>
      <c r="K16" s="29"/>
      <c r="L16" s="33">
        <v>0</v>
      </c>
      <c r="M16" s="17"/>
      <c r="N16" s="29"/>
      <c r="O16" s="29"/>
      <c r="P16" s="11"/>
      <c r="Q16" s="29"/>
      <c r="R16" s="17"/>
      <c r="S16" s="17"/>
      <c r="T16" s="17"/>
      <c r="U16" s="28">
        <f t="shared" si="6"/>
        <v>0</v>
      </c>
      <c r="V16" s="33">
        <v>0</v>
      </c>
      <c r="W16" s="17"/>
      <c r="X16" s="29"/>
      <c r="Y16" s="29"/>
      <c r="Z16" s="29"/>
      <c r="AA16" s="29"/>
      <c r="AB16" s="17"/>
      <c r="AC16" s="28">
        <f t="shared" si="0"/>
        <v>0</v>
      </c>
      <c r="AD16" s="33">
        <v>0</v>
      </c>
      <c r="AE16" s="17"/>
      <c r="AF16" s="29"/>
      <c r="AG16" s="29"/>
      <c r="AH16" s="29"/>
      <c r="AI16" s="29"/>
      <c r="AJ16" s="17"/>
      <c r="AK16" s="29"/>
      <c r="AL16" s="29"/>
      <c r="AM16" s="29"/>
      <c r="AN16" s="29"/>
    </row>
    <row r="17" spans="1:40" x14ac:dyDescent="0.2">
      <c r="A17" s="5">
        <v>9</v>
      </c>
      <c r="B17" s="6" t="s">
        <v>46</v>
      </c>
      <c r="C17" s="44">
        <f>SUM(C8:C10)</f>
        <v>115555.06800000009</v>
      </c>
      <c r="D17" s="46">
        <f>C17/N17</f>
        <v>3.0000000000000027E-2</v>
      </c>
      <c r="E17" s="26"/>
      <c r="F17" s="30">
        <f>SUM(F8:F10)</f>
        <v>3967390.6680000001</v>
      </c>
      <c r="G17" s="30">
        <f>SUM(G8:G10)</f>
        <v>2455814.8234919999</v>
      </c>
      <c r="H17" s="30">
        <f>SUM(H8:H10)</f>
        <v>1511575.8445080002</v>
      </c>
      <c r="I17" s="30">
        <f>SUM(I8:I10)</f>
        <v>83892.459370194003</v>
      </c>
      <c r="J17" s="26"/>
      <c r="K17" s="30">
        <f>SUM(K8:K16)</f>
        <v>-279099.97000000009</v>
      </c>
      <c r="L17" s="34">
        <f t="shared" si="4"/>
        <v>-6.7563380079539728E-2</v>
      </c>
      <c r="M17" s="26"/>
      <c r="N17" s="30">
        <f>SUM(N8:N16)</f>
        <v>3851835.5999999996</v>
      </c>
      <c r="O17" s="30">
        <f>SUM(O8:O10)</f>
        <v>2384286.2363999998</v>
      </c>
      <c r="P17" s="43">
        <f>SUM(P8:P10)</f>
        <v>1467549.3635999998</v>
      </c>
      <c r="Q17" s="30">
        <f>SUM(Q8:Q10)</f>
        <v>78220.381079879997</v>
      </c>
      <c r="R17" s="26"/>
      <c r="S17" s="30">
        <f>SUM(S8:S10)</f>
        <v>78220.381079879997</v>
      </c>
      <c r="T17" s="26"/>
      <c r="U17" s="30">
        <f t="shared" si="6"/>
        <v>2252485.0200000005</v>
      </c>
      <c r="V17" s="34">
        <f t="shared" si="7"/>
        <v>1.1991186140087642</v>
      </c>
      <c r="W17" s="26"/>
      <c r="X17" s="30">
        <f>SUM(X8:X16)</f>
        <v>4130935.5700000003</v>
      </c>
      <c r="Y17" s="30">
        <f>SUM(Y8:Y16)</f>
        <v>2416184.2148930002</v>
      </c>
      <c r="Z17" s="30">
        <f>SUM(Z8:Z10)</f>
        <v>1714751.3551070001</v>
      </c>
      <c r="AA17" s="30">
        <f>SUM(AA8:AA10)</f>
        <v>90367.396414138901</v>
      </c>
      <c r="AB17" s="26"/>
      <c r="AC17" s="30">
        <f t="shared" si="0"/>
        <v>767256.10999999987</v>
      </c>
      <c r="AD17" s="34">
        <f>AC17/AK17</f>
        <v>0.6904787158582254</v>
      </c>
      <c r="AE17" s="26"/>
      <c r="AF17" s="30">
        <f>SUM(AF8:AF16)</f>
        <v>1878450.5499999998</v>
      </c>
      <c r="AG17" s="30">
        <f>SUM(AG8:AG10)</f>
        <v>1062827.32119</v>
      </c>
      <c r="AH17" s="30">
        <f>SUM(AH8:AH10)</f>
        <v>815623.22881000012</v>
      </c>
      <c r="AI17" s="30">
        <f>SUM(AI8:AI10)</f>
        <v>40128.662857452007</v>
      </c>
      <c r="AJ17" s="26"/>
      <c r="AK17" s="30">
        <f>SUM(AK8:AK16)</f>
        <v>1111194.44</v>
      </c>
      <c r="AL17" s="30">
        <f>SUM(AL8:AL9)</f>
        <v>631269.56136400008</v>
      </c>
      <c r="AM17" s="30">
        <f>SUM(AM8:AM9)</f>
        <v>479924.87863599998</v>
      </c>
      <c r="AN17" s="30">
        <f>SUM(AN8:AN9)</f>
        <v>24572.153786163202</v>
      </c>
    </row>
    <row r="18" spans="1:40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">
      <c r="A19" s="5" t="s">
        <v>34</v>
      </c>
      <c r="B19" s="1" t="s">
        <v>47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x14ac:dyDescent="0.2">
      <c r="B20" s="1" t="s">
        <v>48</v>
      </c>
    </row>
    <row r="21" spans="1:40" x14ac:dyDescent="0.2">
      <c r="B21" s="1" t="s">
        <v>49</v>
      </c>
    </row>
    <row r="23" spans="1:40" x14ac:dyDescent="0.2">
      <c r="A23" s="5" t="s">
        <v>34</v>
      </c>
      <c r="B23" s="1" t="s">
        <v>95</v>
      </c>
    </row>
    <row r="24" spans="1:40" x14ac:dyDescent="0.2">
      <c r="B24" s="1" t="s">
        <v>96</v>
      </c>
    </row>
    <row r="25" spans="1:40" x14ac:dyDescent="0.2">
      <c r="B25" s="1" t="s">
        <v>97</v>
      </c>
    </row>
    <row r="26" spans="1:40" x14ac:dyDescent="0.2">
      <c r="B26" s="1" t="s">
        <v>98</v>
      </c>
    </row>
    <row r="27" spans="1:40" x14ac:dyDescent="0.2">
      <c r="B27" s="1" t="s">
        <v>99</v>
      </c>
    </row>
  </sheetData>
  <mergeCells count="1">
    <mergeCell ref="N6:P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9.5703125" style="1" customWidth="1"/>
    <col min="2" max="2" width="38.570312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7.7109375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6.7109375" style="1" bestFit="1" customWidth="1"/>
    <col min="13" max="13" width="1.28515625" style="1" customWidth="1"/>
    <col min="14" max="15" width="7.7109375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6.85546875" style="1" bestFit="1" customWidth="1"/>
    <col min="20" max="20" width="1.42578125" style="1" customWidth="1"/>
    <col min="21" max="21" width="31.7109375" style="1" bestFit="1" customWidth="1"/>
    <col min="22" max="22" width="6.7109375" style="1" bestFit="1" customWidth="1"/>
    <col min="23" max="23" width="1.140625" style="1" customWidth="1"/>
    <col min="24" max="24" width="20.42578125" style="1" bestFit="1" customWidth="1"/>
    <col min="25" max="25" width="22.140625" style="1" bestFit="1" customWidth="1"/>
    <col min="26" max="26" width="0.85546875" style="1" customWidth="1"/>
    <col min="27" max="27" width="36.140625" style="1" bestFit="1" customWidth="1"/>
    <col min="28" max="28" width="6.7109375" style="1" bestFit="1" customWidth="1"/>
    <col min="29" max="29" width="1" style="1" customWidth="1"/>
    <col min="30" max="30" width="20.42578125" style="1" bestFit="1" customWidth="1"/>
    <col min="31" max="31" width="22.140625" style="1" bestFit="1" customWidth="1"/>
    <col min="32" max="32" width="1.28515625" style="1" customWidth="1"/>
    <col min="33" max="33" width="20.42578125" style="1" bestFit="1" customWidth="1"/>
    <col min="34" max="34" width="22.140625" style="1" bestFit="1" customWidth="1"/>
    <col min="35" max="16384" width="9.140625" style="1"/>
  </cols>
  <sheetData>
    <row r="1" spans="1:34" ht="15.75" x14ac:dyDescent="0.25">
      <c r="A1" s="15" t="s">
        <v>0</v>
      </c>
    </row>
    <row r="2" spans="1:34" x14ac:dyDescent="0.2">
      <c r="A2" s="6" t="s">
        <v>30</v>
      </c>
    </row>
    <row r="3" spans="1:34" x14ac:dyDescent="0.2">
      <c r="A3" s="6" t="s">
        <v>31</v>
      </c>
    </row>
    <row r="4" spans="1:34" x14ac:dyDescent="0.2">
      <c r="A4" s="6" t="s">
        <v>32</v>
      </c>
      <c r="N4" s="2"/>
      <c r="O4" s="3"/>
      <c r="P4" s="3"/>
      <c r="Q4" s="3" t="s">
        <v>11</v>
      </c>
      <c r="R4" s="2"/>
      <c r="S4" s="2"/>
      <c r="T4" s="11"/>
      <c r="U4" s="11"/>
      <c r="V4" s="11"/>
    </row>
    <row r="5" spans="1:34" x14ac:dyDescent="0.2">
      <c r="N5" s="2"/>
      <c r="O5" s="3"/>
      <c r="P5" s="3"/>
      <c r="Q5" s="3"/>
      <c r="R5" s="2"/>
      <c r="S5" s="27"/>
      <c r="T5" s="11"/>
      <c r="U5" s="11"/>
      <c r="V5" s="11"/>
    </row>
    <row r="6" spans="1:34" x14ac:dyDescent="0.2">
      <c r="B6" s="6" t="s">
        <v>90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6" t="s">
        <v>33</v>
      </c>
      <c r="O6" s="56"/>
      <c r="P6" s="35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24"/>
      <c r="AA6" s="25" t="s">
        <v>28</v>
      </c>
      <c r="AB6" s="8"/>
      <c r="AD6" s="9" t="s">
        <v>6</v>
      </c>
      <c r="AE6" s="10"/>
      <c r="AG6" s="12" t="s">
        <v>7</v>
      </c>
      <c r="AH6" s="13"/>
    </row>
    <row r="7" spans="1:34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18" t="s">
        <v>23</v>
      </c>
      <c r="V7" s="18" t="s">
        <v>24</v>
      </c>
      <c r="X7" s="14" t="s">
        <v>1</v>
      </c>
      <c r="Y7" s="14" t="s">
        <v>10</v>
      </c>
      <c r="Z7" s="18"/>
      <c r="AA7" s="16" t="s">
        <v>29</v>
      </c>
      <c r="AB7" s="16" t="s">
        <v>24</v>
      </c>
      <c r="AD7" s="14" t="s">
        <v>1</v>
      </c>
      <c r="AE7" s="14" t="s">
        <v>10</v>
      </c>
      <c r="AG7" s="14" t="s">
        <v>1</v>
      </c>
      <c r="AH7" s="14" t="s">
        <v>10</v>
      </c>
    </row>
    <row r="8" spans="1:34" x14ac:dyDescent="0.2">
      <c r="A8" s="5">
        <v>1</v>
      </c>
      <c r="B8" s="1" t="s">
        <v>50</v>
      </c>
      <c r="C8" s="28">
        <f>F8-N8</f>
        <v>8541.4173000000301</v>
      </c>
      <c r="D8" s="45">
        <f>C8/N8</f>
        <v>3.000000000000011E-2</v>
      </c>
      <c r="F8" s="28">
        <f>N8*1.03</f>
        <v>293255.3273</v>
      </c>
      <c r="G8" s="28">
        <f>F8*0.619</f>
        <v>181525.04759870001</v>
      </c>
      <c r="H8" s="28">
        <f>F8-G8</f>
        <v>111730.27970129999</v>
      </c>
      <c r="I8" s="28">
        <f>H8*0.0555</f>
        <v>6201.0305234221496</v>
      </c>
      <c r="N8" s="28">
        <v>284713.90999999997</v>
      </c>
      <c r="O8" s="41">
        <f>N8*0.619</f>
        <v>176237.91028999997</v>
      </c>
      <c r="P8" s="41">
        <f>N8-O8</f>
        <v>108475.99971</v>
      </c>
      <c r="Q8" s="28">
        <f>P8*0.0533</f>
        <v>5781.7707845430004</v>
      </c>
      <c r="R8" s="1" t="s">
        <v>105</v>
      </c>
      <c r="S8" s="28">
        <f>Q8</f>
        <v>5781.7707845430004</v>
      </c>
    </row>
    <row r="9" spans="1:34" x14ac:dyDescent="0.2">
      <c r="A9" s="5">
        <v>2</v>
      </c>
      <c r="B9" s="1" t="s">
        <v>51</v>
      </c>
      <c r="C9" s="28">
        <f>F9-N9</f>
        <v>7341.672900000005</v>
      </c>
      <c r="D9" s="45">
        <f t="shared" ref="D9:D17" si="0">C9/N9</f>
        <v>3.000000000000002E-2</v>
      </c>
      <c r="F9" s="28">
        <f>N9*1.03</f>
        <v>252064.1029</v>
      </c>
      <c r="G9" s="28">
        <f>F9*0.619</f>
        <v>156027.6796951</v>
      </c>
      <c r="H9" s="28">
        <f>F9-G9</f>
        <v>96036.423204899998</v>
      </c>
      <c r="I9" s="28">
        <f>H9*0.0555</f>
        <v>5330.0214878719498</v>
      </c>
      <c r="N9" s="28">
        <v>244722.43</v>
      </c>
      <c r="O9" s="41">
        <f>N9*0.619</f>
        <v>151483.18416999999</v>
      </c>
      <c r="P9" s="41">
        <f>N9-O9</f>
        <v>93239.24583</v>
      </c>
      <c r="Q9" s="28">
        <f>P9*0.0533</f>
        <v>4969.6518027390002</v>
      </c>
      <c r="R9" s="1" t="s">
        <v>105</v>
      </c>
      <c r="S9" s="28">
        <f>Q9</f>
        <v>4969.6518027390002</v>
      </c>
    </row>
    <row r="10" spans="1:34" x14ac:dyDescent="0.2">
      <c r="A10" s="5">
        <v>3</v>
      </c>
      <c r="B10" s="1" t="s">
        <v>52</v>
      </c>
      <c r="D10" s="45"/>
      <c r="F10" s="29"/>
      <c r="G10" s="29"/>
      <c r="H10" s="17"/>
      <c r="I10" s="29"/>
      <c r="J10" s="17"/>
      <c r="K10" s="17"/>
      <c r="L10" s="17"/>
      <c r="M10" s="17"/>
      <c r="N10" s="29"/>
      <c r="O10" s="42"/>
      <c r="P10" s="11"/>
      <c r="Q10" s="29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x14ac:dyDescent="0.2">
      <c r="A11" s="5">
        <v>4</v>
      </c>
      <c r="B11" s="1" t="s">
        <v>53</v>
      </c>
      <c r="D11" s="45"/>
      <c r="F11" s="29"/>
      <c r="G11" s="29"/>
      <c r="H11" s="17"/>
      <c r="I11" s="29"/>
      <c r="J11" s="17"/>
      <c r="K11" s="17"/>
      <c r="L11" s="17"/>
      <c r="M11" s="17"/>
      <c r="N11" s="29"/>
      <c r="O11" s="42"/>
      <c r="P11" s="11"/>
      <c r="Q11" s="29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x14ac:dyDescent="0.2">
      <c r="A12" s="5"/>
      <c r="B12" s="1" t="s">
        <v>54</v>
      </c>
      <c r="D12" s="45"/>
      <c r="F12" s="29"/>
      <c r="G12" s="29"/>
      <c r="H12" s="17"/>
      <c r="I12" s="29"/>
      <c r="J12" s="17"/>
      <c r="K12" s="17"/>
      <c r="L12" s="17"/>
      <c r="M12" s="17"/>
      <c r="N12" s="29"/>
      <c r="O12" s="42"/>
      <c r="P12" s="11"/>
      <c r="Q12" s="29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2">
      <c r="A13" s="5">
        <v>5</v>
      </c>
      <c r="B13" s="1" t="s">
        <v>55</v>
      </c>
      <c r="D13" s="45"/>
      <c r="F13" s="29"/>
      <c r="G13" s="29"/>
      <c r="H13" s="17"/>
      <c r="I13" s="29"/>
      <c r="J13" s="17"/>
      <c r="K13" s="17"/>
      <c r="L13" s="17"/>
      <c r="M13" s="17"/>
      <c r="N13" s="29"/>
      <c r="O13" s="42"/>
      <c r="P13" s="11"/>
      <c r="Q13" s="29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2">
      <c r="A14" s="5">
        <v>6</v>
      </c>
      <c r="B14" s="1" t="s">
        <v>56</v>
      </c>
      <c r="D14" s="45"/>
      <c r="F14" s="29"/>
      <c r="G14" s="29"/>
      <c r="H14" s="17"/>
      <c r="I14" s="29"/>
      <c r="J14" s="17"/>
      <c r="K14" s="17"/>
      <c r="L14" s="17"/>
      <c r="M14" s="17"/>
      <c r="N14" s="29"/>
      <c r="O14" s="42"/>
      <c r="P14" s="11"/>
      <c r="Q14" s="29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2">
      <c r="A15" s="5">
        <v>7</v>
      </c>
      <c r="B15" s="1" t="s">
        <v>57</v>
      </c>
      <c r="D15" s="45"/>
      <c r="F15" s="29"/>
      <c r="G15" s="29"/>
      <c r="H15" s="17"/>
      <c r="I15" s="29"/>
      <c r="J15" s="17"/>
      <c r="K15" s="17"/>
      <c r="L15" s="17"/>
      <c r="M15" s="17"/>
      <c r="N15" s="29"/>
      <c r="O15" s="42"/>
      <c r="P15" s="11"/>
      <c r="Q15" s="29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2">
      <c r="A16" s="5">
        <v>8</v>
      </c>
      <c r="B16" s="1" t="s">
        <v>58</v>
      </c>
      <c r="D16" s="45"/>
      <c r="F16" s="29"/>
      <c r="G16" s="29"/>
      <c r="H16" s="17"/>
      <c r="I16" s="29"/>
      <c r="J16" s="17"/>
      <c r="K16" s="17"/>
      <c r="L16" s="17"/>
      <c r="M16" s="17"/>
      <c r="N16" s="29"/>
      <c r="O16" s="42"/>
      <c r="P16" s="11"/>
      <c r="Q16" s="29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2">
      <c r="A17" s="5">
        <v>9</v>
      </c>
      <c r="B17" s="6" t="s">
        <v>59</v>
      </c>
      <c r="C17" s="44">
        <f>SUM(C8:C9)</f>
        <v>15883.090200000035</v>
      </c>
      <c r="D17" s="46">
        <f t="shared" si="0"/>
        <v>3.0000000000000068E-2</v>
      </c>
      <c r="E17" s="26"/>
      <c r="F17" s="30">
        <f>SUM(F8:F9)</f>
        <v>545319.43020000006</v>
      </c>
      <c r="G17" s="30">
        <f>SUM(G8:G9)</f>
        <v>337552.72729379998</v>
      </c>
      <c r="H17" s="30">
        <f>SUM(H8:H9)</f>
        <v>207766.70290619999</v>
      </c>
      <c r="I17" s="30">
        <f>SUM(I8:I9)</f>
        <v>11531.052011294099</v>
      </c>
      <c r="J17" s="26"/>
      <c r="K17" s="26"/>
      <c r="L17" s="26"/>
      <c r="M17" s="26"/>
      <c r="N17" s="30">
        <f>SUM(N8:N16)</f>
        <v>529436.34</v>
      </c>
      <c r="O17" s="43">
        <f>SUM(O8:O9)</f>
        <v>327721.09445999993</v>
      </c>
      <c r="P17" s="43">
        <f>SUM(P8:P9)</f>
        <v>201715.24554</v>
      </c>
      <c r="Q17" s="30">
        <f>SUM(Q8:Q9)</f>
        <v>10751.422587282001</v>
      </c>
      <c r="R17" s="26"/>
      <c r="S17" s="30">
        <f>SUM(S8:S9)</f>
        <v>10751.422587282001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1:34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2">
      <c r="A19" s="5" t="s">
        <v>34</v>
      </c>
      <c r="B19" s="1" t="s">
        <v>95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2">
      <c r="B20" s="1" t="s">
        <v>96</v>
      </c>
    </row>
    <row r="21" spans="1:34" x14ac:dyDescent="0.2">
      <c r="B21" s="1" t="s">
        <v>97</v>
      </c>
    </row>
    <row r="22" spans="1:34" x14ac:dyDescent="0.2">
      <c r="B22" s="1" t="s">
        <v>98</v>
      </c>
    </row>
    <row r="23" spans="1:34" x14ac:dyDescent="0.2">
      <c r="B23" s="1" t="s">
        <v>99</v>
      </c>
    </row>
  </sheetData>
  <mergeCells count="1">
    <mergeCell ref="N6:O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9.5703125" style="1" customWidth="1"/>
    <col min="2" max="2" width="36.14062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6.85546875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7" style="1" bestFit="1" customWidth="1"/>
    <col min="13" max="13" width="1.28515625" style="1" customWidth="1"/>
    <col min="14" max="14" width="7.7109375" style="1" bestFit="1" customWidth="1"/>
    <col min="15" max="15" width="6.85546875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6" style="1" bestFit="1" customWidth="1"/>
    <col min="20" max="20" width="1.42578125" style="1" customWidth="1"/>
    <col min="21" max="21" width="31.7109375" style="1" bestFit="1" customWidth="1"/>
    <col min="22" max="22" width="7.28515625" style="1" bestFit="1" customWidth="1"/>
    <col min="23" max="23" width="1.140625" style="1" customWidth="1"/>
    <col min="24" max="24" width="20.42578125" style="1" bestFit="1" customWidth="1"/>
    <col min="25" max="25" width="7.7109375" style="1" bestFit="1" customWidth="1"/>
    <col min="26" max="26" width="10.42578125" style="1" bestFit="1" customWidth="1"/>
    <col min="27" max="27" width="25" style="1" bestFit="1" customWidth="1"/>
    <col min="28" max="28" width="0.85546875" style="1" customWidth="1"/>
    <col min="29" max="29" width="36.140625" style="1" bestFit="1" customWidth="1"/>
    <col min="30" max="30" width="6.7109375" style="1" bestFit="1" customWidth="1"/>
    <col min="31" max="31" width="1" style="1" customWidth="1"/>
    <col min="32" max="32" width="20.42578125" style="1" bestFit="1" customWidth="1"/>
    <col min="33" max="33" width="7.7109375" style="1" bestFit="1" customWidth="1"/>
    <col min="34" max="34" width="10.42578125" style="1" bestFit="1" customWidth="1"/>
    <col min="35" max="35" width="25" style="1" bestFit="1" customWidth="1"/>
    <col min="36" max="36" width="1.28515625" style="1" customWidth="1"/>
    <col min="37" max="37" width="20.42578125" style="1" bestFit="1" customWidth="1"/>
    <col min="38" max="38" width="7.7109375" style="1" bestFit="1" customWidth="1"/>
    <col min="39" max="39" width="10.42578125" style="1" bestFit="1" customWidth="1"/>
    <col min="40" max="40" width="25" style="1" bestFit="1" customWidth="1"/>
    <col min="41" max="16384" width="9.140625" style="1"/>
  </cols>
  <sheetData>
    <row r="1" spans="1:40" ht="15.75" x14ac:dyDescent="0.25">
      <c r="A1" s="15" t="s">
        <v>0</v>
      </c>
    </row>
    <row r="2" spans="1:40" x14ac:dyDescent="0.2">
      <c r="A2" s="6" t="s">
        <v>30</v>
      </c>
    </row>
    <row r="3" spans="1:40" x14ac:dyDescent="0.2">
      <c r="A3" s="6" t="s">
        <v>31</v>
      </c>
    </row>
    <row r="4" spans="1:40" x14ac:dyDescent="0.2">
      <c r="A4" s="6" t="s">
        <v>32</v>
      </c>
      <c r="N4" s="2"/>
      <c r="O4" s="3"/>
      <c r="P4" s="3"/>
      <c r="Q4" s="3" t="s">
        <v>11</v>
      </c>
      <c r="R4" s="2"/>
      <c r="S4" s="2"/>
      <c r="T4" s="11"/>
      <c r="U4" s="11"/>
      <c r="V4" s="11"/>
    </row>
    <row r="5" spans="1:40" x14ac:dyDescent="0.2">
      <c r="N5" s="2"/>
      <c r="O5" s="3"/>
      <c r="P5" s="3"/>
      <c r="Q5" s="3"/>
      <c r="R5" s="2"/>
      <c r="S5" s="27"/>
      <c r="T5" s="11"/>
      <c r="U5" s="11"/>
      <c r="V5" s="11"/>
    </row>
    <row r="6" spans="1:40" x14ac:dyDescent="0.2">
      <c r="B6" s="6" t="s">
        <v>91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6" t="s">
        <v>33</v>
      </c>
      <c r="O6" s="56"/>
      <c r="P6" s="35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7"/>
      <c r="AA6" s="40" t="s">
        <v>102</v>
      </c>
      <c r="AB6" s="24"/>
      <c r="AC6" s="25" t="s">
        <v>28</v>
      </c>
      <c r="AD6" s="8"/>
      <c r="AF6" s="9" t="s">
        <v>6</v>
      </c>
      <c r="AG6" s="9"/>
      <c r="AH6" s="9"/>
      <c r="AI6" s="39" t="s">
        <v>102</v>
      </c>
      <c r="AK6" s="12" t="s">
        <v>7</v>
      </c>
      <c r="AL6" s="12"/>
      <c r="AM6" s="12"/>
      <c r="AN6" s="37" t="s">
        <v>102</v>
      </c>
    </row>
    <row r="7" spans="1:40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16" t="s">
        <v>23</v>
      </c>
      <c r="V7" s="16" t="s">
        <v>24</v>
      </c>
      <c r="X7" s="14" t="s">
        <v>107</v>
      </c>
      <c r="Y7" s="14" t="s">
        <v>101</v>
      </c>
      <c r="Z7" s="14" t="s">
        <v>102</v>
      </c>
      <c r="AA7" s="14" t="s">
        <v>104</v>
      </c>
      <c r="AB7" s="18"/>
      <c r="AC7" s="16" t="s">
        <v>29</v>
      </c>
      <c r="AD7" s="16" t="s">
        <v>24</v>
      </c>
      <c r="AF7" s="14" t="s">
        <v>100</v>
      </c>
      <c r="AG7" s="14" t="s">
        <v>101</v>
      </c>
      <c r="AH7" s="14" t="s">
        <v>102</v>
      </c>
      <c r="AI7" s="14" t="s">
        <v>104</v>
      </c>
      <c r="AK7" s="14" t="s">
        <v>100</v>
      </c>
      <c r="AL7" s="14" t="s">
        <v>101</v>
      </c>
      <c r="AM7" s="14" t="s">
        <v>102</v>
      </c>
      <c r="AN7" s="14" t="s">
        <v>104</v>
      </c>
    </row>
    <row r="8" spans="1:40" x14ac:dyDescent="0.2">
      <c r="A8" s="5">
        <v>1</v>
      </c>
      <c r="B8" s="1" t="s">
        <v>60</v>
      </c>
      <c r="C8" s="28">
        <f>F8-N8</f>
        <v>2076.9239999999991</v>
      </c>
      <c r="D8" s="45">
        <f>C8/N8</f>
        <v>2.9999999999999985E-2</v>
      </c>
      <c r="F8" s="28">
        <f>N8*1.03</f>
        <v>71307.724000000002</v>
      </c>
      <c r="G8" s="28">
        <f>F8*0.619</f>
        <v>44139.481156000002</v>
      </c>
      <c r="H8" s="28">
        <f>F8-G8</f>
        <v>27168.242844</v>
      </c>
      <c r="I8" s="28">
        <f>H8*0.0555</f>
        <v>1507.837477842</v>
      </c>
      <c r="K8" s="28">
        <f>N8-X8</f>
        <v>-367918.39</v>
      </c>
      <c r="L8" s="33">
        <f>K8/X8</f>
        <v>-0.84163118316655239</v>
      </c>
      <c r="N8" s="28">
        <v>69230.8</v>
      </c>
      <c r="O8" s="41">
        <f>N8*0.619</f>
        <v>42853.8652</v>
      </c>
      <c r="P8" s="41">
        <f>N8-O8</f>
        <v>26376.934800000003</v>
      </c>
      <c r="Q8" s="28">
        <f>P8*0.0533</f>
        <v>1405.8906248400001</v>
      </c>
      <c r="R8" s="1" t="s">
        <v>105</v>
      </c>
      <c r="S8" s="28">
        <f>Q8</f>
        <v>1405.8906248400001</v>
      </c>
      <c r="U8" s="28">
        <f>X8-AF8</f>
        <v>38319.390000000014</v>
      </c>
      <c r="V8" s="33">
        <f>U8/AF8</f>
        <v>9.6079555740318345E-2</v>
      </c>
      <c r="X8" s="28">
        <v>437149.19</v>
      </c>
      <c r="Y8" s="28">
        <f>X8*0.5849</f>
        <v>255688.561231</v>
      </c>
      <c r="Z8" s="28">
        <f>X8-Y8</f>
        <v>181460.628769</v>
      </c>
      <c r="AA8" s="28">
        <f>Z8*0.0527</f>
        <v>9562.9751361262988</v>
      </c>
      <c r="AC8" s="28">
        <f>AF8-AK8</f>
        <v>25524.419999999984</v>
      </c>
      <c r="AD8" s="33">
        <f>AC8/AK8</f>
        <v>6.8374101653718419E-2</v>
      </c>
      <c r="AF8" s="28">
        <v>398829.8</v>
      </c>
      <c r="AG8" s="28">
        <f>AF8*0.5658</f>
        <v>225657.90083999999</v>
      </c>
      <c r="AH8" s="28">
        <f>AF8-AG8</f>
        <v>173171.89916</v>
      </c>
      <c r="AI8" s="28">
        <f>AH8*0.0492</f>
        <v>8520.057438672</v>
      </c>
      <c r="AK8" s="28">
        <v>373305.38</v>
      </c>
      <c r="AL8" s="28">
        <f>AK8*0.5681</f>
        <v>212074.78637800002</v>
      </c>
      <c r="AM8" s="28">
        <f>AK8-AL8</f>
        <v>161230.59362199999</v>
      </c>
      <c r="AN8" s="28">
        <f>AM8*0.0512</f>
        <v>8255.0063934463997</v>
      </c>
    </row>
    <row r="9" spans="1:40" x14ac:dyDescent="0.2">
      <c r="A9" s="5">
        <v>2</v>
      </c>
      <c r="B9" s="1" t="s">
        <v>61</v>
      </c>
      <c r="C9" s="28">
        <f>F9-N9</f>
        <v>2366.6022000000085</v>
      </c>
      <c r="D9" s="45">
        <f t="shared" ref="D9:D17" si="0">C9/N9</f>
        <v>3.0000000000000106E-2</v>
      </c>
      <c r="F9" s="28">
        <f>N9*1.03</f>
        <v>81253.342200000014</v>
      </c>
      <c r="G9" s="28">
        <f>F9*0.619</f>
        <v>50295.818821800007</v>
      </c>
      <c r="H9" s="28">
        <f>F9-G9</f>
        <v>30957.523378200007</v>
      </c>
      <c r="I9" s="28">
        <f>H9*0.0555</f>
        <v>1718.1425474901005</v>
      </c>
      <c r="K9" s="28">
        <f t="shared" ref="K9:K17" si="1">N9-X9</f>
        <v>-1103553.4099999999</v>
      </c>
      <c r="L9" s="33">
        <f t="shared" ref="L9:L17" si="2">K9/X9</f>
        <v>-0.93328479246920026</v>
      </c>
      <c r="N9" s="28">
        <v>78886.740000000005</v>
      </c>
      <c r="O9" s="41">
        <f>N9*0.619</f>
        <v>48830.892060000006</v>
      </c>
      <c r="P9" s="41">
        <f>N9-O9</f>
        <v>30055.84794</v>
      </c>
      <c r="Q9" s="28">
        <f>P9*0.0533</f>
        <v>1601.976695202</v>
      </c>
      <c r="R9" s="1" t="s">
        <v>105</v>
      </c>
      <c r="S9" s="28">
        <f>Q9</f>
        <v>1601.976695202</v>
      </c>
      <c r="U9" s="28">
        <f t="shared" ref="U9:U17" si="3">X9-AF9</f>
        <v>684383.66999999993</v>
      </c>
      <c r="V9" s="33">
        <f t="shared" ref="V9:V17" si="4">U9/AF9</f>
        <v>1.3741085549173058</v>
      </c>
      <c r="X9" s="28">
        <v>1182440.1499999999</v>
      </c>
      <c r="Y9" s="28">
        <f>X9*0.5849</f>
        <v>691609.24373499991</v>
      </c>
      <c r="Z9" s="28">
        <f>X9-Y9</f>
        <v>490830.906265</v>
      </c>
      <c r="AA9" s="28">
        <f>Z9*0.0527</f>
        <v>25866.788760165498</v>
      </c>
      <c r="AC9" s="28">
        <f t="shared" ref="AC9:AC17" si="5">AF9-AK9</f>
        <v>158452.38</v>
      </c>
      <c r="AD9" s="33">
        <f t="shared" ref="AD9:AD17" si="6">AC9/AK9</f>
        <v>0.46657970265965582</v>
      </c>
      <c r="AF9" s="28">
        <v>498056.48</v>
      </c>
      <c r="AG9" s="28">
        <f>AF9*0.5658</f>
        <v>281800.35638399998</v>
      </c>
      <c r="AH9" s="28">
        <f>AF9-AG9</f>
        <v>216256.123616</v>
      </c>
      <c r="AI9" s="28">
        <f>AH9*0.0492</f>
        <v>10639.801281907199</v>
      </c>
      <c r="AK9" s="28">
        <v>339604.1</v>
      </c>
      <c r="AL9" s="28">
        <f>AK9*0.5681</f>
        <v>192929.08921000001</v>
      </c>
      <c r="AM9" s="28">
        <f t="shared" ref="AM9:AM16" si="7">AK9-AL9</f>
        <v>146675.01078999997</v>
      </c>
      <c r="AN9" s="28">
        <f>AM9*0.0512</f>
        <v>7509.7605524479986</v>
      </c>
    </row>
    <row r="10" spans="1:40" x14ac:dyDescent="0.2">
      <c r="A10" s="5">
        <v>3</v>
      </c>
      <c r="B10" s="1" t="s">
        <v>64</v>
      </c>
      <c r="D10" s="45"/>
      <c r="F10" s="29"/>
      <c r="G10" s="29"/>
      <c r="H10" s="29"/>
      <c r="I10" s="29"/>
      <c r="J10" s="17"/>
      <c r="K10" s="28">
        <f t="shared" si="1"/>
        <v>0</v>
      </c>
      <c r="L10" s="33">
        <v>0</v>
      </c>
      <c r="M10" s="17"/>
      <c r="N10" s="29"/>
      <c r="O10" s="42"/>
      <c r="P10" s="42"/>
      <c r="Q10" s="29"/>
      <c r="R10" s="17"/>
      <c r="S10" s="17"/>
      <c r="T10" s="17"/>
      <c r="U10" s="28">
        <f t="shared" si="3"/>
        <v>0</v>
      </c>
      <c r="V10" s="33">
        <v>0</v>
      </c>
      <c r="W10" s="17"/>
      <c r="X10" s="29"/>
      <c r="Y10" s="29"/>
      <c r="Z10" s="29"/>
      <c r="AA10" s="29"/>
      <c r="AB10" s="17"/>
      <c r="AC10" s="28">
        <f t="shared" si="5"/>
        <v>0</v>
      </c>
      <c r="AD10" s="33">
        <v>0</v>
      </c>
      <c r="AE10" s="17"/>
      <c r="AF10" s="29"/>
      <c r="AG10" s="29"/>
      <c r="AH10" s="29"/>
      <c r="AI10" s="29"/>
      <c r="AJ10" s="17"/>
      <c r="AK10" s="29"/>
      <c r="AL10" s="29"/>
      <c r="AM10" s="28">
        <f t="shared" si="7"/>
        <v>0</v>
      </c>
      <c r="AN10" s="29"/>
    </row>
    <row r="11" spans="1:40" x14ac:dyDescent="0.2">
      <c r="A11" s="5">
        <v>4</v>
      </c>
      <c r="B11" s="1" t="s">
        <v>65</v>
      </c>
      <c r="D11" s="45"/>
      <c r="F11" s="29"/>
      <c r="G11" s="29"/>
      <c r="H11" s="29"/>
      <c r="I11" s="29"/>
      <c r="J11" s="17"/>
      <c r="K11" s="28">
        <f t="shared" si="1"/>
        <v>0</v>
      </c>
      <c r="L11" s="33">
        <v>0</v>
      </c>
      <c r="M11" s="17"/>
      <c r="N11" s="29"/>
      <c r="O11" s="42"/>
      <c r="P11" s="42"/>
      <c r="Q11" s="29"/>
      <c r="R11" s="17"/>
      <c r="S11" s="17"/>
      <c r="T11" s="17"/>
      <c r="U11" s="28">
        <f t="shared" si="3"/>
        <v>0</v>
      </c>
      <c r="V11" s="33">
        <v>0</v>
      </c>
      <c r="W11" s="17"/>
      <c r="X11" s="29"/>
      <c r="Y11" s="29"/>
      <c r="Z11" s="29"/>
      <c r="AA11" s="29"/>
      <c r="AB11" s="17"/>
      <c r="AC11" s="28">
        <f t="shared" si="5"/>
        <v>0</v>
      </c>
      <c r="AD11" s="33">
        <v>0</v>
      </c>
      <c r="AE11" s="17"/>
      <c r="AF11" s="29"/>
      <c r="AG11" s="29"/>
      <c r="AH11" s="29"/>
      <c r="AI11" s="29"/>
      <c r="AJ11" s="17"/>
      <c r="AK11" s="29"/>
      <c r="AL11" s="29"/>
      <c r="AM11" s="28">
        <f t="shared" si="7"/>
        <v>0</v>
      </c>
      <c r="AN11" s="29"/>
    </row>
    <row r="12" spans="1:40" x14ac:dyDescent="0.2">
      <c r="A12" s="5"/>
      <c r="B12" s="1" t="s">
        <v>66</v>
      </c>
      <c r="D12" s="45"/>
      <c r="F12" s="29"/>
      <c r="G12" s="29"/>
      <c r="H12" s="29"/>
      <c r="I12" s="29"/>
      <c r="J12" s="17"/>
      <c r="K12" s="28">
        <f t="shared" si="1"/>
        <v>0</v>
      </c>
      <c r="L12" s="33">
        <v>0</v>
      </c>
      <c r="M12" s="17"/>
      <c r="N12" s="29"/>
      <c r="O12" s="42"/>
      <c r="P12" s="42"/>
      <c r="Q12" s="29"/>
      <c r="R12" s="17"/>
      <c r="S12" s="17"/>
      <c r="T12" s="17"/>
      <c r="U12" s="28">
        <f t="shared" si="3"/>
        <v>0</v>
      </c>
      <c r="V12" s="33">
        <v>0</v>
      </c>
      <c r="W12" s="17"/>
      <c r="X12" s="29"/>
      <c r="Y12" s="29"/>
      <c r="Z12" s="29"/>
      <c r="AA12" s="29"/>
      <c r="AB12" s="17"/>
      <c r="AC12" s="28">
        <f t="shared" si="5"/>
        <v>0</v>
      </c>
      <c r="AD12" s="33">
        <v>0</v>
      </c>
      <c r="AE12" s="17"/>
      <c r="AF12" s="29"/>
      <c r="AG12" s="29"/>
      <c r="AH12" s="29"/>
      <c r="AI12" s="29"/>
      <c r="AJ12" s="17"/>
      <c r="AK12" s="29"/>
      <c r="AL12" s="29"/>
      <c r="AM12" s="28">
        <f t="shared" si="7"/>
        <v>0</v>
      </c>
      <c r="AN12" s="29"/>
    </row>
    <row r="13" spans="1:40" x14ac:dyDescent="0.2">
      <c r="A13" s="5">
        <v>5</v>
      </c>
      <c r="B13" s="1" t="s">
        <v>67</v>
      </c>
      <c r="D13" s="45"/>
      <c r="F13" s="29"/>
      <c r="G13" s="29"/>
      <c r="H13" s="29"/>
      <c r="I13" s="29"/>
      <c r="J13" s="17"/>
      <c r="K13" s="28">
        <f t="shared" si="1"/>
        <v>0</v>
      </c>
      <c r="L13" s="33">
        <v>0</v>
      </c>
      <c r="M13" s="17"/>
      <c r="N13" s="29"/>
      <c r="O13" s="42"/>
      <c r="P13" s="42"/>
      <c r="Q13" s="29"/>
      <c r="R13" s="17"/>
      <c r="S13" s="17"/>
      <c r="T13" s="17"/>
      <c r="U13" s="28">
        <f t="shared" si="3"/>
        <v>0</v>
      </c>
      <c r="V13" s="33">
        <v>0</v>
      </c>
      <c r="W13" s="17"/>
      <c r="X13" s="29"/>
      <c r="Y13" s="29"/>
      <c r="Z13" s="29"/>
      <c r="AA13" s="29"/>
      <c r="AB13" s="17"/>
      <c r="AC13" s="28">
        <f t="shared" si="5"/>
        <v>0</v>
      </c>
      <c r="AD13" s="33">
        <v>0</v>
      </c>
      <c r="AE13" s="17"/>
      <c r="AF13" s="29"/>
      <c r="AG13" s="29"/>
      <c r="AH13" s="29"/>
      <c r="AI13" s="29"/>
      <c r="AJ13" s="17"/>
      <c r="AK13" s="29"/>
      <c r="AL13" s="29"/>
      <c r="AM13" s="28">
        <f t="shared" si="7"/>
        <v>0</v>
      </c>
      <c r="AN13" s="29"/>
    </row>
    <row r="14" spans="1:40" x14ac:dyDescent="0.2">
      <c r="A14" s="5">
        <v>6</v>
      </c>
      <c r="B14" s="1" t="s">
        <v>68</v>
      </c>
      <c r="D14" s="45"/>
      <c r="F14" s="29"/>
      <c r="G14" s="29"/>
      <c r="H14" s="29"/>
      <c r="I14" s="29"/>
      <c r="J14" s="17"/>
      <c r="K14" s="28">
        <f t="shared" si="1"/>
        <v>0</v>
      </c>
      <c r="L14" s="33">
        <v>0</v>
      </c>
      <c r="M14" s="17"/>
      <c r="N14" s="29"/>
      <c r="O14" s="42"/>
      <c r="P14" s="42"/>
      <c r="Q14" s="29"/>
      <c r="R14" s="17"/>
      <c r="S14" s="17"/>
      <c r="T14" s="17"/>
      <c r="U14" s="28">
        <f t="shared" si="3"/>
        <v>0</v>
      </c>
      <c r="V14" s="33">
        <v>0</v>
      </c>
      <c r="W14" s="17"/>
      <c r="X14" s="29"/>
      <c r="Y14" s="29"/>
      <c r="Z14" s="29"/>
      <c r="AA14" s="29"/>
      <c r="AB14" s="17"/>
      <c r="AC14" s="28">
        <f t="shared" si="5"/>
        <v>0</v>
      </c>
      <c r="AD14" s="33">
        <v>0</v>
      </c>
      <c r="AE14" s="17"/>
      <c r="AF14" s="29"/>
      <c r="AG14" s="29"/>
      <c r="AH14" s="29"/>
      <c r="AI14" s="29"/>
      <c r="AJ14" s="17"/>
      <c r="AK14" s="29"/>
      <c r="AL14" s="29"/>
      <c r="AM14" s="28">
        <f t="shared" si="7"/>
        <v>0</v>
      </c>
      <c r="AN14" s="29"/>
    </row>
    <row r="15" spans="1:40" x14ac:dyDescent="0.2">
      <c r="A15" s="5">
        <v>7</v>
      </c>
      <c r="B15" s="1" t="s">
        <v>69</v>
      </c>
      <c r="D15" s="45"/>
      <c r="F15" s="29"/>
      <c r="G15" s="29"/>
      <c r="H15" s="29"/>
      <c r="I15" s="29"/>
      <c r="J15" s="17"/>
      <c r="K15" s="28">
        <f t="shared" si="1"/>
        <v>0</v>
      </c>
      <c r="L15" s="33">
        <v>0</v>
      </c>
      <c r="M15" s="17"/>
      <c r="N15" s="29"/>
      <c r="O15" s="42"/>
      <c r="P15" s="42"/>
      <c r="Q15" s="29"/>
      <c r="R15" s="17"/>
      <c r="S15" s="17"/>
      <c r="T15" s="17"/>
      <c r="U15" s="28">
        <f t="shared" si="3"/>
        <v>0</v>
      </c>
      <c r="V15" s="33">
        <v>0</v>
      </c>
      <c r="W15" s="17"/>
      <c r="X15" s="29"/>
      <c r="Y15" s="29"/>
      <c r="Z15" s="29"/>
      <c r="AA15" s="29"/>
      <c r="AB15" s="17"/>
      <c r="AC15" s="28">
        <f t="shared" si="5"/>
        <v>0</v>
      </c>
      <c r="AD15" s="33">
        <v>0</v>
      </c>
      <c r="AE15" s="17"/>
      <c r="AF15" s="29"/>
      <c r="AG15" s="29"/>
      <c r="AH15" s="29"/>
      <c r="AI15" s="29"/>
      <c r="AJ15" s="17"/>
      <c r="AK15" s="29"/>
      <c r="AL15" s="29"/>
      <c r="AM15" s="28">
        <f t="shared" si="7"/>
        <v>0</v>
      </c>
      <c r="AN15" s="29"/>
    </row>
    <row r="16" spans="1:40" x14ac:dyDescent="0.2">
      <c r="A16" s="5">
        <v>8</v>
      </c>
      <c r="B16" s="1" t="s">
        <v>70</v>
      </c>
      <c r="D16" s="45"/>
      <c r="F16" s="29"/>
      <c r="G16" s="29"/>
      <c r="H16" s="29"/>
      <c r="I16" s="29"/>
      <c r="J16" s="17"/>
      <c r="K16" s="28">
        <f t="shared" si="1"/>
        <v>0</v>
      </c>
      <c r="L16" s="33">
        <v>0</v>
      </c>
      <c r="M16" s="17"/>
      <c r="N16" s="29"/>
      <c r="O16" s="42"/>
      <c r="P16" s="42"/>
      <c r="Q16" s="29"/>
      <c r="R16" s="17"/>
      <c r="S16" s="17"/>
      <c r="T16" s="17"/>
      <c r="U16" s="28">
        <f t="shared" si="3"/>
        <v>0</v>
      </c>
      <c r="V16" s="33">
        <v>0</v>
      </c>
      <c r="W16" s="17"/>
      <c r="X16" s="29"/>
      <c r="Y16" s="29"/>
      <c r="Z16" s="29"/>
      <c r="AA16" s="29"/>
      <c r="AB16" s="17"/>
      <c r="AC16" s="28">
        <f t="shared" si="5"/>
        <v>0</v>
      </c>
      <c r="AD16" s="33">
        <v>0</v>
      </c>
      <c r="AE16" s="17"/>
      <c r="AF16" s="29"/>
      <c r="AG16" s="29"/>
      <c r="AH16" s="29"/>
      <c r="AI16" s="29"/>
      <c r="AJ16" s="17"/>
      <c r="AK16" s="29"/>
      <c r="AL16" s="29"/>
      <c r="AM16" s="28">
        <f t="shared" si="7"/>
        <v>0</v>
      </c>
      <c r="AN16" s="29"/>
    </row>
    <row r="17" spans="1:40" x14ac:dyDescent="0.2">
      <c r="A17" s="5">
        <v>9</v>
      </c>
      <c r="B17" s="6" t="s">
        <v>71</v>
      </c>
      <c r="C17" s="44">
        <f>SUM(C8:C9)</f>
        <v>4443.5262000000075</v>
      </c>
      <c r="D17" s="46">
        <f t="shared" si="0"/>
        <v>3.0000000000000047E-2</v>
      </c>
      <c r="E17" s="26"/>
      <c r="F17" s="30">
        <f>SUM(F8:F9)</f>
        <v>152561.0662</v>
      </c>
      <c r="G17" s="30">
        <f>SUM(G8:G9)</f>
        <v>94435.299977800008</v>
      </c>
      <c r="H17" s="30">
        <f>SUM(H8:H9)</f>
        <v>58125.766222200007</v>
      </c>
      <c r="I17" s="30">
        <f>SUM(I8:I9)</f>
        <v>3225.9800253321005</v>
      </c>
      <c r="J17" s="26"/>
      <c r="K17" s="30">
        <f t="shared" si="1"/>
        <v>-1471471.7999999998</v>
      </c>
      <c r="L17" s="34">
        <f t="shared" si="2"/>
        <v>-0.90854623678864166</v>
      </c>
      <c r="M17" s="26"/>
      <c r="N17" s="30">
        <f>SUM(N8:N16)</f>
        <v>148117.54</v>
      </c>
      <c r="O17" s="43">
        <f>SUM(O8:O9)</f>
        <v>91684.757260000013</v>
      </c>
      <c r="P17" s="43">
        <f>SUM(P8:P9)</f>
        <v>56432.782740000002</v>
      </c>
      <c r="Q17" s="30">
        <f>SUM(Q8:Q9)</f>
        <v>3007.8673200419998</v>
      </c>
      <c r="R17" s="26"/>
      <c r="S17" s="30">
        <f>SUM(S8:S9)</f>
        <v>3007.8673200419998</v>
      </c>
      <c r="T17" s="26"/>
      <c r="U17" s="30">
        <f t="shared" si="3"/>
        <v>722703.05999999982</v>
      </c>
      <c r="V17" s="34">
        <f t="shared" si="4"/>
        <v>0.80579118681579098</v>
      </c>
      <c r="W17" s="26"/>
      <c r="X17" s="30">
        <f>SUM(X8:X16)</f>
        <v>1619589.3399999999</v>
      </c>
      <c r="Y17" s="30">
        <f>SUM(Y8:Y9)</f>
        <v>947297.80496599991</v>
      </c>
      <c r="Z17" s="30">
        <f>SUM(Z8:Z9)</f>
        <v>672291.53503399994</v>
      </c>
      <c r="AA17" s="30">
        <f>SUM(AA8:AA9)</f>
        <v>35429.763896291799</v>
      </c>
      <c r="AB17" s="26"/>
      <c r="AC17" s="30">
        <f t="shared" si="5"/>
        <v>183976.80000000005</v>
      </c>
      <c r="AD17" s="34">
        <f t="shared" si="6"/>
        <v>0.25806474056145257</v>
      </c>
      <c r="AE17" s="26"/>
      <c r="AF17" s="30">
        <f>SUM(AF8:AF16)</f>
        <v>896886.28</v>
      </c>
      <c r="AG17" s="30">
        <f>SUM(AG8:AG16)</f>
        <v>507458.25722399994</v>
      </c>
      <c r="AH17" s="30">
        <f>SUM(AH8:AH9)</f>
        <v>389428.02277599997</v>
      </c>
      <c r="AI17" s="30">
        <f>SUM(AI8:AI9)</f>
        <v>19159.858720579199</v>
      </c>
      <c r="AJ17" s="26"/>
      <c r="AK17" s="30">
        <f>SUM(AK8:AK16)</f>
        <v>712909.48</v>
      </c>
      <c r="AL17" s="30">
        <f>SUM(AL8:AL16)</f>
        <v>405003.87558800005</v>
      </c>
      <c r="AM17" s="30">
        <f>SUM(AM8:AM16)</f>
        <v>307905.60441199993</v>
      </c>
      <c r="AN17" s="30">
        <f>SUM(AN8:AN16)</f>
        <v>15764.766945894398</v>
      </c>
    </row>
    <row r="18" spans="1:40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">
      <c r="A19" s="5" t="s">
        <v>34</v>
      </c>
      <c r="B19" s="1" t="s">
        <v>62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x14ac:dyDescent="0.2">
      <c r="B20" s="1" t="s">
        <v>63</v>
      </c>
    </row>
    <row r="22" spans="1:40" x14ac:dyDescent="0.2">
      <c r="A22" s="5" t="s">
        <v>34</v>
      </c>
      <c r="B22" s="1" t="s">
        <v>95</v>
      </c>
    </row>
    <row r="23" spans="1:40" x14ac:dyDescent="0.2">
      <c r="B23" s="1" t="s">
        <v>96</v>
      </c>
    </row>
    <row r="24" spans="1:40" x14ac:dyDescent="0.2">
      <c r="B24" s="1" t="s">
        <v>97</v>
      </c>
    </row>
    <row r="25" spans="1:40" x14ac:dyDescent="0.2">
      <c r="B25" s="1" t="s">
        <v>98</v>
      </c>
    </row>
    <row r="26" spans="1:40" x14ac:dyDescent="0.2">
      <c r="B26" s="1" t="s">
        <v>99</v>
      </c>
    </row>
  </sheetData>
  <mergeCells count="1">
    <mergeCell ref="N6:O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10.42578125" style="1" customWidth="1"/>
    <col min="2" max="2" width="35.8554687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7.7109375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6.7109375" style="1" bestFit="1" customWidth="1"/>
    <col min="13" max="13" width="1.28515625" style="1" customWidth="1"/>
    <col min="14" max="15" width="7.7109375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6.85546875" style="1" bestFit="1" customWidth="1"/>
    <col min="20" max="20" width="1.42578125" style="1" customWidth="1"/>
    <col min="21" max="21" width="31.7109375" style="1" bestFit="1" customWidth="1"/>
    <col min="22" max="22" width="6.7109375" style="1" bestFit="1" customWidth="1"/>
    <col min="23" max="23" width="1.140625" style="1" customWidth="1"/>
    <col min="24" max="24" width="20.42578125" style="1" bestFit="1" customWidth="1"/>
    <col min="25" max="25" width="22.140625" style="1" bestFit="1" customWidth="1"/>
    <col min="26" max="26" width="0.85546875" style="1" customWidth="1"/>
    <col min="27" max="27" width="36.140625" style="1" bestFit="1" customWidth="1"/>
    <col min="28" max="28" width="6.7109375" style="1" bestFit="1" customWidth="1"/>
    <col min="29" max="29" width="1" style="1" customWidth="1"/>
    <col min="30" max="30" width="20.42578125" style="1" bestFit="1" customWidth="1"/>
    <col min="31" max="31" width="22.140625" style="1" bestFit="1" customWidth="1"/>
    <col min="32" max="32" width="1.28515625" style="1" customWidth="1"/>
    <col min="33" max="33" width="20.42578125" style="1" bestFit="1" customWidth="1"/>
    <col min="34" max="34" width="22.140625" style="1" bestFit="1" customWidth="1"/>
    <col min="35" max="16384" width="9.140625" style="1"/>
  </cols>
  <sheetData>
    <row r="1" spans="1:34" ht="15.75" x14ac:dyDescent="0.25">
      <c r="A1" s="15" t="s">
        <v>0</v>
      </c>
    </row>
    <row r="2" spans="1:34" x14ac:dyDescent="0.2">
      <c r="A2" s="6" t="s">
        <v>30</v>
      </c>
    </row>
    <row r="3" spans="1:34" x14ac:dyDescent="0.2">
      <c r="A3" s="6" t="s">
        <v>31</v>
      </c>
    </row>
    <row r="4" spans="1:34" x14ac:dyDescent="0.2">
      <c r="A4" s="6" t="s">
        <v>32</v>
      </c>
      <c r="N4" s="2"/>
      <c r="O4" s="3"/>
      <c r="P4" s="3"/>
      <c r="Q4" s="3" t="s">
        <v>11</v>
      </c>
      <c r="R4" s="2"/>
      <c r="S4" s="2"/>
      <c r="T4" s="11"/>
      <c r="U4" s="11"/>
      <c r="V4" s="11"/>
    </row>
    <row r="5" spans="1:34" x14ac:dyDescent="0.2">
      <c r="N5" s="2"/>
      <c r="O5" s="3"/>
      <c r="P5" s="3"/>
      <c r="Q5" s="3"/>
      <c r="R5" s="2"/>
      <c r="S5" s="27"/>
      <c r="T5" s="11"/>
      <c r="U5" s="11"/>
      <c r="V5" s="11"/>
    </row>
    <row r="6" spans="1:34" x14ac:dyDescent="0.2">
      <c r="B6" s="6" t="s">
        <v>92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6" t="s">
        <v>33</v>
      </c>
      <c r="O6" s="56"/>
      <c r="P6" s="35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24"/>
      <c r="AA6" s="25" t="s">
        <v>28</v>
      </c>
      <c r="AB6" s="8"/>
      <c r="AD6" s="9" t="s">
        <v>6</v>
      </c>
      <c r="AE6" s="10"/>
      <c r="AG6" s="12" t="s">
        <v>7</v>
      </c>
      <c r="AH6" s="13"/>
    </row>
    <row r="7" spans="1:34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18" t="s">
        <v>23</v>
      </c>
      <c r="V7" s="18" t="s">
        <v>24</v>
      </c>
      <c r="X7" s="14" t="s">
        <v>1</v>
      </c>
      <c r="Y7" s="14" t="s">
        <v>10</v>
      </c>
      <c r="Z7" s="18"/>
      <c r="AA7" s="16" t="s">
        <v>29</v>
      </c>
      <c r="AB7" s="16" t="s">
        <v>24</v>
      </c>
      <c r="AD7" s="14" t="s">
        <v>1</v>
      </c>
      <c r="AE7" s="14" t="s">
        <v>10</v>
      </c>
      <c r="AG7" s="14" t="s">
        <v>1</v>
      </c>
      <c r="AH7" s="14" t="s">
        <v>10</v>
      </c>
    </row>
    <row r="8" spans="1:34" x14ac:dyDescent="0.2">
      <c r="A8" s="5">
        <v>1</v>
      </c>
      <c r="B8" s="1" t="s">
        <v>60</v>
      </c>
      <c r="C8" s="28">
        <f>F8-N8</f>
        <v>9466.1532000000007</v>
      </c>
      <c r="D8" s="45">
        <f>C8/N8</f>
        <v>3.0000000000000002E-2</v>
      </c>
      <c r="F8" s="28">
        <f>N8*1.03</f>
        <v>325004.5932</v>
      </c>
      <c r="G8" s="28">
        <f>F8*0.619</f>
        <v>201177.84319079999</v>
      </c>
      <c r="H8" s="28">
        <f>F8-G8</f>
        <v>123826.75000920001</v>
      </c>
      <c r="I8" s="28">
        <f>H8*0.0555</f>
        <v>6872.3846255106009</v>
      </c>
      <c r="K8" s="1" t="s">
        <v>106</v>
      </c>
      <c r="L8" s="1" t="s">
        <v>106</v>
      </c>
      <c r="N8" s="28">
        <v>315538.44</v>
      </c>
      <c r="O8" s="50">
        <f>N8*0.619</f>
        <v>195318.29436</v>
      </c>
      <c r="P8" s="50">
        <f>N8-O8</f>
        <v>120220.14564</v>
      </c>
      <c r="Q8" s="28">
        <f>P8*0.0533</f>
        <v>6407.7337626119997</v>
      </c>
      <c r="R8" s="1" t="s">
        <v>105</v>
      </c>
      <c r="S8" s="28">
        <f>Q8</f>
        <v>6407.7337626119997</v>
      </c>
    </row>
    <row r="9" spans="1:34" x14ac:dyDescent="0.2">
      <c r="A9" s="5">
        <v>2</v>
      </c>
      <c r="B9" s="1" t="s">
        <v>61</v>
      </c>
      <c r="C9" s="28">
        <f t="shared" ref="C9:C10" si="0">F9-N9</f>
        <v>7173.4953000000096</v>
      </c>
      <c r="D9" s="45">
        <f t="shared" ref="D9:D17" si="1">C9/N9</f>
        <v>3.0000000000000041E-2</v>
      </c>
      <c r="F9" s="28">
        <f t="shared" ref="F9:F10" si="2">N9*1.03</f>
        <v>246290.00530000002</v>
      </c>
      <c r="G9" s="28">
        <f t="shared" ref="G9:G10" si="3">F9*0.619</f>
        <v>152453.51328070002</v>
      </c>
      <c r="H9" s="28">
        <f t="shared" ref="H9:H10" si="4">F9-G9</f>
        <v>93836.4920193</v>
      </c>
      <c r="I9" s="28">
        <f>H9*0.0555</f>
        <v>5207.9253070711502</v>
      </c>
      <c r="N9" s="28">
        <v>239116.51</v>
      </c>
      <c r="O9" s="50">
        <f t="shared" ref="O9:O10" si="5">N9*0.619</f>
        <v>148013.11968999999</v>
      </c>
      <c r="P9" s="50">
        <f t="shared" ref="P9:P10" si="6">N9-O9</f>
        <v>91103.390310000017</v>
      </c>
      <c r="Q9" s="28">
        <f t="shared" ref="Q9:Q10" si="7">P9*0.0533</f>
        <v>4855.8107035230005</v>
      </c>
      <c r="R9" s="1" t="s">
        <v>105</v>
      </c>
      <c r="S9" s="28">
        <f>Q9</f>
        <v>4855.8107035230005</v>
      </c>
    </row>
    <row r="10" spans="1:34" x14ac:dyDescent="0.2">
      <c r="A10" s="5">
        <v>3</v>
      </c>
      <c r="B10" s="1" t="s">
        <v>64</v>
      </c>
      <c r="C10" s="28">
        <f t="shared" si="0"/>
        <v>4615.9619999999995</v>
      </c>
      <c r="D10" s="45">
        <f t="shared" si="1"/>
        <v>0.03</v>
      </c>
      <c r="F10" s="28">
        <f t="shared" si="2"/>
        <v>158481.36199999999</v>
      </c>
      <c r="G10" s="28">
        <f t="shared" si="3"/>
        <v>98099.963078000001</v>
      </c>
      <c r="H10" s="28">
        <f t="shared" si="4"/>
        <v>60381.398921999993</v>
      </c>
      <c r="I10" s="29">
        <f>H10*0.0555</f>
        <v>3351.1676401709997</v>
      </c>
      <c r="J10" s="17"/>
      <c r="K10" s="17"/>
      <c r="L10" s="17"/>
      <c r="M10" s="17"/>
      <c r="N10" s="29">
        <v>153865.4</v>
      </c>
      <c r="O10" s="50">
        <f t="shared" si="5"/>
        <v>95242.6826</v>
      </c>
      <c r="P10" s="50">
        <f t="shared" si="6"/>
        <v>58622.717399999994</v>
      </c>
      <c r="Q10" s="28">
        <f t="shared" si="7"/>
        <v>3124.5908374199998</v>
      </c>
      <c r="R10" s="1" t="s">
        <v>105</v>
      </c>
      <c r="S10" s="29">
        <f>Q10</f>
        <v>3124.5908374199998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x14ac:dyDescent="0.2">
      <c r="A11" s="5">
        <v>4</v>
      </c>
      <c r="B11" s="1" t="s">
        <v>65</v>
      </c>
      <c r="D11" s="45"/>
      <c r="F11" s="17"/>
      <c r="G11" s="29"/>
      <c r="H11" s="17"/>
      <c r="I11" s="29"/>
      <c r="J11" s="17"/>
      <c r="K11" s="17"/>
      <c r="L11" s="17"/>
      <c r="M11" s="17"/>
      <c r="N11" s="29"/>
      <c r="O11" s="51"/>
      <c r="P11" s="49"/>
      <c r="Q11" s="29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x14ac:dyDescent="0.2">
      <c r="A12" s="5"/>
      <c r="B12" s="1" t="s">
        <v>66</v>
      </c>
      <c r="D12" s="45"/>
      <c r="F12" s="17"/>
      <c r="G12" s="29"/>
      <c r="H12" s="17"/>
      <c r="I12" s="29"/>
      <c r="J12" s="17"/>
      <c r="K12" s="17"/>
      <c r="L12" s="17"/>
      <c r="M12" s="17"/>
      <c r="N12" s="29"/>
      <c r="O12" s="51"/>
      <c r="P12" s="49"/>
      <c r="Q12" s="29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2">
      <c r="A13" s="5">
        <v>5</v>
      </c>
      <c r="B13" s="1" t="s">
        <v>67</v>
      </c>
      <c r="D13" s="45"/>
      <c r="F13" s="17"/>
      <c r="G13" s="29"/>
      <c r="H13" s="17"/>
      <c r="I13" s="29"/>
      <c r="J13" s="17"/>
      <c r="K13" s="17"/>
      <c r="L13" s="17"/>
      <c r="M13" s="17"/>
      <c r="N13" s="29"/>
      <c r="O13" s="51"/>
      <c r="P13" s="49"/>
      <c r="Q13" s="29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2">
      <c r="A14" s="5">
        <v>6</v>
      </c>
      <c r="B14" s="1" t="s">
        <v>68</v>
      </c>
      <c r="D14" s="45"/>
      <c r="F14" s="17"/>
      <c r="G14" s="29"/>
      <c r="H14" s="17"/>
      <c r="I14" s="29"/>
      <c r="J14" s="17"/>
      <c r="K14" s="17"/>
      <c r="L14" s="17"/>
      <c r="M14" s="17"/>
      <c r="N14" s="29"/>
      <c r="O14" s="51"/>
      <c r="P14" s="49"/>
      <c r="Q14" s="29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2">
      <c r="A15" s="5">
        <v>7</v>
      </c>
      <c r="B15" s="1" t="s">
        <v>69</v>
      </c>
      <c r="D15" s="45"/>
      <c r="F15" s="17"/>
      <c r="G15" s="29"/>
      <c r="H15" s="17"/>
      <c r="I15" s="29"/>
      <c r="J15" s="17"/>
      <c r="K15" s="17"/>
      <c r="L15" s="17"/>
      <c r="M15" s="17"/>
      <c r="N15" s="29"/>
      <c r="O15" s="51"/>
      <c r="P15" s="49"/>
      <c r="Q15" s="29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2">
      <c r="A16" s="5">
        <v>8</v>
      </c>
      <c r="B16" s="1" t="s">
        <v>70</v>
      </c>
      <c r="D16" s="45"/>
      <c r="F16" s="17"/>
      <c r="G16" s="29"/>
      <c r="H16" s="17"/>
      <c r="I16" s="29"/>
      <c r="J16" s="17"/>
      <c r="K16" s="17"/>
      <c r="L16" s="17"/>
      <c r="M16" s="17"/>
      <c r="N16" s="29"/>
      <c r="O16" s="51"/>
      <c r="P16" s="49"/>
      <c r="Q16" s="29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2">
      <c r="A17" s="5">
        <v>9</v>
      </c>
      <c r="B17" s="6" t="s">
        <v>71</v>
      </c>
      <c r="C17" s="44">
        <f>SUM(C8:C16)</f>
        <v>21255.61050000001</v>
      </c>
      <c r="D17" s="46">
        <f t="shared" si="1"/>
        <v>3.0000000000000016E-2</v>
      </c>
      <c r="E17" s="26"/>
      <c r="F17" s="30">
        <f>SUM(F8:F16)</f>
        <v>729775.96050000004</v>
      </c>
      <c r="G17" s="30">
        <f>SUM(G8:G16)</f>
        <v>451731.31954950001</v>
      </c>
      <c r="H17" s="30">
        <f>SUM(H8:H16)</f>
        <v>278044.64095050003</v>
      </c>
      <c r="I17" s="30">
        <f>SUM(I8:I16)</f>
        <v>15431.47757275275</v>
      </c>
      <c r="J17" s="26"/>
      <c r="K17" s="26"/>
      <c r="L17" s="26"/>
      <c r="M17" s="26"/>
      <c r="N17" s="30">
        <f>SUM(N8:N16)</f>
        <v>708520.35</v>
      </c>
      <c r="O17" s="52">
        <f>SUM(O8:O10)</f>
        <v>438574.09665000002</v>
      </c>
      <c r="P17" s="52">
        <f>SUM(P8:P10)</f>
        <v>269946.25335000001</v>
      </c>
      <c r="Q17" s="30">
        <f>SUM(Q8:Q10)</f>
        <v>14388.135303555002</v>
      </c>
      <c r="R17" s="26"/>
      <c r="S17" s="30">
        <f>SUM(S8:S16)</f>
        <v>14388.135303555002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1:34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2">
      <c r="A19" s="1" t="s">
        <v>34</v>
      </c>
      <c r="B19" s="1" t="s">
        <v>72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2">
      <c r="B20" s="32">
        <v>2012</v>
      </c>
    </row>
    <row r="22" spans="1:34" x14ac:dyDescent="0.2">
      <c r="A22" s="5" t="s">
        <v>34</v>
      </c>
      <c r="B22" s="1" t="s">
        <v>95</v>
      </c>
    </row>
    <row r="23" spans="1:34" x14ac:dyDescent="0.2">
      <c r="B23" s="1" t="s">
        <v>96</v>
      </c>
    </row>
    <row r="24" spans="1:34" x14ac:dyDescent="0.2">
      <c r="B24" s="1" t="s">
        <v>97</v>
      </c>
    </row>
    <row r="25" spans="1:34" x14ac:dyDescent="0.2">
      <c r="B25" s="1" t="s">
        <v>98</v>
      </c>
    </row>
    <row r="26" spans="1:34" x14ac:dyDescent="0.2">
      <c r="B26" s="1" t="s">
        <v>99</v>
      </c>
    </row>
  </sheetData>
  <mergeCells count="1">
    <mergeCell ref="N6:O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9.5703125" style="1" customWidth="1"/>
    <col min="2" max="2" width="37.570312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7.7109375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7" style="1" bestFit="1" customWidth="1"/>
    <col min="13" max="13" width="1.28515625" style="1" customWidth="1"/>
    <col min="14" max="15" width="7.7109375" style="1" bestFit="1" customWidth="1"/>
    <col min="16" max="16" width="10.42578125" style="1" bestFit="1" customWidth="1"/>
    <col min="17" max="18" width="22.140625" style="1" bestFit="1" customWidth="1"/>
    <col min="19" max="19" width="6.85546875" style="1" bestFit="1" customWidth="1"/>
    <col min="20" max="20" width="1.42578125" style="1" customWidth="1"/>
    <col min="21" max="21" width="31.7109375" style="1" bestFit="1" customWidth="1"/>
    <col min="22" max="22" width="7.28515625" style="1" bestFit="1" customWidth="1"/>
    <col min="23" max="23" width="1.140625" style="1" customWidth="1"/>
    <col min="24" max="24" width="20.42578125" style="1" bestFit="1" customWidth="1"/>
    <col min="25" max="25" width="7.7109375" style="1" bestFit="1" customWidth="1"/>
    <col min="26" max="26" width="10.42578125" style="1" bestFit="1" customWidth="1"/>
    <col min="27" max="27" width="25" style="1" bestFit="1" customWidth="1"/>
    <col min="28" max="28" width="0.85546875" style="1" customWidth="1"/>
    <col min="29" max="29" width="36.140625" style="1" bestFit="1" customWidth="1"/>
    <col min="30" max="30" width="6.7109375" style="1" bestFit="1" customWidth="1"/>
    <col min="31" max="31" width="1" style="1" customWidth="1"/>
    <col min="32" max="32" width="20.42578125" style="1" bestFit="1" customWidth="1"/>
    <col min="33" max="33" width="7.7109375" style="1" bestFit="1" customWidth="1"/>
    <col min="34" max="34" width="10.42578125" style="1" bestFit="1" customWidth="1"/>
    <col min="35" max="35" width="25" style="1" bestFit="1" customWidth="1"/>
    <col min="36" max="36" width="1.28515625" style="1" customWidth="1"/>
    <col min="37" max="37" width="20.42578125" style="1" bestFit="1" customWidth="1"/>
    <col min="38" max="38" width="7.7109375" style="1" bestFit="1" customWidth="1"/>
    <col min="39" max="39" width="10.42578125" style="1" bestFit="1" customWidth="1"/>
    <col min="40" max="40" width="25" style="1" bestFit="1" customWidth="1"/>
    <col min="41" max="16384" width="9.140625" style="1"/>
  </cols>
  <sheetData>
    <row r="1" spans="1:40" ht="15.75" x14ac:dyDescent="0.25">
      <c r="A1" s="15" t="s">
        <v>0</v>
      </c>
    </row>
    <row r="2" spans="1:40" x14ac:dyDescent="0.2">
      <c r="A2" s="6" t="s">
        <v>30</v>
      </c>
    </row>
    <row r="3" spans="1:40" x14ac:dyDescent="0.2">
      <c r="A3" s="6" t="s">
        <v>31</v>
      </c>
    </row>
    <row r="4" spans="1:40" x14ac:dyDescent="0.2">
      <c r="A4" s="6" t="s">
        <v>32</v>
      </c>
      <c r="N4" s="2"/>
      <c r="O4" s="3"/>
      <c r="P4" s="3"/>
      <c r="Q4" s="3" t="s">
        <v>11</v>
      </c>
      <c r="R4" s="2"/>
      <c r="S4" s="2"/>
      <c r="T4" s="11"/>
      <c r="U4" s="11"/>
      <c r="V4" s="11"/>
    </row>
    <row r="5" spans="1:40" x14ac:dyDescent="0.2">
      <c r="N5" s="2"/>
      <c r="O5" s="3"/>
      <c r="P5" s="3"/>
      <c r="Q5" s="3"/>
      <c r="R5" s="2"/>
      <c r="S5" s="27"/>
      <c r="T5" s="11"/>
      <c r="U5" s="11"/>
      <c r="V5" s="11"/>
    </row>
    <row r="6" spans="1:40" x14ac:dyDescent="0.2">
      <c r="B6" s="6" t="s">
        <v>93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6" t="s">
        <v>33</v>
      </c>
      <c r="O6" s="56"/>
      <c r="P6" s="35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7"/>
      <c r="AA6" s="40" t="s">
        <v>102</v>
      </c>
      <c r="AB6" s="24"/>
      <c r="AC6" s="25" t="s">
        <v>28</v>
      </c>
      <c r="AD6" s="8"/>
      <c r="AF6" s="9" t="s">
        <v>6</v>
      </c>
      <c r="AG6" s="9"/>
      <c r="AH6" s="9"/>
      <c r="AI6" s="39" t="s">
        <v>102</v>
      </c>
      <c r="AK6" s="12" t="s">
        <v>7</v>
      </c>
      <c r="AL6" s="12"/>
      <c r="AM6" s="12"/>
      <c r="AN6" s="37" t="s">
        <v>102</v>
      </c>
    </row>
    <row r="7" spans="1:40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</v>
      </c>
      <c r="R7" s="14" t="s">
        <v>10</v>
      </c>
      <c r="S7" s="14" t="s">
        <v>1</v>
      </c>
      <c r="T7" s="18"/>
      <c r="U7" s="16" t="s">
        <v>23</v>
      </c>
      <c r="V7" s="16" t="s">
        <v>24</v>
      </c>
      <c r="X7" s="14" t="s">
        <v>100</v>
      </c>
      <c r="Y7" s="14" t="s">
        <v>101</v>
      </c>
      <c r="Z7" s="14" t="s">
        <v>102</v>
      </c>
      <c r="AA7" s="14" t="s">
        <v>104</v>
      </c>
      <c r="AB7" s="18"/>
      <c r="AC7" s="16" t="s">
        <v>29</v>
      </c>
      <c r="AD7" s="16" t="s">
        <v>24</v>
      </c>
      <c r="AF7" s="14" t="s">
        <v>100</v>
      </c>
      <c r="AG7" s="14" t="s">
        <v>101</v>
      </c>
      <c r="AH7" s="14" t="s">
        <v>102</v>
      </c>
      <c r="AI7" s="14" t="s">
        <v>104</v>
      </c>
      <c r="AK7" s="14" t="s">
        <v>100</v>
      </c>
      <c r="AL7" s="14" t="s">
        <v>101</v>
      </c>
      <c r="AM7" s="14" t="s">
        <v>102</v>
      </c>
      <c r="AN7" s="14" t="s">
        <v>104</v>
      </c>
    </row>
    <row r="8" spans="1:40" x14ac:dyDescent="0.2">
      <c r="A8" s="5">
        <v>1</v>
      </c>
      <c r="B8" s="1" t="s">
        <v>73</v>
      </c>
      <c r="C8" s="28">
        <f>F8-N8</f>
        <v>10497.723600000027</v>
      </c>
      <c r="D8" s="45">
        <f>C8/N8</f>
        <v>3.0000000000000075E-2</v>
      </c>
      <c r="F8" s="28">
        <f>N8*1.03</f>
        <v>360421.84360000002</v>
      </c>
      <c r="G8" s="28">
        <f>F8*0.3925</f>
        <v>141465.57361300002</v>
      </c>
      <c r="H8" s="28">
        <f>F8-G8</f>
        <v>218956.26998700001</v>
      </c>
      <c r="I8" s="28">
        <f>H8*0.0555</f>
        <v>12152.0729842785</v>
      </c>
      <c r="K8" s="28">
        <f>N8-X8</f>
        <v>8610.960000000021</v>
      </c>
      <c r="L8" s="33">
        <f>K8/X8</f>
        <v>2.5228912943175183E-2</v>
      </c>
      <c r="N8" s="28">
        <v>349924.12</v>
      </c>
      <c r="O8" s="41">
        <f>N8*0.3925</f>
        <v>137345.21710000001</v>
      </c>
      <c r="P8" s="41">
        <f>N8-O8</f>
        <v>212578.90289999999</v>
      </c>
      <c r="Q8" s="28">
        <f>P8*0.0533</f>
        <v>11330.455524569999</v>
      </c>
      <c r="R8" s="1" t="s">
        <v>105</v>
      </c>
      <c r="S8" s="28">
        <f>Q8</f>
        <v>11330.455524569999</v>
      </c>
      <c r="U8" s="28">
        <f>X8-AF8</f>
        <v>9941.2999999999884</v>
      </c>
      <c r="V8" s="33">
        <f>U8/AF8</f>
        <v>3.0000435160668106E-2</v>
      </c>
      <c r="X8" s="28">
        <v>341313.16</v>
      </c>
      <c r="Y8" s="28">
        <f>X8*0.4187</f>
        <v>142907.82009200001</v>
      </c>
      <c r="Z8" s="28">
        <f>X8-Y8</f>
        <v>198405.33990799997</v>
      </c>
      <c r="AA8" s="28">
        <f>Z8*0.0527</f>
        <v>10455.961413151597</v>
      </c>
      <c r="AC8" s="28">
        <f>AF8-AK8</f>
        <v>9559.9199999999837</v>
      </c>
      <c r="AD8" s="33">
        <f>AC8/AK8</f>
        <v>2.970654227434813E-2</v>
      </c>
      <c r="AF8" s="28">
        <v>331371.86</v>
      </c>
      <c r="AG8" s="28">
        <f>AF8*0.4075</f>
        <v>135034.03294999999</v>
      </c>
      <c r="AH8" s="28">
        <f>AF8-AG8</f>
        <v>196337.82704999999</v>
      </c>
      <c r="AI8" s="28">
        <f>AH8*0.0492</f>
        <v>9659.8210908599995</v>
      </c>
      <c r="AK8" s="28">
        <v>321811.94</v>
      </c>
      <c r="AL8" s="28">
        <f>AK8*0.1903</f>
        <v>61240.812182000001</v>
      </c>
      <c r="AM8" s="28">
        <f>AK8-AL8</f>
        <v>260571.12781800001</v>
      </c>
      <c r="AN8" s="36">
        <f>AM8*0.0512</f>
        <v>13341.2417442816</v>
      </c>
    </row>
    <row r="9" spans="1:40" x14ac:dyDescent="0.2">
      <c r="A9" s="5">
        <v>2</v>
      </c>
      <c r="B9" s="1" t="s">
        <v>74</v>
      </c>
      <c r="C9" s="28">
        <f t="shared" ref="C9:C16" si="0">F9-N9</f>
        <v>13740.0576</v>
      </c>
      <c r="D9" s="45">
        <f>C9/N9</f>
        <v>3.0000000000000002E-2</v>
      </c>
      <c r="F9" s="28">
        <f>N9*1.03</f>
        <v>471741.97759999998</v>
      </c>
      <c r="G9" s="28">
        <f>F9*0.3925</f>
        <v>185158.72620800001</v>
      </c>
      <c r="H9" s="28">
        <f>F9-G9</f>
        <v>286583.25139200001</v>
      </c>
      <c r="I9" s="28">
        <f>H9*0.0555</f>
        <v>15905.370452256</v>
      </c>
      <c r="K9" s="28">
        <f t="shared" ref="K9:K17" si="1">N9-X9</f>
        <v>-375090.44</v>
      </c>
      <c r="L9" s="33">
        <f t="shared" ref="L9:L17" si="2">K9/X9</f>
        <v>-0.45023872263094578</v>
      </c>
      <c r="N9" s="28">
        <v>458001.91999999998</v>
      </c>
      <c r="O9" s="41">
        <f>N9*0.3925</f>
        <v>179765.7536</v>
      </c>
      <c r="P9" s="41">
        <f>N9-O9</f>
        <v>278236.16639999999</v>
      </c>
      <c r="Q9" s="28">
        <f>P9*0.0533</f>
        <v>14829.987669119999</v>
      </c>
      <c r="R9" s="1" t="s">
        <v>105</v>
      </c>
      <c r="S9" s="28">
        <f>Q9</f>
        <v>14829.987669119999</v>
      </c>
      <c r="U9" s="28">
        <f t="shared" ref="U9:U17" si="3">X9-AF9</f>
        <v>501490.01999999996</v>
      </c>
      <c r="V9" s="33">
        <f t="shared" ref="V9:V17" si="4">U9/AF9</f>
        <v>1.5123235258231287</v>
      </c>
      <c r="X9" s="28">
        <v>833092.36</v>
      </c>
      <c r="Y9" s="28">
        <f>X9*0.4187</f>
        <v>348815.77113200002</v>
      </c>
      <c r="Z9" s="28">
        <f>X9-Y9</f>
        <v>484276.58886799996</v>
      </c>
      <c r="AA9" s="28">
        <f>Z9*0.0527</f>
        <v>25521.376233343595</v>
      </c>
      <c r="AC9" s="28">
        <f t="shared" ref="AC9:AC17" si="5">AF9-AK9</f>
        <v>70108.640000000014</v>
      </c>
      <c r="AD9" s="33">
        <f t="shared" ref="AD9:AD17" si="6">AC9/AK9</f>
        <v>0.26810833301146458</v>
      </c>
      <c r="AF9" s="28">
        <v>331602.34000000003</v>
      </c>
      <c r="AG9" s="28">
        <f>AF9*0.4075</f>
        <v>135127.95355000001</v>
      </c>
      <c r="AH9" s="28">
        <f>AF9-AG9</f>
        <v>196474.38645000002</v>
      </c>
      <c r="AI9" s="28">
        <f>AH9*0.0492</f>
        <v>9666.5398133400013</v>
      </c>
      <c r="AK9" s="28">
        <v>261493.7</v>
      </c>
      <c r="AL9" s="28">
        <f>AK9*0.1903</f>
        <v>49762.251110000005</v>
      </c>
      <c r="AM9" s="28">
        <f>AK9-AL9</f>
        <v>211731.44889</v>
      </c>
      <c r="AN9" s="36">
        <f>AM9*0.0512</f>
        <v>10840.650183168</v>
      </c>
    </row>
    <row r="10" spans="1:40" x14ac:dyDescent="0.2">
      <c r="A10" s="5">
        <v>3</v>
      </c>
      <c r="B10" s="1" t="s">
        <v>75</v>
      </c>
      <c r="C10" s="28">
        <f t="shared" si="0"/>
        <v>0</v>
      </c>
      <c r="D10" s="45"/>
      <c r="F10" s="29"/>
      <c r="G10" s="29"/>
      <c r="H10" s="17"/>
      <c r="I10" s="29"/>
      <c r="J10" s="17"/>
      <c r="K10" s="28">
        <f t="shared" si="1"/>
        <v>0</v>
      </c>
      <c r="L10" s="33">
        <v>0</v>
      </c>
      <c r="M10" s="17"/>
      <c r="N10" s="29"/>
      <c r="O10" s="42"/>
      <c r="P10" s="11"/>
      <c r="Q10" s="29"/>
      <c r="R10" s="17"/>
      <c r="S10" s="17"/>
      <c r="T10" s="17"/>
      <c r="U10" s="28">
        <f t="shared" si="3"/>
        <v>0</v>
      </c>
      <c r="V10" s="33">
        <v>0</v>
      </c>
      <c r="W10" s="17"/>
      <c r="X10" s="29"/>
      <c r="Y10" s="29"/>
      <c r="Z10" s="29"/>
      <c r="AA10" s="29"/>
      <c r="AB10" s="17"/>
      <c r="AC10" s="28">
        <f t="shared" si="5"/>
        <v>0</v>
      </c>
      <c r="AD10" s="33">
        <v>0</v>
      </c>
      <c r="AE10" s="17"/>
      <c r="AF10" s="29"/>
      <c r="AG10" s="29"/>
      <c r="AH10" s="29"/>
      <c r="AI10" s="29"/>
      <c r="AJ10" s="17"/>
      <c r="AK10" s="29"/>
      <c r="AL10" s="29"/>
      <c r="AM10" s="29"/>
      <c r="AN10" s="17"/>
    </row>
    <row r="11" spans="1:40" x14ac:dyDescent="0.2">
      <c r="A11" s="5">
        <v>4</v>
      </c>
      <c r="B11" s="1" t="s">
        <v>76</v>
      </c>
      <c r="C11" s="28">
        <f t="shared" si="0"/>
        <v>0</v>
      </c>
      <c r="D11" s="45"/>
      <c r="F11" s="29"/>
      <c r="G11" s="29"/>
      <c r="H11" s="17"/>
      <c r="I11" s="29"/>
      <c r="J11" s="17"/>
      <c r="K11" s="28">
        <f t="shared" si="1"/>
        <v>0</v>
      </c>
      <c r="L11" s="33">
        <v>0</v>
      </c>
      <c r="M11" s="17"/>
      <c r="N11" s="29"/>
      <c r="O11" s="42"/>
      <c r="P11" s="11"/>
      <c r="Q11" s="29"/>
      <c r="R11" s="17"/>
      <c r="S11" s="17"/>
      <c r="T11" s="17"/>
      <c r="U11" s="28">
        <f t="shared" si="3"/>
        <v>0</v>
      </c>
      <c r="V11" s="33">
        <v>0</v>
      </c>
      <c r="W11" s="17"/>
      <c r="X11" s="29"/>
      <c r="Y11" s="29"/>
      <c r="Z11" s="29"/>
      <c r="AA11" s="29"/>
      <c r="AB11" s="17"/>
      <c r="AC11" s="28">
        <f t="shared" si="5"/>
        <v>0</v>
      </c>
      <c r="AD11" s="33">
        <v>0</v>
      </c>
      <c r="AE11" s="17"/>
      <c r="AF11" s="29"/>
      <c r="AG11" s="29"/>
      <c r="AH11" s="29"/>
      <c r="AI11" s="29"/>
      <c r="AJ11" s="17"/>
      <c r="AK11" s="29"/>
      <c r="AL11" s="29"/>
      <c r="AM11" s="29"/>
      <c r="AN11" s="17"/>
    </row>
    <row r="12" spans="1:40" x14ac:dyDescent="0.2">
      <c r="A12" s="5"/>
      <c r="B12" s="1" t="s">
        <v>77</v>
      </c>
      <c r="C12" s="28">
        <f t="shared" si="0"/>
        <v>0</v>
      </c>
      <c r="D12" s="45"/>
      <c r="F12" s="29"/>
      <c r="G12" s="29"/>
      <c r="H12" s="17"/>
      <c r="I12" s="29"/>
      <c r="J12" s="17"/>
      <c r="K12" s="28">
        <f t="shared" si="1"/>
        <v>0</v>
      </c>
      <c r="L12" s="33">
        <v>0</v>
      </c>
      <c r="M12" s="17"/>
      <c r="N12" s="29"/>
      <c r="O12" s="42"/>
      <c r="P12" s="11"/>
      <c r="Q12" s="29"/>
      <c r="R12" s="17"/>
      <c r="S12" s="17"/>
      <c r="T12" s="17"/>
      <c r="U12" s="28">
        <f t="shared" si="3"/>
        <v>0</v>
      </c>
      <c r="V12" s="33">
        <v>0</v>
      </c>
      <c r="W12" s="17"/>
      <c r="X12" s="29"/>
      <c r="Y12" s="29"/>
      <c r="Z12" s="29"/>
      <c r="AA12" s="29"/>
      <c r="AB12" s="17"/>
      <c r="AC12" s="28">
        <f t="shared" si="5"/>
        <v>0</v>
      </c>
      <c r="AD12" s="33">
        <v>0</v>
      </c>
      <c r="AE12" s="17"/>
      <c r="AF12" s="29"/>
      <c r="AG12" s="29"/>
      <c r="AH12" s="29"/>
      <c r="AI12" s="29"/>
      <c r="AJ12" s="17"/>
      <c r="AK12" s="29"/>
      <c r="AL12" s="29"/>
      <c r="AM12" s="29"/>
      <c r="AN12" s="17"/>
    </row>
    <row r="13" spans="1:40" x14ac:dyDescent="0.2">
      <c r="A13" s="5">
        <v>5</v>
      </c>
      <c r="B13" s="1" t="s">
        <v>78</v>
      </c>
      <c r="C13" s="28">
        <f t="shared" si="0"/>
        <v>0</v>
      </c>
      <c r="D13" s="45"/>
      <c r="F13" s="29"/>
      <c r="G13" s="29"/>
      <c r="H13" s="17"/>
      <c r="I13" s="29"/>
      <c r="J13" s="17"/>
      <c r="K13" s="28">
        <f t="shared" si="1"/>
        <v>0</v>
      </c>
      <c r="L13" s="33">
        <v>0</v>
      </c>
      <c r="M13" s="17"/>
      <c r="N13" s="29"/>
      <c r="O13" s="42"/>
      <c r="P13" s="11"/>
      <c r="Q13" s="29"/>
      <c r="R13" s="17"/>
      <c r="S13" s="17"/>
      <c r="T13" s="17"/>
      <c r="U13" s="28">
        <f t="shared" si="3"/>
        <v>0</v>
      </c>
      <c r="V13" s="33">
        <v>0</v>
      </c>
      <c r="W13" s="17"/>
      <c r="X13" s="29"/>
      <c r="Y13" s="29"/>
      <c r="Z13" s="29"/>
      <c r="AA13" s="29"/>
      <c r="AB13" s="17"/>
      <c r="AC13" s="28">
        <f t="shared" si="5"/>
        <v>0</v>
      </c>
      <c r="AD13" s="33">
        <v>0</v>
      </c>
      <c r="AE13" s="17"/>
      <c r="AF13" s="29"/>
      <c r="AG13" s="29"/>
      <c r="AH13" s="29"/>
      <c r="AI13" s="29"/>
      <c r="AJ13" s="17"/>
      <c r="AK13" s="29"/>
      <c r="AL13" s="29"/>
      <c r="AM13" s="29"/>
      <c r="AN13" s="17"/>
    </row>
    <row r="14" spans="1:40" x14ac:dyDescent="0.2">
      <c r="A14" s="5">
        <v>6</v>
      </c>
      <c r="B14" s="1" t="s">
        <v>79</v>
      </c>
      <c r="C14" s="28">
        <f t="shared" si="0"/>
        <v>0</v>
      </c>
      <c r="D14" s="45"/>
      <c r="F14" s="29"/>
      <c r="G14" s="29"/>
      <c r="H14" s="17"/>
      <c r="I14" s="29"/>
      <c r="J14" s="17"/>
      <c r="K14" s="28">
        <f t="shared" si="1"/>
        <v>0</v>
      </c>
      <c r="L14" s="33">
        <v>0</v>
      </c>
      <c r="M14" s="17"/>
      <c r="N14" s="29"/>
      <c r="O14" s="42"/>
      <c r="P14" s="11"/>
      <c r="Q14" s="29"/>
      <c r="R14" s="17"/>
      <c r="S14" s="17"/>
      <c r="T14" s="17"/>
      <c r="U14" s="28">
        <f t="shared" si="3"/>
        <v>0</v>
      </c>
      <c r="V14" s="33">
        <v>0</v>
      </c>
      <c r="W14" s="17"/>
      <c r="X14" s="29"/>
      <c r="Y14" s="29"/>
      <c r="Z14" s="29"/>
      <c r="AA14" s="29"/>
      <c r="AB14" s="17"/>
      <c r="AC14" s="28">
        <f t="shared" si="5"/>
        <v>0</v>
      </c>
      <c r="AD14" s="33">
        <v>0</v>
      </c>
      <c r="AE14" s="17"/>
      <c r="AF14" s="29"/>
      <c r="AG14" s="29"/>
      <c r="AH14" s="29"/>
      <c r="AI14" s="29"/>
      <c r="AJ14" s="17"/>
      <c r="AK14" s="29"/>
      <c r="AL14" s="29"/>
      <c r="AM14" s="29"/>
      <c r="AN14" s="17"/>
    </row>
    <row r="15" spans="1:40" x14ac:dyDescent="0.2">
      <c r="A15" s="5">
        <v>7</v>
      </c>
      <c r="B15" s="1" t="s">
        <v>80</v>
      </c>
      <c r="C15" s="28">
        <f t="shared" si="0"/>
        <v>0</v>
      </c>
      <c r="D15" s="45"/>
      <c r="F15" s="29"/>
      <c r="G15" s="29"/>
      <c r="H15" s="17"/>
      <c r="I15" s="29"/>
      <c r="J15" s="17"/>
      <c r="K15" s="28">
        <f t="shared" si="1"/>
        <v>0</v>
      </c>
      <c r="L15" s="33">
        <v>0</v>
      </c>
      <c r="M15" s="17"/>
      <c r="N15" s="29"/>
      <c r="O15" s="42"/>
      <c r="P15" s="11"/>
      <c r="Q15" s="29"/>
      <c r="R15" s="17"/>
      <c r="S15" s="17"/>
      <c r="T15" s="17"/>
      <c r="U15" s="28">
        <f t="shared" si="3"/>
        <v>0</v>
      </c>
      <c r="V15" s="33">
        <v>0</v>
      </c>
      <c r="W15" s="17"/>
      <c r="X15" s="29"/>
      <c r="Y15" s="29"/>
      <c r="Z15" s="29"/>
      <c r="AA15" s="29"/>
      <c r="AB15" s="17"/>
      <c r="AC15" s="28">
        <f t="shared" si="5"/>
        <v>0</v>
      </c>
      <c r="AD15" s="33">
        <v>0</v>
      </c>
      <c r="AE15" s="17"/>
      <c r="AF15" s="29"/>
      <c r="AG15" s="29"/>
      <c r="AH15" s="29"/>
      <c r="AI15" s="29"/>
      <c r="AJ15" s="17"/>
      <c r="AK15" s="29"/>
      <c r="AL15" s="29"/>
      <c r="AM15" s="29"/>
      <c r="AN15" s="17"/>
    </row>
    <row r="16" spans="1:40" x14ac:dyDescent="0.2">
      <c r="A16" s="5">
        <v>8</v>
      </c>
      <c r="B16" s="1" t="s">
        <v>81</v>
      </c>
      <c r="C16" s="28">
        <f t="shared" si="0"/>
        <v>0</v>
      </c>
      <c r="D16" s="45"/>
      <c r="F16" s="29"/>
      <c r="G16" s="29"/>
      <c r="H16" s="17"/>
      <c r="I16" s="29"/>
      <c r="J16" s="17"/>
      <c r="K16" s="28">
        <f t="shared" si="1"/>
        <v>0</v>
      </c>
      <c r="L16" s="33">
        <v>0</v>
      </c>
      <c r="M16" s="17"/>
      <c r="N16" s="29"/>
      <c r="O16" s="42"/>
      <c r="P16" s="11"/>
      <c r="Q16" s="29"/>
      <c r="R16" s="17"/>
      <c r="S16" s="17"/>
      <c r="T16" s="17"/>
      <c r="U16" s="28">
        <f t="shared" si="3"/>
        <v>0</v>
      </c>
      <c r="V16" s="33">
        <v>0</v>
      </c>
      <c r="W16" s="17"/>
      <c r="X16" s="29"/>
      <c r="Y16" s="29"/>
      <c r="Z16" s="29"/>
      <c r="AA16" s="29"/>
      <c r="AB16" s="17"/>
      <c r="AC16" s="28">
        <f t="shared" si="5"/>
        <v>0</v>
      </c>
      <c r="AD16" s="33">
        <v>0</v>
      </c>
      <c r="AE16" s="17"/>
      <c r="AF16" s="29"/>
      <c r="AG16" s="29"/>
      <c r="AH16" s="29"/>
      <c r="AI16" s="29"/>
      <c r="AJ16" s="17"/>
      <c r="AK16" s="29"/>
      <c r="AL16" s="29"/>
      <c r="AM16" s="29"/>
      <c r="AN16" s="17"/>
    </row>
    <row r="17" spans="1:40" x14ac:dyDescent="0.2">
      <c r="A17" s="5">
        <v>9</v>
      </c>
      <c r="B17" s="6" t="s">
        <v>82</v>
      </c>
      <c r="C17" s="44">
        <f>SUM(C8:C16)</f>
        <v>24237.781200000027</v>
      </c>
      <c r="D17" s="46">
        <f t="shared" ref="D17" si="7">C17/N17</f>
        <v>3.000000000000003E-2</v>
      </c>
      <c r="E17" s="26"/>
      <c r="F17" s="30">
        <f>SUM(F8:F16)</f>
        <v>832163.82120000001</v>
      </c>
      <c r="G17" s="30">
        <f>SUM(G8:G16)</f>
        <v>326624.29982100002</v>
      </c>
      <c r="H17" s="30">
        <f>SUM(H8:H16)</f>
        <v>505539.52137900004</v>
      </c>
      <c r="I17" s="30">
        <f>SUM(I8:I16)</f>
        <v>28057.443436534501</v>
      </c>
      <c r="J17" s="26"/>
      <c r="K17" s="30">
        <f t="shared" si="1"/>
        <v>-366479.48</v>
      </c>
      <c r="L17" s="34">
        <f t="shared" si="2"/>
        <v>-0.31205531118416402</v>
      </c>
      <c r="M17" s="26"/>
      <c r="N17" s="30">
        <f>SUM(N8:N16)</f>
        <v>807926.04</v>
      </c>
      <c r="O17" s="43">
        <f>SUM(O8:O16)</f>
        <v>317110.97070000001</v>
      </c>
      <c r="P17" s="43">
        <f>SUM(P8:P9)</f>
        <v>490815.06929999997</v>
      </c>
      <c r="Q17" s="30">
        <f>SUM(Q8:Q16)</f>
        <v>26160.44319369</v>
      </c>
      <c r="R17" s="26"/>
      <c r="S17" s="30">
        <f>SUM(S8:S16)</f>
        <v>26160.44319369</v>
      </c>
      <c r="T17" s="26"/>
      <c r="U17" s="30">
        <f t="shared" si="3"/>
        <v>511431.32000000007</v>
      </c>
      <c r="V17" s="34">
        <f t="shared" si="4"/>
        <v>0.77141964197098489</v>
      </c>
      <c r="W17" s="26"/>
      <c r="X17" s="30">
        <f>SUM(X8:X16)</f>
        <v>1174405.52</v>
      </c>
      <c r="Y17" s="30">
        <f>SUM(Y8:Y16)</f>
        <v>491723.59122400003</v>
      </c>
      <c r="Z17" s="30">
        <f>SUM(Z8:Z16)</f>
        <v>682681.92877599993</v>
      </c>
      <c r="AA17" s="30">
        <f>SUM(AA8:AA16)</f>
        <v>35977.337646495194</v>
      </c>
      <c r="AB17" s="26"/>
      <c r="AC17" s="30">
        <f t="shared" si="5"/>
        <v>79668.559999999939</v>
      </c>
      <c r="AD17" s="34">
        <f t="shared" si="6"/>
        <v>0.13658115837865023</v>
      </c>
      <c r="AE17" s="26"/>
      <c r="AF17" s="30">
        <f>SUM(AF8:AF16)</f>
        <v>662974.19999999995</v>
      </c>
      <c r="AG17" s="30">
        <f>SUM(AG8:AG16)</f>
        <v>270161.9865</v>
      </c>
      <c r="AH17" s="30">
        <f>SUM(AH8:AH16)</f>
        <v>392812.21350000001</v>
      </c>
      <c r="AI17" s="30">
        <f>SUM(AI8:AI16)</f>
        <v>19326.360904200003</v>
      </c>
      <c r="AJ17" s="26"/>
      <c r="AK17" s="30">
        <f>SUM(AK8:AK16)</f>
        <v>583305.64</v>
      </c>
      <c r="AL17" s="30">
        <f>SUM(AL8:AL16)</f>
        <v>111003.06329200001</v>
      </c>
      <c r="AM17" s="30">
        <f>SUM(AM8:AM16)</f>
        <v>472302.57670800004</v>
      </c>
      <c r="AN17" s="47">
        <f>SUM(AN8:AN16)</f>
        <v>24181.8919274496</v>
      </c>
    </row>
    <row r="18" spans="1:40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">
      <c r="A19" s="5" t="s">
        <v>34</v>
      </c>
      <c r="B19" s="1" t="s">
        <v>83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x14ac:dyDescent="0.2">
      <c r="B20" s="1" t="s">
        <v>84</v>
      </c>
    </row>
    <row r="21" spans="1:40" x14ac:dyDescent="0.2">
      <c r="B21" s="1" t="s">
        <v>85</v>
      </c>
    </row>
    <row r="22" spans="1:40" x14ac:dyDescent="0.2">
      <c r="B22" s="1" t="s">
        <v>86</v>
      </c>
    </row>
    <row r="23" spans="1:40" x14ac:dyDescent="0.2">
      <c r="B23" s="1" t="s">
        <v>87</v>
      </c>
    </row>
    <row r="25" spans="1:40" x14ac:dyDescent="0.2">
      <c r="A25" s="5" t="s">
        <v>34</v>
      </c>
      <c r="B25" s="1" t="s">
        <v>95</v>
      </c>
    </row>
    <row r="26" spans="1:40" x14ac:dyDescent="0.2">
      <c r="B26" s="1" t="s">
        <v>96</v>
      </c>
    </row>
    <row r="27" spans="1:40" x14ac:dyDescent="0.2">
      <c r="B27" s="1" t="s">
        <v>97</v>
      </c>
    </row>
    <row r="28" spans="1:40" x14ac:dyDescent="0.2">
      <c r="B28" s="1" t="s">
        <v>98</v>
      </c>
    </row>
    <row r="29" spans="1:40" x14ac:dyDescent="0.2">
      <c r="B29" s="1" t="s">
        <v>99</v>
      </c>
    </row>
  </sheetData>
  <mergeCells count="1">
    <mergeCell ref="N6:O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tabSelected="1" workbookViewId="0">
      <pane xSplit="2" topLeftCell="C1" activePane="topRight" state="frozen"/>
      <selection pane="topRight"/>
    </sheetView>
  </sheetViews>
  <sheetFormatPr defaultRowHeight="12.75" x14ac:dyDescent="0.2"/>
  <cols>
    <col min="1" max="1" width="9.85546875" style="1" customWidth="1"/>
    <col min="2" max="2" width="36.42578125" style="1" bestFit="1" customWidth="1"/>
    <col min="3" max="3" width="39.28515625" style="1" bestFit="1" customWidth="1"/>
    <col min="4" max="4" width="6.7109375" style="1" bestFit="1" customWidth="1"/>
    <col min="5" max="5" width="1" style="1" customWidth="1"/>
    <col min="6" max="6" width="22.7109375" style="1" bestFit="1" customWidth="1"/>
    <col min="7" max="7" width="7.7109375" style="1" bestFit="1" customWidth="1"/>
    <col min="8" max="8" width="10.42578125" style="1" bestFit="1" customWidth="1"/>
    <col min="9" max="9" width="25" style="1" bestFit="1" customWidth="1"/>
    <col min="10" max="10" width="1.28515625" style="1" customWidth="1"/>
    <col min="11" max="11" width="40.28515625" style="1" bestFit="1" customWidth="1"/>
    <col min="12" max="12" width="6.7109375" style="1" bestFit="1" customWidth="1"/>
    <col min="13" max="13" width="1.28515625" style="1" customWidth="1"/>
    <col min="14" max="15" width="7.7109375" style="1" bestFit="1" customWidth="1"/>
    <col min="16" max="16" width="10.42578125" style="1" bestFit="1" customWidth="1"/>
    <col min="17" max="17" width="25" style="1" bestFit="1" customWidth="1"/>
    <col min="18" max="18" width="22.140625" style="1" bestFit="1" customWidth="1"/>
    <col min="19" max="19" width="6.85546875" style="1" bestFit="1" customWidth="1"/>
    <col min="20" max="20" width="1.42578125" style="1" customWidth="1"/>
    <col min="21" max="21" width="31.7109375" style="1" bestFit="1" customWidth="1"/>
    <col min="22" max="22" width="6.7109375" style="1" bestFit="1" customWidth="1"/>
    <col min="23" max="23" width="1.140625" style="1" customWidth="1"/>
    <col min="24" max="24" width="20.42578125" style="1" bestFit="1" customWidth="1"/>
    <col min="25" max="25" width="7.7109375" style="1" bestFit="1" customWidth="1"/>
    <col min="26" max="26" width="10.42578125" style="1" bestFit="1" customWidth="1"/>
    <col min="27" max="27" width="25" style="1" bestFit="1" customWidth="1"/>
    <col min="28" max="28" width="0.85546875" style="1" customWidth="1"/>
    <col min="29" max="29" width="36.140625" style="1" bestFit="1" customWidth="1"/>
    <col min="30" max="30" width="6.7109375" style="1" bestFit="1" customWidth="1"/>
    <col min="31" max="31" width="1" style="1" customWidth="1"/>
    <col min="32" max="32" width="20.42578125" style="1" bestFit="1" customWidth="1"/>
    <col min="33" max="33" width="7.7109375" style="1" bestFit="1" customWidth="1"/>
    <col min="34" max="34" width="10.42578125" style="1" bestFit="1" customWidth="1"/>
    <col min="35" max="35" width="25" style="1" bestFit="1" customWidth="1"/>
    <col min="36" max="36" width="1.28515625" style="1" customWidth="1"/>
    <col min="37" max="37" width="20.42578125" style="1" bestFit="1" customWidth="1"/>
    <col min="38" max="38" width="7.7109375" style="1" bestFit="1" customWidth="1"/>
    <col min="39" max="39" width="10.42578125" style="1" bestFit="1" customWidth="1"/>
    <col min="40" max="40" width="19.28515625" style="1" bestFit="1" customWidth="1"/>
    <col min="41" max="16384" width="9.140625" style="1"/>
  </cols>
  <sheetData>
    <row r="1" spans="1:40" ht="15.75" x14ac:dyDescent="0.25">
      <c r="A1" s="15" t="s">
        <v>0</v>
      </c>
    </row>
    <row r="2" spans="1:40" x14ac:dyDescent="0.2">
      <c r="A2" s="6" t="s">
        <v>30</v>
      </c>
    </row>
    <row r="3" spans="1:40" x14ac:dyDescent="0.2">
      <c r="A3" s="6" t="s">
        <v>31</v>
      </c>
    </row>
    <row r="4" spans="1:40" x14ac:dyDescent="0.2">
      <c r="A4" s="6" t="s">
        <v>32</v>
      </c>
      <c r="N4" s="2"/>
      <c r="O4" s="3"/>
      <c r="P4" s="3"/>
      <c r="Q4" s="3" t="s">
        <v>11</v>
      </c>
      <c r="R4" s="2"/>
      <c r="S4" s="2"/>
      <c r="T4" s="11"/>
      <c r="U4" s="11"/>
      <c r="V4" s="11"/>
    </row>
    <row r="5" spans="1:40" x14ac:dyDescent="0.2">
      <c r="N5" s="2"/>
      <c r="O5" s="3"/>
      <c r="P5" s="3"/>
      <c r="Q5" s="3"/>
      <c r="R5" s="2"/>
      <c r="S5" s="27"/>
      <c r="T5" s="11"/>
      <c r="U5" s="11"/>
      <c r="V5" s="11"/>
    </row>
    <row r="6" spans="1:40" x14ac:dyDescent="0.2">
      <c r="B6" s="6" t="s">
        <v>94</v>
      </c>
      <c r="C6" s="21" t="s">
        <v>26</v>
      </c>
      <c r="D6" s="21"/>
      <c r="F6" s="4" t="s">
        <v>4</v>
      </c>
      <c r="G6" s="4"/>
      <c r="H6" s="4"/>
      <c r="I6" s="48" t="s">
        <v>102</v>
      </c>
      <c r="J6" s="19"/>
      <c r="K6" s="20" t="s">
        <v>25</v>
      </c>
      <c r="L6" s="20"/>
      <c r="N6" s="56" t="s">
        <v>33</v>
      </c>
      <c r="O6" s="56"/>
      <c r="P6" s="35"/>
      <c r="Q6" s="16" t="s">
        <v>3</v>
      </c>
      <c r="R6" s="16" t="s">
        <v>2</v>
      </c>
      <c r="S6" s="5" t="s">
        <v>12</v>
      </c>
      <c r="T6" s="5"/>
      <c r="U6" s="22" t="s">
        <v>27</v>
      </c>
      <c r="V6" s="23"/>
      <c r="X6" s="7" t="s">
        <v>5</v>
      </c>
      <c r="Y6" s="7"/>
      <c r="Z6" s="7"/>
      <c r="AA6" s="40" t="s">
        <v>102</v>
      </c>
      <c r="AB6" s="24"/>
      <c r="AC6" s="25" t="s">
        <v>28</v>
      </c>
      <c r="AD6" s="8"/>
      <c r="AF6" s="9" t="s">
        <v>6</v>
      </c>
      <c r="AG6" s="9"/>
      <c r="AH6" s="9"/>
      <c r="AI6" s="39" t="s">
        <v>102</v>
      </c>
      <c r="AK6" s="12" t="s">
        <v>7</v>
      </c>
      <c r="AL6" s="12"/>
      <c r="AM6" s="12"/>
      <c r="AN6" s="37" t="s">
        <v>102</v>
      </c>
    </row>
    <row r="7" spans="1:40" x14ac:dyDescent="0.2">
      <c r="A7" s="14" t="s">
        <v>8</v>
      </c>
      <c r="B7" s="14" t="s">
        <v>9</v>
      </c>
      <c r="C7" s="14" t="s">
        <v>23</v>
      </c>
      <c r="D7" s="14" t="s">
        <v>24</v>
      </c>
      <c r="F7" s="14" t="s">
        <v>100</v>
      </c>
      <c r="G7" s="14" t="s">
        <v>101</v>
      </c>
      <c r="H7" s="14" t="s">
        <v>102</v>
      </c>
      <c r="I7" s="14" t="s">
        <v>104</v>
      </c>
      <c r="J7" s="18"/>
      <c r="K7" s="14" t="s">
        <v>23</v>
      </c>
      <c r="L7" s="14" t="s">
        <v>24</v>
      </c>
      <c r="N7" s="14" t="s">
        <v>100</v>
      </c>
      <c r="O7" s="14" t="s">
        <v>101</v>
      </c>
      <c r="P7" s="14" t="s">
        <v>102</v>
      </c>
      <c r="Q7" s="14" t="s">
        <v>104</v>
      </c>
      <c r="R7" s="14" t="s">
        <v>10</v>
      </c>
      <c r="S7" s="14" t="s">
        <v>1</v>
      </c>
      <c r="T7" s="18"/>
      <c r="U7" s="16" t="s">
        <v>23</v>
      </c>
      <c r="V7" s="16" t="s">
        <v>24</v>
      </c>
      <c r="X7" s="14" t="s">
        <v>100</v>
      </c>
      <c r="Y7" s="14" t="s">
        <v>101</v>
      </c>
      <c r="Z7" s="14" t="s">
        <v>102</v>
      </c>
      <c r="AA7" s="14" t="s">
        <v>104</v>
      </c>
      <c r="AB7" s="18"/>
      <c r="AC7" s="16" t="s">
        <v>29</v>
      </c>
      <c r="AD7" s="16" t="s">
        <v>24</v>
      </c>
      <c r="AF7" s="14" t="s">
        <v>100</v>
      </c>
      <c r="AG7" s="14" t="s">
        <v>101</v>
      </c>
      <c r="AH7" s="14" t="s">
        <v>102</v>
      </c>
      <c r="AI7" s="14" t="s">
        <v>104</v>
      </c>
      <c r="AK7" s="14" t="s">
        <v>100</v>
      </c>
      <c r="AL7" s="14" t="s">
        <v>101</v>
      </c>
      <c r="AM7" s="14" t="s">
        <v>102</v>
      </c>
      <c r="AN7" s="14" t="s">
        <v>103</v>
      </c>
    </row>
    <row r="8" spans="1:40" x14ac:dyDescent="0.2">
      <c r="A8" s="5">
        <v>1</v>
      </c>
      <c r="B8" s="1" t="s">
        <v>13</v>
      </c>
      <c r="C8" s="28">
        <f>F8-N8</f>
        <v>9739.7526000000071</v>
      </c>
      <c r="D8" s="45">
        <f>C8/N8</f>
        <v>3.0000000000000023E-2</v>
      </c>
      <c r="F8" s="28">
        <f>N8*1.03</f>
        <v>334398.17259999999</v>
      </c>
      <c r="G8" s="28">
        <f>F8*0.619</f>
        <v>206992.46883939998</v>
      </c>
      <c r="H8" s="28">
        <f>F8-G8</f>
        <v>127405.70376060001</v>
      </c>
      <c r="I8" s="36">
        <f>H8*0.0555</f>
        <v>7071.0165587133006</v>
      </c>
      <c r="K8" s="28">
        <f>N8-X8</f>
        <v>7989.6699999999837</v>
      </c>
      <c r="L8" s="33">
        <f>K8/X8</f>
        <v>2.5230370852823286E-2</v>
      </c>
      <c r="N8" s="28">
        <v>324658.42</v>
      </c>
      <c r="O8" s="41">
        <f>N8*0.619</f>
        <v>200963.56198</v>
      </c>
      <c r="P8" s="41">
        <f>N8-O8</f>
        <v>123694.85801999999</v>
      </c>
      <c r="Q8" s="28">
        <f>P8*0.0533</f>
        <v>6592.935932465999</v>
      </c>
      <c r="R8" s="1" t="s">
        <v>105</v>
      </c>
      <c r="S8" s="28">
        <f>Q8</f>
        <v>6592.935932465999</v>
      </c>
      <c r="U8" s="28">
        <f t="shared" ref="U8:U17" si="0">X8-AF8</f>
        <v>11681.25</v>
      </c>
      <c r="V8" s="33">
        <f>U8/AF8</f>
        <v>3.8300750030738961E-2</v>
      </c>
      <c r="X8" s="28">
        <v>316668.75</v>
      </c>
      <c r="Y8" s="28">
        <f>X8*0.5849</f>
        <v>185219.551875</v>
      </c>
      <c r="Z8" s="28">
        <f>X8-Y8</f>
        <v>131449.198125</v>
      </c>
      <c r="AA8" s="28">
        <f>Z8*0.0527</f>
        <v>6927.3727411874997</v>
      </c>
      <c r="AC8" s="28">
        <f>AF8-AK8</f>
        <v>16146.369999999995</v>
      </c>
      <c r="AD8" s="33">
        <f>AC8/AK8</f>
        <v>5.5900522200560548E-2</v>
      </c>
      <c r="AF8" s="28">
        <v>304987.5</v>
      </c>
      <c r="AG8" s="28">
        <f>AF8*0.5658</f>
        <v>172561.92749999999</v>
      </c>
      <c r="AH8" s="28">
        <f>AF8-AG8</f>
        <v>132425.57250000001</v>
      </c>
      <c r="AI8" s="28">
        <f>AH8*0.0492</f>
        <v>6515.3381670000008</v>
      </c>
      <c r="AK8" s="28">
        <v>288841.13</v>
      </c>
      <c r="AL8" s="28">
        <f>AK8*0.5681</f>
        <v>164090.64595300003</v>
      </c>
      <c r="AM8" s="28">
        <f>AK8-AL8</f>
        <v>124750.48404699998</v>
      </c>
      <c r="AN8" s="28">
        <f>AM8*0.0512</f>
        <v>6387.2247832063995</v>
      </c>
    </row>
    <row r="9" spans="1:40" x14ac:dyDescent="0.2">
      <c r="A9" s="5">
        <v>2</v>
      </c>
      <c r="B9" s="1" t="s">
        <v>15</v>
      </c>
      <c r="C9" s="28">
        <f t="shared" ref="C9:C16" si="1">F9-N9</f>
        <v>14430.520499999984</v>
      </c>
      <c r="D9" s="45">
        <f t="shared" ref="D9:D17" si="2">C9/N9</f>
        <v>2.9999999999999968E-2</v>
      </c>
      <c r="F9" s="28">
        <f>N9*1.03</f>
        <v>495447.87049999996</v>
      </c>
      <c r="G9" s="28">
        <f>F9*0.619</f>
        <v>306682.23183949996</v>
      </c>
      <c r="H9" s="28">
        <f t="shared" ref="H9:H16" si="3">F9-G9</f>
        <v>188765.6386605</v>
      </c>
      <c r="I9" s="36">
        <f t="shared" ref="I9:I16" si="4">H9*0.0555</f>
        <v>10476.49294565775</v>
      </c>
      <c r="K9" s="28">
        <f t="shared" ref="K9:K17" si="5">N9-X9</f>
        <v>40158.739999999991</v>
      </c>
      <c r="L9" s="33">
        <f t="shared" ref="L9:L17" si="6">K9/X9</f>
        <v>9.1092107739485895E-2</v>
      </c>
      <c r="N9" s="28">
        <v>481017.35</v>
      </c>
      <c r="O9" s="41">
        <f>N9*0.619</f>
        <v>297749.73965</v>
      </c>
      <c r="P9" s="41">
        <f t="shared" ref="P9:P17" si="7">N9-O9</f>
        <v>183267.61034999997</v>
      </c>
      <c r="Q9" s="28">
        <f>P9*0.0533</f>
        <v>9768.1636316549993</v>
      </c>
      <c r="R9" s="1" t="s">
        <v>105</v>
      </c>
      <c r="S9" s="28">
        <f t="shared" ref="S9:S16" si="8">Q9</f>
        <v>9768.1636316549993</v>
      </c>
      <c r="U9" s="28">
        <f t="shared" si="0"/>
        <v>116149.13</v>
      </c>
      <c r="V9" s="33">
        <f>U9/AF9</f>
        <v>0.35770169075445535</v>
      </c>
      <c r="X9" s="28">
        <v>440858.61</v>
      </c>
      <c r="Y9" s="28">
        <f>X9*0.5849</f>
        <v>257858.20098899998</v>
      </c>
      <c r="Z9" s="28">
        <f t="shared" ref="Z9:Z17" si="9">X9-Y9</f>
        <v>183000.40901100001</v>
      </c>
      <c r="AA9" s="28">
        <f>Z9*0.0527</f>
        <v>9644.1215548797009</v>
      </c>
      <c r="AC9" s="28">
        <f t="shared" ref="AC9:AC17" si="10">AF9-AK9</f>
        <v>68456.899999999994</v>
      </c>
      <c r="AD9" s="33">
        <f>AC9/AK9</f>
        <v>0.2671461883427671</v>
      </c>
      <c r="AF9" s="28">
        <v>324709.48</v>
      </c>
      <c r="AG9" s="28">
        <f>AF9*0.5658</f>
        <v>183720.62378399997</v>
      </c>
      <c r="AH9" s="28">
        <f t="shared" ref="AH9:AH17" si="11">AF9-AG9</f>
        <v>140988.85621600001</v>
      </c>
      <c r="AI9" s="28">
        <f>AH9*0.0492</f>
        <v>6936.6517258272006</v>
      </c>
      <c r="AK9" s="28">
        <v>256252.58</v>
      </c>
      <c r="AL9" s="28">
        <f>AK9*0.5681</f>
        <v>145577.09069800001</v>
      </c>
      <c r="AM9" s="28">
        <f t="shared" ref="AM9:AM17" si="12">AK9-AL9</f>
        <v>110675.48930199997</v>
      </c>
      <c r="AN9" s="28">
        <f>AM9*0.0512</f>
        <v>5666.5850522623987</v>
      </c>
    </row>
    <row r="10" spans="1:40" x14ac:dyDescent="0.2">
      <c r="A10" s="5">
        <v>3</v>
      </c>
      <c r="B10" s="1" t="s">
        <v>14</v>
      </c>
      <c r="C10" s="28">
        <f t="shared" si="1"/>
        <v>0</v>
      </c>
      <c r="D10" s="45"/>
      <c r="F10" s="17"/>
      <c r="G10" s="29"/>
      <c r="H10" s="28">
        <f t="shared" si="3"/>
        <v>0</v>
      </c>
      <c r="I10" s="36">
        <f t="shared" si="4"/>
        <v>0</v>
      </c>
      <c r="J10" s="17"/>
      <c r="K10" s="28">
        <f t="shared" si="5"/>
        <v>0</v>
      </c>
      <c r="L10" s="33">
        <v>0</v>
      </c>
      <c r="M10" s="17"/>
      <c r="N10" s="29"/>
      <c r="O10" s="42"/>
      <c r="P10" s="41">
        <f t="shared" si="7"/>
        <v>0</v>
      </c>
      <c r="Q10" s="28">
        <f t="shared" ref="Q10:Q16" si="13">N10*0.0533</f>
        <v>0</v>
      </c>
      <c r="R10" s="17"/>
      <c r="S10" s="28">
        <f t="shared" si="8"/>
        <v>0</v>
      </c>
      <c r="T10" s="17"/>
      <c r="U10" s="28">
        <f t="shared" si="0"/>
        <v>0</v>
      </c>
      <c r="V10" s="33">
        <v>0</v>
      </c>
      <c r="W10" s="17"/>
      <c r="X10" s="29"/>
      <c r="Y10" s="29"/>
      <c r="Z10" s="28">
        <f t="shared" si="9"/>
        <v>0</v>
      </c>
      <c r="AA10" s="28">
        <f t="shared" ref="AA10:AA16" si="14">Z10*0.0527</f>
        <v>0</v>
      </c>
      <c r="AB10" s="17"/>
      <c r="AC10" s="28">
        <f t="shared" si="10"/>
        <v>0</v>
      </c>
      <c r="AD10" s="33">
        <v>0</v>
      </c>
      <c r="AE10" s="17"/>
      <c r="AF10" s="29"/>
      <c r="AG10" s="29"/>
      <c r="AH10" s="28">
        <f t="shared" si="11"/>
        <v>0</v>
      </c>
      <c r="AI10" s="29"/>
      <c r="AJ10" s="17"/>
      <c r="AK10" s="29"/>
      <c r="AL10" s="29"/>
      <c r="AM10" s="28">
        <f t="shared" si="12"/>
        <v>0</v>
      </c>
      <c r="AN10" s="29"/>
    </row>
    <row r="11" spans="1:40" x14ac:dyDescent="0.2">
      <c r="A11" s="5">
        <v>4</v>
      </c>
      <c r="B11" s="1" t="s">
        <v>19</v>
      </c>
      <c r="C11" s="28">
        <f t="shared" si="1"/>
        <v>0</v>
      </c>
      <c r="D11" s="45"/>
      <c r="F11" s="17"/>
      <c r="G11" s="29"/>
      <c r="H11" s="28">
        <f t="shared" si="3"/>
        <v>0</v>
      </c>
      <c r="I11" s="36">
        <f t="shared" si="4"/>
        <v>0</v>
      </c>
      <c r="J11" s="17"/>
      <c r="K11" s="28">
        <f t="shared" si="5"/>
        <v>0</v>
      </c>
      <c r="L11" s="33">
        <v>0</v>
      </c>
      <c r="M11" s="17"/>
      <c r="N11" s="29"/>
      <c r="O11" s="42"/>
      <c r="P11" s="41">
        <f t="shared" si="7"/>
        <v>0</v>
      </c>
      <c r="Q11" s="28">
        <f t="shared" si="13"/>
        <v>0</v>
      </c>
      <c r="R11" s="17"/>
      <c r="S11" s="28">
        <f t="shared" si="8"/>
        <v>0</v>
      </c>
      <c r="T11" s="17"/>
      <c r="U11" s="28">
        <f t="shared" si="0"/>
        <v>0</v>
      </c>
      <c r="V11" s="33">
        <v>0</v>
      </c>
      <c r="W11" s="17"/>
      <c r="X11" s="29"/>
      <c r="Y11" s="29"/>
      <c r="Z11" s="28">
        <f t="shared" si="9"/>
        <v>0</v>
      </c>
      <c r="AA11" s="28">
        <f t="shared" si="14"/>
        <v>0</v>
      </c>
      <c r="AB11" s="17"/>
      <c r="AC11" s="28">
        <f t="shared" si="10"/>
        <v>0</v>
      </c>
      <c r="AD11" s="33">
        <v>0</v>
      </c>
      <c r="AE11" s="17"/>
      <c r="AF11" s="29"/>
      <c r="AG11" s="29"/>
      <c r="AH11" s="28">
        <f t="shared" si="11"/>
        <v>0</v>
      </c>
      <c r="AI11" s="29"/>
      <c r="AJ11" s="17"/>
      <c r="AK11" s="29"/>
      <c r="AL11" s="29"/>
      <c r="AM11" s="28">
        <f t="shared" si="12"/>
        <v>0</v>
      </c>
      <c r="AN11" s="29"/>
    </row>
    <row r="12" spans="1:40" x14ac:dyDescent="0.2">
      <c r="A12" s="5"/>
      <c r="B12" s="1" t="s">
        <v>20</v>
      </c>
      <c r="C12" s="28">
        <f t="shared" si="1"/>
        <v>0</v>
      </c>
      <c r="D12" s="45"/>
      <c r="F12" s="17"/>
      <c r="G12" s="29"/>
      <c r="H12" s="28">
        <f t="shared" si="3"/>
        <v>0</v>
      </c>
      <c r="I12" s="36">
        <f t="shared" si="4"/>
        <v>0</v>
      </c>
      <c r="J12" s="17"/>
      <c r="K12" s="28">
        <f t="shared" si="5"/>
        <v>0</v>
      </c>
      <c r="L12" s="33">
        <v>0</v>
      </c>
      <c r="M12" s="17"/>
      <c r="N12" s="29"/>
      <c r="O12" s="42"/>
      <c r="P12" s="41">
        <f t="shared" si="7"/>
        <v>0</v>
      </c>
      <c r="Q12" s="28">
        <f t="shared" si="13"/>
        <v>0</v>
      </c>
      <c r="R12" s="17"/>
      <c r="S12" s="28">
        <f t="shared" si="8"/>
        <v>0</v>
      </c>
      <c r="T12" s="17"/>
      <c r="U12" s="28">
        <f t="shared" si="0"/>
        <v>0</v>
      </c>
      <c r="V12" s="33">
        <v>0</v>
      </c>
      <c r="W12" s="17"/>
      <c r="X12" s="29"/>
      <c r="Y12" s="29"/>
      <c r="Z12" s="28">
        <f t="shared" si="9"/>
        <v>0</v>
      </c>
      <c r="AA12" s="28">
        <f t="shared" si="14"/>
        <v>0</v>
      </c>
      <c r="AB12" s="17"/>
      <c r="AC12" s="28">
        <f t="shared" si="10"/>
        <v>0</v>
      </c>
      <c r="AD12" s="33">
        <v>0</v>
      </c>
      <c r="AE12" s="17"/>
      <c r="AF12" s="29"/>
      <c r="AG12" s="29"/>
      <c r="AH12" s="28">
        <f t="shared" si="11"/>
        <v>0</v>
      </c>
      <c r="AI12" s="29"/>
      <c r="AJ12" s="17"/>
      <c r="AK12" s="29"/>
      <c r="AL12" s="29"/>
      <c r="AM12" s="28">
        <f t="shared" si="12"/>
        <v>0</v>
      </c>
      <c r="AN12" s="29"/>
    </row>
    <row r="13" spans="1:40" x14ac:dyDescent="0.2">
      <c r="A13" s="5">
        <v>5</v>
      </c>
      <c r="B13" s="1" t="s">
        <v>16</v>
      </c>
      <c r="C13" s="28">
        <f t="shared" si="1"/>
        <v>0</v>
      </c>
      <c r="D13" s="45"/>
      <c r="F13" s="17"/>
      <c r="G13" s="29"/>
      <c r="H13" s="28">
        <f t="shared" si="3"/>
        <v>0</v>
      </c>
      <c r="I13" s="36">
        <f t="shared" si="4"/>
        <v>0</v>
      </c>
      <c r="J13" s="17"/>
      <c r="K13" s="28">
        <f t="shared" si="5"/>
        <v>0</v>
      </c>
      <c r="L13" s="33">
        <v>0</v>
      </c>
      <c r="M13" s="17"/>
      <c r="N13" s="29"/>
      <c r="O13" s="42"/>
      <c r="P13" s="41">
        <f t="shared" si="7"/>
        <v>0</v>
      </c>
      <c r="Q13" s="28">
        <f t="shared" si="13"/>
        <v>0</v>
      </c>
      <c r="R13" s="17"/>
      <c r="S13" s="28">
        <f t="shared" si="8"/>
        <v>0</v>
      </c>
      <c r="T13" s="17"/>
      <c r="U13" s="28">
        <f t="shared" si="0"/>
        <v>0</v>
      </c>
      <c r="V13" s="33">
        <v>0</v>
      </c>
      <c r="W13" s="17"/>
      <c r="X13" s="29"/>
      <c r="Y13" s="29"/>
      <c r="Z13" s="28">
        <f t="shared" si="9"/>
        <v>0</v>
      </c>
      <c r="AA13" s="28">
        <f t="shared" si="14"/>
        <v>0</v>
      </c>
      <c r="AB13" s="17"/>
      <c r="AC13" s="28">
        <f t="shared" si="10"/>
        <v>0</v>
      </c>
      <c r="AD13" s="33">
        <v>0</v>
      </c>
      <c r="AE13" s="17"/>
      <c r="AF13" s="29"/>
      <c r="AG13" s="29"/>
      <c r="AH13" s="28">
        <f t="shared" si="11"/>
        <v>0</v>
      </c>
      <c r="AI13" s="29"/>
      <c r="AJ13" s="17"/>
      <c r="AK13" s="29"/>
      <c r="AL13" s="29"/>
      <c r="AM13" s="28">
        <f t="shared" si="12"/>
        <v>0</v>
      </c>
      <c r="AN13" s="29"/>
    </row>
    <row r="14" spans="1:40" x14ac:dyDescent="0.2">
      <c r="A14" s="5">
        <v>6</v>
      </c>
      <c r="B14" s="1" t="s">
        <v>17</v>
      </c>
      <c r="C14" s="28">
        <f t="shared" si="1"/>
        <v>0</v>
      </c>
      <c r="D14" s="45"/>
      <c r="F14" s="17"/>
      <c r="G14" s="29"/>
      <c r="H14" s="28">
        <f t="shared" si="3"/>
        <v>0</v>
      </c>
      <c r="I14" s="36">
        <f t="shared" si="4"/>
        <v>0</v>
      </c>
      <c r="J14" s="17"/>
      <c r="K14" s="28">
        <f t="shared" si="5"/>
        <v>0</v>
      </c>
      <c r="L14" s="33">
        <v>0</v>
      </c>
      <c r="M14" s="17"/>
      <c r="N14" s="29"/>
      <c r="O14" s="42"/>
      <c r="P14" s="41">
        <f t="shared" si="7"/>
        <v>0</v>
      </c>
      <c r="Q14" s="28">
        <f t="shared" si="13"/>
        <v>0</v>
      </c>
      <c r="R14" s="17"/>
      <c r="S14" s="28">
        <f t="shared" si="8"/>
        <v>0</v>
      </c>
      <c r="T14" s="17"/>
      <c r="U14" s="28">
        <f t="shared" si="0"/>
        <v>0</v>
      </c>
      <c r="V14" s="33">
        <v>0</v>
      </c>
      <c r="W14" s="17"/>
      <c r="X14" s="29"/>
      <c r="Y14" s="29"/>
      <c r="Z14" s="28">
        <f t="shared" si="9"/>
        <v>0</v>
      </c>
      <c r="AA14" s="28">
        <f t="shared" si="14"/>
        <v>0</v>
      </c>
      <c r="AB14" s="17"/>
      <c r="AC14" s="28">
        <f t="shared" si="10"/>
        <v>0</v>
      </c>
      <c r="AD14" s="33">
        <v>0</v>
      </c>
      <c r="AE14" s="17"/>
      <c r="AF14" s="29"/>
      <c r="AG14" s="29"/>
      <c r="AH14" s="28">
        <f t="shared" si="11"/>
        <v>0</v>
      </c>
      <c r="AI14" s="29"/>
      <c r="AJ14" s="17"/>
      <c r="AK14" s="29"/>
      <c r="AL14" s="29"/>
      <c r="AM14" s="28">
        <f t="shared" si="12"/>
        <v>0</v>
      </c>
      <c r="AN14" s="29"/>
    </row>
    <row r="15" spans="1:40" x14ac:dyDescent="0.2">
      <c r="A15" s="5">
        <v>7</v>
      </c>
      <c r="B15" s="1" t="s">
        <v>18</v>
      </c>
      <c r="C15" s="28">
        <f t="shared" si="1"/>
        <v>0</v>
      </c>
      <c r="D15" s="45"/>
      <c r="F15" s="17"/>
      <c r="G15" s="29"/>
      <c r="H15" s="28">
        <f t="shared" si="3"/>
        <v>0</v>
      </c>
      <c r="I15" s="36">
        <f t="shared" si="4"/>
        <v>0</v>
      </c>
      <c r="J15" s="17"/>
      <c r="K15" s="28">
        <f t="shared" si="5"/>
        <v>0</v>
      </c>
      <c r="L15" s="33">
        <v>0</v>
      </c>
      <c r="M15" s="17"/>
      <c r="N15" s="29"/>
      <c r="O15" s="42"/>
      <c r="P15" s="41">
        <f t="shared" si="7"/>
        <v>0</v>
      </c>
      <c r="Q15" s="28">
        <f t="shared" si="13"/>
        <v>0</v>
      </c>
      <c r="R15" s="17"/>
      <c r="S15" s="28">
        <f t="shared" si="8"/>
        <v>0</v>
      </c>
      <c r="T15" s="17"/>
      <c r="U15" s="28">
        <f t="shared" si="0"/>
        <v>0</v>
      </c>
      <c r="V15" s="33">
        <v>0</v>
      </c>
      <c r="W15" s="17"/>
      <c r="X15" s="29"/>
      <c r="Y15" s="29"/>
      <c r="Z15" s="28">
        <f t="shared" si="9"/>
        <v>0</v>
      </c>
      <c r="AA15" s="28">
        <f t="shared" si="14"/>
        <v>0</v>
      </c>
      <c r="AB15" s="17"/>
      <c r="AC15" s="28">
        <f t="shared" si="10"/>
        <v>0</v>
      </c>
      <c r="AD15" s="33">
        <v>0</v>
      </c>
      <c r="AE15" s="17"/>
      <c r="AF15" s="29"/>
      <c r="AG15" s="29"/>
      <c r="AH15" s="28">
        <f t="shared" si="11"/>
        <v>0</v>
      </c>
      <c r="AI15" s="29"/>
      <c r="AJ15" s="17"/>
      <c r="AK15" s="29"/>
      <c r="AL15" s="29"/>
      <c r="AM15" s="28">
        <f t="shared" si="12"/>
        <v>0</v>
      </c>
      <c r="AN15" s="29"/>
    </row>
    <row r="16" spans="1:40" x14ac:dyDescent="0.2">
      <c r="A16" s="5">
        <v>8</v>
      </c>
      <c r="B16" s="1" t="s">
        <v>21</v>
      </c>
      <c r="C16" s="28">
        <f t="shared" si="1"/>
        <v>0</v>
      </c>
      <c r="D16" s="45"/>
      <c r="F16" s="17"/>
      <c r="G16" s="29"/>
      <c r="H16" s="28">
        <f t="shared" si="3"/>
        <v>0</v>
      </c>
      <c r="I16" s="36">
        <f t="shared" si="4"/>
        <v>0</v>
      </c>
      <c r="J16" s="17"/>
      <c r="K16" s="28">
        <f t="shared" si="5"/>
        <v>0</v>
      </c>
      <c r="L16" s="33">
        <v>0</v>
      </c>
      <c r="M16" s="17"/>
      <c r="N16" s="29"/>
      <c r="O16" s="42"/>
      <c r="P16" s="41">
        <f t="shared" si="7"/>
        <v>0</v>
      </c>
      <c r="Q16" s="28">
        <f t="shared" si="13"/>
        <v>0</v>
      </c>
      <c r="R16" s="17"/>
      <c r="S16" s="28">
        <f t="shared" si="8"/>
        <v>0</v>
      </c>
      <c r="T16" s="17"/>
      <c r="U16" s="28">
        <f t="shared" si="0"/>
        <v>0</v>
      </c>
      <c r="V16" s="33">
        <v>0</v>
      </c>
      <c r="W16" s="17"/>
      <c r="X16" s="29"/>
      <c r="Y16" s="29"/>
      <c r="Z16" s="28">
        <f t="shared" si="9"/>
        <v>0</v>
      </c>
      <c r="AA16" s="28">
        <f t="shared" si="14"/>
        <v>0</v>
      </c>
      <c r="AB16" s="17"/>
      <c r="AC16" s="28">
        <f t="shared" si="10"/>
        <v>0</v>
      </c>
      <c r="AD16" s="33">
        <v>0</v>
      </c>
      <c r="AE16" s="17"/>
      <c r="AF16" s="29"/>
      <c r="AG16" s="29"/>
      <c r="AH16" s="28">
        <f t="shared" si="11"/>
        <v>0</v>
      </c>
      <c r="AI16" s="29"/>
      <c r="AJ16" s="17"/>
      <c r="AK16" s="29"/>
      <c r="AL16" s="29"/>
      <c r="AM16" s="28">
        <f t="shared" si="12"/>
        <v>0</v>
      </c>
      <c r="AN16" s="29"/>
    </row>
    <row r="17" spans="1:40" x14ac:dyDescent="0.2">
      <c r="A17" s="5">
        <v>9</v>
      </c>
      <c r="B17" s="6" t="s">
        <v>22</v>
      </c>
      <c r="C17" s="44">
        <f>SUM(C8:C16)</f>
        <v>24170.273099999991</v>
      </c>
      <c r="D17" s="46">
        <f t="shared" si="2"/>
        <v>2.9999999999999988E-2</v>
      </c>
      <c r="E17" s="26"/>
      <c r="F17" s="30">
        <f>SUM(F8:F16)</f>
        <v>829846.04309999989</v>
      </c>
      <c r="G17" s="30">
        <f>SUM(G8:G16)</f>
        <v>513674.70067889994</v>
      </c>
      <c r="H17" s="30">
        <f>SUM(H8:H16)</f>
        <v>316171.34242110001</v>
      </c>
      <c r="I17" s="38">
        <f>SUM(I8:I16)</f>
        <v>17547.50950437105</v>
      </c>
      <c r="J17" s="26"/>
      <c r="K17" s="30">
        <f t="shared" si="5"/>
        <v>48148.410000000033</v>
      </c>
      <c r="L17" s="34">
        <f t="shared" si="6"/>
        <v>6.3559961715442245E-2</v>
      </c>
      <c r="M17" s="26"/>
      <c r="N17" s="30">
        <f>SUM(N8:N16)</f>
        <v>805675.77</v>
      </c>
      <c r="O17" s="43">
        <f>SUM(O8:O16)</f>
        <v>498713.30163</v>
      </c>
      <c r="P17" s="43">
        <f t="shared" si="7"/>
        <v>306962.46837000002</v>
      </c>
      <c r="Q17" s="30">
        <f>SUM(Q8:Q16)</f>
        <v>16361.099564120999</v>
      </c>
      <c r="R17" s="26"/>
      <c r="S17" s="30">
        <f>SUM(S8:S16)</f>
        <v>16361.099564120999</v>
      </c>
      <c r="T17" s="26"/>
      <c r="U17" s="30">
        <f t="shared" si="0"/>
        <v>127830.38</v>
      </c>
      <c r="V17" s="34">
        <f>U17/AF17</f>
        <v>0.20300300630312695</v>
      </c>
      <c r="W17" s="26"/>
      <c r="X17" s="30">
        <f>SUM(X8:X16)</f>
        <v>757527.36</v>
      </c>
      <c r="Y17" s="30">
        <f>SUM(Y8:Y16)</f>
        <v>443077.75286399998</v>
      </c>
      <c r="Z17" s="30">
        <f t="shared" si="9"/>
        <v>314449.60713600001</v>
      </c>
      <c r="AA17" s="30">
        <f>SUM(AA8:AA16)</f>
        <v>16571.494296067202</v>
      </c>
      <c r="AB17" s="26"/>
      <c r="AC17" s="30">
        <f t="shared" si="10"/>
        <v>84603.270000000019</v>
      </c>
      <c r="AD17" s="34">
        <f>AC17/AK17</f>
        <v>0.15520867045044426</v>
      </c>
      <c r="AE17" s="26"/>
      <c r="AF17" s="30">
        <f>SUM(AF8:AF16)</f>
        <v>629696.98</v>
      </c>
      <c r="AG17" s="30">
        <f>SUM(AG8:AG16)</f>
        <v>356282.55128399993</v>
      </c>
      <c r="AH17" s="30">
        <f t="shared" si="11"/>
        <v>273414.42871600005</v>
      </c>
      <c r="AI17" s="30">
        <f>SUM(AI8:AI16)</f>
        <v>13451.989892827201</v>
      </c>
      <c r="AJ17" s="26"/>
      <c r="AK17" s="30">
        <f>SUM(AK8:AK16)</f>
        <v>545093.71</v>
      </c>
      <c r="AL17" s="30">
        <f>SUM(AL8:AL16)</f>
        <v>309667.73665100004</v>
      </c>
      <c r="AM17" s="30">
        <f t="shared" si="12"/>
        <v>235425.97334899992</v>
      </c>
      <c r="AN17" s="30">
        <f>SUM(AN8:AN16)</f>
        <v>12053.809835468797</v>
      </c>
    </row>
    <row r="18" spans="1:40" x14ac:dyDescent="0.2">
      <c r="A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8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"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0" x14ac:dyDescent="0.2">
      <c r="A20" s="5" t="s">
        <v>34</v>
      </c>
      <c r="B20" s="1" t="s">
        <v>95</v>
      </c>
    </row>
    <row r="21" spans="1:40" x14ac:dyDescent="0.2">
      <c r="B21" s="1" t="s">
        <v>96</v>
      </c>
    </row>
    <row r="22" spans="1:40" x14ac:dyDescent="0.2">
      <c r="B22" s="1" t="s">
        <v>97</v>
      </c>
    </row>
    <row r="23" spans="1:40" x14ac:dyDescent="0.2">
      <c r="B23" s="1" t="s">
        <v>98</v>
      </c>
    </row>
    <row r="24" spans="1:40" x14ac:dyDescent="0.2">
      <c r="B24" s="1" t="s">
        <v>99</v>
      </c>
    </row>
  </sheetData>
  <mergeCells count="1">
    <mergeCell ref="N6:O6"/>
  </mergeCells>
  <pageMargins left="0.7" right="0.7" top="0.75" bottom="0.75" header="0.3" footer="0.3"/>
  <pageSetup scale="50" fitToHeight="0" orientation="landscape" horizontalDpi="1200" verticalDpi="1200" r:id="rId1"/>
  <headerFooter>
    <oddHeader>&amp;C&amp;A&amp;R&amp;8CASE NO. 2013-00148
ATTACHMENT 1 
TO OAG DR NO. 1-121
(SUPPLEMENT, 09-18-143)</oddHeader>
  </headerFooter>
  <ignoredErrors>
    <ignoredError sqref="AM17 AH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 (All Sr Officers)</vt:lpstr>
      <vt:lpstr>Executive Chairman (Best)</vt:lpstr>
      <vt:lpstr>President and CEO (Cocklin)</vt:lpstr>
      <vt:lpstr>Sr VP Utility Ops (Sweetin)</vt:lpstr>
      <vt:lpstr>Sr VP CFO (Meisenheimer)</vt:lpstr>
      <vt:lpstr>Sr VP CFO (Eckert)</vt:lpstr>
      <vt:lpstr>Sr VP GenCounsel (Gregory)</vt:lpstr>
      <vt:lpstr>Sr VP HR (Haefner)</vt:lpstr>
      <vt:lpstr>'Executive Chairman (Best)'!Print_Area</vt:lpstr>
      <vt:lpstr>'President and CEO (Cocklin)'!Print_Area</vt:lpstr>
      <vt:lpstr>'Sr VP CFO (Eckert)'!Print_Area</vt:lpstr>
      <vt:lpstr>'Sr VP CFO (Meisenheimer)'!Print_Area</vt:lpstr>
      <vt:lpstr>'Sr VP GenCounsel (Gregory)'!Print_Area</vt:lpstr>
      <vt:lpstr>'Sr VP HR (Haefner)'!Print_Area</vt:lpstr>
      <vt:lpstr>'Sr VP Utility Ops (Sweetin)'!Print_Area</vt:lpstr>
      <vt:lpstr>'Summary (All Sr Officers)'!Print_Area</vt:lpstr>
      <vt:lpstr>'Executive Chairman (Best)'!Print_Titles</vt:lpstr>
      <vt:lpstr>'President and CEO (Cocklin)'!Print_Titles</vt:lpstr>
      <vt:lpstr>'Sr VP CFO (Eckert)'!Print_Titles</vt:lpstr>
      <vt:lpstr>'Sr VP CFO (Meisenheimer)'!Print_Titles</vt:lpstr>
      <vt:lpstr>'Sr VP GenCounsel (Gregory)'!Print_Titles</vt:lpstr>
      <vt:lpstr>'Sr VP HR (Haefner)'!Print_Titles</vt:lpstr>
      <vt:lpstr>'Sr VP Utility Ops (Sweetin)'!Print_Titles</vt:lpstr>
      <vt:lpstr>'Summary (All Sr Officers)'!Print_Titles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2013-09-17T20:06:46Z</dcterms:modified>
</cp:coreProperties>
</file>