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23340" windowHeight="13455"/>
  </bookViews>
  <sheets>
    <sheet name="COS 1" sheetId="19" r:id="rId1"/>
    <sheet name="F 1-2" sheetId="1" r:id="rId2"/>
    <sheet name="F 2 B" sheetId="2" r:id="rId3"/>
    <sheet name="F 3-4" sheetId="4" r:id="rId4"/>
    <sheet name="F 3B 4B" sheetId="5" r:id="rId5"/>
    <sheet name="F 5" sheetId="6" r:id="rId6"/>
    <sheet name="F 5B" sheetId="7" r:id="rId7"/>
    <sheet name="F6-7" sheetId="8" r:id="rId8"/>
    <sheet name="F8-10" sheetId="9" r:id="rId9"/>
    <sheet name="Meters &amp; Services" sheetId="31" r:id="rId10"/>
    <sheet name="F11-12" sheetId="11" r:id="rId11"/>
    <sheet name="F13-14" sheetId="10" r:id="rId12"/>
    <sheet name="F 15-20" sheetId="12" r:id="rId13"/>
    <sheet name="SCH-D" sheetId="28" r:id="rId14"/>
    <sheet name="Fire" sheetId="16" r:id="rId15"/>
    <sheet name="ServiceCharges" sheetId="35" r:id="rId16"/>
    <sheet name="SCH-A" sheetId="27" r:id="rId17"/>
    <sheet name="Rate base" sheetId="32" r:id="rId18"/>
    <sheet name="Pumps" sheetId="30" r:id="rId19"/>
    <sheet name="Sch G" sheetId="34" r:id="rId20"/>
  </sheets>
  <definedNames>
    <definedName name="comp">'COS 1'!$Z$376:$AO$376</definedName>
    <definedName name="CUST" localSheetId="9">#REF!</definedName>
    <definedName name="CUST" localSheetId="18">#REF!</definedName>
    <definedName name="CUST" localSheetId="19">#REF!</definedName>
    <definedName name="CUST" localSheetId="15">#REF!</definedName>
    <definedName name="CUST">'F 1-2'!$D$55:$M$72</definedName>
    <definedName name="fact">#REF!</definedName>
    <definedName name="FACT3" localSheetId="3">'F 3-4'!$A$1:$FL$1353</definedName>
    <definedName name="FACT3A" localSheetId="1">'F 1-2'!$Z$14:$BE$259</definedName>
    <definedName name="FACT3A" localSheetId="2">'F 2 B'!$W$14:$BB$265</definedName>
    <definedName name="FACT3A" localSheetId="3">'F 3-4'!$W$14:$BB$263</definedName>
    <definedName name="factor">'COS 1'!$AA$376:$AO$381</definedName>
    <definedName name="Factors">'COS 1'!$K$382:$Z$417</definedName>
    <definedName name="FIRE" localSheetId="1">'F 1-2'!$AC$72:$EU$906</definedName>
    <definedName name="FIRE" localSheetId="2">'F 2 B'!$Z$78:$ER$912</definedName>
    <definedName name="FIRE" localSheetId="3">'F 3-4'!$Z$78:$ER$910</definedName>
    <definedName name="func">'COS 1'!$AH$386:$AY$406</definedName>
    <definedName name="_xlnm.Print_Area" localSheetId="0">'COS 1'!$F$1:$X$356,'COS 1'!$AC$1:$AY$356</definedName>
    <definedName name="_xlnm.Print_Area" localSheetId="1">'F 1-2'!$B$1:$M$50</definedName>
    <definedName name="_xlnm.Print_Area" localSheetId="2">'F 2 B'!$A$1:$J$41</definedName>
    <definedName name="_xlnm.Print_Area" localSheetId="3">'F 3-4'!$A$1:$P$28,'F 3-4'!$A$31:$R$59</definedName>
    <definedName name="_xlnm.Print_Area" localSheetId="4">'F 3B 4B'!$A$1:$K$72</definedName>
    <definedName name="_xlnm.Print_Area" localSheetId="5">'F 5'!$A$1:$R$29</definedName>
    <definedName name="_xlnm.Print_Area" localSheetId="6">'F 5B'!$A$1:$J$46</definedName>
    <definedName name="_xlnm.Print_Area" localSheetId="10">'F11-12'!$A$1:$G$71</definedName>
    <definedName name="_xlnm.Print_Area" localSheetId="11">'F13-14'!$A$1:$G$44</definedName>
    <definedName name="_xlnm.Print_Area" localSheetId="7">'F6-7'!$A$1:$P$81</definedName>
    <definedName name="_xlnm.Print_Area" localSheetId="8">'F8-10'!$A$1:$G$60</definedName>
    <definedName name="_xlnm.Print_Area" localSheetId="14">Fire!$C$1:$O$39</definedName>
    <definedName name="_xlnm.Print_Area" localSheetId="9">'Meters &amp; Services'!$B$1:$AF$64</definedName>
    <definedName name="_xlnm.Print_Area" localSheetId="19">'Sch G'!$C$7:$L$55</definedName>
    <definedName name="_xlnm.Print_Area" localSheetId="16">'SCH-A'!$B$6:$R$38</definedName>
    <definedName name="_xlnm.Print_Area" localSheetId="13">'SCH-D'!$A$1:$P$55</definedName>
    <definedName name="_xlnm.Print_Area" localSheetId="15">ServiceCharges!$A$4:$K$47</definedName>
    <definedName name="_xlnm.Print_Titles" localSheetId="0">'COS 1'!$1:$9</definedName>
  </definedNames>
  <calcPr calcId="125725" iterate="1"/>
</workbook>
</file>

<file path=xl/calcChain.xml><?xml version="1.0" encoding="utf-8"?>
<calcChain xmlns="http://schemas.openxmlformats.org/spreadsheetml/2006/main">
  <c r="E14" i="35"/>
  <c r="F49" i="31" l="1"/>
  <c r="F10" i="28" l="1"/>
  <c r="F74" i="31" l="1"/>
  <c r="F72"/>
  <c r="AE219" i="19" l="1"/>
  <c r="AE318"/>
  <c r="AE203" l="1"/>
  <c r="AE202"/>
  <c r="AE201"/>
  <c r="AE264" l="1"/>
  <c r="AE265"/>
  <c r="AE266"/>
  <c r="AE267"/>
  <c r="AG267"/>
  <c r="AG266"/>
  <c r="AG265"/>
  <c r="AG264"/>
  <c r="AU266" l="1"/>
  <c r="AQ266"/>
  <c r="AU267"/>
  <c r="AI267"/>
  <c r="AM267"/>
  <c r="AO267"/>
  <c r="AK267"/>
  <c r="AQ267"/>
  <c r="AI266"/>
  <c r="AO266"/>
  <c r="AM266"/>
  <c r="AK266"/>
  <c r="AE158" l="1"/>
  <c r="AE248"/>
  <c r="AE269" l="1"/>
  <c r="AE200"/>
  <c r="AE204"/>
  <c r="AE205"/>
  <c r="AE206"/>
  <c r="AE207"/>
  <c r="AE208"/>
  <c r="AE209"/>
  <c r="AE210"/>
  <c r="AE211"/>
  <c r="AE212"/>
  <c r="AE213"/>
  <c r="AE214"/>
  <c r="AE215"/>
  <c r="AE216"/>
  <c r="AE217"/>
  <c r="AE218"/>
  <c r="AE220"/>
  <c r="AE221"/>
  <c r="AE222"/>
  <c r="AE223"/>
  <c r="AE224"/>
  <c r="AE225"/>
  <c r="AE226"/>
  <c r="AE227"/>
  <c r="AE228"/>
  <c r="AE229"/>
  <c r="AE230"/>
  <c r="AE231"/>
  <c r="AE232"/>
  <c r="AE233"/>
  <c r="AE279"/>
  <c r="AE280"/>
  <c r="AE281"/>
  <c r="AE282"/>
  <c r="AE283"/>
  <c r="AE284"/>
  <c r="AE285"/>
  <c r="AE286"/>
  <c r="AE287"/>
  <c r="AE288"/>
  <c r="AE289"/>
  <c r="AE290"/>
  <c r="AE291"/>
  <c r="AE292"/>
  <c r="AE293"/>
  <c r="AE294"/>
  <c r="AE295"/>
  <c r="AE296"/>
  <c r="AE297"/>
  <c r="AE298"/>
  <c r="AE299"/>
  <c r="AE300"/>
  <c r="AE301"/>
  <c r="AE302"/>
  <c r="AE303"/>
  <c r="AE305"/>
  <c r="AE306"/>
  <c r="AE307"/>
  <c r="AE308"/>
  <c r="AE309"/>
  <c r="AE310"/>
  <c r="AE311"/>
  <c r="AE312"/>
  <c r="AE313"/>
  <c r="AE314"/>
  <c r="AE315"/>
  <c r="AE316"/>
  <c r="AE317"/>
  <c r="AE319"/>
  <c r="AE320"/>
  <c r="AE321"/>
  <c r="AE322"/>
  <c r="AE323"/>
  <c r="AE324"/>
  <c r="AE343" l="1"/>
  <c r="AG345"/>
  <c r="AG344"/>
  <c r="AG346"/>
  <c r="AG343"/>
  <c r="AG342"/>
  <c r="H9" i="32" l="1"/>
  <c r="H14"/>
  <c r="H29"/>
  <c r="AE337" i="19" l="1"/>
  <c r="AG334" l="1"/>
  <c r="AG339"/>
  <c r="AG340"/>
  <c r="AG337"/>
  <c r="AG335"/>
  <c r="H24" i="32"/>
  <c r="AG297" i="19" s="1"/>
  <c r="H22" i="32"/>
  <c r="AG294" i="19" s="1"/>
  <c r="H8" i="32"/>
  <c r="AG281" i="19" s="1"/>
  <c r="AG336" l="1"/>
  <c r="H77" i="32"/>
  <c r="H40"/>
  <c r="H78"/>
  <c r="AG341" i="19"/>
  <c r="H75" i="32"/>
  <c r="AQ294" i="19"/>
  <c r="AO294"/>
  <c r="AU294"/>
  <c r="AS294"/>
  <c r="AO281"/>
  <c r="AQ281"/>
  <c r="AS281"/>
  <c r="AU281"/>
  <c r="AM281"/>
  <c r="AS297"/>
  <c r="AU297"/>
  <c r="AM297"/>
  <c r="AO297"/>
  <c r="AQ297"/>
  <c r="AQ337"/>
  <c r="AO337"/>
  <c r="AS337"/>
  <c r="AU337"/>
  <c r="H7" i="32"/>
  <c r="H62"/>
  <c r="H63"/>
  <c r="AG338" i="19"/>
  <c r="H65" i="32"/>
  <c r="H58"/>
  <c r="H61"/>
  <c r="H47"/>
  <c r="H70"/>
  <c r="H60"/>
  <c r="H44"/>
  <c r="H67"/>
  <c r="H73"/>
  <c r="H59"/>
  <c r="H66"/>
  <c r="H76"/>
  <c r="H28"/>
  <c r="H49"/>
  <c r="H48"/>
  <c r="H69"/>
  <c r="H64"/>
  <c r="AG333" i="19"/>
  <c r="H71" i="32"/>
  <c r="H46"/>
  <c r="H72"/>
  <c r="H45"/>
  <c r="H55"/>
  <c r="H56"/>
  <c r="H41"/>
  <c r="H57"/>
  <c r="H68"/>
  <c r="H74"/>
  <c r="H36"/>
  <c r="H35"/>
  <c r="H34"/>
  <c r="H33"/>
  <c r="H30"/>
  <c r="H25"/>
  <c r="AG302" i="19" s="1"/>
  <c r="H23" i="32"/>
  <c r="AG287" i="19" s="1"/>
  <c r="H21" i="32"/>
  <c r="AG293" i="19" s="1"/>
  <c r="H20" i="32"/>
  <c r="H19"/>
  <c r="H18"/>
  <c r="H15"/>
  <c r="H13"/>
  <c r="H12"/>
  <c r="H54"/>
  <c r="H53"/>
  <c r="H52"/>
  <c r="H51"/>
  <c r="H32"/>
  <c r="H27"/>
  <c r="H17"/>
  <c r="H11"/>
  <c r="H31"/>
  <c r="H26"/>
  <c r="H16"/>
  <c r="H10"/>
  <c r="H6"/>
  <c r="H5"/>
  <c r="AG309" i="19" l="1"/>
  <c r="AQ309" s="1"/>
  <c r="AG308"/>
  <c r="AQ308" s="1"/>
  <c r="AU293"/>
  <c r="AS293"/>
  <c r="AO293"/>
  <c r="AQ293"/>
  <c r="AS287"/>
  <c r="AO287"/>
  <c r="AU287"/>
  <c r="AQ287"/>
  <c r="AM287"/>
  <c r="AO302"/>
  <c r="AS302"/>
  <c r="AQ302"/>
  <c r="AU302"/>
  <c r="AG316"/>
  <c r="AG315"/>
  <c r="AU309" l="1"/>
  <c r="AM309"/>
  <c r="AO309"/>
  <c r="AS309"/>
  <c r="AM308"/>
  <c r="AO308"/>
  <c r="AU308"/>
  <c r="AS308"/>
  <c r="AG318"/>
  <c r="AE196"/>
  <c r="AE182"/>
  <c r="AE190"/>
  <c r="AG178"/>
  <c r="AG183"/>
  <c r="AG187"/>
  <c r="AG317" l="1"/>
  <c r="AE80" l="1"/>
  <c r="AE81"/>
  <c r="AE82"/>
  <c r="AE83"/>
  <c r="AE84"/>
  <c r="AE85"/>
  <c r="AE86"/>
  <c r="AE87"/>
  <c r="AE88"/>
  <c r="AE89"/>
  <c r="AE90"/>
  <c r="AE91"/>
  <c r="AE92"/>
  <c r="AE93"/>
  <c r="AE94"/>
  <c r="AE247"/>
  <c r="AE249"/>
  <c r="AE250"/>
  <c r="AE240"/>
  <c r="AE166"/>
  <c r="AE165"/>
  <c r="AE164"/>
  <c r="AE163"/>
  <c r="AE162"/>
  <c r="AE161"/>
  <c r="AE160"/>
  <c r="AE159"/>
  <c r="AE157"/>
  <c r="AE156"/>
  <c r="AE155"/>
  <c r="AE154"/>
  <c r="AE153"/>
  <c r="AE152"/>
  <c r="AE151"/>
  <c r="AE150"/>
  <c r="AE149"/>
  <c r="AE148"/>
  <c r="AE147"/>
  <c r="AE146"/>
  <c r="AE145"/>
  <c r="AE144"/>
  <c r="AE143"/>
  <c r="AE142"/>
  <c r="AE141"/>
  <c r="AE140"/>
  <c r="AE138"/>
  <c r="AE137"/>
  <c r="AE130"/>
  <c r="AE129"/>
  <c r="AE128"/>
  <c r="AE127"/>
  <c r="AE126"/>
  <c r="AE125"/>
  <c r="AE124"/>
  <c r="AE123"/>
  <c r="AE122"/>
  <c r="AE121"/>
  <c r="AE120"/>
  <c r="AE119"/>
  <c r="AE118"/>
  <c r="AE117"/>
  <c r="AE100"/>
  <c r="AE101"/>
  <c r="AE102"/>
  <c r="AE103"/>
  <c r="AE104"/>
  <c r="AE105"/>
  <c r="AE106"/>
  <c r="AE107"/>
  <c r="AE108"/>
  <c r="AE109"/>
  <c r="AE110"/>
  <c r="AE68"/>
  <c r="AE69"/>
  <c r="AE70"/>
  <c r="AE71"/>
  <c r="AE46"/>
  <c r="AE47"/>
  <c r="AE48"/>
  <c r="AE49"/>
  <c r="AE50"/>
  <c r="AE51"/>
  <c r="AE52"/>
  <c r="AE53"/>
  <c r="AE54"/>
  <c r="AE55"/>
  <c r="AE56"/>
  <c r="AE57"/>
  <c r="AE58"/>
  <c r="AE59"/>
  <c r="AE60"/>
  <c r="AE61"/>
  <c r="AE62"/>
  <c r="AE25"/>
  <c r="AE24"/>
  <c r="AE14"/>
  <c r="AE15"/>
  <c r="AE16"/>
  <c r="AE17"/>
  <c r="AE18"/>
  <c r="AE19"/>
  <c r="H50" i="32" l="1"/>
  <c r="H43"/>
  <c r="H42"/>
  <c r="AG250" i="19"/>
  <c r="X311" l="1"/>
  <c r="AG311"/>
  <c r="H39" i="32" l="1"/>
  <c r="H38"/>
  <c r="AM311" i="19"/>
  <c r="AU311"/>
  <c r="AK311"/>
  <c r="AQ311"/>
  <c r="AI311"/>
  <c r="AY311"/>
  <c r="AS311"/>
  <c r="AG140"/>
  <c r="AG141"/>
  <c r="AG142"/>
  <c r="AG306" l="1"/>
  <c r="AG307"/>
  <c r="H37" i="32"/>
  <c r="AU142" i="19"/>
  <c r="AO142"/>
  <c r="AK142"/>
  <c r="AS142"/>
  <c r="AM142"/>
  <c r="AQ142"/>
  <c r="AU140"/>
  <c r="AO140"/>
  <c r="AI140"/>
  <c r="AM140"/>
  <c r="AQ140"/>
  <c r="AK140"/>
  <c r="X84"/>
  <c r="AG84"/>
  <c r="AG305" l="1"/>
  <c r="AO307"/>
  <c r="AU307"/>
  <c r="AS307"/>
  <c r="AK307"/>
  <c r="AQ307"/>
  <c r="AU306"/>
  <c r="AK306"/>
  <c r="AO306"/>
  <c r="AS306"/>
  <c r="AQ306"/>
  <c r="AG68"/>
  <c r="AM68" s="1"/>
  <c r="AG80"/>
  <c r="AU80" s="1"/>
  <c r="AG137"/>
  <c r="AG100"/>
  <c r="AU100" s="1"/>
  <c r="AO84"/>
  <c r="AI84"/>
  <c r="AY84"/>
  <c r="AS84"/>
  <c r="AM84"/>
  <c r="AU84"/>
  <c r="AK84"/>
  <c r="AG269"/>
  <c r="AK305" l="1"/>
  <c r="AO305"/>
  <c r="AS305"/>
  <c r="AU305"/>
  <c r="AQ305"/>
  <c r="AG83"/>
  <c r="AY83" s="1"/>
  <c r="X83"/>
  <c r="AG82"/>
  <c r="J361"/>
  <c r="AG24"/>
  <c r="AQ24" s="1"/>
  <c r="AQ269"/>
  <c r="AM269"/>
  <c r="AO269"/>
  <c r="AI269"/>
  <c r="AK269"/>
  <c r="AU269"/>
  <c r="AO68"/>
  <c r="AU68"/>
  <c r="AQ68"/>
  <c r="AS68"/>
  <c r="AG46"/>
  <c r="AG110"/>
  <c r="AG109"/>
  <c r="AG71"/>
  <c r="AG166"/>
  <c r="AG157"/>
  <c r="AG129"/>
  <c r="AG93"/>
  <c r="AG62"/>
  <c r="AG156"/>
  <c r="AG122"/>
  <c r="AG61"/>
  <c r="AG155"/>
  <c r="AG60"/>
  <c r="AG19"/>
  <c r="AG165"/>
  <c r="AG92"/>
  <c r="AG59"/>
  <c r="AG18"/>
  <c r="AG154"/>
  <c r="AG153"/>
  <c r="AG58"/>
  <c r="AG17"/>
  <c r="AG152"/>
  <c r="AG91"/>
  <c r="AG151"/>
  <c r="AG90"/>
  <c r="AG57"/>
  <c r="AK83" l="1"/>
  <c r="AI83"/>
  <c r="AS83"/>
  <c r="AQ83"/>
  <c r="AU83"/>
  <c r="AM83"/>
  <c r="AU24"/>
  <c r="AM24"/>
  <c r="AG158"/>
  <c r="AG130"/>
  <c r="AO24"/>
  <c r="AG248"/>
  <c r="AS82"/>
  <c r="AU82"/>
  <c r="AQ82"/>
  <c r="AO82"/>
  <c r="AG361"/>
  <c r="AS24"/>
  <c r="AS71"/>
  <c r="AM71"/>
  <c r="AU71"/>
  <c r="AQ71"/>
  <c r="AO71"/>
  <c r="AK19"/>
  <c r="AO19"/>
  <c r="AQ19"/>
  <c r="AS19"/>
  <c r="AM19"/>
  <c r="AU19"/>
  <c r="AO46"/>
  <c r="AS46"/>
  <c r="AM46"/>
  <c r="AQ46"/>
  <c r="AU46"/>
  <c r="AO18"/>
  <c r="AQ18"/>
  <c r="AS18"/>
  <c r="AU18"/>
  <c r="AM18"/>
  <c r="AU60"/>
  <c r="AM60"/>
  <c r="AO60"/>
  <c r="AS60"/>
  <c r="AQ60"/>
  <c r="AQ61"/>
  <c r="AO61"/>
  <c r="AU61"/>
  <c r="AS61"/>
  <c r="AM61"/>
  <c r="AU92"/>
  <c r="AM62"/>
  <c r="AO62"/>
  <c r="AS62"/>
  <c r="AQ62"/>
  <c r="AU62"/>
  <c r="AQ122"/>
  <c r="AK122"/>
  <c r="AM122"/>
  <c r="AU122"/>
  <c r="AO122"/>
  <c r="AI122"/>
  <c r="AU90"/>
  <c r="AU109"/>
  <c r="AQ17"/>
  <c r="AS17"/>
  <c r="AU17"/>
  <c r="AO17"/>
  <c r="AM17"/>
  <c r="AU59"/>
  <c r="AO59"/>
  <c r="AQ59"/>
  <c r="AM59"/>
  <c r="AS59"/>
  <c r="AU93"/>
  <c r="AU110"/>
  <c r="AO110"/>
  <c r="AQ110"/>
  <c r="AS110"/>
  <c r="AI129"/>
  <c r="AM129"/>
  <c r="AK129"/>
  <c r="AQ129"/>
  <c r="AO129"/>
  <c r="AU129"/>
  <c r="AU91"/>
  <c r="AU58"/>
  <c r="AM58"/>
  <c r="AO58"/>
  <c r="AS58"/>
  <c r="AQ58"/>
  <c r="AQ57"/>
  <c r="AU57"/>
  <c r="AM57"/>
  <c r="AO57"/>
  <c r="AS57"/>
  <c r="AS361" l="1"/>
  <c r="AU361"/>
  <c r="AM130"/>
  <c r="AU130"/>
  <c r="AK130"/>
  <c r="AO130"/>
  <c r="AI130"/>
  <c r="AQ130"/>
  <c r="AG88" l="1"/>
  <c r="AG55"/>
  <c r="AG125"/>
  <c r="AG128"/>
  <c r="AG56"/>
  <c r="AG163"/>
  <c r="AG162"/>
  <c r="AG127"/>
  <c r="AG126"/>
  <c r="AG124"/>
  <c r="AG123"/>
  <c r="AG87"/>
  <c r="AG146"/>
  <c r="AG145"/>
  <c r="AG53"/>
  <c r="AG161"/>
  <c r="AG89"/>
  <c r="AG52"/>
  <c r="AG51"/>
  <c r="AG144"/>
  <c r="AG118"/>
  <c r="AG86"/>
  <c r="AG85"/>
  <c r="AG49"/>
  <c r="AG50"/>
  <c r="AG54"/>
  <c r="AG47"/>
  <c r="AG81"/>
  <c r="AG48"/>
  <c r="AG15"/>
  <c r="AU86" l="1"/>
  <c r="AU56"/>
  <c r="AM56"/>
  <c r="AO56"/>
  <c r="AS56"/>
  <c r="AQ56"/>
  <c r="AM123"/>
  <c r="AK123"/>
  <c r="AI123"/>
  <c r="AO123"/>
  <c r="AQ123"/>
  <c r="AU123"/>
  <c r="AU53"/>
  <c r="AM53"/>
  <c r="AQ53"/>
  <c r="AS53"/>
  <c r="AO53"/>
  <c r="AU51"/>
  <c r="AO51"/>
  <c r="AQ51"/>
  <c r="AM51"/>
  <c r="AS51"/>
  <c r="AG138"/>
  <c r="AQ126"/>
  <c r="AK126"/>
  <c r="AM126"/>
  <c r="AI126"/>
  <c r="AU126"/>
  <c r="AO126"/>
  <c r="AU89"/>
  <c r="AU81"/>
  <c r="AU54"/>
  <c r="AK54"/>
  <c r="AM54"/>
  <c r="AO54"/>
  <c r="AQ54"/>
  <c r="AS54"/>
  <c r="L159"/>
  <c r="AG159"/>
  <c r="AQ128"/>
  <c r="AK128"/>
  <c r="AO128"/>
  <c r="AM128"/>
  <c r="AU128"/>
  <c r="AI128"/>
  <c r="AM125"/>
  <c r="AK125"/>
  <c r="AI125"/>
  <c r="AQ125"/>
  <c r="AO125"/>
  <c r="AU125"/>
  <c r="AM50"/>
  <c r="AO50"/>
  <c r="AU50"/>
  <c r="AQ50"/>
  <c r="AS50"/>
  <c r="AU15"/>
  <c r="AK15"/>
  <c r="AM15"/>
  <c r="AS15"/>
  <c r="AO15"/>
  <c r="AQ15"/>
  <c r="AU85"/>
  <c r="AK127"/>
  <c r="AI127"/>
  <c r="AM127"/>
  <c r="AO127"/>
  <c r="AU127"/>
  <c r="AQ127"/>
  <c r="AU55"/>
  <c r="AQ55"/>
  <c r="AS55"/>
  <c r="AO55"/>
  <c r="AM55"/>
  <c r="AK48"/>
  <c r="AM48"/>
  <c r="AO48"/>
  <c r="AU48"/>
  <c r="AS48"/>
  <c r="AQ48"/>
  <c r="X121"/>
  <c r="AG121"/>
  <c r="AU47"/>
  <c r="AM47"/>
  <c r="AK47"/>
  <c r="AS47"/>
  <c r="AO47"/>
  <c r="AQ47"/>
  <c r="AU87"/>
  <c r="AQ118"/>
  <c r="AM118"/>
  <c r="AU118"/>
  <c r="AK118"/>
  <c r="AO118"/>
  <c r="AI118"/>
  <c r="AQ124"/>
  <c r="AI124"/>
  <c r="AO124"/>
  <c r="AK124"/>
  <c r="AM124"/>
  <c r="AU124"/>
  <c r="AM49"/>
  <c r="AQ49"/>
  <c r="AS49"/>
  <c r="AO49"/>
  <c r="AU49"/>
  <c r="AU52"/>
  <c r="AM52"/>
  <c r="AO52"/>
  <c r="AQ52"/>
  <c r="AS52"/>
  <c r="AU88"/>
  <c r="AW121" l="1"/>
  <c r="AY121"/>
  <c r="AI121"/>
  <c r="AM121"/>
  <c r="AK121"/>
  <c r="AU121"/>
  <c r="AQ121"/>
  <c r="AS121"/>
  <c r="AO121"/>
  <c r="AS159"/>
  <c r="X13" i="31" l="1"/>
  <c r="AB13"/>
  <c r="P13"/>
  <c r="T13"/>
  <c r="L13"/>
  <c r="D53" i="4"/>
  <c r="H13" i="31" l="1"/>
  <c r="AF13" s="1"/>
  <c r="AD13"/>
  <c r="F14" i="28" l="1"/>
  <c r="P14" l="1"/>
  <c r="L14"/>
  <c r="F12"/>
  <c r="P12" l="1"/>
  <c r="L12"/>
  <c r="Z47" i="31"/>
  <c r="AB47" s="1"/>
  <c r="Z51"/>
  <c r="AB51" s="1"/>
  <c r="Z53"/>
  <c r="AB53" s="1"/>
  <c r="Z55"/>
  <c r="Z57"/>
  <c r="Z59"/>
  <c r="AD59" s="1"/>
  <c r="M24" i="16"/>
  <c r="F41" i="31"/>
  <c r="F45"/>
  <c r="F47"/>
  <c r="F51"/>
  <c r="H51" s="1"/>
  <c r="J41"/>
  <c r="L41" s="1"/>
  <c r="L15"/>
  <c r="L17"/>
  <c r="L19"/>
  <c r="L27"/>
  <c r="N41"/>
  <c r="P41" s="1"/>
  <c r="N43"/>
  <c r="P43" s="1"/>
  <c r="P17"/>
  <c r="P19"/>
  <c r="P23"/>
  <c r="N51"/>
  <c r="P51" s="1"/>
  <c r="R43"/>
  <c r="T43" s="1"/>
  <c r="T17"/>
  <c r="R47"/>
  <c r="T47" s="1"/>
  <c r="T21"/>
  <c r="T23"/>
  <c r="T25"/>
  <c r="R53"/>
  <c r="T53" s="1"/>
  <c r="X17"/>
  <c r="V47"/>
  <c r="X47" s="1"/>
  <c r="X23"/>
  <c r="X25"/>
  <c r="D17" i="2"/>
  <c r="D50" i="4"/>
  <c r="E63" i="5" s="1"/>
  <c r="I63" s="1"/>
  <c r="D51" i="4"/>
  <c r="E64" i="5" s="1"/>
  <c r="I64" s="1"/>
  <c r="AT400" i="19"/>
  <c r="AG16"/>
  <c r="J38"/>
  <c r="AG69"/>
  <c r="AG103"/>
  <c r="AG104"/>
  <c r="AY104" s="1"/>
  <c r="AG105"/>
  <c r="AY105" s="1"/>
  <c r="AG107"/>
  <c r="AG94"/>
  <c r="AG119"/>
  <c r="AG120"/>
  <c r="AG148"/>
  <c r="AG149"/>
  <c r="AG160"/>
  <c r="AG164"/>
  <c r="AG288"/>
  <c r="AG289"/>
  <c r="AG290"/>
  <c r="AG291"/>
  <c r="AG292"/>
  <c r="AG295"/>
  <c r="AG332"/>
  <c r="AT402"/>
  <c r="AT403"/>
  <c r="AT404"/>
  <c r="AT405"/>
  <c r="D22" i="6"/>
  <c r="D42" i="7" s="1"/>
  <c r="AG241" i="19"/>
  <c r="AG246"/>
  <c r="AG268"/>
  <c r="AG348"/>
  <c r="AG349"/>
  <c r="AG270"/>
  <c r="AG263"/>
  <c r="E66" i="5"/>
  <c r="I66" s="1"/>
  <c r="L340" i="19"/>
  <c r="N340"/>
  <c r="P340"/>
  <c r="R340"/>
  <c r="T340"/>
  <c r="V340"/>
  <c r="X338"/>
  <c r="X339"/>
  <c r="X340"/>
  <c r="BA393"/>
  <c r="AX396"/>
  <c r="AX397"/>
  <c r="BA399"/>
  <c r="AX400"/>
  <c r="AX402"/>
  <c r="BA406"/>
  <c r="AX405"/>
  <c r="AX404"/>
  <c r="AX403"/>
  <c r="E17" i="5"/>
  <c r="G17" s="1"/>
  <c r="D27" i="7"/>
  <c r="D29" s="1"/>
  <c r="F24" s="1"/>
  <c r="C12"/>
  <c r="F38"/>
  <c r="F39"/>
  <c r="F40"/>
  <c r="F41"/>
  <c r="F42"/>
  <c r="AE36" i="19"/>
  <c r="AE45"/>
  <c r="AG70"/>
  <c r="AE79"/>
  <c r="AE67"/>
  <c r="AG106"/>
  <c r="AG108"/>
  <c r="AE32"/>
  <c r="S62" i="8"/>
  <c r="AE278" i="19"/>
  <c r="M31" i="16"/>
  <c r="I35" i="30"/>
  <c r="I56"/>
  <c r="AE325" i="19"/>
  <c r="AE326"/>
  <c r="AE333"/>
  <c r="AE334"/>
  <c r="AE335"/>
  <c r="AE336"/>
  <c r="AE338"/>
  <c r="AE339"/>
  <c r="AE340"/>
  <c r="AE341"/>
  <c r="AE346"/>
  <c r="AE348"/>
  <c r="AG150"/>
  <c r="AG247"/>
  <c r="AG249"/>
  <c r="AG256"/>
  <c r="AG259"/>
  <c r="AG240"/>
  <c r="H12" i="7"/>
  <c r="P16" i="6" s="1"/>
  <c r="I15" i="16"/>
  <c r="I16"/>
  <c r="I17"/>
  <c r="I18"/>
  <c r="I19"/>
  <c r="I20"/>
  <c r="I21"/>
  <c r="I22"/>
  <c r="I23"/>
  <c r="F37" i="2"/>
  <c r="H33" s="1"/>
  <c r="G21" i="5"/>
  <c r="H49" i="31"/>
  <c r="H23"/>
  <c r="N53"/>
  <c r="P53" s="1"/>
  <c r="V41"/>
  <c r="X41" s="1"/>
  <c r="X15"/>
  <c r="X21"/>
  <c r="V53"/>
  <c r="X53"/>
  <c r="AB41"/>
  <c r="Z43"/>
  <c r="Z45"/>
  <c r="AB45" s="1"/>
  <c r="H21"/>
  <c r="P27"/>
  <c r="X27"/>
  <c r="AB15"/>
  <c r="AB17"/>
  <c r="AB19"/>
  <c r="AB21"/>
  <c r="AB23"/>
  <c r="AB25"/>
  <c r="AB27"/>
  <c r="D162" i="12"/>
  <c r="AE270" i="19"/>
  <c r="AE342"/>
  <c r="AE177"/>
  <c r="F16" i="28"/>
  <c r="P16" s="1"/>
  <c r="F18"/>
  <c r="P18" s="1"/>
  <c r="L18"/>
  <c r="F20"/>
  <c r="F22"/>
  <c r="P22" s="1"/>
  <c r="L22"/>
  <c r="F24"/>
  <c r="P24" s="1"/>
  <c r="F26"/>
  <c r="P26" s="1"/>
  <c r="F28"/>
  <c r="F30"/>
  <c r="P30" s="1"/>
  <c r="L30"/>
  <c r="F32"/>
  <c r="P32" s="1"/>
  <c r="F34"/>
  <c r="P34" s="1"/>
  <c r="L34"/>
  <c r="F36"/>
  <c r="L36" s="1"/>
  <c r="F38"/>
  <c r="L38" s="1"/>
  <c r="F40"/>
  <c r="L40" s="1"/>
  <c r="F42"/>
  <c r="L42"/>
  <c r="F44"/>
  <c r="L44" s="1"/>
  <c r="F46"/>
  <c r="L46"/>
  <c r="F48"/>
  <c r="L48" s="1"/>
  <c r="F50"/>
  <c r="L50"/>
  <c r="F52"/>
  <c r="L52"/>
  <c r="F54"/>
  <c r="L54"/>
  <c r="D50" i="11"/>
  <c r="F42"/>
  <c r="F45"/>
  <c r="F17" i="9"/>
  <c r="AO74"/>
  <c r="P167"/>
  <c r="T167"/>
  <c r="X167"/>
  <c r="AB167"/>
  <c r="AF167"/>
  <c r="AF187" s="1"/>
  <c r="AJ167"/>
  <c r="AL167"/>
  <c r="AL187" s="1"/>
  <c r="P169"/>
  <c r="T169"/>
  <c r="X169"/>
  <c r="AB169"/>
  <c r="AF169"/>
  <c r="AJ169"/>
  <c r="AL169"/>
  <c r="P171"/>
  <c r="T171"/>
  <c r="X171"/>
  <c r="AB171"/>
  <c r="AF171"/>
  <c r="AJ171"/>
  <c r="AJ187" s="1"/>
  <c r="AL171"/>
  <c r="P173"/>
  <c r="T173"/>
  <c r="X173"/>
  <c r="X187" s="1"/>
  <c r="AB173"/>
  <c r="AF173"/>
  <c r="AJ173"/>
  <c r="AL173"/>
  <c r="P175"/>
  <c r="T175"/>
  <c r="X175"/>
  <c r="AB175"/>
  <c r="AF175"/>
  <c r="AJ175"/>
  <c r="AL175"/>
  <c r="P177"/>
  <c r="AN177" s="1"/>
  <c r="T177"/>
  <c r="X177"/>
  <c r="AB177"/>
  <c r="AF177"/>
  <c r="AJ177"/>
  <c r="AL177"/>
  <c r="P179"/>
  <c r="T179"/>
  <c r="X179"/>
  <c r="AB179"/>
  <c r="AF179"/>
  <c r="AJ179"/>
  <c r="AL179"/>
  <c r="P181"/>
  <c r="T181"/>
  <c r="X181"/>
  <c r="AB181"/>
  <c r="AF181"/>
  <c r="AJ181"/>
  <c r="AL181"/>
  <c r="P183"/>
  <c r="T183"/>
  <c r="X183"/>
  <c r="AB183"/>
  <c r="AF183"/>
  <c r="AJ183"/>
  <c r="AL183"/>
  <c r="P185"/>
  <c r="T185"/>
  <c r="X185"/>
  <c r="AB185"/>
  <c r="AF185"/>
  <c r="AJ185"/>
  <c r="AL185"/>
  <c r="N187"/>
  <c r="R187"/>
  <c r="V187"/>
  <c r="Z187"/>
  <c r="AD187"/>
  <c r="AH187"/>
  <c r="E19" i="5"/>
  <c r="E48"/>
  <c r="AE178" i="19"/>
  <c r="AE179"/>
  <c r="AE180"/>
  <c r="AE181"/>
  <c r="AE183"/>
  <c r="AE184"/>
  <c r="AE185"/>
  <c r="AE186"/>
  <c r="AE187"/>
  <c r="AE188"/>
  <c r="AE189"/>
  <c r="AE191"/>
  <c r="AE192"/>
  <c r="AE193"/>
  <c r="AE194"/>
  <c r="AE195"/>
  <c r="AE197"/>
  <c r="AE199"/>
  <c r="AE234"/>
  <c r="AE239"/>
  <c r="AE241"/>
  <c r="AE246"/>
  <c r="AE256"/>
  <c r="AE259"/>
  <c r="AE263"/>
  <c r="AE268"/>
  <c r="AE332"/>
  <c r="AE344"/>
  <c r="AE345"/>
  <c r="AE349"/>
  <c r="Z393"/>
  <c r="AA393" s="1"/>
  <c r="AJ396"/>
  <c r="AL396"/>
  <c r="AN396"/>
  <c r="AP396"/>
  <c r="AR396"/>
  <c r="AV396"/>
  <c r="AJ397"/>
  <c r="AL397"/>
  <c r="AN397"/>
  <c r="AP397"/>
  <c r="AR397"/>
  <c r="AV397"/>
  <c r="M400"/>
  <c r="O400"/>
  <c r="Q400"/>
  <c r="S400"/>
  <c r="U400"/>
  <c r="W400"/>
  <c r="AJ400"/>
  <c r="AL400"/>
  <c r="AN400"/>
  <c r="AP400"/>
  <c r="AR400"/>
  <c r="AV400"/>
  <c r="M402"/>
  <c r="O402"/>
  <c r="Q402"/>
  <c r="S402"/>
  <c r="U402"/>
  <c r="W402"/>
  <c r="AJ402"/>
  <c r="AL402"/>
  <c r="AN402"/>
  <c r="AP402"/>
  <c r="AR402"/>
  <c r="AV402"/>
  <c r="M403"/>
  <c r="O403"/>
  <c r="Q403"/>
  <c r="S403"/>
  <c r="U403"/>
  <c r="W403"/>
  <c r="AJ403"/>
  <c r="AL403"/>
  <c r="AN403"/>
  <c r="AP403"/>
  <c r="AR403"/>
  <c r="AV403"/>
  <c r="AJ404"/>
  <c r="AL404"/>
  <c r="AN404"/>
  <c r="AP404"/>
  <c r="AR404"/>
  <c r="AV404"/>
  <c r="AJ405"/>
  <c r="AL405"/>
  <c r="AN405"/>
  <c r="AP405"/>
  <c r="AR405"/>
  <c r="AV405"/>
  <c r="F27" i="7" l="1"/>
  <c r="F29" s="1"/>
  <c r="F43" i="31"/>
  <c r="H43" s="1"/>
  <c r="AG239" i="19"/>
  <c r="AG243" s="1"/>
  <c r="F158" i="12"/>
  <c r="R406" i="19" s="1"/>
  <c r="R120" s="1"/>
  <c r="F155" i="12"/>
  <c r="L406" i="19" s="1"/>
  <c r="L120" s="1"/>
  <c r="P11" i="31"/>
  <c r="J64" i="19"/>
  <c r="J369"/>
  <c r="AW120"/>
  <c r="AY120"/>
  <c r="AW106"/>
  <c r="AY106"/>
  <c r="AO187"/>
  <c r="AS187"/>
  <c r="AU187"/>
  <c r="AQ187"/>
  <c r="AU291"/>
  <c r="AQ291"/>
  <c r="AS291"/>
  <c r="AO291"/>
  <c r="AS288"/>
  <c r="AO288"/>
  <c r="AQ288"/>
  <c r="AU288"/>
  <c r="AS295"/>
  <c r="AU295"/>
  <c r="AO295"/>
  <c r="AQ295"/>
  <c r="AM295"/>
  <c r="AS290"/>
  <c r="AU290"/>
  <c r="AO290"/>
  <c r="AQ290"/>
  <c r="AM178"/>
  <c r="AS178"/>
  <c r="AU178"/>
  <c r="AO178"/>
  <c r="AQ178"/>
  <c r="AS292"/>
  <c r="AO292"/>
  <c r="AQ292"/>
  <c r="AU292"/>
  <c r="AS183"/>
  <c r="AQ183"/>
  <c r="AO183"/>
  <c r="AU183"/>
  <c r="AM183"/>
  <c r="AS289"/>
  <c r="AQ289"/>
  <c r="AO289"/>
  <c r="AU289"/>
  <c r="AS340"/>
  <c r="AU340"/>
  <c r="AW340"/>
  <c r="AI340"/>
  <c r="AY340"/>
  <c r="AK340"/>
  <c r="AM340"/>
  <c r="AO340"/>
  <c r="AQ340"/>
  <c r="AU339"/>
  <c r="AI339"/>
  <c r="AY339"/>
  <c r="AK339"/>
  <c r="AM339"/>
  <c r="AO339"/>
  <c r="AS339"/>
  <c r="AK336"/>
  <c r="AO336"/>
  <c r="AQ336"/>
  <c r="AS336"/>
  <c r="AU336"/>
  <c r="AO335"/>
  <c r="AQ335"/>
  <c r="AS335"/>
  <c r="AU335"/>
  <c r="AK335"/>
  <c r="AI338"/>
  <c r="AY338"/>
  <c r="AK338"/>
  <c r="AM338"/>
  <c r="AQ338"/>
  <c r="AS338"/>
  <c r="AU338"/>
  <c r="AO334"/>
  <c r="AQ334"/>
  <c r="AS334"/>
  <c r="AU334"/>
  <c r="AM334"/>
  <c r="AQ333"/>
  <c r="AS333"/>
  <c r="AU333"/>
  <c r="AM333"/>
  <c r="AO333"/>
  <c r="P15" i="31"/>
  <c r="AG102" i="19"/>
  <c r="AQ102" s="1"/>
  <c r="J363"/>
  <c r="M16" i="16"/>
  <c r="AG286" i="19"/>
  <c r="AG323"/>
  <c r="AG283"/>
  <c r="AG321"/>
  <c r="AG278"/>
  <c r="AU108"/>
  <c r="AK104"/>
  <c r="AM104"/>
  <c r="AO104"/>
  <c r="AU104"/>
  <c r="AS104"/>
  <c r="AI104"/>
  <c r="AG14"/>
  <c r="AG21" s="1"/>
  <c r="J21"/>
  <c r="AG101"/>
  <c r="J112"/>
  <c r="AS120"/>
  <c r="AQ120"/>
  <c r="AO120"/>
  <c r="AM120"/>
  <c r="AK120"/>
  <c r="AI120"/>
  <c r="AU120"/>
  <c r="AU106"/>
  <c r="AM106"/>
  <c r="AO106"/>
  <c r="AQ106"/>
  <c r="AK106"/>
  <c r="AI106"/>
  <c r="AS106"/>
  <c r="AK119"/>
  <c r="AI119"/>
  <c r="AM119"/>
  <c r="AO119"/>
  <c r="AU119"/>
  <c r="AQ119"/>
  <c r="AS69"/>
  <c r="AU69"/>
  <c r="AQ69"/>
  <c r="AO69"/>
  <c r="AM69"/>
  <c r="J96"/>
  <c r="AG32"/>
  <c r="AK32" s="1"/>
  <c r="J34"/>
  <c r="AU70"/>
  <c r="AM70"/>
  <c r="AO70"/>
  <c r="AQ70"/>
  <c r="AS70"/>
  <c r="AG147"/>
  <c r="AU103"/>
  <c r="AQ103"/>
  <c r="AS103"/>
  <c r="AO103"/>
  <c r="AG67"/>
  <c r="AO67" s="1"/>
  <c r="J73"/>
  <c r="AU94"/>
  <c r="AG25"/>
  <c r="AS25" s="1"/>
  <c r="J27"/>
  <c r="AU107"/>
  <c r="J132"/>
  <c r="AG117"/>
  <c r="AU105"/>
  <c r="AI105"/>
  <c r="AM105"/>
  <c r="AS105"/>
  <c r="AQ105"/>
  <c r="AK105"/>
  <c r="AS16"/>
  <c r="AU16"/>
  <c r="AM16"/>
  <c r="AO16"/>
  <c r="AQ16"/>
  <c r="AG45"/>
  <c r="X120"/>
  <c r="M23" i="16"/>
  <c r="M15"/>
  <c r="X105" i="19"/>
  <c r="X117"/>
  <c r="AK346"/>
  <c r="X104"/>
  <c r="M18" i="16"/>
  <c r="J49" i="31"/>
  <c r="L49" s="1"/>
  <c r="J47"/>
  <c r="L47" s="1"/>
  <c r="L11"/>
  <c r="V51"/>
  <c r="X51" s="1"/>
  <c r="J45"/>
  <c r="L45" s="1"/>
  <c r="M21" i="16"/>
  <c r="R45" i="31"/>
  <c r="T45" s="1"/>
  <c r="M22" i="16"/>
  <c r="T15" i="31"/>
  <c r="X19"/>
  <c r="N45"/>
  <c r="P45" s="1"/>
  <c r="V49"/>
  <c r="X49" s="1"/>
  <c r="H25"/>
  <c r="D40" i="10"/>
  <c r="J43" i="31"/>
  <c r="L43" s="1"/>
  <c r="M20" i="16"/>
  <c r="AB59" i="31"/>
  <c r="AF59" s="1"/>
  <c r="Z49"/>
  <c r="AB49" s="1"/>
  <c r="M17" i="16"/>
  <c r="T27" i="31"/>
  <c r="AD23"/>
  <c r="T19"/>
  <c r="N47"/>
  <c r="P47" s="1"/>
  <c r="H45"/>
  <c r="AD17"/>
  <c r="AD15"/>
  <c r="L23"/>
  <c r="AF23" s="1"/>
  <c r="V45"/>
  <c r="X45" s="1"/>
  <c r="H17"/>
  <c r="AF17" s="1"/>
  <c r="R49"/>
  <c r="T49" s="1"/>
  <c r="L21"/>
  <c r="R51"/>
  <c r="T51" s="1"/>
  <c r="P25"/>
  <c r="AD27"/>
  <c r="H15"/>
  <c r="H11"/>
  <c r="D49" i="4"/>
  <c r="E62" i="5" s="1"/>
  <c r="I62" s="1"/>
  <c r="D21" i="2"/>
  <c r="H21" s="1"/>
  <c r="D19"/>
  <c r="H19" s="1"/>
  <c r="D18"/>
  <c r="H18" s="1"/>
  <c r="I62" i="30"/>
  <c r="F15" i="7"/>
  <c r="H15" s="1"/>
  <c r="AB57" i="31"/>
  <c r="AF57" s="1"/>
  <c r="AD57"/>
  <c r="D21" i="6"/>
  <c r="D41" i="7" s="1"/>
  <c r="H41" s="1"/>
  <c r="D20" i="2"/>
  <c r="H20" s="1"/>
  <c r="D52" i="4"/>
  <c r="E65" i="5" s="1"/>
  <c r="I65" s="1"/>
  <c r="J243" i="19"/>
  <c r="K33" i="16"/>
  <c r="M30"/>
  <c r="M33" s="1"/>
  <c r="H17" i="2"/>
  <c r="G37" i="1"/>
  <c r="P187" i="9"/>
  <c r="AN185"/>
  <c r="AN169"/>
  <c r="AN187" s="1"/>
  <c r="AB55" i="31"/>
  <c r="AF55" s="1"/>
  <c r="AD55"/>
  <c r="AN171" i="9"/>
  <c r="AD21" i="31"/>
  <c r="F160" i="12"/>
  <c r="V406" i="19" s="1"/>
  <c r="V120" s="1"/>
  <c r="V106"/>
  <c r="J53" i="31"/>
  <c r="L53" s="1"/>
  <c r="H47"/>
  <c r="R29"/>
  <c r="D18" i="10" s="1"/>
  <c r="J51" i="31"/>
  <c r="L25"/>
  <c r="H19"/>
  <c r="AD19"/>
  <c r="AG253" i="19"/>
  <c r="AN173" i="9"/>
  <c r="V29" i="31"/>
  <c r="D19" i="10" s="1"/>
  <c r="D39" s="1"/>
  <c r="AN175" i="9"/>
  <c r="L26" i="28"/>
  <c r="F159" i="12"/>
  <c r="T406" i="19" s="1"/>
  <c r="T120" s="1"/>
  <c r="AB187" i="9"/>
  <c r="H81" i="8"/>
  <c r="J253" i="19"/>
  <c r="K26" i="16"/>
  <c r="D20" i="10" s="1"/>
  <c r="T187" i="9"/>
  <c r="AN179"/>
  <c r="F47" i="11"/>
  <c r="F43"/>
  <c r="H35" i="2"/>
  <c r="AK387" i="19" s="1"/>
  <c r="D20" i="6"/>
  <c r="D40" i="7" s="1"/>
  <c r="H40" s="1"/>
  <c r="AN183" i="9"/>
  <c r="AN167"/>
  <c r="AD25" i="31"/>
  <c r="F157" i="12"/>
  <c r="P406" i="19" s="1"/>
  <c r="P120" s="1"/>
  <c r="F53" i="31"/>
  <c r="F61" s="1"/>
  <c r="H27"/>
  <c r="D79" i="32"/>
  <c r="D19" i="6"/>
  <c r="D39" i="7" s="1"/>
  <c r="H39" s="1"/>
  <c r="AN181" i="9"/>
  <c r="M19" i="16"/>
  <c r="AG296" i="19"/>
  <c r="AU241"/>
  <c r="AS241"/>
  <c r="AM241"/>
  <c r="AO241"/>
  <c r="AQ241"/>
  <c r="AU268"/>
  <c r="AS268"/>
  <c r="AO268"/>
  <c r="AQ268"/>
  <c r="H24" i="7"/>
  <c r="H53" i="31"/>
  <c r="H27" i="7"/>
  <c r="L16" i="6" s="1"/>
  <c r="H41" i="8"/>
  <c r="N37" s="1"/>
  <c r="J16" s="1"/>
  <c r="G19" i="5"/>
  <c r="G44"/>
  <c r="P20" i="28"/>
  <c r="L20"/>
  <c r="P28"/>
  <c r="L28"/>
  <c r="F46" i="11"/>
  <c r="F156" i="12"/>
  <c r="N406" i="19" s="1"/>
  <c r="N120" s="1"/>
  <c r="X11" i="31"/>
  <c r="AB43"/>
  <c r="V43"/>
  <c r="N29"/>
  <c r="D17" i="10" s="1"/>
  <c r="N49" i="31"/>
  <c r="H32" i="27"/>
  <c r="J18" s="1"/>
  <c r="AU348" i="19"/>
  <c r="AS348"/>
  <c r="K37" i="1"/>
  <c r="F44" i="11"/>
  <c r="P21" i="31"/>
  <c r="AU346" i="19"/>
  <c r="AS346"/>
  <c r="AQ348"/>
  <c r="F48" i="11"/>
  <c r="AO348" i="19"/>
  <c r="AQ346"/>
  <c r="L32" i="28"/>
  <c r="L24"/>
  <c r="L16"/>
  <c r="X106" i="19"/>
  <c r="L106"/>
  <c r="T106"/>
  <c r="N106"/>
  <c r="R106"/>
  <c r="P106"/>
  <c r="AM348"/>
  <c r="AO346"/>
  <c r="H42" i="7"/>
  <c r="AG310" i="19"/>
  <c r="AG320"/>
  <c r="AG298"/>
  <c r="D18" i="6"/>
  <c r="AG36" i="19"/>
  <c r="AG79"/>
  <c r="F29" i="31"/>
  <c r="D15" i="10" s="1"/>
  <c r="E18" i="35" s="1"/>
  <c r="J29" i="31"/>
  <c r="D16" i="10" s="1"/>
  <c r="J75" i="19" l="1"/>
  <c r="AM45"/>
  <c r="AM64" s="1"/>
  <c r="AG369"/>
  <c r="AK178"/>
  <c r="AK71"/>
  <c r="AY117"/>
  <c r="AW117"/>
  <c r="AK333"/>
  <c r="AU286"/>
  <c r="AS286"/>
  <c r="AQ286"/>
  <c r="AO286"/>
  <c r="AM286"/>
  <c r="AU310"/>
  <c r="AY310"/>
  <c r="AK310"/>
  <c r="AM310"/>
  <c r="AS310"/>
  <c r="AO310"/>
  <c r="AI310"/>
  <c r="AK69"/>
  <c r="AK295"/>
  <c r="AK298"/>
  <c r="AK283"/>
  <c r="AK287"/>
  <c r="AK297"/>
  <c r="AK281"/>
  <c r="AK296"/>
  <c r="AK286"/>
  <c r="AS283"/>
  <c r="AU283"/>
  <c r="AO283"/>
  <c r="AM283"/>
  <c r="AQ283"/>
  <c r="AQ296"/>
  <c r="AS296"/>
  <c r="AU296"/>
  <c r="AM296"/>
  <c r="AO296"/>
  <c r="AK183"/>
  <c r="AM298"/>
  <c r="AO298"/>
  <c r="AQ298"/>
  <c r="AS298"/>
  <c r="AU298"/>
  <c r="AO102"/>
  <c r="AS102"/>
  <c r="AS363" s="1"/>
  <c r="AU102"/>
  <c r="AU363" s="1"/>
  <c r="AG363"/>
  <c r="AK102"/>
  <c r="AO45"/>
  <c r="F162" i="12"/>
  <c r="AF15" i="31"/>
  <c r="X310" i="19"/>
  <c r="AG322"/>
  <c r="AK322" s="1"/>
  <c r="AG299"/>
  <c r="AK299" s="1"/>
  <c r="AG279"/>
  <c r="AG301"/>
  <c r="AG282"/>
  <c r="AK282" s="1"/>
  <c r="AG284"/>
  <c r="AG326"/>
  <c r="AG324"/>
  <c r="AG285"/>
  <c r="AK285" s="1"/>
  <c r="AG300"/>
  <c r="AG280"/>
  <c r="AK70"/>
  <c r="AO32"/>
  <c r="AO34" s="1"/>
  <c r="AK16"/>
  <c r="AK68"/>
  <c r="AK24"/>
  <c r="AK62"/>
  <c r="AK17"/>
  <c r="AK58"/>
  <c r="AK61"/>
  <c r="AK46"/>
  <c r="AK57"/>
  <c r="AK18"/>
  <c r="AK60"/>
  <c r="AK59"/>
  <c r="AK49"/>
  <c r="AK53"/>
  <c r="AK52"/>
  <c r="AK56"/>
  <c r="AK51"/>
  <c r="AK50"/>
  <c r="AK55"/>
  <c r="AU32"/>
  <c r="AU34" s="1"/>
  <c r="AM32"/>
  <c r="AG143"/>
  <c r="AG169" s="1"/>
  <c r="J169"/>
  <c r="AU67"/>
  <c r="AS67"/>
  <c r="AS73" s="1"/>
  <c r="AS32"/>
  <c r="AS34" s="1"/>
  <c r="AS45"/>
  <c r="AG34"/>
  <c r="AU45"/>
  <c r="AQ45"/>
  <c r="AQ67"/>
  <c r="AQ73" s="1"/>
  <c r="AQ32"/>
  <c r="AQ34" s="1"/>
  <c r="AM67"/>
  <c r="AM73" s="1"/>
  <c r="AU25"/>
  <c r="AU27" s="1"/>
  <c r="AU101"/>
  <c r="J29"/>
  <c r="AK14"/>
  <c r="AM14"/>
  <c r="AM21" s="1"/>
  <c r="AQ14"/>
  <c r="AQ21" s="1"/>
  <c r="AU14"/>
  <c r="AU21" s="1"/>
  <c r="AS14"/>
  <c r="AS21" s="1"/>
  <c r="AO14"/>
  <c r="AO21" s="1"/>
  <c r="AO25"/>
  <c r="AO27" s="1"/>
  <c r="AM117"/>
  <c r="AK117"/>
  <c r="AI117"/>
  <c r="AS117"/>
  <c r="AO117"/>
  <c r="AO132" s="1"/>
  <c r="AQ117"/>
  <c r="AU117"/>
  <c r="AQ25"/>
  <c r="AQ27" s="1"/>
  <c r="AM25"/>
  <c r="AM27" s="1"/>
  <c r="AG132"/>
  <c r="J114"/>
  <c r="AK25"/>
  <c r="AK45"/>
  <c r="AK67"/>
  <c r="AK241"/>
  <c r="AB61" i="31"/>
  <c r="D57" i="9" s="1"/>
  <c r="AF27" i="31"/>
  <c r="Z61"/>
  <c r="AB11" s="1"/>
  <c r="AB29" s="1"/>
  <c r="D34" i="9" s="1"/>
  <c r="AF21" i="31"/>
  <c r="M26" i="16"/>
  <c r="M35" s="1"/>
  <c r="O33" s="1"/>
  <c r="I68" i="5"/>
  <c r="K66" s="1"/>
  <c r="J53" i="4" s="1"/>
  <c r="P29" i="31"/>
  <c r="D31" i="9" s="1"/>
  <c r="H41" i="31"/>
  <c r="H61" s="1"/>
  <c r="D52" i="9" s="1"/>
  <c r="AF19" i="31"/>
  <c r="AF53"/>
  <c r="AF47"/>
  <c r="AD47"/>
  <c r="AD53"/>
  <c r="AF45"/>
  <c r="L29"/>
  <c r="D30" i="9" s="1"/>
  <c r="AF25" i="31"/>
  <c r="AD45"/>
  <c r="H29"/>
  <c r="D29" i="9" s="1"/>
  <c r="N39" i="8"/>
  <c r="N16" s="1"/>
  <c r="X16" s="1"/>
  <c r="N35"/>
  <c r="F16" s="1"/>
  <c r="AM390" i="19"/>
  <c r="E68" i="5"/>
  <c r="N77" i="8"/>
  <c r="H59" s="1"/>
  <c r="N79"/>
  <c r="L59" s="1"/>
  <c r="V61" s="1"/>
  <c r="AG351" i="19"/>
  <c r="J351"/>
  <c r="L51" i="31"/>
  <c r="AD51"/>
  <c r="J61"/>
  <c r="D23" i="2"/>
  <c r="T11" i="31"/>
  <c r="T29" s="1"/>
  <c r="D32" i="9" s="1"/>
  <c r="R41" i="31"/>
  <c r="H37" i="2"/>
  <c r="K35" i="16"/>
  <c r="AK348" i="19"/>
  <c r="H23" i="2"/>
  <c r="J20" s="1"/>
  <c r="AS27" i="19"/>
  <c r="AG27"/>
  <c r="J40"/>
  <c r="D36" i="10"/>
  <c r="AG38" i="19"/>
  <c r="AU36"/>
  <c r="AS36"/>
  <c r="AQ36"/>
  <c r="AO36"/>
  <c r="AG64"/>
  <c r="AG112"/>
  <c r="D38" i="10"/>
  <c r="D23"/>
  <c r="F15" s="1"/>
  <c r="D35"/>
  <c r="AG96" i="19"/>
  <c r="AU79"/>
  <c r="D38" i="7"/>
  <c r="F50" i="11"/>
  <c r="AG303" i="19"/>
  <c r="AS362"/>
  <c r="AS396" s="1"/>
  <c r="AU362"/>
  <c r="J272"/>
  <c r="E79" i="32"/>
  <c r="F79"/>
  <c r="AG319" i="19"/>
  <c r="V20" i="8"/>
  <c r="V16"/>
  <c r="Z406" i="19"/>
  <c r="AA406" s="1"/>
  <c r="H16" i="6"/>
  <c r="H29" i="7"/>
  <c r="J22" i="27"/>
  <c r="J30"/>
  <c r="J26"/>
  <c r="J24"/>
  <c r="J28"/>
  <c r="H36"/>
  <c r="J20"/>
  <c r="AG313" i="19"/>
  <c r="AO73"/>
  <c r="S19" i="8"/>
  <c r="P49" i="31"/>
  <c r="N61"/>
  <c r="AD49"/>
  <c r="AG73" i="19"/>
  <c r="D37" i="10"/>
  <c r="G46" i="5"/>
  <c r="G48" s="1"/>
  <c r="G52" s="1"/>
  <c r="X43" i="31"/>
  <c r="AD43"/>
  <c r="V61"/>
  <c r="G23" i="5"/>
  <c r="I15" s="1"/>
  <c r="X29" i="31"/>
  <c r="D33" i="9" s="1"/>
  <c r="V58" i="8" l="1"/>
  <c r="AO64" i="19"/>
  <c r="AO75" s="1"/>
  <c r="AU64"/>
  <c r="AS64"/>
  <c r="AS75" s="1"/>
  <c r="AQ64"/>
  <c r="AQ75" s="1"/>
  <c r="AK21"/>
  <c r="AM285"/>
  <c r="AU285"/>
  <c r="AQ285"/>
  <c r="AS285"/>
  <c r="AO285"/>
  <c r="AO303"/>
  <c r="AS303"/>
  <c r="AQ303"/>
  <c r="AK303"/>
  <c r="AU303"/>
  <c r="AM303"/>
  <c r="AU301"/>
  <c r="AO301"/>
  <c r="AQ301"/>
  <c r="AS301"/>
  <c r="AQ322"/>
  <c r="AS322"/>
  <c r="AO322"/>
  <c r="AU322"/>
  <c r="AM322"/>
  <c r="AU284"/>
  <c r="AO284"/>
  <c r="AM284"/>
  <c r="AS284"/>
  <c r="AQ284"/>
  <c r="AK284"/>
  <c r="AS282"/>
  <c r="AU282"/>
  <c r="AO282"/>
  <c r="AQ282"/>
  <c r="AM282"/>
  <c r="AI313"/>
  <c r="AY313"/>
  <c r="AK313"/>
  <c r="AQ313"/>
  <c r="AW313"/>
  <c r="AS313"/>
  <c r="AO313"/>
  <c r="AU313"/>
  <c r="AM313"/>
  <c r="AO300"/>
  <c r="AU300"/>
  <c r="AS300"/>
  <c r="AQ300"/>
  <c r="AQ299"/>
  <c r="AS299"/>
  <c r="AO299"/>
  <c r="AM299"/>
  <c r="AU299"/>
  <c r="J173"/>
  <c r="AM102"/>
  <c r="AM335"/>
  <c r="Z29" i="31"/>
  <c r="AD11"/>
  <c r="J365" i="19"/>
  <c r="R313"/>
  <c r="T313"/>
  <c r="N313"/>
  <c r="P313"/>
  <c r="V313"/>
  <c r="L313"/>
  <c r="X313"/>
  <c r="AG314"/>
  <c r="AG325"/>
  <c r="AG29"/>
  <c r="AS91"/>
  <c r="AS81"/>
  <c r="AS80"/>
  <c r="AS88"/>
  <c r="AS86"/>
  <c r="AS93"/>
  <c r="AS92"/>
  <c r="AS90"/>
  <c r="AS87"/>
  <c r="AS89"/>
  <c r="AS94"/>
  <c r="AS85"/>
  <c r="AU132"/>
  <c r="AQ132"/>
  <c r="AK132"/>
  <c r="AI132"/>
  <c r="AM132"/>
  <c r="AU73"/>
  <c r="AU364"/>
  <c r="AS364"/>
  <c r="AS397" s="1"/>
  <c r="AK73"/>
  <c r="AK27"/>
  <c r="AK64"/>
  <c r="K62" i="5"/>
  <c r="J49" i="4" s="1"/>
  <c r="K64" i="5"/>
  <c r="J51" i="4" s="1"/>
  <c r="K65" i="5"/>
  <c r="J52" i="4" s="1"/>
  <c r="K63" i="5"/>
  <c r="J50" i="4" s="1"/>
  <c r="AF11" i="31"/>
  <c r="AF29" s="1"/>
  <c r="O26" i="16"/>
  <c r="D36" i="9"/>
  <c r="F33" s="1"/>
  <c r="T394" i="19" s="1"/>
  <c r="T311" s="1"/>
  <c r="F17" i="10"/>
  <c r="P398" i="19" s="1"/>
  <c r="X19" i="8"/>
  <c r="N41"/>
  <c r="N81"/>
  <c r="AM346" i="19"/>
  <c r="I17" i="5"/>
  <c r="J17" i="4" s="1"/>
  <c r="S61" i="8" s="1"/>
  <c r="T61" s="1"/>
  <c r="Y61" s="1"/>
  <c r="AK392" i="19" s="1"/>
  <c r="AS29"/>
  <c r="AQ29"/>
  <c r="AO29"/>
  <c r="I50" i="5"/>
  <c r="P47" i="4" s="1"/>
  <c r="I44" i="5"/>
  <c r="H47" i="4" s="1"/>
  <c r="AM75" i="19"/>
  <c r="J21" i="2"/>
  <c r="J18"/>
  <c r="J17"/>
  <c r="J19"/>
  <c r="T19" i="8"/>
  <c r="I42" i="1"/>
  <c r="K42" s="1"/>
  <c r="H22" i="4"/>
  <c r="R61" i="31"/>
  <c r="T41"/>
  <c r="AD41"/>
  <c r="AD61" s="1"/>
  <c r="AF51"/>
  <c r="L61"/>
  <c r="D53" i="9" s="1"/>
  <c r="L398" i="19"/>
  <c r="AU38"/>
  <c r="D34" i="27"/>
  <c r="L34" s="1"/>
  <c r="P34" s="1"/>
  <c r="R34" s="1"/>
  <c r="N55" i="4"/>
  <c r="L25"/>
  <c r="N24" i="6"/>
  <c r="P24" s="1"/>
  <c r="AU112" i="19"/>
  <c r="AG75"/>
  <c r="AO38"/>
  <c r="AO40" s="1"/>
  <c r="AU29"/>
  <c r="AG272"/>
  <c r="AU96"/>
  <c r="D42" i="10"/>
  <c r="F38" s="1"/>
  <c r="R399" i="19" s="1"/>
  <c r="R121" s="1"/>
  <c r="AQ38"/>
  <c r="AQ40" s="1"/>
  <c r="AG40"/>
  <c r="I46" i="5"/>
  <c r="L47" i="4" s="1"/>
  <c r="AF49" i="31"/>
  <c r="P61"/>
  <c r="D54" i="9" s="1"/>
  <c r="J32" i="27"/>
  <c r="H38" i="7"/>
  <c r="D44"/>
  <c r="AG114" i="19"/>
  <c r="T58" i="8"/>
  <c r="T62"/>
  <c r="AF43" i="31"/>
  <c r="X61"/>
  <c r="D56" i="9" s="1"/>
  <c r="AM29" i="19"/>
  <c r="AS79"/>
  <c r="F21" i="10"/>
  <c r="F19"/>
  <c r="T398" i="19" s="1"/>
  <c r="F20" i="10"/>
  <c r="AS38" i="19"/>
  <c r="AS40" s="1"/>
  <c r="D24" i="6"/>
  <c r="D55" i="4"/>
  <c r="I21" i="5"/>
  <c r="N17" i="4" s="1"/>
  <c r="T16" i="8"/>
  <c r="T20"/>
  <c r="F18" i="10"/>
  <c r="R398" i="19" s="1"/>
  <c r="F16" i="10"/>
  <c r="N398" i="19" s="1"/>
  <c r="F29" i="9" l="1"/>
  <c r="T267" i="19"/>
  <c r="T266"/>
  <c r="N267"/>
  <c r="N266"/>
  <c r="L267"/>
  <c r="L266"/>
  <c r="P267"/>
  <c r="P266"/>
  <c r="R266"/>
  <c r="R267"/>
  <c r="AK301"/>
  <c r="AK302"/>
  <c r="AK300"/>
  <c r="AD29" i="31"/>
  <c r="J367" i="19"/>
  <c r="L140"/>
  <c r="L269"/>
  <c r="N140"/>
  <c r="N269"/>
  <c r="R140"/>
  <c r="R269"/>
  <c r="F35" i="10"/>
  <c r="L399" i="19" s="1"/>
  <c r="L121" s="1"/>
  <c r="P140"/>
  <c r="P269"/>
  <c r="T140"/>
  <c r="T269"/>
  <c r="L394"/>
  <c r="L311" s="1"/>
  <c r="AK82"/>
  <c r="AK361" s="1"/>
  <c r="AK110"/>
  <c r="AK103"/>
  <c r="AG365"/>
  <c r="AS100"/>
  <c r="AS109"/>
  <c r="AS101"/>
  <c r="AS108"/>
  <c r="AS107"/>
  <c r="R129"/>
  <c r="R122"/>
  <c r="R128"/>
  <c r="R123"/>
  <c r="R119"/>
  <c r="R127"/>
  <c r="R124"/>
  <c r="R118"/>
  <c r="R126"/>
  <c r="R125"/>
  <c r="L118"/>
  <c r="L126"/>
  <c r="L125"/>
  <c r="L127"/>
  <c r="L124"/>
  <c r="L129"/>
  <c r="L128"/>
  <c r="L123"/>
  <c r="L122"/>
  <c r="L119"/>
  <c r="N119"/>
  <c r="N127"/>
  <c r="N118"/>
  <c r="N126"/>
  <c r="N122"/>
  <c r="N129"/>
  <c r="N125"/>
  <c r="N123"/>
  <c r="N124"/>
  <c r="N128"/>
  <c r="P128"/>
  <c r="P124"/>
  <c r="P123"/>
  <c r="P122"/>
  <c r="P119"/>
  <c r="P127"/>
  <c r="P118"/>
  <c r="P126"/>
  <c r="P129"/>
  <c r="P125"/>
  <c r="T122"/>
  <c r="T129"/>
  <c r="T126"/>
  <c r="T128"/>
  <c r="T124"/>
  <c r="T119"/>
  <c r="T127"/>
  <c r="T118"/>
  <c r="T125"/>
  <c r="T123"/>
  <c r="T83"/>
  <c r="L24" i="4"/>
  <c r="L27" s="1"/>
  <c r="AU75" i="19"/>
  <c r="AK29"/>
  <c r="AK75"/>
  <c r="D54" i="4"/>
  <c r="D57" s="1"/>
  <c r="J57"/>
  <c r="K68" i="5"/>
  <c r="G24" i="1"/>
  <c r="D23" i="6"/>
  <c r="D26" s="1"/>
  <c r="F18" s="1"/>
  <c r="H18" s="1"/>
  <c r="N54" i="4"/>
  <c r="P54" s="1"/>
  <c r="O35" i="16"/>
  <c r="N23" i="6"/>
  <c r="P23" s="1"/>
  <c r="P26" s="1"/>
  <c r="F34" i="9"/>
  <c r="V394" i="19" s="1"/>
  <c r="V311" s="1"/>
  <c r="F31" i="9"/>
  <c r="P394" i="19" s="1"/>
  <c r="P311" s="1"/>
  <c r="F32" i="9"/>
  <c r="R394" i="19" s="1"/>
  <c r="R311" s="1"/>
  <c r="F30" i="9"/>
  <c r="N394" i="19" s="1"/>
  <c r="N311" s="1"/>
  <c r="P130"/>
  <c r="P55" i="4"/>
  <c r="AK388" i="19"/>
  <c r="U19" i="8"/>
  <c r="V19" s="1"/>
  <c r="Y19" s="1"/>
  <c r="AK391" i="19" s="1"/>
  <c r="J22" i="4"/>
  <c r="L52"/>
  <c r="L49"/>
  <c r="H21"/>
  <c r="J21" s="1"/>
  <c r="I41" i="1"/>
  <c r="K41" s="1"/>
  <c r="L53" i="4"/>
  <c r="F36" i="10"/>
  <c r="N399" i="19" s="1"/>
  <c r="N121" s="1"/>
  <c r="T61" i="31"/>
  <c r="D55" i="9" s="1"/>
  <c r="D59" s="1"/>
  <c r="F52" s="1"/>
  <c r="AF41" i="31"/>
  <c r="AF61" s="1"/>
  <c r="E16" i="35" s="1"/>
  <c r="I39" i="1"/>
  <c r="H19" i="4"/>
  <c r="J19" s="1"/>
  <c r="J23" i="2"/>
  <c r="N411" i="19" s="1"/>
  <c r="H20" i="4"/>
  <c r="J20" s="1"/>
  <c r="I40" i="1"/>
  <c r="K40" s="1"/>
  <c r="I48" i="5"/>
  <c r="I52" s="1"/>
  <c r="I43" i="1"/>
  <c r="K43" s="1"/>
  <c r="H23" i="4"/>
  <c r="J23" s="1"/>
  <c r="R117" i="19"/>
  <c r="R130"/>
  <c r="N25" i="4"/>
  <c r="AM389" i="19"/>
  <c r="U62" i="8"/>
  <c r="V62" s="1"/>
  <c r="Y62" s="1"/>
  <c r="AM392" i="19" s="1"/>
  <c r="W20" i="8"/>
  <c r="X20" s="1"/>
  <c r="Y20" s="1"/>
  <c r="AM391" i="19" s="1"/>
  <c r="L50" i="4"/>
  <c r="F17"/>
  <c r="I19" i="5"/>
  <c r="I23" s="1"/>
  <c r="N412" i="19" s="1"/>
  <c r="N130"/>
  <c r="AU40"/>
  <c r="AW398"/>
  <c r="V398"/>
  <c r="T338"/>
  <c r="T105"/>
  <c r="AG173"/>
  <c r="AG367" s="1"/>
  <c r="T130"/>
  <c r="H44" i="7"/>
  <c r="J38" s="1"/>
  <c r="L51" i="4"/>
  <c r="F23" i="10"/>
  <c r="G79" i="32"/>
  <c r="AU114" i="19"/>
  <c r="L130"/>
  <c r="AY398"/>
  <c r="X398"/>
  <c r="AS96"/>
  <c r="F40" i="10"/>
  <c r="V399" i="19" s="1"/>
  <c r="V121" s="1"/>
  <c r="F39" i="10"/>
  <c r="T399" i="19" s="1"/>
  <c r="T121" s="1"/>
  <c r="F37" i="10"/>
  <c r="P399" i="19" s="1"/>
  <c r="P121" s="1"/>
  <c r="AK268"/>
  <c r="F54" i="4" l="1"/>
  <c r="H54" s="1"/>
  <c r="F49"/>
  <c r="H49" s="1"/>
  <c r="N24"/>
  <c r="AW388" i="19" s="1"/>
  <c r="V267"/>
  <c r="V266"/>
  <c r="AW267"/>
  <c r="AW266"/>
  <c r="AY267"/>
  <c r="AY266"/>
  <c r="X267"/>
  <c r="X266"/>
  <c r="AY269"/>
  <c r="AY125"/>
  <c r="AY127"/>
  <c r="AY126"/>
  <c r="AY129"/>
  <c r="AY118"/>
  <c r="AY123"/>
  <c r="AY122"/>
  <c r="AY119"/>
  <c r="AY124"/>
  <c r="AY130"/>
  <c r="AY128"/>
  <c r="AW269"/>
  <c r="AW126"/>
  <c r="AW125"/>
  <c r="AW123"/>
  <c r="AW119"/>
  <c r="AW118"/>
  <c r="AW129"/>
  <c r="AW122"/>
  <c r="AW128"/>
  <c r="AW124"/>
  <c r="AW127"/>
  <c r="AW130"/>
  <c r="AM301"/>
  <c r="AM302"/>
  <c r="AM300"/>
  <c r="AM336"/>
  <c r="AM305"/>
  <c r="AM306"/>
  <c r="AM307"/>
  <c r="AM337"/>
  <c r="AM293"/>
  <c r="AM290"/>
  <c r="AM289"/>
  <c r="AM292"/>
  <c r="AM294"/>
  <c r="AM288"/>
  <c r="AM291"/>
  <c r="AM187"/>
  <c r="AK337"/>
  <c r="AK293"/>
  <c r="AK290"/>
  <c r="AK291"/>
  <c r="AK289"/>
  <c r="AK292"/>
  <c r="AK294"/>
  <c r="AK288"/>
  <c r="AK187"/>
  <c r="AK334"/>
  <c r="AK308"/>
  <c r="AK309"/>
  <c r="J371"/>
  <c r="AG312"/>
  <c r="F24" i="6"/>
  <c r="H24" s="1"/>
  <c r="R24" s="1"/>
  <c r="AY390" i="19" s="1"/>
  <c r="V140"/>
  <c r="V269"/>
  <c r="X140"/>
  <c r="X269"/>
  <c r="L312"/>
  <c r="V312"/>
  <c r="N312"/>
  <c r="R312"/>
  <c r="X312"/>
  <c r="P312"/>
  <c r="T312"/>
  <c r="AK363"/>
  <c r="AK364" s="1"/>
  <c r="AK397" s="1"/>
  <c r="AY140"/>
  <c r="AW140"/>
  <c r="AM82"/>
  <c r="AM361" s="1"/>
  <c r="AM110"/>
  <c r="AM103"/>
  <c r="AU365"/>
  <c r="AU366" s="1"/>
  <c r="AU400" s="1"/>
  <c r="X124"/>
  <c r="X128"/>
  <c r="X125"/>
  <c r="X123"/>
  <c r="X127"/>
  <c r="X118"/>
  <c r="X122"/>
  <c r="X129"/>
  <c r="X119"/>
  <c r="X126"/>
  <c r="V123"/>
  <c r="V119"/>
  <c r="V118"/>
  <c r="V126"/>
  <c r="V125"/>
  <c r="V122"/>
  <c r="V129"/>
  <c r="V127"/>
  <c r="V124"/>
  <c r="V128"/>
  <c r="L83"/>
  <c r="V83"/>
  <c r="R338"/>
  <c r="R83"/>
  <c r="N338"/>
  <c r="N83"/>
  <c r="P83"/>
  <c r="AS112"/>
  <c r="N413"/>
  <c r="K19" i="1"/>
  <c r="R386" i="19" s="1"/>
  <c r="R19" s="1"/>
  <c r="K16" i="1"/>
  <c r="L386" i="19" s="1"/>
  <c r="K18" i="1"/>
  <c r="D21" i="4" s="1"/>
  <c r="F21" s="1"/>
  <c r="P21" s="1"/>
  <c r="K17" i="1"/>
  <c r="N386" i="19" s="1"/>
  <c r="N19" s="1"/>
  <c r="K22" i="1"/>
  <c r="X386" i="19" s="1"/>
  <c r="X19" s="1"/>
  <c r="K21" i="1"/>
  <c r="E44" s="1"/>
  <c r="G44" s="1"/>
  <c r="K20"/>
  <c r="E43" s="1"/>
  <c r="G43" s="1"/>
  <c r="M43" s="1"/>
  <c r="N57" i="4"/>
  <c r="N26" i="6"/>
  <c r="P57" i="4"/>
  <c r="AW394" i="19"/>
  <c r="P105"/>
  <c r="N117"/>
  <c r="N132" s="1"/>
  <c r="N105"/>
  <c r="R105"/>
  <c r="P338"/>
  <c r="F36" i="9"/>
  <c r="Z398" i="19"/>
  <c r="AA398" s="1"/>
  <c r="R54" i="4"/>
  <c r="W21" i="8" s="1"/>
  <c r="X21" s="1"/>
  <c r="AK36" i="19"/>
  <c r="L57" i="4"/>
  <c r="R132" i="19"/>
  <c r="H27" i="4"/>
  <c r="J27"/>
  <c r="K39" i="1"/>
  <c r="K47" s="1"/>
  <c r="I47"/>
  <c r="F55" i="9"/>
  <c r="R395" i="19" s="1"/>
  <c r="F53" i="9"/>
  <c r="N395" i="19" s="1"/>
  <c r="F57" i="9"/>
  <c r="P117" i="19"/>
  <c r="F54" i="9"/>
  <c r="P395" i="19" s="1"/>
  <c r="X130"/>
  <c r="F23" i="6"/>
  <c r="H23" s="1"/>
  <c r="L338" i="19"/>
  <c r="L105"/>
  <c r="Z394"/>
  <c r="AA394" s="1"/>
  <c r="AM268"/>
  <c r="H79" i="32"/>
  <c r="J40" i="7"/>
  <c r="J20" i="6" s="1"/>
  <c r="L20" s="1"/>
  <c r="J39" i="7"/>
  <c r="J19" i="6" s="1"/>
  <c r="L19" s="1"/>
  <c r="J42" i="7"/>
  <c r="J22" i="6" s="1"/>
  <c r="L22" s="1"/>
  <c r="J41" i="7"/>
  <c r="J21" i="6" s="1"/>
  <c r="L21" s="1"/>
  <c r="AI388" i="19"/>
  <c r="AY388"/>
  <c r="T117"/>
  <c r="J18" i="6"/>
  <c r="L18" s="1"/>
  <c r="V105" i="19"/>
  <c r="V338"/>
  <c r="V117"/>
  <c r="V130"/>
  <c r="AK362"/>
  <c r="AK396" s="1"/>
  <c r="F50" i="4"/>
  <c r="H50" s="1"/>
  <c r="R50" s="1"/>
  <c r="F51"/>
  <c r="H51" s="1"/>
  <c r="R51" s="1"/>
  <c r="F53"/>
  <c r="H53" s="1"/>
  <c r="R53" s="1"/>
  <c r="F52"/>
  <c r="H52" s="1"/>
  <c r="R52" s="1"/>
  <c r="F42" i="10"/>
  <c r="AS398" i="19"/>
  <c r="F56" i="9"/>
  <c r="T395" i="19" s="1"/>
  <c r="AM36"/>
  <c r="F19" i="6"/>
  <c r="H19" s="1"/>
  <c r="F22"/>
  <c r="H22" s="1"/>
  <c r="F21"/>
  <c r="H21" s="1"/>
  <c r="F20"/>
  <c r="H20" s="1"/>
  <c r="L117" i="19"/>
  <c r="L132" s="1"/>
  <c r="Z399"/>
  <c r="AA399" s="1"/>
  <c r="F55" i="4"/>
  <c r="H55" s="1"/>
  <c r="R55" s="1"/>
  <c r="N27" l="1"/>
  <c r="AU158" i="19"/>
  <c r="AU318"/>
  <c r="AS269"/>
  <c r="AS267"/>
  <c r="AS266"/>
  <c r="X390"/>
  <c r="X303" s="1"/>
  <c r="D19" i="4"/>
  <c r="F19" s="1"/>
  <c r="E39" i="1"/>
  <c r="G39" s="1"/>
  <c r="AY102" i="19"/>
  <c r="AW105"/>
  <c r="AY132"/>
  <c r="AW132"/>
  <c r="AY312"/>
  <c r="AU312"/>
  <c r="AQ312"/>
  <c r="AK312"/>
  <c r="AM312"/>
  <c r="AI312"/>
  <c r="AS312"/>
  <c r="AG371"/>
  <c r="AI334"/>
  <c r="AI309"/>
  <c r="AI308"/>
  <c r="AY303"/>
  <c r="AW338"/>
  <c r="AW311"/>
  <c r="AW312"/>
  <c r="AY334"/>
  <c r="AY308"/>
  <c r="AY309"/>
  <c r="AW334"/>
  <c r="AW309"/>
  <c r="AW308"/>
  <c r="AU341"/>
  <c r="AU321"/>
  <c r="AU314"/>
  <c r="AU323"/>
  <c r="AU319"/>
  <c r="AU316"/>
  <c r="AU320"/>
  <c r="AU324"/>
  <c r="AU315"/>
  <c r="AU317"/>
  <c r="AY335"/>
  <c r="D22" i="4"/>
  <c r="F22" s="1"/>
  <c r="P22" s="1"/>
  <c r="H21" i="8" s="1"/>
  <c r="J21" s="1"/>
  <c r="P386" i="19"/>
  <c r="P32" s="1"/>
  <c r="P34" s="1"/>
  <c r="R142"/>
  <c r="R284"/>
  <c r="E42" i="1"/>
  <c r="G42" s="1"/>
  <c r="M42" s="1"/>
  <c r="R387" i="19" s="1"/>
  <c r="R71" s="1"/>
  <c r="L142"/>
  <c r="L284"/>
  <c r="N84"/>
  <c r="N310"/>
  <c r="X142"/>
  <c r="X284"/>
  <c r="P84"/>
  <c r="P310"/>
  <c r="T84"/>
  <c r="T310"/>
  <c r="R84"/>
  <c r="R310"/>
  <c r="N142"/>
  <c r="N284"/>
  <c r="AW83"/>
  <c r="AM363"/>
  <c r="AM364" s="1"/>
  <c r="AM397" s="1"/>
  <c r="AS140"/>
  <c r="AS130"/>
  <c r="AS129"/>
  <c r="AS122"/>
  <c r="AS127"/>
  <c r="AS118"/>
  <c r="AS125"/>
  <c r="AS123"/>
  <c r="AS124"/>
  <c r="AS128"/>
  <c r="AS126"/>
  <c r="AS119"/>
  <c r="AK80"/>
  <c r="AK88"/>
  <c r="AK81"/>
  <c r="AK90"/>
  <c r="AK87"/>
  <c r="AK91"/>
  <c r="AK86"/>
  <c r="AK92"/>
  <c r="AK93"/>
  <c r="AU166"/>
  <c r="AU143"/>
  <c r="AU138"/>
  <c r="AU164"/>
  <c r="AU156"/>
  <c r="AU153"/>
  <c r="AU146"/>
  <c r="AU154"/>
  <c r="AU163"/>
  <c r="AU160"/>
  <c r="AU152"/>
  <c r="AU144"/>
  <c r="AU137"/>
  <c r="AU369" s="1"/>
  <c r="AU157"/>
  <c r="AU151"/>
  <c r="AU155"/>
  <c r="AU145"/>
  <c r="AU147"/>
  <c r="AU165"/>
  <c r="AK100"/>
  <c r="AK108"/>
  <c r="AK107"/>
  <c r="AK101"/>
  <c r="AK109"/>
  <c r="AK89"/>
  <c r="AK85"/>
  <c r="AK94"/>
  <c r="AS114"/>
  <c r="X32"/>
  <c r="X34" s="1"/>
  <c r="N32"/>
  <c r="N34" s="1"/>
  <c r="R32"/>
  <c r="R34" s="1"/>
  <c r="L19"/>
  <c r="L32"/>
  <c r="L34" s="1"/>
  <c r="E41" i="1"/>
  <c r="G41" s="1"/>
  <c r="M41" s="1"/>
  <c r="P387" i="19" s="1"/>
  <c r="P71" s="1"/>
  <c r="L47"/>
  <c r="L48"/>
  <c r="L54"/>
  <c r="R54"/>
  <c r="R47"/>
  <c r="R48"/>
  <c r="X47"/>
  <c r="X54"/>
  <c r="X48"/>
  <c r="N47"/>
  <c r="N48"/>
  <c r="N54"/>
  <c r="L15"/>
  <c r="N15"/>
  <c r="X15"/>
  <c r="R15"/>
  <c r="E40" i="1"/>
  <c r="G40" s="1"/>
  <c r="M40" s="1"/>
  <c r="N387" i="19" s="1"/>
  <c r="N71" s="1"/>
  <c r="D20" i="4"/>
  <c r="F20" s="1"/>
  <c r="P20" s="1"/>
  <c r="F62" i="8" s="1"/>
  <c r="H62" s="1"/>
  <c r="T386" i="19"/>
  <c r="T19" s="1"/>
  <c r="E45" i="1"/>
  <c r="G45" s="1"/>
  <c r="M45" s="1"/>
  <c r="S22" i="8" s="1"/>
  <c r="T22" s="1"/>
  <c r="X14" i="19"/>
  <c r="D25" i="4"/>
  <c r="F25" s="1"/>
  <c r="P25" s="1"/>
  <c r="H24" i="8" s="1"/>
  <c r="J24" s="1"/>
  <c r="AY386" i="19"/>
  <c r="AW386"/>
  <c r="D24" i="4"/>
  <c r="F24" s="1"/>
  <c r="K24" i="1"/>
  <c r="D23" i="4"/>
  <c r="F23" s="1"/>
  <c r="P23" s="1"/>
  <c r="F65" i="8" s="1"/>
  <c r="H65" s="1"/>
  <c r="V386" i="19"/>
  <c r="AO394"/>
  <c r="U63" i="8"/>
  <c r="V63" s="1"/>
  <c r="L23"/>
  <c r="N23" s="1"/>
  <c r="V389" i="19"/>
  <c r="J66" i="8"/>
  <c r="L66" s="1"/>
  <c r="AW389" i="19"/>
  <c r="R22" i="6"/>
  <c r="T390" i="19" s="1"/>
  <c r="T303" s="1"/>
  <c r="R21" i="6"/>
  <c r="R390" i="19" s="1"/>
  <c r="R303" s="1"/>
  <c r="R20" i="6"/>
  <c r="P390" i="19" s="1"/>
  <c r="P303" s="1"/>
  <c r="AK38"/>
  <c r="T132"/>
  <c r="AK34"/>
  <c r="R19" i="6"/>
  <c r="N390" i="19" s="1"/>
  <c r="N303" s="1"/>
  <c r="U64" i="8"/>
  <c r="V64" s="1"/>
  <c r="W22"/>
  <c r="X22" s="1"/>
  <c r="J67"/>
  <c r="L67" s="1"/>
  <c r="AY389" i="19"/>
  <c r="X389"/>
  <c r="L24" i="8"/>
  <c r="N24" s="1"/>
  <c r="BA398" i="19"/>
  <c r="W18" i="8"/>
  <c r="U60"/>
  <c r="V60" s="1"/>
  <c r="T387" i="19"/>
  <c r="T71" s="1"/>
  <c r="D22" i="8"/>
  <c r="F22" s="1"/>
  <c r="R14" i="19"/>
  <c r="P132"/>
  <c r="R389"/>
  <c r="L21" i="8"/>
  <c r="N21" s="1"/>
  <c r="J64"/>
  <c r="L64" s="1"/>
  <c r="V132" i="19"/>
  <c r="X132"/>
  <c r="T389"/>
  <c r="L22" i="8"/>
  <c r="N22" s="1"/>
  <c r="J65"/>
  <c r="L65" s="1"/>
  <c r="H20"/>
  <c r="J20" s="1"/>
  <c r="P388" i="19"/>
  <c r="F63" i="8"/>
  <c r="H63" s="1"/>
  <c r="AU325" i="19"/>
  <c r="AU326"/>
  <c r="AW395"/>
  <c r="V395"/>
  <c r="AM38"/>
  <c r="P389"/>
  <c r="L20" i="8"/>
  <c r="N20" s="1"/>
  <c r="J63"/>
  <c r="L63" s="1"/>
  <c r="N14" i="19"/>
  <c r="L14"/>
  <c r="R23" i="6"/>
  <c r="AI390" i="19"/>
  <c r="N104"/>
  <c r="N339"/>
  <c r="N389"/>
  <c r="J62" i="8"/>
  <c r="L62" s="1"/>
  <c r="L19"/>
  <c r="N19" s="1"/>
  <c r="AI389" i="19"/>
  <c r="L395"/>
  <c r="F59" i="9"/>
  <c r="F57" i="4"/>
  <c r="BA388" i="19"/>
  <c r="R104"/>
  <c r="R339"/>
  <c r="F26" i="6"/>
  <c r="AM34" i="19"/>
  <c r="T104"/>
  <c r="T339"/>
  <c r="M44" i="1"/>
  <c r="AW387" i="19"/>
  <c r="AK79"/>
  <c r="J44" i="7"/>
  <c r="N414" i="19" s="1"/>
  <c r="AM362"/>
  <c r="AM396" s="1"/>
  <c r="L26" i="6"/>
  <c r="J26"/>
  <c r="P339" i="19"/>
  <c r="P104"/>
  <c r="AY346"/>
  <c r="X346" l="1"/>
  <c r="X335"/>
  <c r="X102"/>
  <c r="F64" i="8"/>
  <c r="H64" s="1"/>
  <c r="N64" s="1"/>
  <c r="R392" i="19" s="1"/>
  <c r="R268" s="1"/>
  <c r="R388"/>
  <c r="R309" s="1"/>
  <c r="D21" i="8"/>
  <c r="F21" s="1"/>
  <c r="P21" s="1"/>
  <c r="R391" i="19" s="1"/>
  <c r="P54"/>
  <c r="AW104"/>
  <c r="AW25"/>
  <c r="AW68"/>
  <c r="AW71"/>
  <c r="AW69"/>
  <c r="AW62"/>
  <c r="AW70"/>
  <c r="AW183"/>
  <c r="AW67"/>
  <c r="AW241"/>
  <c r="AW178"/>
  <c r="AY19"/>
  <c r="AY32"/>
  <c r="AY34" s="1"/>
  <c r="P142"/>
  <c r="P19"/>
  <c r="V284"/>
  <c r="V19"/>
  <c r="AW19"/>
  <c r="AW32"/>
  <c r="AW34" s="1"/>
  <c r="AI303"/>
  <c r="AW339"/>
  <c r="AW310"/>
  <c r="AW284"/>
  <c r="AO338"/>
  <c r="AO312"/>
  <c r="AO311"/>
  <c r="AI307"/>
  <c r="AI306"/>
  <c r="AI305"/>
  <c r="AY336"/>
  <c r="AY305"/>
  <c r="AY306"/>
  <c r="AY307"/>
  <c r="AW336"/>
  <c r="AW306"/>
  <c r="AW305"/>
  <c r="AW307"/>
  <c r="AY284"/>
  <c r="AW333"/>
  <c r="AW295"/>
  <c r="AW282"/>
  <c r="AW286"/>
  <c r="AW297"/>
  <c r="AW296"/>
  <c r="AW298"/>
  <c r="AW322"/>
  <c r="AW283"/>
  <c r="AW281"/>
  <c r="AW299"/>
  <c r="AW287"/>
  <c r="AW285"/>
  <c r="AU371"/>
  <c r="P15"/>
  <c r="P14"/>
  <c r="P48"/>
  <c r="P284"/>
  <c r="AI102"/>
  <c r="AI335"/>
  <c r="AI336"/>
  <c r="P47"/>
  <c r="P46"/>
  <c r="P178"/>
  <c r="P183"/>
  <c r="P297"/>
  <c r="P281"/>
  <c r="P287"/>
  <c r="P295"/>
  <c r="P286"/>
  <c r="P296"/>
  <c r="P298"/>
  <c r="P283"/>
  <c r="P285"/>
  <c r="P299"/>
  <c r="P322"/>
  <c r="P282"/>
  <c r="T336"/>
  <c r="T307"/>
  <c r="T306"/>
  <c r="T305"/>
  <c r="R46"/>
  <c r="R183"/>
  <c r="R178"/>
  <c r="R281"/>
  <c r="R297"/>
  <c r="R287"/>
  <c r="R295"/>
  <c r="R296"/>
  <c r="R298"/>
  <c r="R286"/>
  <c r="R283"/>
  <c r="R285"/>
  <c r="R299"/>
  <c r="R322"/>
  <c r="R282"/>
  <c r="N336"/>
  <c r="N307"/>
  <c r="N306"/>
  <c r="N305"/>
  <c r="V336"/>
  <c r="V307"/>
  <c r="V306"/>
  <c r="V305"/>
  <c r="X336"/>
  <c r="X307"/>
  <c r="X306"/>
  <c r="X305"/>
  <c r="D20" i="8"/>
  <c r="F20" s="1"/>
  <c r="P20" s="1"/>
  <c r="P391" i="19" s="1"/>
  <c r="R336"/>
  <c r="R307"/>
  <c r="R306"/>
  <c r="R305"/>
  <c r="T142"/>
  <c r="T284"/>
  <c r="N46"/>
  <c r="N183"/>
  <c r="N178"/>
  <c r="N297"/>
  <c r="N281"/>
  <c r="N287"/>
  <c r="N295"/>
  <c r="N286"/>
  <c r="N283"/>
  <c r="N298"/>
  <c r="N296"/>
  <c r="N282"/>
  <c r="N285"/>
  <c r="N322"/>
  <c r="N299"/>
  <c r="T46"/>
  <c r="T183"/>
  <c r="T178"/>
  <c r="T297"/>
  <c r="T281"/>
  <c r="T287"/>
  <c r="T295"/>
  <c r="T283"/>
  <c r="T296"/>
  <c r="T298"/>
  <c r="T286"/>
  <c r="T322"/>
  <c r="T282"/>
  <c r="T285"/>
  <c r="T299"/>
  <c r="L84"/>
  <c r="L310"/>
  <c r="P336"/>
  <c r="P307"/>
  <c r="P306"/>
  <c r="P305"/>
  <c r="P308"/>
  <c r="P309"/>
  <c r="V84"/>
  <c r="V310"/>
  <c r="AO83"/>
  <c r="AO105"/>
  <c r="AY142"/>
  <c r="AY48"/>
  <c r="AY47"/>
  <c r="AY54"/>
  <c r="AY15"/>
  <c r="AY14"/>
  <c r="AW142"/>
  <c r="AW15"/>
  <c r="AW54"/>
  <c r="AW47"/>
  <c r="AW48"/>
  <c r="AW14"/>
  <c r="AW24"/>
  <c r="AW18"/>
  <c r="AW46"/>
  <c r="AW60"/>
  <c r="AW59"/>
  <c r="AW57"/>
  <c r="AW61"/>
  <c r="AW58"/>
  <c r="AW17"/>
  <c r="AW53"/>
  <c r="AW52"/>
  <c r="AW50"/>
  <c r="AW56"/>
  <c r="AW55"/>
  <c r="AW49"/>
  <c r="AW51"/>
  <c r="AW16"/>
  <c r="AW84"/>
  <c r="AM80"/>
  <c r="AM88"/>
  <c r="AM91"/>
  <c r="AM86"/>
  <c r="AM81"/>
  <c r="AM92"/>
  <c r="AM90"/>
  <c r="AM93"/>
  <c r="AM87"/>
  <c r="AU370"/>
  <c r="AU402" s="1"/>
  <c r="AM108"/>
  <c r="AM100"/>
  <c r="AM107"/>
  <c r="AM109"/>
  <c r="AM101"/>
  <c r="AM94"/>
  <c r="AM89"/>
  <c r="AM85"/>
  <c r="V32"/>
  <c r="V34" s="1"/>
  <c r="V142"/>
  <c r="R62"/>
  <c r="R68"/>
  <c r="P68"/>
  <c r="P62"/>
  <c r="N62"/>
  <c r="N68"/>
  <c r="T62"/>
  <c r="T68"/>
  <c r="N55"/>
  <c r="N61"/>
  <c r="N60"/>
  <c r="N59"/>
  <c r="N58"/>
  <c r="N57"/>
  <c r="N56"/>
  <c r="T55"/>
  <c r="T58"/>
  <c r="T57"/>
  <c r="T61"/>
  <c r="T60"/>
  <c r="T59"/>
  <c r="T56"/>
  <c r="P56"/>
  <c r="P61"/>
  <c r="P55"/>
  <c r="P60"/>
  <c r="P59"/>
  <c r="P58"/>
  <c r="P57"/>
  <c r="R58"/>
  <c r="R55"/>
  <c r="R57"/>
  <c r="R56"/>
  <c r="R61"/>
  <c r="R60"/>
  <c r="R59"/>
  <c r="T32"/>
  <c r="T34" s="1"/>
  <c r="R25"/>
  <c r="R18"/>
  <c r="R17"/>
  <c r="R24"/>
  <c r="P25"/>
  <c r="P17"/>
  <c r="P18"/>
  <c r="P24"/>
  <c r="N25"/>
  <c r="N17"/>
  <c r="N18"/>
  <c r="N24"/>
  <c r="T17"/>
  <c r="T24"/>
  <c r="T25"/>
  <c r="T18"/>
  <c r="D19" i="8"/>
  <c r="F19" s="1"/>
  <c r="T53" i="19"/>
  <c r="R53"/>
  <c r="P53"/>
  <c r="N53"/>
  <c r="R51"/>
  <c r="R52"/>
  <c r="R50"/>
  <c r="R49"/>
  <c r="P51"/>
  <c r="P52"/>
  <c r="P49"/>
  <c r="P50"/>
  <c r="T14"/>
  <c r="T54"/>
  <c r="T47"/>
  <c r="T48"/>
  <c r="N51"/>
  <c r="N52"/>
  <c r="N49"/>
  <c r="N50"/>
  <c r="T52"/>
  <c r="T51"/>
  <c r="T49"/>
  <c r="T50"/>
  <c r="V47"/>
  <c r="V48"/>
  <c r="V54"/>
  <c r="P102"/>
  <c r="T15"/>
  <c r="R102"/>
  <c r="N335"/>
  <c r="V14"/>
  <c r="V15"/>
  <c r="Z386"/>
  <c r="AA386" s="1"/>
  <c r="E47" i="1"/>
  <c r="U18" i="8"/>
  <c r="V18" s="1"/>
  <c r="S64"/>
  <c r="T64" s="1"/>
  <c r="Y64" s="1"/>
  <c r="AY392" i="19" s="1"/>
  <c r="BA394"/>
  <c r="AI386"/>
  <c r="T388"/>
  <c r="N388"/>
  <c r="H19" i="8"/>
  <c r="J19" s="1"/>
  <c r="D27" i="4"/>
  <c r="S18" i="8"/>
  <c r="T18" s="1"/>
  <c r="P24" i="4"/>
  <c r="H23" i="8" s="1"/>
  <c r="J23" s="1"/>
  <c r="R346" i="19"/>
  <c r="U22" i="8"/>
  <c r="V22" s="1"/>
  <c r="Y22" s="1"/>
  <c r="AY391" i="19" s="1"/>
  <c r="F67" i="8"/>
  <c r="H67" s="1"/>
  <c r="N67" s="1"/>
  <c r="X392" i="19" s="1"/>
  <c r="X268" s="1"/>
  <c r="AY387"/>
  <c r="D24" i="8"/>
  <c r="F24" s="1"/>
  <c r="P24" s="1"/>
  <c r="X391" i="19" s="1"/>
  <c r="S60" i="8"/>
  <c r="T60" s="1"/>
  <c r="X388" i="19"/>
  <c r="X387"/>
  <c r="X71" s="1"/>
  <c r="H22" i="8"/>
  <c r="J22" s="1"/>
  <c r="P22" s="1"/>
  <c r="T391" i="19" s="1"/>
  <c r="P335"/>
  <c r="T346"/>
  <c r="T335"/>
  <c r="P346"/>
  <c r="R335"/>
  <c r="T102"/>
  <c r="AK112"/>
  <c r="AK40"/>
  <c r="N102"/>
  <c r="N346"/>
  <c r="AW45"/>
  <c r="AW348"/>
  <c r="AI346"/>
  <c r="AQ395"/>
  <c r="V66" i="8"/>
  <c r="U66"/>
  <c r="AK96" i="19"/>
  <c r="S21" i="8"/>
  <c r="T21" s="1"/>
  <c r="D23"/>
  <c r="F23" s="1"/>
  <c r="V387" i="19"/>
  <c r="V71" s="1"/>
  <c r="L104"/>
  <c r="L339"/>
  <c r="Z395"/>
  <c r="AA395" s="1"/>
  <c r="BA389"/>
  <c r="AW390"/>
  <c r="V390"/>
  <c r="V303" s="1"/>
  <c r="N65" i="8"/>
  <c r="T392" i="19" s="1"/>
  <c r="T268" s="1"/>
  <c r="X18" i="8"/>
  <c r="X24" s="1"/>
  <c r="W24"/>
  <c r="M39" i="1"/>
  <c r="G47"/>
  <c r="R18" i="6"/>
  <c r="H26"/>
  <c r="L414" i="19" s="1"/>
  <c r="N16"/>
  <c r="N333"/>
  <c r="N45"/>
  <c r="N69"/>
  <c r="N348"/>
  <c r="N241"/>
  <c r="N70"/>
  <c r="N67"/>
  <c r="T45"/>
  <c r="T16"/>
  <c r="T333"/>
  <c r="T69"/>
  <c r="T348"/>
  <c r="T241"/>
  <c r="T67"/>
  <c r="T70"/>
  <c r="J329"/>
  <c r="R45"/>
  <c r="R16"/>
  <c r="R333"/>
  <c r="R69"/>
  <c r="R348"/>
  <c r="R241"/>
  <c r="R67"/>
  <c r="R70"/>
  <c r="N63" i="8"/>
  <c r="P392" i="19" s="1"/>
  <c r="P268" s="1"/>
  <c r="AS132"/>
  <c r="P333"/>
  <c r="P45"/>
  <c r="P69"/>
  <c r="P16"/>
  <c r="P348"/>
  <c r="P241"/>
  <c r="P70"/>
  <c r="P67"/>
  <c r="AM40"/>
  <c r="P334"/>
  <c r="AM79"/>
  <c r="R49" i="4"/>
  <c r="H57"/>
  <c r="L413" i="19" s="1"/>
  <c r="F27" i="4"/>
  <c r="P19"/>
  <c r="V104" i="19"/>
  <c r="V339"/>
  <c r="N62" i="8"/>
  <c r="N392" i="19" s="1"/>
  <c r="N268" s="1"/>
  <c r="R308" l="1"/>
  <c r="R334"/>
  <c r="P19" i="8"/>
  <c r="N391" i="19" s="1"/>
  <c r="N36" s="1"/>
  <c r="N38" s="1"/>
  <c r="N40" s="1"/>
  <c r="AY110"/>
  <c r="AY103"/>
  <c r="AY25"/>
  <c r="AY69"/>
  <c r="AY62"/>
  <c r="AY70"/>
  <c r="AY68"/>
  <c r="AY71"/>
  <c r="AY67"/>
  <c r="AY178"/>
  <c r="AY183"/>
  <c r="AY241"/>
  <c r="AW102"/>
  <c r="AY36"/>
  <c r="AY38" s="1"/>
  <c r="AY40" s="1"/>
  <c r="AY187"/>
  <c r="AW73"/>
  <c r="AW64"/>
  <c r="AW21"/>
  <c r="AI284"/>
  <c r="AY337"/>
  <c r="AY289"/>
  <c r="AY290"/>
  <c r="AY294"/>
  <c r="AY288"/>
  <c r="AY292"/>
  <c r="AY291"/>
  <c r="AY293"/>
  <c r="AQ339"/>
  <c r="AQ310"/>
  <c r="AY333"/>
  <c r="AY322"/>
  <c r="AY295"/>
  <c r="AY283"/>
  <c r="AY281"/>
  <c r="AY287"/>
  <c r="AY298"/>
  <c r="AY282"/>
  <c r="AY286"/>
  <c r="AY296"/>
  <c r="AY285"/>
  <c r="AY299"/>
  <c r="AY297"/>
  <c r="AW303"/>
  <c r="AY302"/>
  <c r="AY300"/>
  <c r="AY301"/>
  <c r="AW335"/>
  <c r="L411"/>
  <c r="X36"/>
  <c r="X38" s="1"/>
  <c r="X40" s="1"/>
  <c r="X187"/>
  <c r="X337"/>
  <c r="X294"/>
  <c r="X293"/>
  <c r="X291"/>
  <c r="X290"/>
  <c r="X288"/>
  <c r="X292"/>
  <c r="X289"/>
  <c r="N334"/>
  <c r="N308"/>
  <c r="N309"/>
  <c r="X302"/>
  <c r="X300"/>
  <c r="X301"/>
  <c r="T334"/>
  <c r="T308"/>
  <c r="T309"/>
  <c r="R36"/>
  <c r="R38" s="1"/>
  <c r="R40" s="1"/>
  <c r="R187"/>
  <c r="R294"/>
  <c r="R337"/>
  <c r="R293"/>
  <c r="R289"/>
  <c r="R290"/>
  <c r="R291"/>
  <c r="R292"/>
  <c r="R288"/>
  <c r="T36"/>
  <c r="T38" s="1"/>
  <c r="T40" s="1"/>
  <c r="T187"/>
  <c r="T337"/>
  <c r="T294"/>
  <c r="T293"/>
  <c r="T290"/>
  <c r="T289"/>
  <c r="T291"/>
  <c r="T288"/>
  <c r="T292"/>
  <c r="N302"/>
  <c r="N300"/>
  <c r="N301"/>
  <c r="T110"/>
  <c r="T302"/>
  <c r="T301"/>
  <c r="T300"/>
  <c r="V46"/>
  <c r="V178"/>
  <c r="V183"/>
  <c r="V281"/>
  <c r="V297"/>
  <c r="V287"/>
  <c r="V295"/>
  <c r="V283"/>
  <c r="V296"/>
  <c r="V298"/>
  <c r="V286"/>
  <c r="V299"/>
  <c r="V282"/>
  <c r="V322"/>
  <c r="V285"/>
  <c r="X46"/>
  <c r="X178"/>
  <c r="X183"/>
  <c r="X281"/>
  <c r="X297"/>
  <c r="X287"/>
  <c r="X295"/>
  <c r="X296"/>
  <c r="X283"/>
  <c r="X298"/>
  <c r="X286"/>
  <c r="X322"/>
  <c r="X282"/>
  <c r="X299"/>
  <c r="X285"/>
  <c r="P36"/>
  <c r="P38" s="1"/>
  <c r="P40" s="1"/>
  <c r="P187"/>
  <c r="P294"/>
  <c r="P337"/>
  <c r="P293"/>
  <c r="P291"/>
  <c r="P292"/>
  <c r="P288"/>
  <c r="P290"/>
  <c r="P289"/>
  <c r="P110"/>
  <c r="P302"/>
  <c r="P300"/>
  <c r="P301"/>
  <c r="R302"/>
  <c r="R300"/>
  <c r="R301"/>
  <c r="X308"/>
  <c r="X309"/>
  <c r="AO363"/>
  <c r="AO364" s="1"/>
  <c r="AO397" s="1"/>
  <c r="AY24"/>
  <c r="AY60"/>
  <c r="AY18"/>
  <c r="AY17"/>
  <c r="AY46"/>
  <c r="AY59"/>
  <c r="AY61"/>
  <c r="AY57"/>
  <c r="AY58"/>
  <c r="AY50"/>
  <c r="AY49"/>
  <c r="AY51"/>
  <c r="AY55"/>
  <c r="AY53"/>
  <c r="AY56"/>
  <c r="AY52"/>
  <c r="AY16"/>
  <c r="AQ84"/>
  <c r="AQ104"/>
  <c r="AY82"/>
  <c r="AY361" s="1"/>
  <c r="AO361"/>
  <c r="AO362" s="1"/>
  <c r="AO396" s="1"/>
  <c r="AI32"/>
  <c r="AI142"/>
  <c r="AI19"/>
  <c r="AI47"/>
  <c r="AI15"/>
  <c r="AI48"/>
  <c r="AI54"/>
  <c r="AI14"/>
  <c r="AS365"/>
  <c r="AS366" s="1"/>
  <c r="AS400" s="1"/>
  <c r="AU162"/>
  <c r="AU141"/>
  <c r="AU161"/>
  <c r="AU148"/>
  <c r="AU149"/>
  <c r="X82"/>
  <c r="X361" s="1"/>
  <c r="X110"/>
  <c r="R82"/>
  <c r="R361" s="1"/>
  <c r="R110"/>
  <c r="T73"/>
  <c r="P73"/>
  <c r="R73"/>
  <c r="X62"/>
  <c r="X68"/>
  <c r="N110"/>
  <c r="N82"/>
  <c r="P82"/>
  <c r="P361" s="1"/>
  <c r="N73"/>
  <c r="V62"/>
  <c r="V68"/>
  <c r="R64"/>
  <c r="T64"/>
  <c r="P64"/>
  <c r="T82"/>
  <c r="T361" s="1"/>
  <c r="N64"/>
  <c r="V59"/>
  <c r="V57"/>
  <c r="V58"/>
  <c r="V56"/>
  <c r="V55"/>
  <c r="V61"/>
  <c r="V60"/>
  <c r="X61"/>
  <c r="X60"/>
  <c r="X57"/>
  <c r="X59"/>
  <c r="X58"/>
  <c r="X56"/>
  <c r="X55"/>
  <c r="R27"/>
  <c r="N27"/>
  <c r="T27"/>
  <c r="P27"/>
  <c r="X24"/>
  <c r="X25"/>
  <c r="X17"/>
  <c r="X18"/>
  <c r="V24"/>
  <c r="V25"/>
  <c r="V17"/>
  <c r="V18"/>
  <c r="X53"/>
  <c r="V53"/>
  <c r="V52"/>
  <c r="V51"/>
  <c r="V50"/>
  <c r="V49"/>
  <c r="X51"/>
  <c r="X52"/>
  <c r="X49"/>
  <c r="X50"/>
  <c r="X334"/>
  <c r="X67"/>
  <c r="X16"/>
  <c r="X241"/>
  <c r="X45"/>
  <c r="X348"/>
  <c r="X333"/>
  <c r="X69"/>
  <c r="X70"/>
  <c r="BA386"/>
  <c r="L412"/>
  <c r="AI387"/>
  <c r="V388"/>
  <c r="S63" i="8"/>
  <c r="T63" s="1"/>
  <c r="Y63" s="1"/>
  <c r="AW392" i="19" s="1"/>
  <c r="U21" i="8"/>
  <c r="V21" s="1"/>
  <c r="Y21" s="1"/>
  <c r="AW391" i="19" s="1"/>
  <c r="AY348"/>
  <c r="AY45"/>
  <c r="F66" i="8"/>
  <c r="H66" s="1"/>
  <c r="N66" s="1"/>
  <c r="V392" i="19" s="1"/>
  <c r="V268" s="1"/>
  <c r="X103"/>
  <c r="AK114"/>
  <c r="AK365" s="1"/>
  <c r="S24" i="8"/>
  <c r="R103" i="19"/>
  <c r="N21"/>
  <c r="AM112"/>
  <c r="P103"/>
  <c r="AW27"/>
  <c r="AY268"/>
  <c r="L18" i="8"/>
  <c r="N18" s="1"/>
  <c r="J61"/>
  <c r="L61" s="1"/>
  <c r="L389" i="19"/>
  <c r="R57" i="4"/>
  <c r="R21" i="19"/>
  <c r="AG329"/>
  <c r="V16"/>
  <c r="V348"/>
  <c r="V333"/>
  <c r="V45"/>
  <c r="V69"/>
  <c r="V241"/>
  <c r="V70"/>
  <c r="V67"/>
  <c r="T21"/>
  <c r="T103"/>
  <c r="V346"/>
  <c r="V335"/>
  <c r="V102"/>
  <c r="P23" i="8"/>
  <c r="V391" i="19" s="1"/>
  <c r="BA395"/>
  <c r="Y18" i="8"/>
  <c r="T24"/>
  <c r="L387" i="19"/>
  <c r="D18" i="8"/>
  <c r="F18" s="1"/>
  <c r="M47" i="1"/>
  <c r="AW346" i="19"/>
  <c r="AM96"/>
  <c r="P21"/>
  <c r="BA390"/>
  <c r="N103"/>
  <c r="L388"/>
  <c r="F61" i="8"/>
  <c r="H61" s="1"/>
  <c r="H18"/>
  <c r="J18" s="1"/>
  <c r="P27" i="4"/>
  <c r="L390" i="19"/>
  <c r="L303" s="1"/>
  <c r="R26" i="6"/>
  <c r="AU246" i="19"/>
  <c r="Y60" i="8"/>
  <c r="J353" i="19"/>
  <c r="J373" s="1"/>
  <c r="AS158" l="1"/>
  <c r="AS318"/>
  <c r="N291"/>
  <c r="N288"/>
  <c r="N293"/>
  <c r="N294"/>
  <c r="N289"/>
  <c r="N187"/>
  <c r="N292"/>
  <c r="N337"/>
  <c r="N290"/>
  <c r="AY73"/>
  <c r="AW36"/>
  <c r="AW38" s="1"/>
  <c r="AW40" s="1"/>
  <c r="AW187"/>
  <c r="AW110"/>
  <c r="AW103"/>
  <c r="AW75"/>
  <c r="AY64"/>
  <c r="AW29"/>
  <c r="AY21"/>
  <c r="AW337"/>
  <c r="AW293"/>
  <c r="AW289"/>
  <c r="AW288"/>
  <c r="AW292"/>
  <c r="AW290"/>
  <c r="AW294"/>
  <c r="AW291"/>
  <c r="AW301"/>
  <c r="AW302"/>
  <c r="AW300"/>
  <c r="AI333"/>
  <c r="AI295"/>
  <c r="AI285"/>
  <c r="AI298"/>
  <c r="AI297"/>
  <c r="AI282"/>
  <c r="AI286"/>
  <c r="AI281"/>
  <c r="AI296"/>
  <c r="AI287"/>
  <c r="AI183"/>
  <c r="AI178"/>
  <c r="AI283"/>
  <c r="AI322"/>
  <c r="AI299"/>
  <c r="AS341"/>
  <c r="AS314"/>
  <c r="AS323"/>
  <c r="AS319"/>
  <c r="AS320"/>
  <c r="AS321"/>
  <c r="AS317"/>
  <c r="AS316"/>
  <c r="AS315"/>
  <c r="AS324"/>
  <c r="T363"/>
  <c r="V36"/>
  <c r="V38" s="1"/>
  <c r="V40" s="1"/>
  <c r="V187"/>
  <c r="V294"/>
  <c r="V337"/>
  <c r="V293"/>
  <c r="V292"/>
  <c r="V290"/>
  <c r="V289"/>
  <c r="V288"/>
  <c r="V291"/>
  <c r="L307"/>
  <c r="L306"/>
  <c r="L305"/>
  <c r="P363"/>
  <c r="P364" s="1"/>
  <c r="L183"/>
  <c r="L178"/>
  <c r="L297"/>
  <c r="L281"/>
  <c r="L287"/>
  <c r="L295"/>
  <c r="L283"/>
  <c r="L298"/>
  <c r="L286"/>
  <c r="L296"/>
  <c r="L285"/>
  <c r="L322"/>
  <c r="L299"/>
  <c r="L282"/>
  <c r="V334"/>
  <c r="V308"/>
  <c r="V309"/>
  <c r="V302"/>
  <c r="V300"/>
  <c r="V301"/>
  <c r="L308"/>
  <c r="L309"/>
  <c r="AW82"/>
  <c r="AW361" s="1"/>
  <c r="AI68"/>
  <c r="AI24"/>
  <c r="AI59"/>
  <c r="AI71"/>
  <c r="AI62"/>
  <c r="AI57"/>
  <c r="AI60"/>
  <c r="AI17"/>
  <c r="AI61"/>
  <c r="AI46"/>
  <c r="AI18"/>
  <c r="AI58"/>
  <c r="AI50"/>
  <c r="AI55"/>
  <c r="AI52"/>
  <c r="AI53"/>
  <c r="AI56"/>
  <c r="AI51"/>
  <c r="AI49"/>
  <c r="AI69"/>
  <c r="AI70"/>
  <c r="AI16"/>
  <c r="AQ363"/>
  <c r="AQ364" s="1"/>
  <c r="AQ397" s="1"/>
  <c r="AQ361"/>
  <c r="AQ362" s="1"/>
  <c r="AQ396" s="1"/>
  <c r="R363"/>
  <c r="R364" s="1"/>
  <c r="F66" i="11" s="1"/>
  <c r="AY363" i="19"/>
  <c r="AY364" s="1"/>
  <c r="N363"/>
  <c r="D64" i="11" s="1"/>
  <c r="X363" i="19"/>
  <c r="X364" s="1"/>
  <c r="F69" i="11" s="1"/>
  <c r="AY397" i="19" s="1"/>
  <c r="AO80"/>
  <c r="AO88"/>
  <c r="AO91"/>
  <c r="AO81"/>
  <c r="AO93"/>
  <c r="AO87"/>
  <c r="AO92"/>
  <c r="AO86"/>
  <c r="AO90"/>
  <c r="AK366"/>
  <c r="AK400" s="1"/>
  <c r="N361"/>
  <c r="N362" s="1"/>
  <c r="AS153"/>
  <c r="AS137"/>
  <c r="AS369" s="1"/>
  <c r="AS160"/>
  <c r="AS154"/>
  <c r="AS164"/>
  <c r="AS155"/>
  <c r="AS138"/>
  <c r="AS151"/>
  <c r="AS152"/>
  <c r="AS165"/>
  <c r="AS163"/>
  <c r="AS144"/>
  <c r="AS156"/>
  <c r="AS145"/>
  <c r="AS157"/>
  <c r="AS146"/>
  <c r="AS143"/>
  <c r="AS166"/>
  <c r="AS147"/>
  <c r="AO100"/>
  <c r="AO108"/>
  <c r="AO109"/>
  <c r="AO107"/>
  <c r="AO101"/>
  <c r="AO89"/>
  <c r="AO94"/>
  <c r="AO85"/>
  <c r="L68"/>
  <c r="L46"/>
  <c r="P75"/>
  <c r="V82"/>
  <c r="V361" s="1"/>
  <c r="V110"/>
  <c r="R75"/>
  <c r="T75"/>
  <c r="X73"/>
  <c r="V64"/>
  <c r="X64"/>
  <c r="V73"/>
  <c r="N75"/>
  <c r="R29"/>
  <c r="T29"/>
  <c r="L55"/>
  <c r="L62"/>
  <c r="L61"/>
  <c r="L58"/>
  <c r="L57"/>
  <c r="L56"/>
  <c r="L60"/>
  <c r="L59"/>
  <c r="N29"/>
  <c r="V27"/>
  <c r="X27"/>
  <c r="P29"/>
  <c r="L71"/>
  <c r="L17"/>
  <c r="L18"/>
  <c r="L24"/>
  <c r="L53"/>
  <c r="L51"/>
  <c r="L49"/>
  <c r="L52"/>
  <c r="L50"/>
  <c r="AI348"/>
  <c r="X21"/>
  <c r="AI241"/>
  <c r="BA387"/>
  <c r="V103"/>
  <c r="AI25"/>
  <c r="T66" i="8"/>
  <c r="AI67" i="19"/>
  <c r="AI45"/>
  <c r="S66" i="8"/>
  <c r="AY27" i="19"/>
  <c r="AW268"/>
  <c r="V24" i="8"/>
  <c r="U24"/>
  <c r="AO79" i="19"/>
  <c r="AM114"/>
  <c r="V21"/>
  <c r="H26" i="8"/>
  <c r="J26"/>
  <c r="D26"/>
  <c r="F26"/>
  <c r="AI391" i="19"/>
  <c r="Y24" i="8"/>
  <c r="AI392" i="19"/>
  <c r="Y66" i="8"/>
  <c r="L335" i="19"/>
  <c r="L346"/>
  <c r="Z390"/>
  <c r="AA390" s="1"/>
  <c r="L102"/>
  <c r="F69" i="8"/>
  <c r="L45" i="19"/>
  <c r="L333"/>
  <c r="L16"/>
  <c r="L69"/>
  <c r="L348"/>
  <c r="Z387"/>
  <c r="AA387" s="1"/>
  <c r="L241"/>
  <c r="L70"/>
  <c r="L67"/>
  <c r="L25"/>
  <c r="AU372"/>
  <c r="AU403" s="1"/>
  <c r="L334"/>
  <c r="Z388"/>
  <c r="AA388" s="1"/>
  <c r="L336"/>
  <c r="Z389"/>
  <c r="AA389" s="1"/>
  <c r="AS325"/>
  <c r="AS326"/>
  <c r="AG353"/>
  <c r="AG373" s="1"/>
  <c r="J69" i="8"/>
  <c r="L69"/>
  <c r="AY362" i="19"/>
  <c r="L26" i="8"/>
  <c r="AK158" i="19" l="1"/>
  <c r="AK318"/>
  <c r="AY75"/>
  <c r="AY109"/>
  <c r="AY101"/>
  <c r="AY108"/>
  <c r="AY100"/>
  <c r="AY107"/>
  <c r="AY29"/>
  <c r="AI300"/>
  <c r="AI302"/>
  <c r="AI301"/>
  <c r="AI337"/>
  <c r="AI293"/>
  <c r="AI290"/>
  <c r="AI291"/>
  <c r="AI288"/>
  <c r="AI289"/>
  <c r="AI292"/>
  <c r="AI294"/>
  <c r="AI187"/>
  <c r="AS371"/>
  <c r="AS372" s="1"/>
  <c r="AS403" s="1"/>
  <c r="AU279"/>
  <c r="AU280"/>
  <c r="AK319"/>
  <c r="AK323"/>
  <c r="AK320"/>
  <c r="AK314"/>
  <c r="AK324"/>
  <c r="AK315"/>
  <c r="AK321"/>
  <c r="AK317"/>
  <c r="AK316"/>
  <c r="AK155"/>
  <c r="AK341"/>
  <c r="AU349"/>
  <c r="AU343"/>
  <c r="V363"/>
  <c r="D68" i="11" s="1"/>
  <c r="AW363" i="19"/>
  <c r="AW364" s="1"/>
  <c r="AW397" s="1"/>
  <c r="AK326"/>
  <c r="AI82"/>
  <c r="AI110"/>
  <c r="AI103"/>
  <c r="AK151"/>
  <c r="AQ80"/>
  <c r="AQ88"/>
  <c r="AQ91"/>
  <c r="AQ81"/>
  <c r="AQ93"/>
  <c r="AQ87"/>
  <c r="AQ92"/>
  <c r="AQ90"/>
  <c r="AQ86"/>
  <c r="AK156"/>
  <c r="AK154"/>
  <c r="AK163"/>
  <c r="AK143"/>
  <c r="AK164"/>
  <c r="AK144"/>
  <c r="AK325"/>
  <c r="AK157"/>
  <c r="AS370"/>
  <c r="AS402" s="1"/>
  <c r="AK166"/>
  <c r="AK147"/>
  <c r="AK137"/>
  <c r="AK369" s="1"/>
  <c r="AM365"/>
  <c r="AM366" s="1"/>
  <c r="AM400" s="1"/>
  <c r="AK152"/>
  <c r="AK160"/>
  <c r="AK145"/>
  <c r="AK153"/>
  <c r="AK138"/>
  <c r="AK165"/>
  <c r="AK146"/>
  <c r="AQ108"/>
  <c r="AQ100"/>
  <c r="AQ109"/>
  <c r="AQ107"/>
  <c r="AQ101"/>
  <c r="AQ94"/>
  <c r="AQ85"/>
  <c r="AQ89"/>
  <c r="V75"/>
  <c r="X75"/>
  <c r="V29"/>
  <c r="X29"/>
  <c r="L27"/>
  <c r="AI21"/>
  <c r="AI64"/>
  <c r="AW362"/>
  <c r="AW396" s="1"/>
  <c r="AW94" s="1"/>
  <c r="AI73"/>
  <c r="AI27"/>
  <c r="AO112"/>
  <c r="AO96"/>
  <c r="D69" i="11"/>
  <c r="X397" i="19"/>
  <c r="X100" s="1"/>
  <c r="R397"/>
  <c r="R100" s="1"/>
  <c r="D66" i="11"/>
  <c r="N364" i="19"/>
  <c r="F64" i="11" s="1"/>
  <c r="D65"/>
  <c r="AQ79" i="19"/>
  <c r="BA391"/>
  <c r="AI36"/>
  <c r="N61" i="8"/>
  <c r="H69"/>
  <c r="L416" i="19" s="1"/>
  <c r="T364"/>
  <c r="D67" i="11"/>
  <c r="P18" i="8"/>
  <c r="N26"/>
  <c r="L415" i="19" s="1"/>
  <c r="P397"/>
  <c r="F65" i="11"/>
  <c r="AU344" i="19"/>
  <c r="AU332"/>
  <c r="AU345"/>
  <c r="AU278"/>
  <c r="L73"/>
  <c r="L64"/>
  <c r="L21"/>
  <c r="BA392"/>
  <c r="AI268"/>
  <c r="AM158" l="1"/>
  <c r="AM318"/>
  <c r="AY112"/>
  <c r="AW101"/>
  <c r="AW109"/>
  <c r="AW100"/>
  <c r="AW108"/>
  <c r="AW107"/>
  <c r="AK371"/>
  <c r="AK372" s="1"/>
  <c r="AK403" s="1"/>
  <c r="AS279"/>
  <c r="AS280"/>
  <c r="AM341"/>
  <c r="AM319"/>
  <c r="AM316"/>
  <c r="AM320"/>
  <c r="AM323"/>
  <c r="AM314"/>
  <c r="AM321"/>
  <c r="AM315"/>
  <c r="AM324"/>
  <c r="AM317"/>
  <c r="AS349"/>
  <c r="AS343"/>
  <c r="AI361"/>
  <c r="AI362" s="1"/>
  <c r="AI363"/>
  <c r="AI364" s="1"/>
  <c r="AW91"/>
  <c r="AW81"/>
  <c r="AW93"/>
  <c r="AW92"/>
  <c r="AW88"/>
  <c r="AW90"/>
  <c r="AW80"/>
  <c r="AW87"/>
  <c r="AW86"/>
  <c r="AK370"/>
  <c r="AK402" s="1"/>
  <c r="AM165"/>
  <c r="AM145"/>
  <c r="AM325"/>
  <c r="AM152"/>
  <c r="AM137"/>
  <c r="AM369" s="1"/>
  <c r="AM138"/>
  <c r="AM153"/>
  <c r="AM160"/>
  <c r="AM147"/>
  <c r="AM157"/>
  <c r="AM163"/>
  <c r="AM155"/>
  <c r="AM151"/>
  <c r="AM164"/>
  <c r="AM326"/>
  <c r="AM146"/>
  <c r="AM154"/>
  <c r="AM166"/>
  <c r="AM144"/>
  <c r="AM143"/>
  <c r="AM156"/>
  <c r="AS162"/>
  <c r="AS149"/>
  <c r="AS141"/>
  <c r="AS161"/>
  <c r="AS148"/>
  <c r="AW89"/>
  <c r="AW85"/>
  <c r="P109"/>
  <c r="P100"/>
  <c r="L29"/>
  <c r="V364"/>
  <c r="F68" i="11" s="1"/>
  <c r="R109" i="19"/>
  <c r="X109"/>
  <c r="AI75"/>
  <c r="AW79"/>
  <c r="AO114"/>
  <c r="AI29"/>
  <c r="X101"/>
  <c r="N397"/>
  <c r="N100" s="1"/>
  <c r="X107"/>
  <c r="X108"/>
  <c r="R108"/>
  <c r="R101"/>
  <c r="R107"/>
  <c r="AS332"/>
  <c r="AS344"/>
  <c r="AS345"/>
  <c r="AS278"/>
  <c r="L391"/>
  <c r="P26" i="8"/>
  <c r="AS246" i="19"/>
  <c r="L75"/>
  <c r="AI34"/>
  <c r="AQ96"/>
  <c r="T397"/>
  <c r="F67" i="11"/>
  <c r="AI38" i="19"/>
  <c r="AU329"/>
  <c r="L392"/>
  <c r="L268" s="1"/>
  <c r="N69" i="8"/>
  <c r="P107" i="19"/>
  <c r="P108"/>
  <c r="P101"/>
  <c r="AQ112"/>
  <c r="AW112" l="1"/>
  <c r="AW96"/>
  <c r="AM371"/>
  <c r="AM372" s="1"/>
  <c r="AM403" s="1"/>
  <c r="AK279"/>
  <c r="AK280"/>
  <c r="AK349"/>
  <c r="AK343"/>
  <c r="L36"/>
  <c r="L38" s="1"/>
  <c r="L40" s="1"/>
  <c r="L187"/>
  <c r="L337"/>
  <c r="L294"/>
  <c r="L293"/>
  <c r="L288"/>
  <c r="L291"/>
  <c r="L290"/>
  <c r="L292"/>
  <c r="L289"/>
  <c r="L302"/>
  <c r="L301"/>
  <c r="L300"/>
  <c r="AK344"/>
  <c r="AK345"/>
  <c r="AK278"/>
  <c r="AK332"/>
  <c r="AK162"/>
  <c r="AK149"/>
  <c r="AK141"/>
  <c r="AK148"/>
  <c r="AK246"/>
  <c r="AK161"/>
  <c r="AM370"/>
  <c r="AM402" s="1"/>
  <c r="AM148" s="1"/>
  <c r="AO365"/>
  <c r="AO366" s="1"/>
  <c r="AO400" s="1"/>
  <c r="P112"/>
  <c r="R112"/>
  <c r="X112"/>
  <c r="V397"/>
  <c r="V100" s="1"/>
  <c r="T109"/>
  <c r="T100"/>
  <c r="L110"/>
  <c r="L82"/>
  <c r="L361" s="1"/>
  <c r="L362" s="1"/>
  <c r="N101"/>
  <c r="N109"/>
  <c r="N107"/>
  <c r="N108"/>
  <c r="AQ114"/>
  <c r="L103"/>
  <c r="Z392"/>
  <c r="AA392" s="1"/>
  <c r="AI40"/>
  <c r="Z391"/>
  <c r="AA391" s="1"/>
  <c r="T107"/>
  <c r="T101"/>
  <c r="T108"/>
  <c r="BA361"/>
  <c r="AS329"/>
  <c r="BA363"/>
  <c r="AO158" l="1"/>
  <c r="AO318"/>
  <c r="AW114"/>
  <c r="AM279"/>
  <c r="AM280"/>
  <c r="AO341"/>
  <c r="AO316"/>
  <c r="AO319"/>
  <c r="AO323"/>
  <c r="AO314"/>
  <c r="AO324"/>
  <c r="AO315"/>
  <c r="AO317"/>
  <c r="AO321"/>
  <c r="AO320"/>
  <c r="AM349"/>
  <c r="AM343"/>
  <c r="L363"/>
  <c r="L364" s="1"/>
  <c r="AK329"/>
  <c r="AM246"/>
  <c r="AM345"/>
  <c r="AM278"/>
  <c r="AM332"/>
  <c r="AM161"/>
  <c r="AM344"/>
  <c r="AM162"/>
  <c r="AM141"/>
  <c r="AM149"/>
  <c r="AO164"/>
  <c r="AO157"/>
  <c r="AO152"/>
  <c r="AO153"/>
  <c r="AO165"/>
  <c r="AO163"/>
  <c r="AO146"/>
  <c r="AO143"/>
  <c r="AO160"/>
  <c r="AO166"/>
  <c r="AO325"/>
  <c r="AO137"/>
  <c r="AO369" s="1"/>
  <c r="AO151"/>
  <c r="AO145"/>
  <c r="AO154"/>
  <c r="AO326"/>
  <c r="AO144"/>
  <c r="AO156"/>
  <c r="AO138"/>
  <c r="AQ365"/>
  <c r="AQ366" s="1"/>
  <c r="AQ400" s="1"/>
  <c r="AO155"/>
  <c r="AO147"/>
  <c r="T112"/>
  <c r="V108"/>
  <c r="N112"/>
  <c r="V101"/>
  <c r="V109"/>
  <c r="V107"/>
  <c r="AI396"/>
  <c r="BA362"/>
  <c r="AI397"/>
  <c r="BA364"/>
  <c r="AQ158" l="1"/>
  <c r="AQ318"/>
  <c r="AO371"/>
  <c r="AO372" s="1"/>
  <c r="AO403" s="1"/>
  <c r="AQ341"/>
  <c r="AQ319"/>
  <c r="AQ314"/>
  <c r="AQ323"/>
  <c r="AQ324"/>
  <c r="AQ317"/>
  <c r="AQ320"/>
  <c r="AQ321"/>
  <c r="AQ316"/>
  <c r="AQ315"/>
  <c r="AW365"/>
  <c r="AW366" s="1"/>
  <c r="AW400" s="1"/>
  <c r="AM329"/>
  <c r="AI91"/>
  <c r="AI88"/>
  <c r="AI81"/>
  <c r="AI80"/>
  <c r="AI90"/>
  <c r="AI93"/>
  <c r="AI87"/>
  <c r="AI86"/>
  <c r="AI92"/>
  <c r="AO370"/>
  <c r="AO402" s="1"/>
  <c r="AQ166"/>
  <c r="AQ147"/>
  <c r="AQ164"/>
  <c r="AQ326"/>
  <c r="AQ146"/>
  <c r="AQ154"/>
  <c r="AQ157"/>
  <c r="AQ151"/>
  <c r="AQ145"/>
  <c r="AQ152"/>
  <c r="AQ325"/>
  <c r="AQ160"/>
  <c r="AQ138"/>
  <c r="AQ144"/>
  <c r="AQ155"/>
  <c r="AQ165"/>
  <c r="AQ153"/>
  <c r="AQ163"/>
  <c r="AQ137"/>
  <c r="AQ369" s="1"/>
  <c r="AQ156"/>
  <c r="AQ143"/>
  <c r="AI101"/>
  <c r="AI109"/>
  <c r="AI107"/>
  <c r="AI100"/>
  <c r="AI108"/>
  <c r="AI89"/>
  <c r="AI85"/>
  <c r="AI94"/>
  <c r="V112"/>
  <c r="BA397"/>
  <c r="AI79"/>
  <c r="D63" i="11"/>
  <c r="D71" s="1"/>
  <c r="Z363" i="19"/>
  <c r="AW158" l="1"/>
  <c r="AW318"/>
  <c r="AW146"/>
  <c r="AW166"/>
  <c r="AQ371"/>
  <c r="AQ372" s="1"/>
  <c r="AQ403" s="1"/>
  <c r="AW326"/>
  <c r="AW157"/>
  <c r="AW341"/>
  <c r="AW165"/>
  <c r="AW153"/>
  <c r="AW145"/>
  <c r="AW155"/>
  <c r="AW160"/>
  <c r="AW325"/>
  <c r="AO279"/>
  <c r="AO280"/>
  <c r="AW164"/>
  <c r="AW320"/>
  <c r="AW319"/>
  <c r="AW317"/>
  <c r="AW323"/>
  <c r="AW316"/>
  <c r="AW324"/>
  <c r="AW315"/>
  <c r="AW321"/>
  <c r="AW314"/>
  <c r="AW156"/>
  <c r="AW152"/>
  <c r="AW137"/>
  <c r="AW147"/>
  <c r="AW154"/>
  <c r="AW144"/>
  <c r="AW143"/>
  <c r="AW163"/>
  <c r="AW138"/>
  <c r="AW151"/>
  <c r="AO343"/>
  <c r="AO349"/>
  <c r="AO332"/>
  <c r="AO148"/>
  <c r="AO278"/>
  <c r="AO149"/>
  <c r="AO162"/>
  <c r="AO161"/>
  <c r="AO246"/>
  <c r="AO345"/>
  <c r="AO344"/>
  <c r="AO141"/>
  <c r="AQ370"/>
  <c r="AQ402" s="1"/>
  <c r="AQ141" s="1"/>
  <c r="L397"/>
  <c r="Z364"/>
  <c r="F63" i="11"/>
  <c r="F71" s="1"/>
  <c r="AI96" i="19"/>
  <c r="AI112"/>
  <c r="AW369" l="1"/>
  <c r="AW370" s="1"/>
  <c r="AW402" s="1"/>
  <c r="AW371"/>
  <c r="AW372" s="1"/>
  <c r="AW403" s="1"/>
  <c r="AQ280"/>
  <c r="AQ279"/>
  <c r="AQ349"/>
  <c r="AQ343"/>
  <c r="AO329"/>
  <c r="AQ162"/>
  <c r="AQ278"/>
  <c r="AQ332"/>
  <c r="AQ344"/>
  <c r="AQ345"/>
  <c r="AQ149"/>
  <c r="AQ161"/>
  <c r="AQ148"/>
  <c r="AQ246"/>
  <c r="L109"/>
  <c r="L100"/>
  <c r="AI114"/>
  <c r="L107"/>
  <c r="Z397"/>
  <c r="AA397" s="1"/>
  <c r="L101"/>
  <c r="L108"/>
  <c r="AW148" l="1"/>
  <c r="AW161"/>
  <c r="AW141"/>
  <c r="AW246"/>
  <c r="AW149"/>
  <c r="AW162"/>
  <c r="AW332"/>
  <c r="AW279"/>
  <c r="AW344"/>
  <c r="AW345"/>
  <c r="AW278"/>
  <c r="AW280"/>
  <c r="AW349"/>
  <c r="AW343"/>
  <c r="AQ329"/>
  <c r="AI365"/>
  <c r="AI366" s="1"/>
  <c r="L112"/>
  <c r="AW329" l="1"/>
  <c r="AI400" l="1"/>
  <c r="AI158" l="1"/>
  <c r="AI318"/>
  <c r="AI341"/>
  <c r="AI314"/>
  <c r="AI317"/>
  <c r="AI319"/>
  <c r="AI323"/>
  <c r="AI320"/>
  <c r="AI321"/>
  <c r="AI316"/>
  <c r="AI324"/>
  <c r="AI315"/>
  <c r="AI138"/>
  <c r="AI156"/>
  <c r="AI145"/>
  <c r="AI144"/>
  <c r="AI155"/>
  <c r="AI146"/>
  <c r="AI166"/>
  <c r="AI151"/>
  <c r="AI164"/>
  <c r="AI143"/>
  <c r="AI154"/>
  <c r="AI137"/>
  <c r="AI369" s="1"/>
  <c r="AI370" s="1"/>
  <c r="AI152"/>
  <c r="AI157"/>
  <c r="AI163"/>
  <c r="AI153"/>
  <c r="AI160"/>
  <c r="AI147"/>
  <c r="AI165"/>
  <c r="AI326"/>
  <c r="AI325"/>
  <c r="AI371" l="1"/>
  <c r="AI372" s="1"/>
  <c r="AI403" l="1"/>
  <c r="AI402"/>
  <c r="AI343" l="1"/>
  <c r="AI279"/>
  <c r="AI280"/>
  <c r="AI148"/>
  <c r="AI141"/>
  <c r="AI161"/>
  <c r="AI162"/>
  <c r="AI149"/>
  <c r="AI246"/>
  <c r="AI345"/>
  <c r="AI349"/>
  <c r="AI332"/>
  <c r="AI344"/>
  <c r="AI278"/>
  <c r="AI329" l="1"/>
  <c r="Z361" l="1"/>
  <c r="F19" i="11"/>
  <c r="P362" i="19"/>
  <c r="P396" s="1"/>
  <c r="R362"/>
  <c r="R396" s="1"/>
  <c r="T362"/>
  <c r="T396" s="1"/>
  <c r="T93" s="1"/>
  <c r="V362"/>
  <c r="F23" i="11" s="1"/>
  <c r="X362" i="19"/>
  <c r="X396" s="1"/>
  <c r="X89" s="1"/>
  <c r="L396"/>
  <c r="L81" s="1"/>
  <c r="D18" i="11"/>
  <c r="F18"/>
  <c r="D19"/>
  <c r="D20"/>
  <c r="D21"/>
  <c r="D22"/>
  <c r="D23"/>
  <c r="D24"/>
  <c r="L79" i="19" l="1"/>
  <c r="D26" i="11"/>
  <c r="F24"/>
  <c r="AY396" i="19" s="1"/>
  <c r="AY94" s="1"/>
  <c r="F22" i="11"/>
  <c r="F20"/>
  <c r="V396" i="19"/>
  <c r="V81" s="1"/>
  <c r="X79"/>
  <c r="X81"/>
  <c r="X90"/>
  <c r="X92"/>
  <c r="X94"/>
  <c r="X86"/>
  <c r="X80"/>
  <c r="X87"/>
  <c r="X91"/>
  <c r="X88"/>
  <c r="R79"/>
  <c r="R86"/>
  <c r="R87"/>
  <c r="R88"/>
  <c r="R89"/>
  <c r="R90"/>
  <c r="R91"/>
  <c r="R92"/>
  <c r="R93"/>
  <c r="R94"/>
  <c r="R81"/>
  <c r="R80"/>
  <c r="R85"/>
  <c r="F21" i="11"/>
  <c r="P79" i="19"/>
  <c r="P80"/>
  <c r="P81"/>
  <c r="P85"/>
  <c r="P90"/>
  <c r="P91"/>
  <c r="P92"/>
  <c r="P93"/>
  <c r="P94"/>
  <c r="P86"/>
  <c r="P88"/>
  <c r="P87"/>
  <c r="P89"/>
  <c r="X93"/>
  <c r="X85"/>
  <c r="Z362"/>
  <c r="T80"/>
  <c r="T81"/>
  <c r="T85"/>
  <c r="T86"/>
  <c r="T87"/>
  <c r="T88"/>
  <c r="T89"/>
  <c r="T79"/>
  <c r="T90"/>
  <c r="T92"/>
  <c r="T94"/>
  <c r="N396"/>
  <c r="T91"/>
  <c r="L86"/>
  <c r="L87"/>
  <c r="L88"/>
  <c r="L89"/>
  <c r="L90"/>
  <c r="L91"/>
  <c r="L92"/>
  <c r="L93"/>
  <c r="L94"/>
  <c r="L80"/>
  <c r="L85"/>
  <c r="AY80" l="1"/>
  <c r="AY93"/>
  <c r="AY90"/>
  <c r="AY91"/>
  <c r="AY92"/>
  <c r="AY88"/>
  <c r="AY87"/>
  <c r="AY86"/>
  <c r="AY81"/>
  <c r="BA396"/>
  <c r="AY89"/>
  <c r="AY85"/>
  <c r="V80"/>
  <c r="AY79"/>
  <c r="V79"/>
  <c r="V91"/>
  <c r="V87"/>
  <c r="V94"/>
  <c r="V88"/>
  <c r="F26" i="11"/>
  <c r="V90" i="19"/>
  <c r="L96"/>
  <c r="L114" s="1"/>
  <c r="V86"/>
  <c r="V85"/>
  <c r="V92"/>
  <c r="V89"/>
  <c r="V93"/>
  <c r="N80"/>
  <c r="N81"/>
  <c r="N85"/>
  <c r="N86"/>
  <c r="N87"/>
  <c r="N88"/>
  <c r="N89"/>
  <c r="N90"/>
  <c r="N92"/>
  <c r="N94"/>
  <c r="N91"/>
  <c r="N93"/>
  <c r="Z396"/>
  <c r="AA396" s="1"/>
  <c r="N79"/>
  <c r="R96"/>
  <c r="R114" s="1"/>
  <c r="T96"/>
  <c r="T114" s="1"/>
  <c r="P96"/>
  <c r="P114" s="1"/>
  <c r="X96"/>
  <c r="X114" s="1"/>
  <c r="AY96" l="1"/>
  <c r="AY114" s="1"/>
  <c r="X365"/>
  <c r="L365"/>
  <c r="L366" s="1"/>
  <c r="P365"/>
  <c r="T365"/>
  <c r="R365"/>
  <c r="V96"/>
  <c r="V114" s="1"/>
  <c r="N96"/>
  <c r="V365" l="1"/>
  <c r="V366" s="1"/>
  <c r="X366"/>
  <c r="D24" i="12"/>
  <c r="N114" i="19"/>
  <c r="D18" i="12"/>
  <c r="R366" i="19"/>
  <c r="D21" i="12"/>
  <c r="D20"/>
  <c r="P366" i="19"/>
  <c r="T366"/>
  <c r="D22" i="12"/>
  <c r="D23" l="1"/>
  <c r="N365" i="19"/>
  <c r="AY365"/>
  <c r="AY366" s="1"/>
  <c r="F18" i="12"/>
  <c r="L400" i="19"/>
  <c r="F22" i="12"/>
  <c r="T400" i="19"/>
  <c r="P400"/>
  <c r="F20" i="12"/>
  <c r="X400" i="19"/>
  <c r="F24" i="12"/>
  <c r="R400" i="19"/>
  <c r="F21" i="12"/>
  <c r="F23"/>
  <c r="V400" i="19"/>
  <c r="L158" l="1"/>
  <c r="L318"/>
  <c r="X158"/>
  <c r="X318"/>
  <c r="T158"/>
  <c r="T318"/>
  <c r="R158"/>
  <c r="R318"/>
  <c r="V158"/>
  <c r="V318"/>
  <c r="P158"/>
  <c r="P318"/>
  <c r="V146"/>
  <c r="V316"/>
  <c r="V314"/>
  <c r="V319"/>
  <c r="V323"/>
  <c r="V317"/>
  <c r="V321"/>
  <c r="V315"/>
  <c r="V320"/>
  <c r="V324"/>
  <c r="T146"/>
  <c r="T314"/>
  <c r="T319"/>
  <c r="T323"/>
  <c r="T317"/>
  <c r="T316"/>
  <c r="T321"/>
  <c r="T315"/>
  <c r="T320"/>
  <c r="T324"/>
  <c r="R146"/>
  <c r="R317"/>
  <c r="R321"/>
  <c r="R316"/>
  <c r="R315"/>
  <c r="R320"/>
  <c r="R324"/>
  <c r="R314"/>
  <c r="R319"/>
  <c r="R323"/>
  <c r="L146"/>
  <c r="L314"/>
  <c r="L315"/>
  <c r="L316"/>
  <c r="L317"/>
  <c r="L320"/>
  <c r="L324"/>
  <c r="L319"/>
  <c r="L321"/>
  <c r="L323"/>
  <c r="P146"/>
  <c r="P314"/>
  <c r="P315"/>
  <c r="P316"/>
  <c r="P317"/>
  <c r="P319"/>
  <c r="P320"/>
  <c r="P321"/>
  <c r="P323"/>
  <c r="P324"/>
  <c r="X146"/>
  <c r="X314"/>
  <c r="X315"/>
  <c r="X316"/>
  <c r="X317"/>
  <c r="X319"/>
  <c r="X320"/>
  <c r="X321"/>
  <c r="X323"/>
  <c r="X324"/>
  <c r="BA365"/>
  <c r="AY400"/>
  <c r="BA366"/>
  <c r="R138"/>
  <c r="R151"/>
  <c r="R152"/>
  <c r="R153"/>
  <c r="R154"/>
  <c r="R155"/>
  <c r="R156"/>
  <c r="R157"/>
  <c r="R160"/>
  <c r="R163"/>
  <c r="R164"/>
  <c r="R144"/>
  <c r="R145"/>
  <c r="R147"/>
  <c r="R143"/>
  <c r="R165"/>
  <c r="R326"/>
  <c r="R166"/>
  <c r="R341"/>
  <c r="R325"/>
  <c r="R137"/>
  <c r="R369" s="1"/>
  <c r="P163"/>
  <c r="P164"/>
  <c r="P143"/>
  <c r="P165"/>
  <c r="P166"/>
  <c r="P145"/>
  <c r="P151"/>
  <c r="P153"/>
  <c r="P155"/>
  <c r="P157"/>
  <c r="P144"/>
  <c r="P147"/>
  <c r="P341"/>
  <c r="P138"/>
  <c r="P152"/>
  <c r="P156"/>
  <c r="P326"/>
  <c r="P325"/>
  <c r="P137"/>
  <c r="P369" s="1"/>
  <c r="P160"/>
  <c r="P154"/>
  <c r="V137"/>
  <c r="V369" s="1"/>
  <c r="V163"/>
  <c r="V164"/>
  <c r="V143"/>
  <c r="V165"/>
  <c r="V166"/>
  <c r="V138"/>
  <c r="V152"/>
  <c r="V154"/>
  <c r="V156"/>
  <c r="V160"/>
  <c r="V145"/>
  <c r="V325"/>
  <c r="V151"/>
  <c r="V153"/>
  <c r="V155"/>
  <c r="V157"/>
  <c r="V144"/>
  <c r="V326"/>
  <c r="V341"/>
  <c r="V147"/>
  <c r="T137"/>
  <c r="T369" s="1"/>
  <c r="T138"/>
  <c r="T151"/>
  <c r="T152"/>
  <c r="T153"/>
  <c r="T154"/>
  <c r="T155"/>
  <c r="T156"/>
  <c r="T157"/>
  <c r="T160"/>
  <c r="T143"/>
  <c r="T165"/>
  <c r="T166"/>
  <c r="T144"/>
  <c r="T145"/>
  <c r="T147"/>
  <c r="T325"/>
  <c r="T326"/>
  <c r="T163"/>
  <c r="T164"/>
  <c r="T341"/>
  <c r="L144"/>
  <c r="L145"/>
  <c r="L147"/>
  <c r="L137"/>
  <c r="L151"/>
  <c r="L153"/>
  <c r="L155"/>
  <c r="L157"/>
  <c r="L166"/>
  <c r="L325"/>
  <c r="L164"/>
  <c r="L341"/>
  <c r="L163"/>
  <c r="L138"/>
  <c r="L152"/>
  <c r="L156"/>
  <c r="L326"/>
  <c r="L165"/>
  <c r="L160"/>
  <c r="L154"/>
  <c r="L143"/>
  <c r="X138"/>
  <c r="X151"/>
  <c r="X152"/>
  <c r="X153"/>
  <c r="X154"/>
  <c r="X155"/>
  <c r="X156"/>
  <c r="X157"/>
  <c r="X160"/>
  <c r="X163"/>
  <c r="X164"/>
  <c r="X137"/>
  <c r="X369" s="1"/>
  <c r="X341"/>
  <c r="X143"/>
  <c r="X165"/>
  <c r="X326"/>
  <c r="X325"/>
  <c r="X145"/>
  <c r="X144"/>
  <c r="X147"/>
  <c r="X166"/>
  <c r="D19" i="12"/>
  <c r="D26" s="1"/>
  <c r="N366" i="19"/>
  <c r="Z365"/>
  <c r="AY158" l="1"/>
  <c r="AY318"/>
  <c r="L369"/>
  <c r="L370" s="1"/>
  <c r="AY166"/>
  <c r="AY341"/>
  <c r="AY317"/>
  <c r="AY321"/>
  <c r="AY314"/>
  <c r="AY323"/>
  <c r="AY319"/>
  <c r="AY324"/>
  <c r="AY316"/>
  <c r="AY315"/>
  <c r="AY320"/>
  <c r="L371"/>
  <c r="L372" s="1"/>
  <c r="X371"/>
  <c r="R371"/>
  <c r="T371"/>
  <c r="V371"/>
  <c r="P371"/>
  <c r="BA400"/>
  <c r="AY163"/>
  <c r="AY325"/>
  <c r="AY155"/>
  <c r="AY138"/>
  <c r="AY137"/>
  <c r="AY152"/>
  <c r="AY144"/>
  <c r="AY156"/>
  <c r="AY145"/>
  <c r="AY151"/>
  <c r="AY147"/>
  <c r="AY326"/>
  <c r="AY143"/>
  <c r="AY153"/>
  <c r="AY165"/>
  <c r="AY154"/>
  <c r="AY164"/>
  <c r="AY146"/>
  <c r="AY160"/>
  <c r="AY157"/>
  <c r="F19" i="12"/>
  <c r="F26" s="1"/>
  <c r="N400" i="19"/>
  <c r="Z366"/>
  <c r="N158" l="1"/>
  <c r="N318"/>
  <c r="AY369"/>
  <c r="AY371"/>
  <c r="N146"/>
  <c r="N314"/>
  <c r="N315"/>
  <c r="N316"/>
  <c r="N317"/>
  <c r="N319"/>
  <c r="N320"/>
  <c r="N321"/>
  <c r="N324"/>
  <c r="N323"/>
  <c r="X370"/>
  <c r="D70" i="12"/>
  <c r="V372" i="19"/>
  <c r="D91" i="12"/>
  <c r="D89"/>
  <c r="R372" i="19"/>
  <c r="D86" i="12"/>
  <c r="D88"/>
  <c r="P372" i="19"/>
  <c r="D64" i="12"/>
  <c r="T370" i="19"/>
  <c r="D68" i="12"/>
  <c r="R370" i="19"/>
  <c r="D67" i="12"/>
  <c r="D69"/>
  <c r="V370" i="19"/>
  <c r="P370"/>
  <c r="D66" i="12"/>
  <c r="X372" i="19"/>
  <c r="D92" i="12"/>
  <c r="N143" i="19"/>
  <c r="N165"/>
  <c r="N166"/>
  <c r="N144"/>
  <c r="N145"/>
  <c r="N147"/>
  <c r="N163"/>
  <c r="N164"/>
  <c r="N341"/>
  <c r="N151"/>
  <c r="N155"/>
  <c r="N157"/>
  <c r="N138"/>
  <c r="N152"/>
  <c r="N156"/>
  <c r="N326"/>
  <c r="N153"/>
  <c r="N137"/>
  <c r="N369" s="1"/>
  <c r="N160"/>
  <c r="N325"/>
  <c r="N154"/>
  <c r="Z400"/>
  <c r="AA400" s="1"/>
  <c r="T372"/>
  <c r="D90" i="12"/>
  <c r="N371" i="19" l="1"/>
  <c r="AY370"/>
  <c r="BA369"/>
  <c r="AY372"/>
  <c r="BA371"/>
  <c r="R402"/>
  <c r="F67" i="12"/>
  <c r="X402" i="19"/>
  <c r="F70" i="12"/>
  <c r="F69"/>
  <c r="V402" i="19"/>
  <c r="F64" i="12"/>
  <c r="L402" i="19"/>
  <c r="P403"/>
  <c r="P343" s="1"/>
  <c r="F88" i="12"/>
  <c r="F91"/>
  <c r="V403" i="19"/>
  <c r="V343" s="1"/>
  <c r="F90" i="12"/>
  <c r="T403" i="19"/>
  <c r="T343" s="1"/>
  <c r="L403"/>
  <c r="L343" s="1"/>
  <c r="F86" i="12"/>
  <c r="Z369" i="19"/>
  <c r="F92" i="12"/>
  <c r="X403" i="19"/>
  <c r="X343" s="1"/>
  <c r="F68" i="12"/>
  <c r="T402" i="19"/>
  <c r="R403"/>
  <c r="R343" s="1"/>
  <c r="F89" i="12"/>
  <c r="P402" i="19"/>
  <c r="F66" i="12"/>
  <c r="L279" i="19" l="1"/>
  <c r="L280"/>
  <c r="R280"/>
  <c r="R279"/>
  <c r="T280"/>
  <c r="T279"/>
  <c r="V279"/>
  <c r="V280"/>
  <c r="X279"/>
  <c r="X280"/>
  <c r="P279"/>
  <c r="P280"/>
  <c r="AY403"/>
  <c r="BA372"/>
  <c r="AY402"/>
  <c r="AY246" s="1"/>
  <c r="BA370"/>
  <c r="X344"/>
  <c r="X345"/>
  <c r="X278"/>
  <c r="X349"/>
  <c r="X332"/>
  <c r="T344"/>
  <c r="T332"/>
  <c r="T349"/>
  <c r="T345"/>
  <c r="T278"/>
  <c r="D87" i="12"/>
  <c r="D94" s="1"/>
  <c r="N372" i="19"/>
  <c r="Z371"/>
  <c r="N370"/>
  <c r="Z370" s="1"/>
  <c r="D65" i="12"/>
  <c r="D72" s="1"/>
  <c r="R344" i="19"/>
  <c r="R345"/>
  <c r="R349"/>
  <c r="R278"/>
  <c r="R332"/>
  <c r="P345"/>
  <c r="P332"/>
  <c r="P278"/>
  <c r="P349"/>
  <c r="P344"/>
  <c r="V149"/>
  <c r="V246"/>
  <c r="V141"/>
  <c r="V161"/>
  <c r="V162"/>
  <c r="V148"/>
  <c r="V345"/>
  <c r="V332"/>
  <c r="V344"/>
  <c r="V349"/>
  <c r="V278"/>
  <c r="X149"/>
  <c r="X246"/>
  <c r="X141"/>
  <c r="X161"/>
  <c r="X162"/>
  <c r="X148"/>
  <c r="T162"/>
  <c r="T148"/>
  <c r="T149"/>
  <c r="T246"/>
  <c r="T141"/>
  <c r="T161"/>
  <c r="P141"/>
  <c r="P161"/>
  <c r="P162"/>
  <c r="P148"/>
  <c r="P149"/>
  <c r="P246"/>
  <c r="L349"/>
  <c r="L278"/>
  <c r="L345"/>
  <c r="L332"/>
  <c r="L344"/>
  <c r="L148"/>
  <c r="L149"/>
  <c r="L246"/>
  <c r="L161"/>
  <c r="L141"/>
  <c r="L162"/>
  <c r="R141"/>
  <c r="R161"/>
  <c r="R162"/>
  <c r="R148"/>
  <c r="R246"/>
  <c r="R149"/>
  <c r="AY279" l="1"/>
  <c r="AY280"/>
  <c r="AY349"/>
  <c r="AY343"/>
  <c r="BA402"/>
  <c r="AY162"/>
  <c r="AY141"/>
  <c r="AY161"/>
  <c r="AY149"/>
  <c r="AY148"/>
  <c r="BA403"/>
  <c r="AY278"/>
  <c r="AY344"/>
  <c r="AY332"/>
  <c r="AY345"/>
  <c r="N403"/>
  <c r="N343" s="1"/>
  <c r="F87" i="12"/>
  <c r="F94" s="1"/>
  <c r="Z372" i="19"/>
  <c r="T329"/>
  <c r="L329"/>
  <c r="P329"/>
  <c r="F65" i="12"/>
  <c r="F72" s="1"/>
  <c r="N402" i="19"/>
  <c r="Z402" s="1"/>
  <c r="AA402" s="1"/>
  <c r="X329"/>
  <c r="V329"/>
  <c r="R329"/>
  <c r="N279" l="1"/>
  <c r="N280"/>
  <c r="AY329"/>
  <c r="N149"/>
  <c r="N246"/>
  <c r="N148"/>
  <c r="N141"/>
  <c r="N161"/>
  <c r="N162"/>
  <c r="N332"/>
  <c r="N349"/>
  <c r="N278"/>
  <c r="N345"/>
  <c r="N344"/>
  <c r="Z403"/>
  <c r="AA403" s="1"/>
  <c r="N329" l="1"/>
  <c r="AG195" l="1"/>
  <c r="AG199"/>
  <c r="AM199" s="1"/>
  <c r="T199" l="1"/>
  <c r="L199"/>
  <c r="P197"/>
  <c r="N199"/>
  <c r="AG224"/>
  <c r="L224"/>
  <c r="P224"/>
  <c r="V224"/>
  <c r="X224"/>
  <c r="R224"/>
  <c r="T224"/>
  <c r="N224"/>
  <c r="AG212"/>
  <c r="N212"/>
  <c r="R212"/>
  <c r="X212"/>
  <c r="P212"/>
  <c r="L212"/>
  <c r="T212"/>
  <c r="V212"/>
  <c r="AG217"/>
  <c r="V217"/>
  <c r="L217"/>
  <c r="X217"/>
  <c r="P217"/>
  <c r="T217"/>
  <c r="N217"/>
  <c r="R217"/>
  <c r="AG188"/>
  <c r="P188"/>
  <c r="R188"/>
  <c r="L188"/>
  <c r="X188"/>
  <c r="V188"/>
  <c r="N188"/>
  <c r="T188"/>
  <c r="AG202"/>
  <c r="L202"/>
  <c r="V202"/>
  <c r="T202"/>
  <c r="N202"/>
  <c r="X202"/>
  <c r="R202"/>
  <c r="P202"/>
  <c r="R199"/>
  <c r="AG225"/>
  <c r="P225"/>
  <c r="R225"/>
  <c r="T225"/>
  <c r="X225"/>
  <c r="L225"/>
  <c r="N225"/>
  <c r="V225"/>
  <c r="AG229"/>
  <c r="L229"/>
  <c r="X229"/>
  <c r="R229"/>
  <c r="N229"/>
  <c r="V229"/>
  <c r="P229"/>
  <c r="T229"/>
  <c r="AG210"/>
  <c r="V210"/>
  <c r="R210"/>
  <c r="P210"/>
  <c r="L210"/>
  <c r="X210"/>
  <c r="T210"/>
  <c r="N210"/>
  <c r="AG228"/>
  <c r="P228"/>
  <c r="V228"/>
  <c r="L228"/>
  <c r="R228"/>
  <c r="X228"/>
  <c r="N228"/>
  <c r="T228"/>
  <c r="AG193"/>
  <c r="X193"/>
  <c r="N193"/>
  <c r="P193"/>
  <c r="R193"/>
  <c r="T193"/>
  <c r="L193"/>
  <c r="V193"/>
  <c r="AG221"/>
  <c r="L221"/>
  <c r="X221"/>
  <c r="N221"/>
  <c r="R221"/>
  <c r="V221"/>
  <c r="T221"/>
  <c r="P221"/>
  <c r="AG227"/>
  <c r="P227"/>
  <c r="N227"/>
  <c r="X227"/>
  <c r="T227"/>
  <c r="R227"/>
  <c r="V227"/>
  <c r="L227"/>
  <c r="AG197"/>
  <c r="X197"/>
  <c r="L197"/>
  <c r="R197"/>
  <c r="N197"/>
  <c r="AG215"/>
  <c r="P215"/>
  <c r="T215"/>
  <c r="V215"/>
  <c r="R215"/>
  <c r="N215"/>
  <c r="X215"/>
  <c r="L215"/>
  <c r="P199"/>
  <c r="AG200"/>
  <c r="N200"/>
  <c r="R200"/>
  <c r="T200"/>
  <c r="X200"/>
  <c r="L200"/>
  <c r="P200"/>
  <c r="V200"/>
  <c r="X199"/>
  <c r="AG207"/>
  <c r="P207"/>
  <c r="V207"/>
  <c r="X207"/>
  <c r="N207"/>
  <c r="R207"/>
  <c r="T207"/>
  <c r="L207"/>
  <c r="AG230"/>
  <c r="N230"/>
  <c r="P230"/>
  <c r="L230"/>
  <c r="V230"/>
  <c r="T230"/>
  <c r="R230"/>
  <c r="X230"/>
  <c r="AG196"/>
  <c r="N196"/>
  <c r="P196"/>
  <c r="L196"/>
  <c r="R196"/>
  <c r="X196"/>
  <c r="T196"/>
  <c r="V196"/>
  <c r="AG222"/>
  <c r="P222"/>
  <c r="T222"/>
  <c r="L222"/>
  <c r="X222"/>
  <c r="N222"/>
  <c r="V222"/>
  <c r="R222"/>
  <c r="AG181"/>
  <c r="N181"/>
  <c r="V181"/>
  <c r="P181"/>
  <c r="L181"/>
  <c r="X181"/>
  <c r="R181"/>
  <c r="T181"/>
  <c r="AG179"/>
  <c r="T179"/>
  <c r="P179"/>
  <c r="R179"/>
  <c r="V179"/>
  <c r="X179"/>
  <c r="L179"/>
  <c r="N179"/>
  <c r="AG232"/>
  <c r="X232"/>
  <c r="N232"/>
  <c r="L232"/>
  <c r="R232"/>
  <c r="V232"/>
  <c r="T232"/>
  <c r="P232"/>
  <c r="AG233"/>
  <c r="P233"/>
  <c r="T233"/>
  <c r="R233"/>
  <c r="X233"/>
  <c r="N233"/>
  <c r="L233"/>
  <c r="V233"/>
  <c r="AG203"/>
  <c r="X203"/>
  <c r="P203"/>
  <c r="R203"/>
  <c r="V203"/>
  <c r="T203"/>
  <c r="L203"/>
  <c r="N203"/>
  <c r="AG190"/>
  <c r="N190"/>
  <c r="T190"/>
  <c r="P190"/>
  <c r="R190"/>
  <c r="L190"/>
  <c r="X190"/>
  <c r="V190"/>
  <c r="AG231"/>
  <c r="L231"/>
  <c r="R231"/>
  <c r="P231"/>
  <c r="T231"/>
  <c r="V231"/>
  <c r="X231"/>
  <c r="N231"/>
  <c r="AG223"/>
  <c r="N223"/>
  <c r="R223"/>
  <c r="L223"/>
  <c r="P223"/>
  <c r="X223"/>
  <c r="T223"/>
  <c r="V223"/>
  <c r="V199"/>
  <c r="AG201"/>
  <c r="N201"/>
  <c r="T201"/>
  <c r="P201"/>
  <c r="V201"/>
  <c r="L201"/>
  <c r="X201"/>
  <c r="R201"/>
  <c r="AG184"/>
  <c r="N184"/>
  <c r="P184"/>
  <c r="V184"/>
  <c r="R184"/>
  <c r="L184"/>
  <c r="T184"/>
  <c r="X184"/>
  <c r="AG186"/>
  <c r="T186"/>
  <c r="V186"/>
  <c r="L186"/>
  <c r="P186"/>
  <c r="R186"/>
  <c r="X186"/>
  <c r="N186"/>
  <c r="AG192"/>
  <c r="L192"/>
  <c r="N192"/>
  <c r="T192"/>
  <c r="X192"/>
  <c r="V192"/>
  <c r="P192"/>
  <c r="R192"/>
  <c r="AG182"/>
  <c r="X182"/>
  <c r="L182"/>
  <c r="N182"/>
  <c r="V182"/>
  <c r="R182"/>
  <c r="P182"/>
  <c r="T182"/>
  <c r="AG209"/>
  <c r="X209"/>
  <c r="V209"/>
  <c r="P209"/>
  <c r="T209"/>
  <c r="N209"/>
  <c r="R209"/>
  <c r="L209"/>
  <c r="AG191"/>
  <c r="R191"/>
  <c r="T191"/>
  <c r="L191"/>
  <c r="V191"/>
  <c r="X191"/>
  <c r="P191"/>
  <c r="N191"/>
  <c r="N234"/>
  <c r="AG234"/>
  <c r="V234"/>
  <c r="L234"/>
  <c r="X234"/>
  <c r="R234"/>
  <c r="P234"/>
  <c r="T234"/>
  <c r="AG213"/>
  <c r="L213"/>
  <c r="X213"/>
  <c r="N213"/>
  <c r="V213"/>
  <c r="R213"/>
  <c r="P213"/>
  <c r="T213"/>
  <c r="AG226"/>
  <c r="V226"/>
  <c r="R226"/>
  <c r="P226"/>
  <c r="T226"/>
  <c r="L226"/>
  <c r="X226"/>
  <c r="N226"/>
  <c r="N194"/>
  <c r="R194"/>
  <c r="V194"/>
  <c r="P194"/>
  <c r="X194"/>
  <c r="AG194"/>
  <c r="T194"/>
  <c r="L194"/>
  <c r="AG189"/>
  <c r="R189"/>
  <c r="X189"/>
  <c r="V189"/>
  <c r="L189"/>
  <c r="T189"/>
  <c r="N189"/>
  <c r="P189"/>
  <c r="AG204"/>
  <c r="R204"/>
  <c r="P204"/>
  <c r="N204"/>
  <c r="X204"/>
  <c r="T204"/>
  <c r="V204"/>
  <c r="L204"/>
  <c r="AG216"/>
  <c r="X216"/>
  <c r="N216"/>
  <c r="R216"/>
  <c r="P216"/>
  <c r="L216"/>
  <c r="V216"/>
  <c r="T216"/>
  <c r="AG208"/>
  <c r="R208"/>
  <c r="V208"/>
  <c r="P208"/>
  <c r="N208"/>
  <c r="L208"/>
  <c r="X208"/>
  <c r="T208"/>
  <c r="AG180"/>
  <c r="N180"/>
  <c r="V180"/>
  <c r="P180"/>
  <c r="T180"/>
  <c r="L180"/>
  <c r="R180"/>
  <c r="X180"/>
  <c r="AG214"/>
  <c r="P214"/>
  <c r="X214"/>
  <c r="L214"/>
  <c r="N214"/>
  <c r="V214"/>
  <c r="T214"/>
  <c r="R214"/>
  <c r="AG211"/>
  <c r="N211"/>
  <c r="P211"/>
  <c r="T211"/>
  <c r="L211"/>
  <c r="V211"/>
  <c r="X211"/>
  <c r="R211"/>
  <c r="AI199"/>
  <c r="AK199"/>
  <c r="AU199"/>
  <c r="AY199"/>
  <c r="AQ199"/>
  <c r="AW199"/>
  <c r="AO199"/>
  <c r="AS199"/>
  <c r="AY195"/>
  <c r="AW195"/>
  <c r="AQ195"/>
  <c r="AS195"/>
  <c r="AO195"/>
  <c r="AU195"/>
  <c r="AK195"/>
  <c r="AM195"/>
  <c r="AI195"/>
  <c r="N195"/>
  <c r="T195"/>
  <c r="V195"/>
  <c r="P195"/>
  <c r="R195"/>
  <c r="X195"/>
  <c r="L195"/>
  <c r="V197" l="1"/>
  <c r="T197"/>
  <c r="N219"/>
  <c r="P219"/>
  <c r="AG219"/>
  <c r="L219"/>
  <c r="R219"/>
  <c r="T219"/>
  <c r="X219"/>
  <c r="V219"/>
  <c r="AU204"/>
  <c r="AY204"/>
  <c r="AK204"/>
  <c r="AW204"/>
  <c r="AO204"/>
  <c r="AI204"/>
  <c r="AS204"/>
  <c r="AM204"/>
  <c r="AQ204"/>
  <c r="AU196"/>
  <c r="AI196"/>
  <c r="AK196"/>
  <c r="AS196"/>
  <c r="AY196"/>
  <c r="AO196"/>
  <c r="AW196"/>
  <c r="AM196"/>
  <c r="AQ196"/>
  <c r="AM189"/>
  <c r="AU189"/>
  <c r="AI189"/>
  <c r="AY189"/>
  <c r="AW189"/>
  <c r="AS189"/>
  <c r="AK189"/>
  <c r="AQ189"/>
  <c r="AO189"/>
  <c r="AU186"/>
  <c r="AY186"/>
  <c r="AK186"/>
  <c r="AM186"/>
  <c r="AI186"/>
  <c r="AW186"/>
  <c r="AS186"/>
  <c r="AO186"/>
  <c r="AQ186"/>
  <c r="AM203"/>
  <c r="AU203"/>
  <c r="AO203"/>
  <c r="AS203"/>
  <c r="AK203"/>
  <c r="AQ203"/>
  <c r="AW203"/>
  <c r="AY203"/>
  <c r="AI203"/>
  <c r="AS207"/>
  <c r="AW207"/>
  <c r="AO207"/>
  <c r="AK207"/>
  <c r="AQ207"/>
  <c r="AY207"/>
  <c r="AM207"/>
  <c r="AI207"/>
  <c r="AU207"/>
  <c r="AW221"/>
  <c r="AI221"/>
  <c r="AK221"/>
  <c r="AY221"/>
  <c r="AS221"/>
  <c r="AU221"/>
  <c r="AQ221"/>
  <c r="AM221"/>
  <c r="AO221"/>
  <c r="AS193"/>
  <c r="AI193"/>
  <c r="AM193"/>
  <c r="AW193"/>
  <c r="AO193"/>
  <c r="AK193"/>
  <c r="AQ193"/>
  <c r="AU193"/>
  <c r="AY193"/>
  <c r="AS214"/>
  <c r="AO214"/>
  <c r="AW214"/>
  <c r="AK214"/>
  <c r="AM214"/>
  <c r="AY214"/>
  <c r="AU214"/>
  <c r="AQ214"/>
  <c r="AI214"/>
  <c r="X218"/>
  <c r="T218"/>
  <c r="P218"/>
  <c r="V218"/>
  <c r="N218"/>
  <c r="R218"/>
  <c r="AG218"/>
  <c r="L218"/>
  <c r="AU209"/>
  <c r="AS209"/>
  <c r="AW209"/>
  <c r="AK209"/>
  <c r="AY209"/>
  <c r="AM209"/>
  <c r="AO209"/>
  <c r="AI209"/>
  <c r="AQ209"/>
  <c r="AO231"/>
  <c r="AY231"/>
  <c r="AQ231"/>
  <c r="AI231"/>
  <c r="AM231"/>
  <c r="AW231"/>
  <c r="AU231"/>
  <c r="AK231"/>
  <c r="AS231"/>
  <c r="AU222"/>
  <c r="AO222"/>
  <c r="AS222"/>
  <c r="AW222"/>
  <c r="AK222"/>
  <c r="AM222"/>
  <c r="AY222"/>
  <c r="AQ222"/>
  <c r="AI222"/>
  <c r="AO215"/>
  <c r="AU215"/>
  <c r="AS215"/>
  <c r="AK215"/>
  <c r="AM215"/>
  <c r="AY215"/>
  <c r="AI215"/>
  <c r="AQ215"/>
  <c r="AW215"/>
  <c r="AK225"/>
  <c r="AQ225"/>
  <c r="AU225"/>
  <c r="AW225"/>
  <c r="AO225"/>
  <c r="AS225"/>
  <c r="AM225"/>
  <c r="AY225"/>
  <c r="AI225"/>
  <c r="AY192"/>
  <c r="AO192"/>
  <c r="AQ192"/>
  <c r="AI192"/>
  <c r="AS192"/>
  <c r="AM192"/>
  <c r="AK192"/>
  <c r="AW192"/>
  <c r="AU192"/>
  <c r="AW227"/>
  <c r="AI227"/>
  <c r="AY227"/>
  <c r="AO227"/>
  <c r="AU227"/>
  <c r="AM227"/>
  <c r="AQ227"/>
  <c r="AS227"/>
  <c r="AK227"/>
  <c r="AW230"/>
  <c r="AQ230"/>
  <c r="AK230"/>
  <c r="AY230"/>
  <c r="AI230"/>
  <c r="AU230"/>
  <c r="AS230"/>
  <c r="AM230"/>
  <c r="AO230"/>
  <c r="AM211"/>
  <c r="AU211"/>
  <c r="AO211"/>
  <c r="AY211"/>
  <c r="AQ211"/>
  <c r="AW211"/>
  <c r="AS211"/>
  <c r="AK211"/>
  <c r="AI211"/>
  <c r="AS184"/>
  <c r="AO184"/>
  <c r="AK184"/>
  <c r="AQ184"/>
  <c r="AM184"/>
  <c r="AW184"/>
  <c r="AY184"/>
  <c r="AU184"/>
  <c r="AI184"/>
  <c r="AS226"/>
  <c r="AO226"/>
  <c r="AK226"/>
  <c r="AQ226"/>
  <c r="AM226"/>
  <c r="AY226"/>
  <c r="AU226"/>
  <c r="AI226"/>
  <c r="AW226"/>
  <c r="AS201"/>
  <c r="AK201"/>
  <c r="AM201"/>
  <c r="AQ201"/>
  <c r="AI201"/>
  <c r="AW201"/>
  <c r="AY201"/>
  <c r="AO201"/>
  <c r="AU201"/>
  <c r="AU180"/>
  <c r="AW180"/>
  <c r="AY180"/>
  <c r="AO180"/>
  <c r="AS180"/>
  <c r="AK180"/>
  <c r="AM180"/>
  <c r="AI180"/>
  <c r="AQ180"/>
  <c r="AI213"/>
  <c r="AS213"/>
  <c r="AK213"/>
  <c r="AY213"/>
  <c r="AU213"/>
  <c r="AW213"/>
  <c r="AM213"/>
  <c r="AQ213"/>
  <c r="AO213"/>
  <c r="AK234"/>
  <c r="AM234"/>
  <c r="AU234"/>
  <c r="AY234"/>
  <c r="AW234"/>
  <c r="AS234"/>
  <c r="AO234"/>
  <c r="AQ234"/>
  <c r="AI234"/>
  <c r="N205"/>
  <c r="T205"/>
  <c r="V205"/>
  <c r="R205"/>
  <c r="L205"/>
  <c r="X205"/>
  <c r="AG205"/>
  <c r="P205"/>
  <c r="AG206"/>
  <c r="R206"/>
  <c r="V206"/>
  <c r="T206"/>
  <c r="X206"/>
  <c r="P206"/>
  <c r="N206"/>
  <c r="L206"/>
  <c r="AI228"/>
  <c r="AS228"/>
  <c r="AM228"/>
  <c r="AU228"/>
  <c r="AY228"/>
  <c r="AK228"/>
  <c r="AO228"/>
  <c r="AQ228"/>
  <c r="AW228"/>
  <c r="AG220"/>
  <c r="R220"/>
  <c r="P220"/>
  <c r="L220"/>
  <c r="T220"/>
  <c r="V220"/>
  <c r="N220"/>
  <c r="X220"/>
  <c r="AY190"/>
  <c r="AU190"/>
  <c r="AO190"/>
  <c r="AW190"/>
  <c r="AS190"/>
  <c r="AM190"/>
  <c r="AQ190"/>
  <c r="AK190"/>
  <c r="AI190"/>
  <c r="AW217"/>
  <c r="AM217"/>
  <c r="AY217"/>
  <c r="AO217"/>
  <c r="AQ217"/>
  <c r="AI217"/>
  <c r="AU217"/>
  <c r="AK217"/>
  <c r="AS217"/>
  <c r="AS208"/>
  <c r="AK208"/>
  <c r="AO208"/>
  <c r="AQ208"/>
  <c r="AW208"/>
  <c r="AM208"/>
  <c r="AY208"/>
  <c r="AU208"/>
  <c r="AI208"/>
  <c r="AY194"/>
  <c r="AU194"/>
  <c r="AS194"/>
  <c r="AI194"/>
  <c r="AM194"/>
  <c r="AQ194"/>
  <c r="AO194"/>
  <c r="AK194"/>
  <c r="AW194"/>
  <c r="AK179"/>
  <c r="AI179"/>
  <c r="AO179"/>
  <c r="AY179"/>
  <c r="AQ179"/>
  <c r="AW179"/>
  <c r="AM179"/>
  <c r="AU179"/>
  <c r="AS179"/>
  <c r="R177"/>
  <c r="AG177"/>
  <c r="V177"/>
  <c r="L177"/>
  <c r="P177"/>
  <c r="N177"/>
  <c r="T177"/>
  <c r="X177"/>
  <c r="AQ200"/>
  <c r="AW200"/>
  <c r="AS200"/>
  <c r="AM200"/>
  <c r="AY200"/>
  <c r="AI200"/>
  <c r="AU200"/>
  <c r="AO200"/>
  <c r="AK200"/>
  <c r="AY197"/>
  <c r="AO197"/>
  <c r="AI197"/>
  <c r="AU197"/>
  <c r="AW197"/>
  <c r="AQ197"/>
  <c r="AK197"/>
  <c r="AM197"/>
  <c r="AS197"/>
  <c r="AQ210"/>
  <c r="AU210"/>
  <c r="AI210"/>
  <c r="AW210"/>
  <c r="AS210"/>
  <c r="AO210"/>
  <c r="AY210"/>
  <c r="AK210"/>
  <c r="AM210"/>
  <c r="AW212"/>
  <c r="AK212"/>
  <c r="AI212"/>
  <c r="AY212"/>
  <c r="AM212"/>
  <c r="AO212"/>
  <c r="AS212"/>
  <c r="AQ212"/>
  <c r="AU212"/>
  <c r="AM182"/>
  <c r="AO182"/>
  <c r="AW182"/>
  <c r="AK182"/>
  <c r="AI182"/>
  <c r="AY182"/>
  <c r="AS182"/>
  <c r="AU182"/>
  <c r="AQ182"/>
  <c r="AS202"/>
  <c r="AW202"/>
  <c r="AQ202"/>
  <c r="AI202"/>
  <c r="AM202"/>
  <c r="AY202"/>
  <c r="AK202"/>
  <c r="AU202"/>
  <c r="AO202"/>
  <c r="AI233"/>
  <c r="AO233"/>
  <c r="AS233"/>
  <c r="AM233"/>
  <c r="AW233"/>
  <c r="AU233"/>
  <c r="AQ233"/>
  <c r="AY233"/>
  <c r="AK233"/>
  <c r="AO188"/>
  <c r="AS188"/>
  <c r="AW188"/>
  <c r="AM188"/>
  <c r="AY188"/>
  <c r="AU188"/>
  <c r="AI188"/>
  <c r="AQ188"/>
  <c r="AK188"/>
  <c r="AW232"/>
  <c r="AS232"/>
  <c r="AO232"/>
  <c r="AY232"/>
  <c r="AK232"/>
  <c r="AM232"/>
  <c r="AQ232"/>
  <c r="AU232"/>
  <c r="AI232"/>
  <c r="AU216"/>
  <c r="AS216"/>
  <c r="AO216"/>
  <c r="AW216"/>
  <c r="AK216"/>
  <c r="AM216"/>
  <c r="AQ216"/>
  <c r="AY216"/>
  <c r="AI216"/>
  <c r="AU191"/>
  <c r="AW191"/>
  <c r="AS191"/>
  <c r="AI191"/>
  <c r="AY191"/>
  <c r="AQ191"/>
  <c r="AO191"/>
  <c r="AM191"/>
  <c r="AK191"/>
  <c r="AW223"/>
  <c r="AM223"/>
  <c r="AY223"/>
  <c r="AU223"/>
  <c r="AS223"/>
  <c r="AO223"/>
  <c r="AI223"/>
  <c r="AK223"/>
  <c r="AQ223"/>
  <c r="AK181"/>
  <c r="AM181"/>
  <c r="AI181"/>
  <c r="AU181"/>
  <c r="AQ181"/>
  <c r="AY181"/>
  <c r="AO181"/>
  <c r="AW181"/>
  <c r="AS181"/>
  <c r="AK229"/>
  <c r="AI229"/>
  <c r="AM229"/>
  <c r="AO229"/>
  <c r="AY229"/>
  <c r="AS229"/>
  <c r="AQ229"/>
  <c r="AW229"/>
  <c r="AU229"/>
  <c r="AW224"/>
  <c r="AO224"/>
  <c r="AY224"/>
  <c r="AQ224"/>
  <c r="AU224"/>
  <c r="AK224"/>
  <c r="AI224"/>
  <c r="AS224"/>
  <c r="AM224"/>
  <c r="AG185" l="1"/>
  <c r="X185"/>
  <c r="N185"/>
  <c r="N236" s="1"/>
  <c r="V185"/>
  <c r="V236" s="1"/>
  <c r="L185"/>
  <c r="L236" s="1"/>
  <c r="P185"/>
  <c r="P236" s="1"/>
  <c r="R185"/>
  <c r="R236" s="1"/>
  <c r="T185"/>
  <c r="T236" s="1"/>
  <c r="J236"/>
  <c r="AS218"/>
  <c r="AW218"/>
  <c r="AQ218"/>
  <c r="AI218"/>
  <c r="AY218"/>
  <c r="AK218"/>
  <c r="AM218"/>
  <c r="AU218"/>
  <c r="AO218"/>
  <c r="AO206"/>
  <c r="AW206"/>
  <c r="AQ206"/>
  <c r="AI206"/>
  <c r="AS206"/>
  <c r="AY206"/>
  <c r="AU206"/>
  <c r="AM206"/>
  <c r="AK206"/>
  <c r="AU205"/>
  <c r="AS205"/>
  <c r="AM205"/>
  <c r="AW205"/>
  <c r="AO205"/>
  <c r="AK205"/>
  <c r="AY205"/>
  <c r="AQ205"/>
  <c r="AI205"/>
  <c r="AO220"/>
  <c r="AY220"/>
  <c r="AS220"/>
  <c r="AQ220"/>
  <c r="AW220"/>
  <c r="AI220"/>
  <c r="AM220"/>
  <c r="AU220"/>
  <c r="AK220"/>
  <c r="AM219"/>
  <c r="AW219"/>
  <c r="AU219"/>
  <c r="AO219"/>
  <c r="AI219"/>
  <c r="AQ219"/>
  <c r="AY219"/>
  <c r="AS219"/>
  <c r="AK219"/>
  <c r="AU177"/>
  <c r="AQ177"/>
  <c r="AS177"/>
  <c r="AM177"/>
  <c r="AO177"/>
  <c r="AK177"/>
  <c r="AW177"/>
  <c r="AI177"/>
  <c r="AY177"/>
  <c r="J261" l="1"/>
  <c r="J375"/>
  <c r="X236"/>
  <c r="AQ185"/>
  <c r="AQ236" s="1"/>
  <c r="AK185"/>
  <c r="AK236" s="1"/>
  <c r="AU185"/>
  <c r="AU236" s="1"/>
  <c r="AO185"/>
  <c r="AO236" s="1"/>
  <c r="AM185"/>
  <c r="AM236" s="1"/>
  <c r="AI185"/>
  <c r="AI236" s="1"/>
  <c r="AS185"/>
  <c r="AS236" s="1"/>
  <c r="AY185"/>
  <c r="AY236" s="1"/>
  <c r="AW185"/>
  <c r="AW236" s="1"/>
  <c r="AG236"/>
  <c r="J275" l="1"/>
  <c r="AG375"/>
  <c r="AG261"/>
  <c r="AG275" s="1"/>
  <c r="P18" i="27" l="1"/>
  <c r="R18" s="1"/>
  <c r="P22"/>
  <c r="R22" s="1"/>
  <c r="P24"/>
  <c r="R24" s="1"/>
  <c r="P20"/>
  <c r="R20" s="1"/>
  <c r="P28" l="1"/>
  <c r="R28" l="1"/>
  <c r="P30" l="1"/>
  <c r="R30" l="1"/>
  <c r="P26" l="1"/>
  <c r="L32"/>
  <c r="N18" s="1"/>
  <c r="N26" l="1"/>
  <c r="N28"/>
  <c r="N20"/>
  <c r="N22"/>
  <c r="N30"/>
  <c r="N24"/>
  <c r="L36"/>
  <c r="R26"/>
  <c r="P32"/>
  <c r="R32" s="1"/>
  <c r="P36" l="1"/>
  <c r="R36" s="1"/>
  <c r="N32"/>
  <c r="L150" i="19"/>
  <c r="N150"/>
  <c r="P150"/>
  <c r="R150"/>
  <c r="T150"/>
  <c r="V150"/>
  <c r="X150"/>
  <c r="AI150"/>
  <c r="AK150"/>
  <c r="AM150"/>
  <c r="AO150"/>
  <c r="AQ150"/>
  <c r="AS150"/>
  <c r="AU150"/>
  <c r="AW150"/>
  <c r="AY150"/>
  <c r="L169"/>
  <c r="N169"/>
  <c r="P169"/>
  <c r="R169"/>
  <c r="T169"/>
  <c r="V169"/>
  <c r="X169"/>
  <c r="AI169"/>
  <c r="AK169"/>
  <c r="AM169"/>
  <c r="AO169"/>
  <c r="AQ169"/>
  <c r="AS169"/>
  <c r="AU169"/>
  <c r="AW169"/>
  <c r="AY169"/>
  <c r="L173"/>
  <c r="N173"/>
  <c r="P173"/>
  <c r="R173"/>
  <c r="T173"/>
  <c r="V173"/>
  <c r="X173"/>
  <c r="AI173"/>
  <c r="AK173"/>
  <c r="AM173"/>
  <c r="AO173"/>
  <c r="AQ173"/>
  <c r="AS173"/>
  <c r="AU173"/>
  <c r="AW173"/>
  <c r="AY173"/>
  <c r="L239"/>
  <c r="N239"/>
  <c r="P239"/>
  <c r="R239"/>
  <c r="T239"/>
  <c r="V239"/>
  <c r="X239"/>
  <c r="AI239"/>
  <c r="AK239"/>
  <c r="AM239"/>
  <c r="AO239"/>
  <c r="AQ239"/>
  <c r="AS239"/>
  <c r="AU239"/>
  <c r="AW239"/>
  <c r="AY239"/>
  <c r="L240"/>
  <c r="N240"/>
  <c r="P240"/>
  <c r="R240"/>
  <c r="T240"/>
  <c r="V240"/>
  <c r="X240"/>
  <c r="AI240"/>
  <c r="AK240"/>
  <c r="AM240"/>
  <c r="AO240"/>
  <c r="AQ240"/>
  <c r="AS240"/>
  <c r="AU240"/>
  <c r="AW240"/>
  <c r="AY240"/>
  <c r="L243"/>
  <c r="N243"/>
  <c r="P243"/>
  <c r="R243"/>
  <c r="T243"/>
  <c r="V243"/>
  <c r="X243"/>
  <c r="AI243"/>
  <c r="AK243"/>
  <c r="AM243"/>
  <c r="AO243"/>
  <c r="AQ243"/>
  <c r="AS243"/>
  <c r="AU243"/>
  <c r="AW243"/>
  <c r="AY243"/>
  <c r="L247"/>
  <c r="N247"/>
  <c r="P247"/>
  <c r="R247"/>
  <c r="T247"/>
  <c r="V247"/>
  <c r="X247"/>
  <c r="AI247"/>
  <c r="AK247"/>
  <c r="AM247"/>
  <c r="AO247"/>
  <c r="AQ247"/>
  <c r="AS247"/>
  <c r="AU247"/>
  <c r="AW247"/>
  <c r="AY247"/>
  <c r="L248"/>
  <c r="N248"/>
  <c r="P248"/>
  <c r="R248"/>
  <c r="T248"/>
  <c r="V248"/>
  <c r="X248"/>
  <c r="AI248"/>
  <c r="AK248"/>
  <c r="AM248"/>
  <c r="AO248"/>
  <c r="AQ248"/>
  <c r="AS248"/>
  <c r="AU248"/>
  <c r="AW248"/>
  <c r="AY248"/>
  <c r="L249"/>
  <c r="N249"/>
  <c r="P249"/>
  <c r="R249"/>
  <c r="T249"/>
  <c r="V249"/>
  <c r="X249"/>
  <c r="AI249"/>
  <c r="AK249"/>
  <c r="AM249"/>
  <c r="AO249"/>
  <c r="AQ249"/>
  <c r="AS249"/>
  <c r="AU249"/>
  <c r="AW249"/>
  <c r="AY249"/>
  <c r="L250"/>
  <c r="N250"/>
  <c r="P250"/>
  <c r="R250"/>
  <c r="T250"/>
  <c r="V250"/>
  <c r="X250"/>
  <c r="AI250"/>
  <c r="AK250"/>
  <c r="AM250"/>
  <c r="AO250"/>
  <c r="AQ250"/>
  <c r="AS250"/>
  <c r="AU250"/>
  <c r="AW250"/>
  <c r="AY250"/>
  <c r="L253"/>
  <c r="N253"/>
  <c r="P253"/>
  <c r="R253"/>
  <c r="T253"/>
  <c r="V253"/>
  <c r="X253"/>
  <c r="AI253"/>
  <c r="AK253"/>
  <c r="AM253"/>
  <c r="AO253"/>
  <c r="AQ253"/>
  <c r="AS253"/>
  <c r="AU253"/>
  <c r="AW253"/>
  <c r="AY253"/>
  <c r="L256"/>
  <c r="N256"/>
  <c r="P256"/>
  <c r="R256"/>
  <c r="T256"/>
  <c r="V256"/>
  <c r="X256"/>
  <c r="AI256"/>
  <c r="AK256"/>
  <c r="AM256"/>
  <c r="AO256"/>
  <c r="AQ256"/>
  <c r="AS256"/>
  <c r="AU256"/>
  <c r="AW256"/>
  <c r="AY256"/>
  <c r="L259"/>
  <c r="N259"/>
  <c r="P259"/>
  <c r="R259"/>
  <c r="T259"/>
  <c r="V259"/>
  <c r="X259"/>
  <c r="AI259"/>
  <c r="AK259"/>
  <c r="AM259"/>
  <c r="AO259"/>
  <c r="AQ259"/>
  <c r="AS259"/>
  <c r="AU259"/>
  <c r="AW259"/>
  <c r="AY259"/>
  <c r="L261"/>
  <c r="N261"/>
  <c r="P261"/>
  <c r="R261"/>
  <c r="T261"/>
  <c r="V261"/>
  <c r="X261"/>
  <c r="AI261"/>
  <c r="AK261"/>
  <c r="AM261"/>
  <c r="AO261"/>
  <c r="AQ261"/>
  <c r="AS261"/>
  <c r="AU261"/>
  <c r="AW261"/>
  <c r="AY261"/>
  <c r="L263"/>
  <c r="N263"/>
  <c r="P263"/>
  <c r="R263"/>
  <c r="T263"/>
  <c r="V263"/>
  <c r="X263"/>
  <c r="AI263"/>
  <c r="AK263"/>
  <c r="AM263"/>
  <c r="AO263"/>
  <c r="AQ263"/>
  <c r="AS263"/>
  <c r="AU263"/>
  <c r="AW263"/>
  <c r="AY263"/>
  <c r="L264"/>
  <c r="N264"/>
  <c r="P264"/>
  <c r="R264"/>
  <c r="T264"/>
  <c r="V264"/>
  <c r="X264"/>
  <c r="AI264"/>
  <c r="AK264"/>
  <c r="AM264"/>
  <c r="AO264"/>
  <c r="AQ264"/>
  <c r="AS264"/>
  <c r="AU264"/>
  <c r="AW264"/>
  <c r="AY264"/>
  <c r="L265"/>
  <c r="N265"/>
  <c r="P265"/>
  <c r="R265"/>
  <c r="T265"/>
  <c r="V265"/>
  <c r="X265"/>
  <c r="AI265"/>
  <c r="AK265"/>
  <c r="AM265"/>
  <c r="AO265"/>
  <c r="AQ265"/>
  <c r="AS265"/>
  <c r="AU265"/>
  <c r="AW265"/>
  <c r="AY265"/>
  <c r="L270"/>
  <c r="N270"/>
  <c r="P270"/>
  <c r="R270"/>
  <c r="T270"/>
  <c r="V270"/>
  <c r="X270"/>
  <c r="AI270"/>
  <c r="AK270"/>
  <c r="AM270"/>
  <c r="AO270"/>
  <c r="AQ270"/>
  <c r="AS270"/>
  <c r="AU270"/>
  <c r="AW270"/>
  <c r="AY270"/>
  <c r="L272"/>
  <c r="N272"/>
  <c r="P272"/>
  <c r="R272"/>
  <c r="T272"/>
  <c r="V272"/>
  <c r="X272"/>
  <c r="AI272"/>
  <c r="AK272"/>
  <c r="AM272"/>
  <c r="AO272"/>
  <c r="AQ272"/>
  <c r="AS272"/>
  <c r="AU272"/>
  <c r="AW272"/>
  <c r="AY272"/>
  <c r="L275"/>
  <c r="N275"/>
  <c r="P275"/>
  <c r="R275"/>
  <c r="T275"/>
  <c r="V275"/>
  <c r="X275"/>
  <c r="AI275"/>
  <c r="AK275"/>
  <c r="AM275"/>
  <c r="AO275"/>
  <c r="AQ275"/>
  <c r="AS275"/>
  <c r="AU275"/>
  <c r="AW275"/>
  <c r="AY275"/>
  <c r="L342"/>
  <c r="N342"/>
  <c r="P342"/>
  <c r="R342"/>
  <c r="T342"/>
  <c r="V342"/>
  <c r="X342"/>
  <c r="AI342"/>
  <c r="AK342"/>
  <c r="AM342"/>
  <c r="AO342"/>
  <c r="AQ342"/>
  <c r="AS342"/>
  <c r="AU342"/>
  <c r="AW342"/>
  <c r="AY342"/>
  <c r="L351"/>
  <c r="N351"/>
  <c r="P351"/>
  <c r="R351"/>
  <c r="T351"/>
  <c r="V351"/>
  <c r="X351"/>
  <c r="AI351"/>
  <c r="AK351"/>
  <c r="AM351"/>
  <c r="AO351"/>
  <c r="AQ351"/>
  <c r="AS351"/>
  <c r="AU351"/>
  <c r="AW351"/>
  <c r="AY351"/>
  <c r="L353"/>
  <c r="N353"/>
  <c r="P353"/>
  <c r="R353"/>
  <c r="T353"/>
  <c r="V353"/>
  <c r="X353"/>
  <c r="AI353"/>
  <c r="AK353"/>
  <c r="AM353"/>
  <c r="AO353"/>
  <c r="AQ353"/>
  <c r="AS353"/>
  <c r="AU353"/>
  <c r="AW353"/>
  <c r="AY353"/>
  <c r="AQ358"/>
  <c r="AS358"/>
  <c r="L367"/>
  <c r="N367"/>
  <c r="P367"/>
  <c r="R367"/>
  <c r="T367"/>
  <c r="V367"/>
  <c r="X367"/>
  <c r="Z367"/>
  <c r="AI367"/>
  <c r="AK367"/>
  <c r="AM367"/>
  <c r="AO367"/>
  <c r="AQ367"/>
  <c r="AS367"/>
  <c r="AU367"/>
  <c r="AW367"/>
  <c r="AY367"/>
  <c r="BA367"/>
  <c r="L368"/>
  <c r="N368"/>
  <c r="P368"/>
  <c r="R368"/>
  <c r="T368"/>
  <c r="V368"/>
  <c r="X368"/>
  <c r="Z368"/>
  <c r="AI368"/>
  <c r="AK368"/>
  <c r="AM368"/>
  <c r="AO368"/>
  <c r="AQ368"/>
  <c r="AS368"/>
  <c r="AU368"/>
  <c r="AW368"/>
  <c r="AY368"/>
  <c r="BA368"/>
  <c r="L373"/>
  <c r="N373"/>
  <c r="P373"/>
  <c r="R373"/>
  <c r="T373"/>
  <c r="V373"/>
  <c r="X373"/>
  <c r="Z373"/>
  <c r="AI373"/>
  <c r="AK373"/>
  <c r="AM373"/>
  <c r="AO373"/>
  <c r="AQ373"/>
  <c r="AS373"/>
  <c r="AU373"/>
  <c r="AW373"/>
  <c r="AY373"/>
  <c r="BA373"/>
  <c r="L374"/>
  <c r="N374"/>
  <c r="P374"/>
  <c r="R374"/>
  <c r="T374"/>
  <c r="V374"/>
  <c r="X374"/>
  <c r="Z374"/>
  <c r="AI374"/>
  <c r="AK374"/>
  <c r="AM374"/>
  <c r="AO374"/>
  <c r="AQ374"/>
  <c r="AS374"/>
  <c r="AU374"/>
  <c r="AW374"/>
  <c r="AY374"/>
  <c r="BA374"/>
  <c r="L375"/>
  <c r="N375"/>
  <c r="P375"/>
  <c r="R375"/>
  <c r="T375"/>
  <c r="V375"/>
  <c r="X375"/>
  <c r="Z375"/>
  <c r="AI375"/>
  <c r="AK375"/>
  <c r="AM375"/>
  <c r="AO375"/>
  <c r="AQ375"/>
  <c r="AS375"/>
  <c r="AU375"/>
  <c r="AW375"/>
  <c r="AY375"/>
  <c r="BA375"/>
  <c r="L376"/>
  <c r="N376"/>
  <c r="P376"/>
  <c r="R376"/>
  <c r="T376"/>
  <c r="V376"/>
  <c r="X376"/>
  <c r="Z376"/>
  <c r="AI376"/>
  <c r="AK376"/>
  <c r="AM376"/>
  <c r="AO376"/>
  <c r="AQ376"/>
  <c r="AS376"/>
  <c r="AU376"/>
  <c r="AW376"/>
  <c r="AY376"/>
  <c r="BA376"/>
  <c r="L401"/>
  <c r="N401"/>
  <c r="P401"/>
  <c r="R401"/>
  <c r="T401"/>
  <c r="V401"/>
  <c r="X401"/>
  <c r="Z401"/>
  <c r="AA401"/>
  <c r="AI401"/>
  <c r="AK401"/>
  <c r="AM401"/>
  <c r="AO401"/>
  <c r="AQ401"/>
  <c r="AS401"/>
  <c r="AU401"/>
  <c r="AW401"/>
  <c r="AY401"/>
  <c r="BA401"/>
  <c r="L404"/>
  <c r="N404"/>
  <c r="P404"/>
  <c r="R404"/>
  <c r="T404"/>
  <c r="V404"/>
  <c r="X404"/>
  <c r="Z404"/>
  <c r="AA404"/>
  <c r="AI404"/>
  <c r="AK404"/>
  <c r="AM404"/>
  <c r="AO404"/>
  <c r="AQ404"/>
  <c r="AS404"/>
  <c r="AU404"/>
  <c r="AW404"/>
  <c r="AY404"/>
  <c r="BA404"/>
  <c r="L405"/>
  <c r="N405"/>
  <c r="P405"/>
  <c r="R405"/>
  <c r="T405"/>
  <c r="V405"/>
  <c r="X405"/>
  <c r="Z405"/>
  <c r="AA405"/>
  <c r="AI405"/>
  <c r="AK405"/>
  <c r="AM405"/>
  <c r="AO405"/>
  <c r="AQ405"/>
  <c r="AS405"/>
  <c r="AU405"/>
  <c r="AW405"/>
  <c r="AY405"/>
  <c r="BA405"/>
  <c r="L417"/>
  <c r="D39" i="12"/>
  <c r="F39"/>
  <c r="D40"/>
  <c r="F40"/>
  <c r="D41"/>
  <c r="F41"/>
  <c r="D42"/>
  <c r="F42"/>
  <c r="D43"/>
  <c r="F43"/>
  <c r="D44"/>
  <c r="F44"/>
  <c r="D45"/>
  <c r="F45"/>
  <c r="D47"/>
  <c r="F47"/>
  <c r="D111"/>
  <c r="F111"/>
  <c r="D112"/>
  <c r="F112"/>
  <c r="D113"/>
  <c r="F113"/>
  <c r="D114"/>
  <c r="F114"/>
  <c r="D115"/>
  <c r="F115"/>
  <c r="D116"/>
  <c r="F116"/>
  <c r="D117"/>
  <c r="F117"/>
  <c r="D119"/>
  <c r="F119"/>
  <c r="D131"/>
  <c r="F131"/>
  <c r="D132"/>
  <c r="F132"/>
  <c r="D133"/>
  <c r="F133"/>
  <c r="D134"/>
  <c r="F134"/>
  <c r="D135"/>
  <c r="F135"/>
  <c r="D136"/>
  <c r="F136"/>
  <c r="D137"/>
  <c r="F137"/>
  <c r="D139"/>
  <c r="F139"/>
  <c r="D18" i="27"/>
  <c r="F18"/>
  <c r="D20"/>
  <c r="F20"/>
  <c r="D22"/>
  <c r="F22"/>
  <c r="D24"/>
  <c r="F24"/>
  <c r="D26"/>
  <c r="F26"/>
  <c r="D28"/>
  <c r="F28"/>
  <c r="D30"/>
  <c r="F30"/>
  <c r="D32"/>
  <c r="F32"/>
  <c r="D36"/>
  <c r="C14" i="35"/>
  <c r="K14"/>
  <c r="C16"/>
  <c r="K16"/>
  <c r="C18"/>
  <c r="K18"/>
  <c r="C21"/>
  <c r="K21"/>
</calcChain>
</file>

<file path=xl/sharedStrings.xml><?xml version="1.0" encoding="utf-8"?>
<sst xmlns="http://schemas.openxmlformats.org/spreadsheetml/2006/main" count="2000" uniqueCount="789">
  <si>
    <t>Consumption w/ Fire</t>
  </si>
  <si>
    <t>The maximum hour extra capacity factors in column 5 are determined on the next page.</t>
  </si>
  <si>
    <t>FACTOR 15A.  ALLOCATION OF CASH WORKING CAPITAL</t>
  </si>
  <si>
    <t>FACTOR 15.  ALLOCATION OF ADMINISTRATIVE AND GENERAL EXPENSES</t>
  </si>
  <si>
    <t>15A</t>
  </si>
  <si>
    <t>CASH WORKING CAPITAL FOR FACTOR 15A</t>
  </si>
  <si>
    <t>FACTOR 15A</t>
  </si>
  <si>
    <t xml:space="preserve"> KENTUCKY AMERICAN WATER COMPANY</t>
  </si>
  <si>
    <t>KENTUCKY AMERICAN WATER COMPANY</t>
  </si>
  <si>
    <t>Annual</t>
  </si>
  <si>
    <t>Sendout</t>
  </si>
  <si>
    <t>Peak Day</t>
  </si>
  <si>
    <t>(MG)</t>
  </si>
  <si>
    <t>Date</t>
  </si>
  <si>
    <t>8/21</t>
  </si>
  <si>
    <t>6/15</t>
  </si>
  <si>
    <t>8/7</t>
  </si>
  <si>
    <t>8/2</t>
  </si>
  <si>
    <t>6/29</t>
  </si>
  <si>
    <t>7/8</t>
  </si>
  <si>
    <t>8/5</t>
  </si>
  <si>
    <t>6/19</t>
  </si>
  <si>
    <t>6/13</t>
  </si>
  <si>
    <t>8/11</t>
  </si>
  <si>
    <t>9/14</t>
  </si>
  <si>
    <t>7/18</t>
  </si>
  <si>
    <t>6/30</t>
  </si>
  <si>
    <t>7/14</t>
  </si>
  <si>
    <t>6/16</t>
  </si>
  <si>
    <t>7/13</t>
  </si>
  <si>
    <t>7/9</t>
  </si>
  <si>
    <t>GPM X 60 Min. X 10 Hrs.</t>
  </si>
  <si>
    <t>DEVELOPMENT OF PUMP STATION EQUIPMENT TOTAL HORSEPOWER BY DESIGNATION</t>
  </si>
  <si>
    <t>Pump Station Name</t>
  </si>
  <si>
    <t>Type of Pump</t>
  </si>
  <si>
    <t>Designation</t>
  </si>
  <si>
    <t>Kentucky River Station</t>
  </si>
  <si>
    <t>Kentucky River Intake</t>
  </si>
  <si>
    <t>Pump No. 1</t>
  </si>
  <si>
    <t>Intake - Low Service</t>
  </si>
  <si>
    <t>Pump No. 2</t>
  </si>
  <si>
    <t>Pump No. 3</t>
  </si>
  <si>
    <t>Pump No. 4</t>
  </si>
  <si>
    <t>Pump No. 5</t>
  </si>
  <si>
    <t>Pump No. 6</t>
  </si>
  <si>
    <t>Raw Water Transfer Station</t>
  </si>
  <si>
    <t>Pump No. 8</t>
  </si>
  <si>
    <t>Pump No. 9</t>
  </si>
  <si>
    <t>Chemical Rapid Mix Basins</t>
  </si>
  <si>
    <t>High Energy Mix Tank</t>
  </si>
  <si>
    <t>Low Energy Mix Tank</t>
  </si>
  <si>
    <t>Filters</t>
  </si>
  <si>
    <t>Clearwell Transfer Pump</t>
  </si>
  <si>
    <t>Richmond Road Station</t>
  </si>
  <si>
    <t>Jacobson Reservoir - Intake</t>
  </si>
  <si>
    <t>L.S. Pump Unit No. 1</t>
  </si>
  <si>
    <t>Low Service</t>
  </si>
  <si>
    <t>L.S. Pump Unit No. 2</t>
  </si>
  <si>
    <t>L.S. Pump Unit No. 3</t>
  </si>
  <si>
    <t>Lake Ellerslie Reservoir - Intake</t>
  </si>
  <si>
    <t>L.S. Pump Unit No. 5</t>
  </si>
  <si>
    <t>L.S. Pump Unit No. 4</t>
  </si>
  <si>
    <t>Total Maximum Day</t>
  </si>
  <si>
    <t>High Service Pumps</t>
  </si>
  <si>
    <t>H.S. Pump No. 10</t>
  </si>
  <si>
    <t>High Service</t>
  </si>
  <si>
    <t>Maximum Day and Fire</t>
  </si>
  <si>
    <t>H.S. Pump No. 11</t>
  </si>
  <si>
    <t>H.S. Pump No. 12</t>
  </si>
  <si>
    <t>H.S. Pump No. 13</t>
  </si>
  <si>
    <t>H.S. Pump No. 14</t>
  </si>
  <si>
    <t>H.S. Pump No. 15</t>
  </si>
  <si>
    <t>Standby Equipment</t>
  </si>
  <si>
    <t>Standby Pump No. 15</t>
  </si>
  <si>
    <t>H.S. Pump No. 8,</t>
  </si>
  <si>
    <t xml:space="preserve">H.S. Pump No. 7, </t>
  </si>
  <si>
    <t>H.S. Pump No. 6,</t>
  </si>
  <si>
    <t>H. S. with Standby Diesel Equipment</t>
  </si>
  <si>
    <t>H.S. Diesel Driven No. 9</t>
  </si>
  <si>
    <t>High Service with Standby</t>
  </si>
  <si>
    <t>H.S. Diesel Driven No. 11</t>
  </si>
  <si>
    <t>H.S. Diesel Driven No. 10</t>
  </si>
  <si>
    <t>Total Maximum Day and Fire</t>
  </si>
  <si>
    <t>Total Horsepower</t>
  </si>
  <si>
    <t>*</t>
  </si>
  <si>
    <t>&gt;12</t>
  </si>
  <si>
    <t>Demand*</t>
  </si>
  <si>
    <t>*  Relative Demand for Private Fire lines and hydrants are calculated at 1.5 times the Public Fire Relative</t>
  </si>
  <si>
    <t xml:space="preserve">   Demand.</t>
  </si>
  <si>
    <t>4 -1/4 inch w/ 2-2 1/2, 1-4 1/2</t>
  </si>
  <si>
    <t>5 -1/4 inch w/ 2-2 1/2, 1-4 1/2</t>
  </si>
  <si>
    <t xml:space="preserve">  -OPERATION-                            </t>
  </si>
  <si>
    <t xml:space="preserve">          Total Operation                </t>
  </si>
  <si>
    <t xml:space="preserve">  -MAINTENANCE-                          </t>
  </si>
  <si>
    <t xml:space="preserve">          Total Maintenance              </t>
  </si>
  <si>
    <t xml:space="preserve">        Total Source of Supply</t>
  </si>
  <si>
    <t xml:space="preserve">  Total Power and Pumping                </t>
  </si>
  <si>
    <t xml:space="preserve">  Total Water Treatment Expenses</t>
  </si>
  <si>
    <t xml:space="preserve">  Total Transmission and Distribution    </t>
  </si>
  <si>
    <t xml:space="preserve">  Total Customers' Accounting and        </t>
  </si>
  <si>
    <t xml:space="preserve">   Collecting Expenses                   </t>
  </si>
  <si>
    <t xml:space="preserve">              Customer Related</t>
  </si>
  <si>
    <t xml:space="preserve">              Water Quality</t>
  </si>
  <si>
    <t xml:space="preserve">              Other</t>
  </si>
  <si>
    <t xml:space="preserve">  Total Administrative and General       </t>
  </si>
  <si>
    <t xml:space="preserve">   Expenses                              </t>
  </si>
  <si>
    <t xml:space="preserve">  Total Operation and Maintenance        </t>
  </si>
  <si>
    <t xml:space="preserve">503  DEPRECIATION EXPENSE                </t>
  </si>
  <si>
    <t xml:space="preserve">           Total Depreciation Expense</t>
  </si>
  <si>
    <t>Factors are based on the net charge-offs by customer classification.</t>
  </si>
  <si>
    <t>Net</t>
  </si>
  <si>
    <t>Charge-Offs</t>
  </si>
  <si>
    <t>FACTOR 20. ALLOCATION OF UNCOLLECTIBLE ACCOUNTS</t>
  </si>
  <si>
    <t xml:space="preserve">              AFUDC</t>
  </si>
  <si>
    <t xml:space="preserve">              Acquisition Adjustment</t>
  </si>
  <si>
    <t xml:space="preserve">              Property Losses</t>
  </si>
  <si>
    <t xml:space="preserve">         Total Amortizations</t>
  </si>
  <si>
    <t xml:space="preserve">       Federal and State Payroll Taxes   </t>
  </si>
  <si>
    <t xml:space="preserve">       Property Taxes                    </t>
  </si>
  <si>
    <t xml:space="preserve">Utility Operating Income Available       </t>
  </si>
  <si>
    <t xml:space="preserve"> for Return                              </t>
  </si>
  <si>
    <t xml:space="preserve">     Total Other Water Revenues</t>
  </si>
  <si>
    <t xml:space="preserve">     Total Depreciable Plant Net of Accumulated Depreciation,</t>
  </si>
  <si>
    <t xml:space="preserve">          Contributions and Advances</t>
  </si>
  <si>
    <t>OTHER RATE BASE ELEMENTS</t>
  </si>
  <si>
    <t>Utility Plant Acquisition Adjustments</t>
  </si>
  <si>
    <t>CWIP - Water Treatment Plant and Supply Mains</t>
  </si>
  <si>
    <t>CWIP - Transmission Mains</t>
  </si>
  <si>
    <t>CWIP - Reservoirs and Standpipes</t>
  </si>
  <si>
    <t>CWIP - Distribution Mains</t>
  </si>
  <si>
    <t>CWIP - Meters and Meter Installations</t>
  </si>
  <si>
    <t>CWIP - Services</t>
  </si>
  <si>
    <t>CWIP - Hydrants</t>
  </si>
  <si>
    <t>CWIP - Other</t>
  </si>
  <si>
    <t>Working Capital Allowance</t>
  </si>
  <si>
    <t>Deferred Income Taxes</t>
  </si>
  <si>
    <t xml:space="preserve">Deferred Investment Tax Credits </t>
  </si>
  <si>
    <t>Deferred Debits</t>
  </si>
  <si>
    <t xml:space="preserve">     Source of Supply</t>
  </si>
  <si>
    <t>Other Rate Base Elements</t>
  </si>
  <si>
    <t xml:space="preserve">TRANSMISSION AND DISTRIBUTION EXPENSES   </t>
  </si>
  <si>
    <t xml:space="preserve">WATER TREATMENT                          </t>
  </si>
  <si>
    <t xml:space="preserve">POWER AND PUMPING EXPENSES               </t>
  </si>
  <si>
    <t xml:space="preserve">SOURCE OF SUPPLY EXPENSES                </t>
  </si>
  <si>
    <t xml:space="preserve">OPERATION AND MAINTENANCE EXPENSES       </t>
  </si>
  <si>
    <t>Ref.</t>
  </si>
  <si>
    <t>Cost of</t>
  </si>
  <si>
    <t>Account</t>
  </si>
  <si>
    <t>Private</t>
  </si>
  <si>
    <t>Private Fire</t>
  </si>
  <si>
    <t>Public Fire</t>
  </si>
  <si>
    <t>RATE BASE</t>
  </si>
  <si>
    <t>Authorities</t>
  </si>
  <si>
    <t>FACTOR 4.  ALLOCATION OF COSTS ASSOCIATED WITH FACILITIES SERVING BASE AND MAXIMUM HOUR EXTRA CAPACITY FUNCTIONS.</t>
  </si>
  <si>
    <t>FACTOR 5.  ALLOCATION OF COSTS ASSOCIATED WITH STORAGE FACILITIES, cont.</t>
  </si>
  <si>
    <t>FACTOR 6. ALLOCATION OF COSTS ASSOCIATED WITH POWER AND PUMPING FACILITIES.</t>
  </si>
  <si>
    <t>FACTOR 7. ALLOCATION OF COSTS ASSOCIATED WITH TRANSMISSION AND DISTRIBUTION MAINS.</t>
  </si>
  <si>
    <t>FACTOR 8. ALLOCATION OF COSTS ASSOCIATED WITH FIRE HYDRANTS.</t>
  </si>
  <si>
    <t>FACTOR 11.  ALLOCATION OF TRANSMISSION AND DISTRIBUTION OPERATION SUPERVISION</t>
  </si>
  <si>
    <t>FACTOR 12.  ALLOCATION OF TRANSMISSION AND DISTRIBUTION MAINTENANCE SUPERVISION</t>
  </si>
  <si>
    <t>FACTOR 13.  ALLOCATION OF BILLING AND COLLECTING COSTS.</t>
  </si>
  <si>
    <t>FACTOR 14.  ALLOCATION OF METER READING COSTS.</t>
  </si>
  <si>
    <t xml:space="preserve">FACTOR 17.  ALLOCATION OF ORGANIZATION, FRANCHISES AND CONSENTS, </t>
  </si>
  <si>
    <t>FACTOR 18.  ALLOCATION OF INCOME TAXES AND INCOME AVAILABLE FOR RETURN.</t>
  </si>
  <si>
    <t>FACTOR 19.  ALLOCATION OF REGULATORY COMMISSION EXPENSES, ASSESSMENTS AND</t>
  </si>
  <si>
    <t>FACTOR 11</t>
  </si>
  <si>
    <t>FACTOR 12</t>
  </si>
  <si>
    <t>FACTOR 15</t>
  </si>
  <si>
    <t>T&amp;D OP BASIS FOR FACTOR 11</t>
  </si>
  <si>
    <t>T&amp;D Mnt BASIS FOR FACTOR 12</t>
  </si>
  <si>
    <t>A&amp;G BASIS FOR FACTOR 15</t>
  </si>
  <si>
    <t>LABOR BASIS FOR FACTOR 16</t>
  </si>
  <si>
    <t>FACTOR 16</t>
  </si>
  <si>
    <t>UPIS BASIS FOR FACTOR 17</t>
  </si>
  <si>
    <t>FACTOR 17</t>
  </si>
  <si>
    <t>FACTOR 18</t>
  </si>
  <si>
    <t>RATE BASE BASIS FOR FACTOR 18</t>
  </si>
  <si>
    <t>TOTAL COS BASIS FOR FACTOR 19</t>
  </si>
  <si>
    <t>FACTOR 19</t>
  </si>
  <si>
    <t>Factors are based on the weighting of the maximum daily consumption with fire, Factor 3, and the maximum hour consumption, Factor 5, for each customer classification, as follows:</t>
  </si>
  <si>
    <t>Costs are assigned directly to Public Fire Protection.</t>
  </si>
  <si>
    <t xml:space="preserve">   Extra Capacity</t>
  </si>
  <si>
    <t>Factors are based on the allocation of direct labor expense.</t>
  </si>
  <si>
    <t>AND FIRE PROTECTION FUNCTIONS.</t>
  </si>
  <si>
    <t xml:space="preserve">FACTOR 3.  ALLOCATION OF COSTS ASSOCIATED WITH FACILITIES SERVING BASE, MAXIMUM DAY EXTRA CAPACITY </t>
  </si>
  <si>
    <t>The public and private fire protection allocation factors in column 7 on the previous page are based on the relative potential demands (see Schedule E).</t>
  </si>
  <si>
    <t>The public and private fire protection allocation factors in column 6 on the previous page are based on the relative potential demands (see Schedule E).</t>
  </si>
  <si>
    <t>AND ENGINEERING AND MISCELLANEOUS EXPENSES.</t>
  </si>
  <si>
    <t>AND ENGINEERING, STRUCTURES AND IMPROVEMENTS, AND OTHER EXPENSES.</t>
  </si>
  <si>
    <t xml:space="preserve"> MISCELLANEOUS INTANGIBLE PLANT AND OTHER RATE BASE ELEMENTS.</t>
  </si>
  <si>
    <t xml:space="preserve">             Total Public Fire Prorection</t>
  </si>
  <si>
    <t>Private Hydrants</t>
  </si>
  <si>
    <t>TO PRIVATE AND PUBLIC FIRE PROTECTION CUSTOMER CLASSIFICATIONS</t>
  </si>
  <si>
    <t>Table of Factors - Table Name "FACTORS"</t>
  </si>
  <si>
    <t>factor 3</t>
  </si>
  <si>
    <t>factor 4</t>
  </si>
  <si>
    <t>factor 2</t>
  </si>
  <si>
    <t xml:space="preserve">Public </t>
  </si>
  <si>
    <t>KENTUCKY-AMERICAN WATER COMPANY</t>
  </si>
  <si>
    <t/>
  </si>
  <si>
    <t>FACTORS FOR ALLOCATING COST OF SERVICE TO CUSTOMER CLASSIFICATIONS</t>
  </si>
  <si>
    <t>FACTOR 1.  ALLOCATION OF COSTS WHICH VARY WITH THE AMOUNT OF WATER CONSUMED.</t>
  </si>
  <si>
    <t>Factors are based on the pro forma test year average daily consumption for each customer classification.</t>
  </si>
  <si>
    <t>Average Daily</t>
  </si>
  <si>
    <t xml:space="preserve">Customer </t>
  </si>
  <si>
    <t>Consumption,</t>
  </si>
  <si>
    <t>Allocation</t>
  </si>
  <si>
    <t>Classification</t>
  </si>
  <si>
    <t>Factor</t>
  </si>
  <si>
    <t>(1)</t>
  </si>
  <si>
    <t xml:space="preserve">    (2)</t>
  </si>
  <si>
    <t>(3)</t>
  </si>
  <si>
    <t>Residential</t>
  </si>
  <si>
    <t>Commercial</t>
  </si>
  <si>
    <t>Industrial</t>
  </si>
  <si>
    <t>7/17</t>
  </si>
  <si>
    <t>Other Public Authority</t>
  </si>
  <si>
    <t>Other Water Utilities</t>
  </si>
  <si>
    <t>Private Fire Protection</t>
  </si>
  <si>
    <t>Public Fire Protection</t>
  </si>
  <si>
    <t xml:space="preserve">   Total</t>
  </si>
  <si>
    <t>FACTOR 2.  ALLOCATION OF COSTS ASSOCIATED WITH FACILITIES SERVING BASE AND</t>
  </si>
  <si>
    <t xml:space="preserve"> MAXIMUM DAY EXTRA CAPACITY FUNCTIONS.</t>
  </si>
  <si>
    <t>Factors are based on the weighting of the factors for average daily consumption (Factor 1) and the factors derived from maximum day extra capacity demand for each customer classification, as follows:</t>
  </si>
  <si>
    <t>Maximum Day</t>
  </si>
  <si>
    <t>Consumption</t>
  </si>
  <si>
    <t>Extra Capacity</t>
  </si>
  <si>
    <t>Weighted</t>
  </si>
  <si>
    <t>Factor 1</t>
  </si>
  <si>
    <t>(2)</t>
  </si>
  <si>
    <t>(3)=(2)x</t>
  </si>
  <si>
    <t>(4)</t>
  </si>
  <si>
    <t>(5)=(4)x</t>
  </si>
  <si>
    <t>(6)=(3)+(5)</t>
  </si>
  <si>
    <t>The derivation of the maximum day extra capacity factors in column 4 and the basis for the column 3 and 5 weightings are presented on the following page.</t>
  </si>
  <si>
    <t>::</t>
  </si>
  <si>
    <t>FACTORS FOR ALLOCATING COST OF SERVICE TO CUSTOMER CLASSIFICATIONS, cont.</t>
  </si>
  <si>
    <t xml:space="preserve"> MAXIMUM DAY EXTRA CAPACITY FUNCTIONS, cont.</t>
  </si>
  <si>
    <t>Maximum Day Extra Capacity</t>
  </si>
  <si>
    <t>Rate of Flow,</t>
  </si>
  <si>
    <t>Factor*</t>
  </si>
  <si>
    <t>Per Day</t>
  </si>
  <si>
    <t>(4)=(2)x(3)</t>
  </si>
  <si>
    <t>(5)</t>
  </si>
  <si>
    <t>Maximum</t>
  </si>
  <si>
    <t>Day</t>
  </si>
  <si>
    <t>Ratio</t>
  </si>
  <si>
    <t>Weight</t>
  </si>
  <si>
    <t>Average Day</t>
  </si>
  <si>
    <t xml:space="preserve"> Extra Capacity</t>
  </si>
  <si>
    <t xml:space="preserve">  Total</t>
  </si>
  <si>
    <t>* Ratio of maximum day to average day minus 1.0.</t>
  </si>
  <si>
    <t>Factors are based on the weighting of the average daily consumption, the maximum day extra capacity demand, and the fire protection demand for each customer classification.</t>
  </si>
  <si>
    <t>Fire Protection</t>
  </si>
  <si>
    <t>Customer</t>
  </si>
  <si>
    <t>(3)=(2) X</t>
  </si>
  <si>
    <t>(5)=(4) X</t>
  </si>
  <si>
    <t>(6)</t>
  </si>
  <si>
    <t>(7)=(6) X</t>
  </si>
  <si>
    <t>(8)=(3)+(5)+(7)</t>
  </si>
  <si>
    <t>Maximum Hour</t>
  </si>
  <si>
    <t>Average Hourly Consumption</t>
  </si>
  <si>
    <t>(4)=(3) X</t>
  </si>
  <si>
    <t>(6)=(5) X</t>
  </si>
  <si>
    <t>(7)</t>
  </si>
  <si>
    <t>(8)=(7) X</t>
  </si>
  <si>
    <t>(9)=(4)+(6)+(8)</t>
  </si>
  <si>
    <t>FACTOR 3.  ALLOCATION OF COSTS ASSOCIATED WITH FACILITIES SERVING BASE, MAXIMUM</t>
  </si>
  <si>
    <t xml:space="preserve">  DAY EXTRA CAPACITY AND FIRE PROTECTION FUNCTIONS, cont.</t>
  </si>
  <si>
    <t>(GPD)</t>
  </si>
  <si>
    <t>Average Hour</t>
  </si>
  <si>
    <t xml:space="preserve">  Subtotal</t>
  </si>
  <si>
    <t>FACTOR 4.  ALLOCATION OF COSTS ASSOCIATED WITH FACILITIES SERVING BASE AND</t>
  </si>
  <si>
    <t xml:space="preserve"> MAXIMUM HOUR EXTRA CAPACITY FUNCTIONS, cont.</t>
  </si>
  <si>
    <t>(GPM)</t>
  </si>
  <si>
    <t>The maximum hour extra capacity factors in column 5 of the previous page are determined as follows:</t>
  </si>
  <si>
    <t>Average</t>
  </si>
  <si>
    <t>Hourly</t>
  </si>
  <si>
    <t>Maximum Hour Extra Capacity</t>
  </si>
  <si>
    <t>Per Hour</t>
  </si>
  <si>
    <t xml:space="preserve">     Total</t>
  </si>
  <si>
    <t>* Ratio of Maximum Hour To Average Hour Minus 1.0.</t>
  </si>
  <si>
    <t>FACTOR 5.  ALLOCATION OF COSTS ASSOCIATED WITH STORAGE FACILITIES.</t>
  </si>
  <si>
    <t>Factors are based on the weighting of the average hourly consumption, the maximum hour extra capacity demand, and the fire protection demand for each customer classification.</t>
  </si>
  <si>
    <t xml:space="preserve">     Total Other Rate Base Elements</t>
  </si>
  <si>
    <t>Total Original Cost Measure of Value</t>
  </si>
  <si>
    <t>Fire Protection Weight =</t>
  </si>
  <si>
    <t>=</t>
  </si>
  <si>
    <t>General Service Weight =</t>
  </si>
  <si>
    <t>-</t>
  </si>
  <si>
    <t>The weighting of the average hourly consumption and maximum hour extra demand for general service is based on the maximum hour ratio, as follows:</t>
  </si>
  <si>
    <t>Hour</t>
  </si>
  <si>
    <t>Percent</t>
  </si>
  <si>
    <t xml:space="preserve"> Maximum Hour</t>
  </si>
  <si>
    <t>Factors are based on the weighting of the maximum daily consumption, Factor 2, the maximum daily consumption with fire, Factor 3, and the maximum hour consumption, Factor 4, for each customer classification, as follows:</t>
  </si>
  <si>
    <t>Maximum Daily</t>
  </si>
  <si>
    <t>Maximum Hourly</t>
  </si>
  <si>
    <t>Factor 2</t>
  </si>
  <si>
    <t>Factor 3</t>
  </si>
  <si>
    <t>Factor 4</t>
  </si>
  <si>
    <t>(3)=(2)X</t>
  </si>
  <si>
    <t>(5)=(4)X</t>
  </si>
  <si>
    <t>(7)=(6)X</t>
  </si>
  <si>
    <t>(8)=(3)+</t>
  </si>
  <si>
    <t>(5)+(7)</t>
  </si>
  <si>
    <t>Func.</t>
  </si>
  <si>
    <t>base</t>
  </si>
  <si>
    <t>max day</t>
  </si>
  <si>
    <t>max hour</t>
  </si>
  <si>
    <t>private fire</t>
  </si>
  <si>
    <t>public fire</t>
  </si>
  <si>
    <t>The weighting of the factors is based on the horsepower of pumps associated with maximum day facilities, maximum day and fire facilities, and maximum hour facilities, as follows:</t>
  </si>
  <si>
    <t>Horsepower</t>
  </si>
  <si>
    <t>of Pumps</t>
  </si>
  <si>
    <t>Associated with Maximum Day</t>
  </si>
  <si>
    <t>Associated with Maximum Day and Fire</t>
  </si>
  <si>
    <t>Associated with Maximum Hour</t>
  </si>
  <si>
    <t xml:space="preserve">    Total</t>
  </si>
  <si>
    <t>The weighting of the factors is based on the total footage of mains, designated as either transmission mains or distribution mains, as follows:</t>
  </si>
  <si>
    <t>Total Footage</t>
  </si>
  <si>
    <t>of Mains</t>
  </si>
  <si>
    <t>Transmission Mains</t>
  </si>
  <si>
    <t>Distribution Mains</t>
  </si>
  <si>
    <t>Number of</t>
  </si>
  <si>
    <t xml:space="preserve">       Total</t>
  </si>
  <si>
    <t>FACTOR 9.  ALLOCATION OF COSTS ASSOCIATED WITH METERS.</t>
  </si>
  <si>
    <t>Factors are based on the relative cost of meters by size and customer classification, as developed on the following page and summarized below.</t>
  </si>
  <si>
    <t>5/8" Dollar</t>
  </si>
  <si>
    <t>Equivalents</t>
  </si>
  <si>
    <t xml:space="preserve"> </t>
  </si>
  <si>
    <t>FACTOR 10.  ALLOCATION OF COSTS ASSOCIATED WITH SERVICES.</t>
  </si>
  <si>
    <t>Factors are based on the relative cost of services by size and customer classification, as developed on the following page and summarized below.</t>
  </si>
  <si>
    <t>3/4" Dollar</t>
  </si>
  <si>
    <t>old 1997 study</t>
  </si>
  <si>
    <t>|...+....1....+....2....+....3....+....4....+....5....+....6....+....7....+....8....+....9....+...10....+...11....+...12....+...13....+...14....+...15....+...16....+...17....+...18....+...19....+...20....+...21....+...22....+...23....+...</t>
  </si>
  <si>
    <t>BASIS FOR ALLOCATING SERVICE COSTS TO CUSTOMER CLASSIFICATIONS</t>
  </si>
  <si>
    <t>3/4"</t>
  </si>
  <si>
    <t>Sales for Resale</t>
  </si>
  <si>
    <t>Sales for</t>
  </si>
  <si>
    <t>Resale</t>
  </si>
  <si>
    <t xml:space="preserve">Other Water Utilities      </t>
  </si>
  <si>
    <t>Total</t>
  </si>
  <si>
    <t>Service</t>
  </si>
  <si>
    <t>Dollar</t>
  </si>
  <si>
    <t>Size</t>
  </si>
  <si>
    <t>Equivalent</t>
  </si>
  <si>
    <t>Services</t>
  </si>
  <si>
    <t>Weighting</t>
  </si>
  <si>
    <t>(4)=(2)X(3)</t>
  </si>
  <si>
    <t>(6)=(2)X(5)</t>
  </si>
  <si>
    <t>(8)=(2)X(7)</t>
  </si>
  <si>
    <t>(10)=(2)X(9)</t>
  </si>
  <si>
    <t>(12)=(2)X(11)</t>
  </si>
  <si>
    <t>(14)=(2)X(11)</t>
  </si>
  <si>
    <t xml:space="preserve">  3/4</t>
  </si>
  <si>
    <t xml:space="preserve">   1</t>
  </si>
  <si>
    <t xml:space="preserve"> 1-1/2</t>
  </si>
  <si>
    <t xml:space="preserve">   2</t>
  </si>
  <si>
    <t xml:space="preserve">   4</t>
  </si>
  <si>
    <t xml:space="preserve">   6</t>
  </si>
  <si>
    <t xml:space="preserve">   8</t>
  </si>
  <si>
    <t xml:space="preserve">  10</t>
  </si>
  <si>
    <t xml:space="preserve">  12</t>
  </si>
  <si>
    <t xml:space="preserve">  16</t>
  </si>
  <si>
    <t>Factors are based on the total number of customers.</t>
  </si>
  <si>
    <t>Customers</t>
  </si>
  <si>
    <t>Factors are based on the number of metered customers.</t>
  </si>
  <si>
    <t>Total Metered</t>
  </si>
  <si>
    <t>Factors are based on transmission and distribution operation expenses other than those being allocated, as follows:</t>
  </si>
  <si>
    <t>Transmission</t>
  </si>
  <si>
    <t>and</t>
  </si>
  <si>
    <t>Distribution</t>
  </si>
  <si>
    <t>Operating</t>
  </si>
  <si>
    <t>Expenses</t>
  </si>
  <si>
    <t>ALTERNATE FACTOR 13.  ALLOCATION OF TRANSMISSION AND DISTRIBUTION MAINTENANCE SUPERVISION</t>
  </si>
  <si>
    <t xml:space="preserve"> AND ENGINEERING AND MISCELLANEOUS PLANT.</t>
  </si>
  <si>
    <t>Factors are based on transmission and distribution maintenance expenses other than</t>
  </si>
  <si>
    <t>those being allocated, as follows:</t>
  </si>
  <si>
    <t>Maintenance</t>
  </si>
  <si>
    <t>Public</t>
  </si>
  <si>
    <t>Factors are based on transmission and distribution maintenance expenses other than those being allocated, as follows:</t>
  </si>
  <si>
    <t>Gallons</t>
  </si>
  <si>
    <t>Operation &amp;</t>
  </si>
  <si>
    <t>FACTOR 16.  ALLOCATION OF LABOR RELATED TAXES AND BENEFITS.</t>
  </si>
  <si>
    <t>Direct Labor</t>
  </si>
  <si>
    <t>Expense</t>
  </si>
  <si>
    <t>Factors are based on the allocation of the original cost less depreciation other than those items being allocated, as follows:</t>
  </si>
  <si>
    <t>Original</t>
  </si>
  <si>
    <t>Cost Less</t>
  </si>
  <si>
    <t>Depreciation</t>
  </si>
  <si>
    <t>Factors are based on the allocation of the original cost measure of value rate base as shown on the following pages and summarized below.</t>
  </si>
  <si>
    <t>Cost Measure</t>
  </si>
  <si>
    <t>of Value</t>
  </si>
  <si>
    <t xml:space="preserve"> OTHER WATER REVENUES.</t>
  </si>
  <si>
    <t>The factors are based on the allocation of the total cost of service, excluding those items being allocated.</t>
  </si>
  <si>
    <t xml:space="preserve">Total Cost </t>
  </si>
  <si>
    <t>of Service</t>
  </si>
  <si>
    <t>BASIS FOR ALLOCATING METER COSTS TO CUSTOMER CLASSIFICATIONS</t>
  </si>
  <si>
    <t>5/8"</t>
  </si>
  <si>
    <t>Meter</t>
  </si>
  <si>
    <t>Meters</t>
  </si>
  <si>
    <t>5/8</t>
  </si>
  <si>
    <t>1</t>
  </si>
  <si>
    <t>1-1/2</t>
  </si>
  <si>
    <t>2</t>
  </si>
  <si>
    <t>3</t>
  </si>
  <si>
    <t>4</t>
  </si>
  <si>
    <t>6</t>
  </si>
  <si>
    <t>8</t>
  </si>
  <si>
    <t>BASIS FOR ALLOCATING DEMAND RELATED COSTS OF FIRE SERVICE</t>
  </si>
  <si>
    <t>Restrictive</t>
  </si>
  <si>
    <t>Diameters</t>
  </si>
  <si>
    <t>Relative</t>
  </si>
  <si>
    <t>Description</t>
  </si>
  <si>
    <t>Squared</t>
  </si>
  <si>
    <t>Quantity</t>
  </si>
  <si>
    <t>PRIVATE FIRE PROTECTION</t>
  </si>
  <si>
    <t>Fire Lines</t>
  </si>
  <si>
    <t>-inch</t>
  </si>
  <si>
    <t>Total Private Fire Protection</t>
  </si>
  <si>
    <t>PUBLIC FIRE PROTECTION</t>
  </si>
  <si>
    <t xml:space="preserve"> Total Fire Protection</t>
  </si>
  <si>
    <t xml:space="preserve"> Sales of Water                          </t>
  </si>
  <si>
    <t xml:space="preserve">Total Cost of Service Related to         </t>
  </si>
  <si>
    <t xml:space="preserve">    Total Cost of Service                </t>
  </si>
  <si>
    <t xml:space="preserve">         Total Taxes, Other Than Income  </t>
  </si>
  <si>
    <t xml:space="preserve">                                         </t>
  </si>
  <si>
    <t xml:space="preserve">ADMINISTRATIVE AND GENERAL EXPENSES      </t>
  </si>
  <si>
    <t xml:space="preserve">CUSTOMER ACCOUNTS                        </t>
  </si>
  <si>
    <t>COMPARISON OF COST OF SERVICE WITH REVENUES UNDER PRESENT AND PROPOSED RATES</t>
  </si>
  <si>
    <t>Cost of Service</t>
  </si>
  <si>
    <t>Proposed Increase</t>
  </si>
  <si>
    <t>Amount</t>
  </si>
  <si>
    <t>Revenues, Present Rates</t>
  </si>
  <si>
    <t>Revenues, Proposed Rates</t>
  </si>
  <si>
    <t>Increase</t>
  </si>
  <si>
    <t>(8)</t>
  </si>
  <si>
    <t>(9)</t>
  </si>
  <si>
    <t>Public Authority</t>
  </si>
  <si>
    <t>Private Fire Service</t>
  </si>
  <si>
    <t>Public Fire Service</t>
  </si>
  <si>
    <t xml:space="preserve">     Total Sales</t>
  </si>
  <si>
    <t>Other Revenues</t>
  </si>
  <si>
    <t xml:space="preserve">              Total</t>
  </si>
  <si>
    <t>Base</t>
  </si>
  <si>
    <t>Max Day</t>
  </si>
  <si>
    <t>Max Hour</t>
  </si>
  <si>
    <t>Billing &amp;</t>
  </si>
  <si>
    <t>Collecting</t>
  </si>
  <si>
    <t>Factor 6</t>
  </si>
  <si>
    <t>1,000 Gallons</t>
  </si>
  <si>
    <t>&amp; Distribution</t>
  </si>
  <si>
    <t>Factors are based on the allocation of all other operation and maintenance expenses excluding purchased water, power, chemicals and waste disposal.</t>
  </si>
  <si>
    <t>(Schedule B)</t>
  </si>
  <si>
    <t>Year</t>
  </si>
  <si>
    <t>(MGD)</t>
  </si>
  <si>
    <t>Check</t>
  </si>
  <si>
    <t>Sch A</t>
  </si>
  <si>
    <t>Kentucky-American Water Company</t>
  </si>
  <si>
    <t>Cost of Service Study Data - UPIS</t>
  </si>
  <si>
    <t>KAWC</t>
  </si>
  <si>
    <t>UPIS</t>
  </si>
  <si>
    <t>ACCUM DEPREC</t>
  </si>
  <si>
    <t>CIAC AND ADV</t>
  </si>
  <si>
    <t>TOTAL</t>
  </si>
  <si>
    <t xml:space="preserve">              Employee Related</t>
  </si>
  <si>
    <t>ORGANIZATION</t>
  </si>
  <si>
    <t>FRANCHISE/CONSENTS</t>
  </si>
  <si>
    <t>OTHE P/E INTANGIBLES</t>
  </si>
  <si>
    <t>OTHER P/E COMPREHENSIVE STUDIES</t>
  </si>
  <si>
    <t>LAND AND LAND RIGHTS SS</t>
  </si>
  <si>
    <t>SS STRUCTURES &amp; IMPROVEMENTS</t>
  </si>
  <si>
    <t>COLL &amp; IMPOUNDING RESERV</t>
  </si>
  <si>
    <t>LAKE, RIVER, &amp; OTHER INTAKES</t>
  </si>
  <si>
    <t>WELLS &amp; SPRINGS</t>
  </si>
  <si>
    <t>SUPPLY MAINS</t>
  </si>
  <si>
    <t>PUMPING LAND &amp; LAND RIGHTS</t>
  </si>
  <si>
    <t>PUMPING STRUCTURES &amp; IMPROVEMENTS</t>
  </si>
  <si>
    <t>ELECTRIC PUMPING EQUIPMENT</t>
  </si>
  <si>
    <t>DIESEL PUMPING EQUIPMENT</t>
  </si>
  <si>
    <t>Pump Equip Hydraulic</t>
  </si>
  <si>
    <t>OTHER PUMPING EQUIPMENT</t>
  </si>
  <si>
    <t>PUMPING EQUIPMENT SS</t>
  </si>
  <si>
    <t>PUMPING EQUIPMENT TD</t>
  </si>
  <si>
    <t>LAND AND LAND RIGHTS</t>
  </si>
  <si>
    <t>WT STRUCTURES &amp; IMPROVMNT</t>
  </si>
  <si>
    <t>WATER TREATMENT EQUIPMENT</t>
  </si>
  <si>
    <t>WATER TREATMENT EQUIPMENT-STR</t>
  </si>
  <si>
    <t>WATER TREATMENT EQUIPMENT-FILTER MEDIA</t>
  </si>
  <si>
    <t>T &amp; D LAND &amp; RIGHTS OF WAY</t>
  </si>
  <si>
    <t>T &amp; D STRUCTURES &amp; IMP</t>
  </si>
  <si>
    <t>DIST RES &amp; STANDPIPES</t>
  </si>
  <si>
    <t>Elevated Tanks &amp; Standpipes</t>
  </si>
  <si>
    <t>GROUND LEVEL FACILITIES</t>
  </si>
  <si>
    <t>Clearwell</t>
  </si>
  <si>
    <t>SERVICES</t>
  </si>
  <si>
    <t>METERS</t>
  </si>
  <si>
    <t>METERS - BRONZE CASE</t>
  </si>
  <si>
    <t>METERS - PLASTIC CASE</t>
  </si>
  <si>
    <t>METERS - OTHER</t>
  </si>
  <si>
    <t>METER INSTALLATIONS</t>
  </si>
  <si>
    <t>METER VAULTS</t>
  </si>
  <si>
    <t>HYDRANTS</t>
  </si>
  <si>
    <t>OFFICE STRUCTURES AG</t>
  </si>
  <si>
    <t>OFFICE STRUCTURES</t>
  </si>
  <si>
    <t>STORES, SHOP &amp; GAR STRUCT</t>
  </si>
  <si>
    <t>MISC STRUCTURES</t>
  </si>
  <si>
    <t>OFFICE FURNITURE &amp; EQUIP</t>
  </si>
  <si>
    <t>MAINFRAME COMP &amp; PERIPH EQPT</t>
  </si>
  <si>
    <t>PERSONAL COMP &amp; PERIPH EQPT</t>
  </si>
  <si>
    <t>COMP &amp; PERIPH OTHER</t>
  </si>
  <si>
    <t>PERSONAL COMP SOFTWARE</t>
  </si>
  <si>
    <t>OTHER SOFTWARE</t>
  </si>
  <si>
    <t>OTHER OFFICE EQUIPMENT</t>
  </si>
  <si>
    <t>TRANS EQUIP - LIGHT TRUCKS</t>
  </si>
  <si>
    <t>TRANS EQUIP - HEAVY TRUCKS</t>
  </si>
  <si>
    <t>TRANS EQUIP - CARS</t>
  </si>
  <si>
    <t>OTHER TRANS EQUIP</t>
  </si>
  <si>
    <t>STORES EQUIPMENT</t>
  </si>
  <si>
    <t>TOOLS, SHOP, &amp; GARAGE EQUIP</t>
  </si>
  <si>
    <t>LABORATORY EQUIPMENT</t>
  </si>
  <si>
    <t>POWER OPERATED EQUIPMENT</t>
  </si>
  <si>
    <t>COMMUNICATION EQUIPMENT-non telephone</t>
  </si>
  <si>
    <t>COMMUNICATION EQUIPMENT-instrumentation</t>
  </si>
  <si>
    <t>COMMUNICATION EQUIPMENT</t>
  </si>
  <si>
    <t>MISC EQUIPMENT</t>
  </si>
  <si>
    <t>OTHER TANGIBLE PROPERTY</t>
  </si>
  <si>
    <t>Factors are based on the allocation of operation and maintenance expenses including purchased water, power, chemicals, waste disposal, and administrative and general expenses.</t>
  </si>
  <si>
    <t xml:space="preserve">     Total Plant in Service, Net of Accumulated</t>
  </si>
  <si>
    <t xml:space="preserve">        Depreciation, Contributions and Advances</t>
  </si>
  <si>
    <t xml:space="preserve">           AFUDC</t>
  </si>
  <si>
    <t xml:space="preserve">           Reconnection/Activation - T&amp;D Related</t>
  </si>
  <si>
    <t>(a)</t>
  </si>
  <si>
    <t>COMPARISON OF PRESENT AND PROPOSED RATES</t>
  </si>
  <si>
    <t>Meter Charges, Per Month:</t>
  </si>
  <si>
    <t>Present</t>
  </si>
  <si>
    <t>Proposed</t>
  </si>
  <si>
    <t>Rate</t>
  </si>
  <si>
    <t>3/4</t>
  </si>
  <si>
    <t>Per Thousand Gallons</t>
  </si>
  <si>
    <t>Per CCF</t>
  </si>
  <si>
    <t>Consumption Charges:</t>
  </si>
  <si>
    <t>Fire Protection:</t>
  </si>
  <si>
    <t>Line Size</t>
  </si>
  <si>
    <t>PrivateFire Hydrant</t>
  </si>
  <si>
    <t>Public Fire Hydrant</t>
  </si>
  <si>
    <t>CALCULATION OF MONTHLY SERVICE CHARGES</t>
  </si>
  <si>
    <t>Number</t>
  </si>
  <si>
    <t>Cost Per Unit</t>
  </si>
  <si>
    <t>Cost Function</t>
  </si>
  <si>
    <t>of Units</t>
  </si>
  <si>
    <t>Per Month</t>
  </si>
  <si>
    <t>5/8-inch meter equivalents</t>
  </si>
  <si>
    <t>3/4-inch service equivalents</t>
  </si>
  <si>
    <t>Billing &amp; Collecting</t>
  </si>
  <si>
    <t>Number of customers</t>
  </si>
  <si>
    <t xml:space="preserve">          Total</t>
  </si>
  <si>
    <t>Capacity</t>
  </si>
  <si>
    <t>Meter Size</t>
  </si>
  <si>
    <t xml:space="preserve">     5/8-inch</t>
  </si>
  <si>
    <t xml:space="preserve">     3/4-inch</t>
  </si>
  <si>
    <t xml:space="preserve">     1-inch</t>
  </si>
  <si>
    <t xml:space="preserve">     1-1/2-inch</t>
  </si>
  <si>
    <t xml:space="preserve">     2-inch</t>
  </si>
  <si>
    <t xml:space="preserve">     3-inch</t>
  </si>
  <si>
    <t xml:space="preserve">     4-inch</t>
  </si>
  <si>
    <t xml:space="preserve">     6-inch</t>
  </si>
  <si>
    <t xml:space="preserve">     8-inch</t>
  </si>
  <si>
    <t>Public fire</t>
  </si>
  <si>
    <t>private Fire</t>
  </si>
  <si>
    <t>Uncollectible</t>
  </si>
  <si>
    <t>Accounts</t>
  </si>
  <si>
    <t>Ratio to Ave Day</t>
  </si>
  <si>
    <t>SUMMARY OF AVERAGE DAY AND PEAK DAY DELIVERY FOR THE YEARS 1990-2011</t>
  </si>
  <si>
    <t>6/8</t>
  </si>
  <si>
    <t>Thousand Gallons</t>
  </si>
  <si>
    <t>Thousand</t>
  </si>
  <si>
    <t>(a) Includes Other Water Revenue.</t>
  </si>
  <si>
    <t xml:space="preserve">Purchased Water                    </t>
  </si>
  <si>
    <t>Purchased Power</t>
  </si>
  <si>
    <t xml:space="preserve">Miscellaneous Expenses             </t>
  </si>
  <si>
    <t xml:space="preserve">Rents                              </t>
  </si>
  <si>
    <t>Rents</t>
  </si>
  <si>
    <t xml:space="preserve">Supervision and Engineering        </t>
  </si>
  <si>
    <t xml:space="preserve">Chemicals                          </t>
  </si>
  <si>
    <t xml:space="preserve">Uncollectible Accounts             </t>
  </si>
  <si>
    <t xml:space="preserve"> Administrative &amp; General Salaries  </t>
  </si>
  <si>
    <t xml:space="preserve">Outside Services   </t>
  </si>
  <si>
    <t xml:space="preserve">Workers Compensation               </t>
  </si>
  <si>
    <t xml:space="preserve">Employee Pensions and Benefits     </t>
  </si>
  <si>
    <t xml:space="preserve">Regulatory Expenses                </t>
  </si>
  <si>
    <t xml:space="preserve">Miscellaneous General Expense      </t>
  </si>
  <si>
    <t xml:space="preserve">Other P/E Intangibles             </t>
  </si>
  <si>
    <t xml:space="preserve">Land and Land Rights              </t>
  </si>
  <si>
    <t xml:space="preserve">Source of Supply Struct &amp; Improv  </t>
  </si>
  <si>
    <t xml:space="preserve">Collecting &amp; Impounding Reservoirs </t>
  </si>
  <si>
    <t xml:space="preserve">Lake, River and Other Intakes     </t>
  </si>
  <si>
    <t xml:space="preserve">Wells and Springs                 </t>
  </si>
  <si>
    <t xml:space="preserve">Supply Mains                      </t>
  </si>
  <si>
    <t xml:space="preserve">Pumping Structures &amp; Improvements </t>
  </si>
  <si>
    <t xml:space="preserve">Other Power Production Equipment  </t>
  </si>
  <si>
    <t xml:space="preserve">Electric Pumping Equipment        </t>
  </si>
  <si>
    <t xml:space="preserve">Diesel Pumping Equipment          </t>
  </si>
  <si>
    <t xml:space="preserve">Other Pumping Equipment           </t>
  </si>
  <si>
    <t xml:space="preserve">Water Treat Structures &amp; Improv   </t>
  </si>
  <si>
    <t xml:space="preserve">Water Treat and Equipment         </t>
  </si>
  <si>
    <t>GAC</t>
  </si>
  <si>
    <t xml:space="preserve">T &amp; D Structures &amp; Improvements   </t>
  </si>
  <si>
    <t xml:space="preserve">Distrib. Reservoirs &amp; Standpipes  </t>
  </si>
  <si>
    <t xml:space="preserve">Transmission &amp; Distribution Mains </t>
  </si>
  <si>
    <t xml:space="preserve">Services                          </t>
  </si>
  <si>
    <t xml:space="preserve">Meters                            </t>
  </si>
  <si>
    <t xml:space="preserve">Meter Installations               </t>
  </si>
  <si>
    <t>Hydrants</t>
  </si>
  <si>
    <t xml:space="preserve">General Structures &amp; Improvements </t>
  </si>
  <si>
    <t xml:space="preserve"> Office Structures                 </t>
  </si>
  <si>
    <t>Stores Shop and Gar. Structures</t>
  </si>
  <si>
    <t xml:space="preserve"> Miscellaneous Structures &amp; Improv </t>
  </si>
  <si>
    <t xml:space="preserve">Office Furniture and Equipment    </t>
  </si>
  <si>
    <t xml:space="preserve">Computers &amp; Peripheral Equipment  </t>
  </si>
  <si>
    <t>Personal Comp and Periph</t>
  </si>
  <si>
    <t>Computers and Periph Other</t>
  </si>
  <si>
    <t xml:space="preserve">Computer Mainframe Software                 </t>
  </si>
  <si>
    <t xml:space="preserve">Personal software    </t>
  </si>
  <si>
    <t>Other Software</t>
  </si>
  <si>
    <t xml:space="preserve">Other Office Equipment            </t>
  </si>
  <si>
    <t xml:space="preserve">Transportation Equip-Light Trucks </t>
  </si>
  <si>
    <t xml:space="preserve">Transportation Equip-Heavy Trucks </t>
  </si>
  <si>
    <t xml:space="preserve">Transportation Equip-Cars         </t>
  </si>
  <si>
    <t xml:space="preserve">Transportation Equip-Other        </t>
  </si>
  <si>
    <t xml:space="preserve">Stores Equipment                  </t>
  </si>
  <si>
    <t xml:space="preserve">Tools, Shop &amp; Garage Equipment    </t>
  </si>
  <si>
    <t xml:space="preserve">Laboratory Equipment              </t>
  </si>
  <si>
    <t xml:space="preserve">Power Operated Equipment          </t>
  </si>
  <si>
    <t xml:space="preserve">Communication Equipment           </t>
  </si>
  <si>
    <t xml:space="preserve">Miscellaneous Equipment           </t>
  </si>
  <si>
    <t xml:space="preserve">Other Tangible Property           </t>
  </si>
  <si>
    <t>AMORTIZATION EXPENSE</t>
  </si>
  <si>
    <t xml:space="preserve">TAXES, OTHER THAN INCOME           </t>
  </si>
  <si>
    <t xml:space="preserve">INCOME TAXES                       </t>
  </si>
  <si>
    <t>Contracted Services</t>
  </si>
  <si>
    <t>666.8-667.8</t>
  </si>
  <si>
    <t>Insurance - Liability, Vehicle and Other</t>
  </si>
  <si>
    <t>656.8-659.8</t>
  </si>
  <si>
    <t xml:space="preserve">       Utility Reg Assessment         </t>
  </si>
  <si>
    <t>M&amp;S Operation</t>
  </si>
  <si>
    <t xml:space="preserve">M&amp;S Maint           </t>
  </si>
  <si>
    <t>M&amp;S Maint.</t>
  </si>
  <si>
    <t>632.8-636.8</t>
  </si>
  <si>
    <t>Contracted Services - Lab Testing</t>
  </si>
  <si>
    <t>Misc. Operating Expense</t>
  </si>
  <si>
    <t>Misc Operating Expense</t>
  </si>
  <si>
    <t>Injuries and Damages</t>
  </si>
  <si>
    <t>Low Income Pay Program</t>
  </si>
  <si>
    <t>Lab Supplies</t>
  </si>
  <si>
    <t>Transportation</t>
  </si>
  <si>
    <t>Bank Svc Charges-CA</t>
  </si>
  <si>
    <t>Cust Edu-Bill Insert</t>
  </si>
  <si>
    <t>Collection Agencies</t>
  </si>
  <si>
    <t>Forms CA</t>
  </si>
  <si>
    <t>Postage</t>
  </si>
  <si>
    <t>Employee Related Expense</t>
  </si>
  <si>
    <t>Office Supplies</t>
  </si>
  <si>
    <t>Software Licenses</t>
  </si>
  <si>
    <t>Waste Disposal</t>
  </si>
  <si>
    <t>Office Supplies and Uniforms</t>
  </si>
  <si>
    <t>Overnight Shipping</t>
  </si>
  <si>
    <t>Office Supplies, Uniforms and Shipping</t>
  </si>
  <si>
    <t>M&amp;S Maint WT</t>
  </si>
  <si>
    <t>Misc Maint TD</t>
  </si>
  <si>
    <t>Misc Maint AG</t>
  </si>
  <si>
    <t>Amort Def Maint WT</t>
  </si>
  <si>
    <t>Amort Def Maint TD</t>
  </si>
  <si>
    <t>Misc Main Pvg/Bckfll</t>
  </si>
  <si>
    <t>Electricity WT</t>
  </si>
  <si>
    <t>Electricity TD</t>
  </si>
  <si>
    <t>Electricity AG</t>
  </si>
  <si>
    <t>Heating Oil/Gas TD</t>
  </si>
  <si>
    <t>Heating Oil/Gas AG</t>
  </si>
  <si>
    <t>Janitorial P</t>
  </si>
  <si>
    <t>Janitorial WT</t>
  </si>
  <si>
    <t>Janitorial AG</t>
  </si>
  <si>
    <t>Add'l Security Costs</t>
  </si>
  <si>
    <t>Trash Removal SS</t>
  </si>
  <si>
    <t>Trash Removal WT</t>
  </si>
  <si>
    <t>Trash Removal TD</t>
  </si>
  <si>
    <t>Trash Removal AG</t>
  </si>
  <si>
    <t>Water &amp; WW SS</t>
  </si>
  <si>
    <t>Water &amp; WW WT</t>
  </si>
  <si>
    <t>Water &amp; WW AG</t>
  </si>
  <si>
    <t>Telephone WT</t>
  </si>
  <si>
    <t>Telephone CA</t>
  </si>
  <si>
    <t>Telephone AG</t>
  </si>
  <si>
    <t>Cell Phone WT</t>
  </si>
  <si>
    <t>Cell Phone TD</t>
  </si>
  <si>
    <t>Cell Phone CA</t>
  </si>
  <si>
    <t>Cell Phone AG</t>
  </si>
  <si>
    <t xml:space="preserve">           Application/Initiation Fee</t>
  </si>
  <si>
    <t>Labor Expense</t>
  </si>
  <si>
    <t>Labor</t>
  </si>
  <si>
    <t xml:space="preserve">Labor - Lines                        </t>
  </si>
  <si>
    <t xml:space="preserve">Labor - Meters                     </t>
  </si>
  <si>
    <t>Labor - Services</t>
  </si>
  <si>
    <t xml:space="preserve">Labor - Structures and Improvements                      </t>
  </si>
  <si>
    <t>Labor - Reservoirs and Standpipes</t>
  </si>
  <si>
    <t>Labor - Mains</t>
  </si>
  <si>
    <t>Labor - Meters</t>
  </si>
  <si>
    <t>Labor - Hydrants</t>
  </si>
  <si>
    <t>Labor - Meter Reading</t>
  </si>
  <si>
    <t>Labor - Customer Accounts</t>
  </si>
  <si>
    <t xml:space="preserve">       ITC</t>
  </si>
  <si>
    <t>Misc. Operatiing</t>
  </si>
  <si>
    <t>DA</t>
  </si>
  <si>
    <t>Power Generation Equipment</t>
  </si>
  <si>
    <t xml:space="preserve">Hydraulic Pumping Equipment          </t>
  </si>
  <si>
    <t>SOS and Pumping Equipment</t>
  </si>
  <si>
    <t>T &amp; D Pumping Equipment</t>
  </si>
  <si>
    <t>Communication Equipment - Non-Telephone</t>
  </si>
  <si>
    <t>Remote Control and Instrument</t>
  </si>
  <si>
    <t>Communication Equipment - Telephone</t>
  </si>
  <si>
    <t>POWER GENERATION EQUIPMENT</t>
  </si>
  <si>
    <t>T &amp; D MAINS - 4IN OR LESS</t>
  </si>
  <si>
    <t>T &amp; D MAINS - NOT CLASSIFIED</t>
  </si>
  <si>
    <t>T &amp; D MAINS - 6IN TO 8IN</t>
  </si>
  <si>
    <t>T &amp; D MAINS - 10IN TO 16 IN</t>
  </si>
  <si>
    <t>T &amp; D MAINS - 18IN OR GREATER</t>
  </si>
  <si>
    <t>METER READING UNITS</t>
  </si>
  <si>
    <t>COMPUTER SOFTWARE</t>
  </si>
  <si>
    <t>COMPUTER SOFTWARE - CUSTOMIZED</t>
  </si>
  <si>
    <t>COMPUTER SOFTWARE - SPECIAL</t>
  </si>
  <si>
    <t>OTHE P/E TREATMENT</t>
  </si>
  <si>
    <t>AND COR</t>
  </si>
  <si>
    <t>PUMPING EQUIPMENT WT</t>
  </si>
  <si>
    <t>WW STRUCTURE AND IMPROV</t>
  </si>
  <si>
    <t xml:space="preserve">Support Services   </t>
  </si>
  <si>
    <t>CWIP - Pumping</t>
  </si>
  <si>
    <t xml:space="preserve">Organization                      </t>
  </si>
  <si>
    <t xml:space="preserve">Franchise and Consents            </t>
  </si>
  <si>
    <t>Other P/E Treatment</t>
  </si>
  <si>
    <t xml:space="preserve">Land and Land Rights - SS         </t>
  </si>
  <si>
    <t xml:space="preserve">Collecting &amp;Impounding Reservoirs </t>
  </si>
  <si>
    <t>Pumping Land &amp; Land Rights</t>
  </si>
  <si>
    <t>Hydraulic Pumping Equipement</t>
  </si>
  <si>
    <t>Other Pumping Equipment</t>
  </si>
  <si>
    <t>Pumping Equipment - SS</t>
  </si>
  <si>
    <t>Land and Land Rights</t>
  </si>
  <si>
    <t xml:space="preserve">Water Treat Equipment         </t>
  </si>
  <si>
    <t>WT Filter Media</t>
  </si>
  <si>
    <t>Land and Land Rights - T&amp;D</t>
  </si>
  <si>
    <t>Pumping Equipment - WT</t>
  </si>
  <si>
    <t xml:space="preserve">  Not Classified</t>
  </si>
  <si>
    <t xml:space="preserve">  6 inch to 8 inch</t>
  </si>
  <si>
    <t xml:space="preserve">  10 inch to 16 inch</t>
  </si>
  <si>
    <t xml:space="preserve">  4 inch or less</t>
  </si>
  <si>
    <t xml:space="preserve">  18 inch or Greater</t>
  </si>
  <si>
    <t xml:space="preserve">Fire Hydrants                     </t>
  </si>
  <si>
    <t xml:space="preserve">Office Structures                 </t>
  </si>
  <si>
    <t>Computer Equipment and Software</t>
  </si>
  <si>
    <t>Transportation Equip</t>
  </si>
  <si>
    <t>Pumping Equipment  - T&amp;D</t>
  </si>
  <si>
    <t>NET ACCUM DEPR</t>
  </si>
  <si>
    <t>The weighting of the factors is based on the ratio of the capacity required for a 10 hour demand of fire flow, as related to total storage capacity.  The calculation is shown on the following page.</t>
  </si>
  <si>
    <t>The weighting of the factors is based on the ratio of the capacity required for a 10 hour demand of fire flow, as related to total storage capacity.</t>
  </si>
  <si>
    <t>Materials and Supplies</t>
  </si>
  <si>
    <t>Deferred Maintenance - Tank Painting</t>
  </si>
  <si>
    <t xml:space="preserve">       Other Taxes and Licenses     </t>
  </si>
  <si>
    <t>Shipping and Postage</t>
  </si>
  <si>
    <t>ADVANCES</t>
  </si>
  <si>
    <t xml:space="preserve">Less:  Misc. Service      </t>
  </si>
  <si>
    <t xml:space="preserve">           Rent</t>
  </si>
  <si>
    <t xml:space="preserve">           Rent I/C</t>
  </si>
  <si>
    <t xml:space="preserve">           NSF Return Check Charge</t>
  </si>
  <si>
    <t xml:space="preserve">           Late Payment Fee</t>
  </si>
  <si>
    <t>Water Treat Filter Media</t>
  </si>
  <si>
    <t>Computer Software - Special - CIS</t>
  </si>
  <si>
    <t>Computer Software - Special - Other</t>
  </si>
  <si>
    <t xml:space="preserve">     Deferred Debits Source of Supply</t>
  </si>
  <si>
    <t>9/23</t>
  </si>
  <si>
    <t>updated 2010 for number of 1" service lines serving two customers - see Linda Bridwell email of 12/2/2012.</t>
  </si>
  <si>
    <t>*Adjusted to reflect that approximately 34,570 residential customers are served by 1-inch service lines each serving two residences.</t>
  </si>
  <si>
    <t>Year Ending 9/30/2012</t>
  </si>
  <si>
    <t>COST OF SERVICE FOR THE TWELVE MONTHS ENDED JULY 31, 2014, ALLOCATED TO CUSTOMER CLASSIFICATIONS</t>
  </si>
  <si>
    <t>FOR THE TEST YEAR ENDED JULY 31, 2014</t>
  </si>
  <si>
    <t xml:space="preserve">The weighting of the factors is based on the potential demand of general and fire protection service.  The bases for the potential demand of general service are the maximum day ratio of 1.65 and the average daily system sendout for year ending 9/30/2012 of 39.283 MGD.  The system demand for fire protection is 10,000 Gallons per minute for 10 hours.    </t>
  </si>
  <si>
    <t>The weighting of the factors is based on the potential demand of general and fire protection service.  The bases for the potential demand of general service are the maximum hour ratio of 2.5 and the average daily system sendout for the  year ending 9/30/2012 of 39.283 MGD.  The system demand for fire protection is 10,000 gallons per minute.</t>
  </si>
  <si>
    <t>COST OF SERVICE FOR THE TWELVE MONTHS ENDED JULY 31, 2014, ALLOCATED TO FUNCTIONAL CLASSIFICATIONS</t>
  </si>
  <si>
    <t>The weighting of the factors is based on the maximum day ratio of 1.65, based on a review of maximum day ratios experienced during the period 1990 through 2011 (see Schedule D).</t>
  </si>
  <si>
    <t>DEVELOPER</t>
  </si>
  <si>
    <t>Total Maximum Hour - Boosters</t>
  </si>
</sst>
</file>

<file path=xl/styles.xml><?xml version="1.0" encoding="utf-8"?>
<styleSheet xmlns="http://schemas.openxmlformats.org/spreadsheetml/2006/main">
  <numFmts count="32">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0.0000"/>
    <numFmt numFmtId="168" formatCode="0_);\(0\)"/>
    <numFmt numFmtId="169" formatCode="#,##0.0000_);\(#,##0.0000\)"/>
    <numFmt numFmtId="170" formatCode="#,##0.0_);\(#,##0.0\)"/>
    <numFmt numFmtId="171" formatCode="&quot;$&quot;#,##0"/>
    <numFmt numFmtId="172" formatCode="_(* #,##0.0000_);_(* \(#,##0.0000\);_(* &quot;-&quot;????_);_(@_)"/>
    <numFmt numFmtId="173" formatCode="0.0%"/>
    <numFmt numFmtId="174" formatCode="_(* #,##0_);_(* \(#,##0\);_(* &quot;-&quot;??_);_(@_)"/>
    <numFmt numFmtId="175" formatCode="_(* #,##0.0_);_(* \(#,##0.0\);_(* &quot;-&quot;??_);_(@_)"/>
    <numFmt numFmtId="176" formatCode="#,##0;[Red]\-#,##0"/>
    <numFmt numFmtId="177" formatCode="_(&quot;$&quot;* #,##0_);_(&quot;$&quot;* \(#,##0\);_(&quot;$&quot;* &quot;-&quot;??_);_(@_)"/>
    <numFmt numFmtId="178" formatCode="_(* #,##0.000_);_(* \(#,##0.000\);_(* &quot;-&quot;??_);_(@_)"/>
    <numFmt numFmtId="179" formatCode="_(&quot;$&quot;* #,##0.00_);_(&quot;$&quot;* \(#,##0.00\);_(&quot;$&quot;* &quot;-&quot;_);_(@_)"/>
    <numFmt numFmtId="180" formatCode="_(* #,##0.0000_);_(* \(#,##0.0000\);_(* &quot;-&quot;??_);_(@_)"/>
    <numFmt numFmtId="181" formatCode="_(* #,##0.0_);_(* \(#,##0.0\);_(* &quot;-&quot;?_);_(@_)"/>
    <numFmt numFmtId="182" formatCode="_(&quot;$&quot;* #,##0.000_);_(&quot;$&quot;* \(#,##0.000\);_(&quot;$&quot;* &quot;-&quot;??_);_(@_)"/>
    <numFmt numFmtId="183" formatCode="_(* #,##0.00000_);_(* \(#,##0.00000\);_(* &quot;-&quot;??_);_(@_)"/>
    <numFmt numFmtId="184" formatCode="_(&quot;$&quot;* #,##0.0000_);_(&quot;$&quot;* \(#,##0.0000\);_(&quot;$&quot;* &quot;-&quot;??_);_(@_)"/>
    <numFmt numFmtId="185" formatCode="_(&quot;$&quot;* #,##0.00000_);_(&quot;$&quot;* \(#,##0.00000\);_(&quot;$&quot;* &quot;-&quot;??_);_(@_)"/>
    <numFmt numFmtId="186" formatCode="#,##0.000000"/>
    <numFmt numFmtId="187" formatCode="#,##0.000000_);\(#,##0.000000\)"/>
    <numFmt numFmtId="188" formatCode="#,##0.0000000_);\(#,##0.0000000\)"/>
    <numFmt numFmtId="189" formatCode="#,##0.000_);\(#,##0.000\)"/>
  </numFmts>
  <fonts count="27">
    <font>
      <sz val="12"/>
      <name val="Arial"/>
    </font>
    <font>
      <b/>
      <sz val="10"/>
      <name val="Arial"/>
      <family val="2"/>
    </font>
    <font>
      <sz val="10"/>
      <name val="Arial"/>
      <family val="2"/>
    </font>
    <font>
      <sz val="10"/>
      <color indexed="8"/>
      <name val="Arial"/>
      <family val="2"/>
    </font>
    <font>
      <sz val="12"/>
      <name val="Arial"/>
      <family val="2"/>
    </font>
    <font>
      <sz val="12"/>
      <color indexed="8"/>
      <name val="Arial"/>
      <family val="2"/>
    </font>
    <font>
      <sz val="10"/>
      <color indexed="10"/>
      <name val="Arial"/>
      <family val="2"/>
    </font>
    <font>
      <sz val="10"/>
      <name val="Arial"/>
      <family val="2"/>
    </font>
    <font>
      <u/>
      <sz val="10"/>
      <name val="Arial"/>
      <family val="2"/>
    </font>
    <font>
      <sz val="12"/>
      <name val="Arial"/>
      <family val="2"/>
    </font>
    <font>
      <sz val="9"/>
      <name val="Arial"/>
      <family val="2"/>
    </font>
    <font>
      <sz val="8"/>
      <name val="Arial"/>
      <family val="2"/>
    </font>
    <font>
      <sz val="11"/>
      <name val="Arial"/>
      <family val="2"/>
    </font>
    <font>
      <u/>
      <sz val="12"/>
      <name val="Arial"/>
      <family val="2"/>
    </font>
    <font>
      <sz val="10"/>
      <color indexed="10"/>
      <name val="Arial"/>
      <family val="2"/>
    </font>
    <font>
      <sz val="12"/>
      <name val="Arial"/>
      <family val="2"/>
    </font>
    <font>
      <sz val="12"/>
      <color indexed="10"/>
      <name val="Arial"/>
      <family val="2"/>
    </font>
    <font>
      <b/>
      <sz val="12"/>
      <color indexed="10"/>
      <name val="Arial"/>
      <family val="2"/>
    </font>
    <font>
      <sz val="10"/>
      <color indexed="20"/>
      <name val="Arial"/>
      <family val="2"/>
    </font>
    <font>
      <sz val="10"/>
      <color indexed="17"/>
      <name val="Arial"/>
      <family val="2"/>
    </font>
    <font>
      <b/>
      <u/>
      <sz val="10"/>
      <name val="Arial"/>
      <family val="2"/>
    </font>
    <font>
      <u val="singleAccounting"/>
      <sz val="10"/>
      <name val="Arial"/>
      <family val="2"/>
    </font>
    <font>
      <u/>
      <sz val="12"/>
      <name val="Arial"/>
      <family val="2"/>
    </font>
    <font>
      <sz val="12"/>
      <color rgb="FFFF0000"/>
      <name val="Arial"/>
      <family val="2"/>
    </font>
    <font>
      <sz val="10"/>
      <color rgb="FFFF0000"/>
      <name val="Arial"/>
      <family val="2"/>
    </font>
    <font>
      <sz val="11"/>
      <color theme="1"/>
      <name val="Calibri"/>
      <family val="2"/>
      <scheme val="minor"/>
    </font>
    <font>
      <sz val="10"/>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style="thin">
        <color indexed="8"/>
      </top>
      <bottom/>
      <diagonal/>
    </border>
    <border>
      <left/>
      <right/>
      <top style="double">
        <color indexed="8"/>
      </top>
      <bottom/>
      <diagonal/>
    </border>
    <border>
      <left/>
      <right/>
      <top/>
      <bottom style="thin">
        <color indexed="64"/>
      </bottom>
      <diagonal/>
    </border>
    <border>
      <left/>
      <right/>
      <top/>
      <bottom style="double">
        <color indexed="64"/>
      </bottom>
      <diagonal/>
    </border>
    <border>
      <left/>
      <right/>
      <top/>
      <bottom style="thin">
        <color indexed="8"/>
      </bottom>
      <diagonal/>
    </border>
    <border>
      <left/>
      <right/>
      <top style="thin">
        <color indexed="64"/>
      </top>
      <bottom/>
      <diagonal/>
    </border>
  </borders>
  <cellStyleXfs count="19">
    <xf numFmtId="164" fontId="0" fillId="0" borderId="0"/>
    <xf numFmtId="43" fontId="12" fillId="0" borderId="0" applyFont="0" applyFill="0" applyBorder="0" applyAlignment="0" applyProtection="0"/>
    <xf numFmtId="44"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9" fontId="2" fillId="0" borderId="0" applyFont="0" applyFill="0" applyBorder="0" applyAlignment="0" applyProtection="0"/>
    <xf numFmtId="0" fontId="25" fillId="0" borderId="0"/>
    <xf numFmtId="44" fontId="25" fillId="0" borderId="0" applyFont="0" applyFill="0" applyBorder="0" applyAlignment="0" applyProtection="0"/>
    <xf numFmtId="43" fontId="25" fillId="0" borderId="0" applyFont="0" applyFill="0" applyBorder="0" applyAlignment="0" applyProtection="0"/>
    <xf numFmtId="0" fontId="2" fillId="0" borderId="0"/>
    <xf numFmtId="0" fontId="2" fillId="0" borderId="0"/>
  </cellStyleXfs>
  <cellXfs count="642">
    <xf numFmtId="0" fontId="2" fillId="0" borderId="0" xfId="0" applyNumberFormat="1" applyFont="1" applyAlignment="1" applyProtection="1">
      <protection locked="0"/>
    </xf>
    <xf numFmtId="0" fontId="2" fillId="0" borderId="0" xfId="0" applyNumberFormat="1" applyFont="1" applyAlignment="1">
      <alignment horizontal="centerContinuous"/>
    </xf>
    <xf numFmtId="0" fontId="2" fillId="0" borderId="0" xfId="0" applyNumberFormat="1" applyFont="1" applyAlignment="1"/>
    <xf numFmtId="0" fontId="2" fillId="0" borderId="1" xfId="0" applyNumberFormat="1" applyFont="1" applyBorder="1" applyAlignment="1">
      <alignment horizontal="centerContinuous"/>
    </xf>
    <xf numFmtId="164" fontId="3" fillId="0" borderId="0" xfId="0" applyFont="1" applyAlignment="1"/>
    <xf numFmtId="164" fontId="2" fillId="0" borderId="0" xfId="0" applyFont="1" applyAlignment="1"/>
    <xf numFmtId="3" fontId="2" fillId="0" borderId="1" xfId="0" applyNumberFormat="1" applyFont="1" applyBorder="1" applyAlignment="1"/>
    <xf numFmtId="165" fontId="2" fillId="0" borderId="1" xfId="0" applyNumberFormat="1" applyFont="1" applyBorder="1" applyAlignment="1"/>
    <xf numFmtId="3" fontId="2" fillId="0" borderId="2" xfId="0" applyNumberFormat="1" applyFont="1" applyBorder="1" applyAlignment="1"/>
    <xf numFmtId="165" fontId="2" fillId="0" borderId="2" xfId="0" applyNumberFormat="1" applyFont="1" applyBorder="1" applyAlignment="1"/>
    <xf numFmtId="3" fontId="2" fillId="0" borderId="0" xfId="0" applyNumberFormat="1" applyFont="1" applyAlignment="1"/>
    <xf numFmtId="0" fontId="2" fillId="0" borderId="1" xfId="0" applyNumberFormat="1" applyFont="1" applyBorder="1" applyAlignment="1">
      <alignment horizontal="center"/>
    </xf>
    <xf numFmtId="0" fontId="2" fillId="0" borderId="0" xfId="0" applyNumberFormat="1" applyFont="1" applyAlignment="1">
      <alignment horizontal="center"/>
    </xf>
    <xf numFmtId="0" fontId="2" fillId="0" borderId="1" xfId="0" applyNumberFormat="1" applyFont="1" applyBorder="1" applyAlignment="1"/>
    <xf numFmtId="165" fontId="2" fillId="0" borderId="0" xfId="0" applyNumberFormat="1" applyFont="1" applyAlignment="1"/>
    <xf numFmtId="0" fontId="0" fillId="0" borderId="2" xfId="0" applyNumberFormat="1" applyBorder="1"/>
    <xf numFmtId="0" fontId="0" fillId="0" borderId="0" xfId="0" applyNumberFormat="1" applyProtection="1">
      <protection locked="0"/>
    </xf>
    <xf numFmtId="0" fontId="4" fillId="0" borderId="0" xfId="6" applyNumberFormat="1" applyFont="1" applyAlignment="1">
      <alignment horizontal="centerContinuous"/>
    </xf>
    <xf numFmtId="0" fontId="2" fillId="0" borderId="0" xfId="6" applyNumberFormat="1" applyFont="1" applyAlignment="1">
      <alignment horizontal="centerContinuous"/>
    </xf>
    <xf numFmtId="0" fontId="4" fillId="0" borderId="0" xfId="6" applyAlignment="1"/>
    <xf numFmtId="0" fontId="2" fillId="0" borderId="0" xfId="6" applyNumberFormat="1" applyFont="1" applyAlignment="1"/>
    <xf numFmtId="0" fontId="2" fillId="0" borderId="0" xfId="6" applyNumberFormat="1" applyFont="1" applyAlignment="1">
      <alignment horizontal="center"/>
    </xf>
    <xf numFmtId="0" fontId="2" fillId="0" borderId="1" xfId="6" applyNumberFormat="1" applyFont="1" applyBorder="1" applyAlignment="1">
      <alignment horizontal="center"/>
    </xf>
    <xf numFmtId="0" fontId="4" fillId="0" borderId="1" xfId="6" applyNumberFormat="1" applyFont="1" applyBorder="1" applyAlignment="1">
      <alignment horizontal="center"/>
    </xf>
    <xf numFmtId="0" fontId="4" fillId="0" borderId="0" xfId="6" applyNumberFormat="1" applyFont="1" applyAlignment="1">
      <alignment horizontal="center"/>
    </xf>
    <xf numFmtId="0" fontId="2" fillId="0" borderId="1" xfId="6" applyNumberFormat="1" applyFont="1" applyBorder="1" applyAlignment="1">
      <alignment horizontal="centerContinuous"/>
    </xf>
    <xf numFmtId="2" fontId="2" fillId="0" borderId="0" xfId="6" applyNumberFormat="1" applyFont="1" applyAlignment="1"/>
    <xf numFmtId="164" fontId="3" fillId="0" borderId="0" xfId="6" applyNumberFormat="1" applyFont="1" applyAlignment="1"/>
    <xf numFmtId="164" fontId="2" fillId="0" borderId="0" xfId="6" applyNumberFormat="1" applyFont="1" applyAlignment="1"/>
    <xf numFmtId="166" fontId="2" fillId="0" borderId="0" xfId="6" applyNumberFormat="1" applyFont="1" applyAlignment="1"/>
    <xf numFmtId="164" fontId="2" fillId="0" borderId="1" xfId="6" applyNumberFormat="1" applyFont="1" applyBorder="1" applyAlignment="1"/>
    <xf numFmtId="3" fontId="2" fillId="0" borderId="2" xfId="6" applyNumberFormat="1" applyFont="1" applyBorder="1" applyAlignment="1"/>
    <xf numFmtId="164" fontId="2" fillId="0" borderId="2" xfId="6" applyNumberFormat="1" applyFont="1" applyBorder="1" applyAlignment="1"/>
    <xf numFmtId="3" fontId="2" fillId="0" borderId="0" xfId="6" applyNumberFormat="1" applyFont="1" applyAlignment="1"/>
    <xf numFmtId="0" fontId="2" fillId="0" borderId="1" xfId="6" applyNumberFormat="1" applyFont="1" applyBorder="1" applyAlignment="1"/>
    <xf numFmtId="2" fontId="2" fillId="0" borderId="1" xfId="6" applyNumberFormat="1" applyFont="1" applyBorder="1" applyAlignment="1"/>
    <xf numFmtId="0" fontId="2" fillId="0" borderId="2" xfId="6" applyNumberFormat="1" applyFont="1" applyBorder="1" applyAlignment="1"/>
    <xf numFmtId="0" fontId="4" fillId="0" borderId="0" xfId="0" applyNumberFormat="1" applyFont="1" applyAlignment="1">
      <alignment horizontal="centerContinuous"/>
    </xf>
    <xf numFmtId="0" fontId="4" fillId="0" borderId="0" xfId="0" applyNumberFormat="1" applyFont="1" applyAlignment="1" applyProtection="1">
      <protection locked="0"/>
    </xf>
    <xf numFmtId="167" fontId="2" fillId="0" borderId="0" xfId="0" applyNumberFormat="1" applyFont="1" applyAlignment="1"/>
    <xf numFmtId="167" fontId="2" fillId="0" borderId="1" xfId="0" applyNumberFormat="1" applyFont="1" applyBorder="1" applyAlignment="1"/>
    <xf numFmtId="167" fontId="2" fillId="0" borderId="2" xfId="0" applyNumberFormat="1" applyFont="1" applyBorder="1" applyAlignment="1"/>
    <xf numFmtId="0" fontId="2" fillId="0" borderId="0" xfId="0" applyNumberFormat="1" applyFont="1" applyAlignment="1">
      <alignment horizontal="right"/>
    </xf>
    <xf numFmtId="164" fontId="2" fillId="0" borderId="1" xfId="0" applyFont="1" applyBorder="1" applyAlignment="1"/>
    <xf numFmtId="164" fontId="2" fillId="0" borderId="2" xfId="0" applyFont="1" applyBorder="1" applyAlignment="1"/>
    <xf numFmtId="0" fontId="4" fillId="0" borderId="0" xfId="7" applyNumberFormat="1" applyFont="1" applyAlignment="1">
      <alignment horizontal="centerContinuous"/>
    </xf>
    <xf numFmtId="0" fontId="2" fillId="0" borderId="0" xfId="7" applyNumberFormat="1" applyFont="1" applyAlignment="1">
      <alignment horizontal="centerContinuous"/>
    </xf>
    <xf numFmtId="0" fontId="2" fillId="0" borderId="0" xfId="7" applyFont="1" applyAlignment="1"/>
    <xf numFmtId="0" fontId="2" fillId="0" borderId="0" xfId="7" applyNumberFormat="1" applyFont="1" applyAlignment="1"/>
    <xf numFmtId="0" fontId="2" fillId="0" borderId="0" xfId="7" applyNumberFormat="1" applyFont="1" applyAlignment="1">
      <alignment horizontal="center"/>
    </xf>
    <xf numFmtId="0" fontId="2" fillId="0" borderId="1" xfId="7" applyNumberFormat="1" applyFont="1" applyBorder="1" applyAlignment="1"/>
    <xf numFmtId="2" fontId="2" fillId="0" borderId="0" xfId="7" applyNumberFormat="1" applyFont="1" applyAlignment="1"/>
    <xf numFmtId="3" fontId="2" fillId="0" borderId="0" xfId="7" applyNumberFormat="1" applyFont="1" applyAlignment="1"/>
    <xf numFmtId="164" fontId="2" fillId="0" borderId="0" xfId="7" applyNumberFormat="1" applyFont="1" applyAlignment="1"/>
    <xf numFmtId="2" fontId="2" fillId="0" borderId="1" xfId="7" applyNumberFormat="1" applyFont="1" applyBorder="1" applyAlignment="1"/>
    <xf numFmtId="3" fontId="2" fillId="0" borderId="1" xfId="7" applyNumberFormat="1" applyFont="1" applyBorder="1" applyAlignment="1"/>
    <xf numFmtId="164" fontId="2" fillId="0" borderId="1" xfId="7" applyNumberFormat="1" applyFont="1" applyBorder="1" applyAlignment="1"/>
    <xf numFmtId="0" fontId="2" fillId="0" borderId="2" xfId="7" applyNumberFormat="1" applyFont="1" applyBorder="1" applyAlignment="1"/>
    <xf numFmtId="165" fontId="2" fillId="0" borderId="0" xfId="7" applyNumberFormat="1" applyFont="1" applyAlignment="1"/>
    <xf numFmtId="164" fontId="2" fillId="0" borderId="2" xfId="7" applyNumberFormat="1" applyFont="1" applyBorder="1" applyAlignment="1"/>
    <xf numFmtId="0" fontId="2" fillId="0" borderId="1" xfId="7" applyNumberFormat="1" applyFont="1" applyBorder="1" applyAlignment="1">
      <alignment horizontal="center"/>
    </xf>
    <xf numFmtId="0" fontId="2" fillId="0" borderId="1" xfId="7" applyNumberFormat="1" applyFont="1" applyBorder="1" applyAlignment="1">
      <alignment horizontal="centerContinuous"/>
    </xf>
    <xf numFmtId="165" fontId="2" fillId="0" borderId="1" xfId="7" applyNumberFormat="1" applyFont="1" applyBorder="1" applyAlignment="1"/>
    <xf numFmtId="165" fontId="2" fillId="0" borderId="2" xfId="7" applyNumberFormat="1" applyFont="1" applyBorder="1" applyAlignment="1"/>
    <xf numFmtId="0" fontId="4" fillId="0" borderId="0" xfId="3" applyNumberFormat="1" applyFont="1" applyAlignment="1">
      <alignment horizontal="centerContinuous"/>
    </xf>
    <xf numFmtId="0" fontId="2" fillId="0" borderId="0" xfId="3" applyNumberFormat="1" applyFont="1" applyAlignment="1">
      <alignment horizontal="centerContinuous"/>
    </xf>
    <xf numFmtId="0" fontId="2" fillId="0" borderId="0" xfId="3" applyNumberFormat="1" applyFont="1" applyAlignment="1"/>
    <xf numFmtId="0" fontId="4" fillId="0" borderId="0" xfId="3" applyAlignment="1"/>
    <xf numFmtId="0" fontId="2" fillId="0" borderId="1" xfId="3" applyNumberFormat="1" applyFont="1" applyBorder="1" applyAlignment="1">
      <alignment horizontal="center"/>
    </xf>
    <xf numFmtId="0" fontId="2" fillId="0" borderId="0" xfId="3" applyNumberFormat="1" applyFont="1" applyAlignment="1">
      <alignment horizontal="center"/>
    </xf>
    <xf numFmtId="0" fontId="2" fillId="0" borderId="1" xfId="3" applyNumberFormat="1" applyFont="1" applyBorder="1" applyAlignment="1">
      <alignment horizontal="centerContinuous"/>
    </xf>
    <xf numFmtId="0" fontId="2" fillId="0" borderId="1" xfId="3" applyNumberFormat="1" applyFont="1" applyBorder="1" applyAlignment="1"/>
    <xf numFmtId="164" fontId="2" fillId="0" borderId="0" xfId="3" applyNumberFormat="1" applyFont="1" applyAlignment="1"/>
    <xf numFmtId="164" fontId="3" fillId="0" borderId="0" xfId="3" applyNumberFormat="1" applyFont="1" applyAlignment="1"/>
    <xf numFmtId="164" fontId="3" fillId="0" borderId="0" xfId="3" applyNumberFormat="1" applyFont="1" applyAlignment="1" applyProtection="1">
      <protection locked="0"/>
    </xf>
    <xf numFmtId="164" fontId="2" fillId="0" borderId="1" xfId="3" applyNumberFormat="1" applyFont="1" applyBorder="1" applyAlignment="1"/>
    <xf numFmtId="164" fontId="2" fillId="0" borderId="2" xfId="3" applyNumberFormat="1" applyFont="1" applyBorder="1" applyAlignment="1"/>
    <xf numFmtId="0" fontId="4" fillId="0" borderId="0" xfId="3" applyNumberFormat="1" applyFont="1" applyAlignment="1"/>
    <xf numFmtId="0" fontId="2" fillId="0" borderId="0" xfId="8" applyNumberFormat="1" applyFont="1" applyAlignment="1">
      <alignment horizontal="centerContinuous"/>
    </xf>
    <xf numFmtId="0" fontId="2" fillId="0" borderId="0" xfId="8" applyNumberFormat="1" applyFont="1" applyAlignment="1"/>
    <xf numFmtId="0" fontId="2" fillId="0" borderId="0" xfId="8" applyNumberFormat="1" applyFont="1" applyAlignment="1">
      <alignment horizontal="center"/>
    </xf>
    <xf numFmtId="164" fontId="2" fillId="0" borderId="0" xfId="8" applyNumberFormat="1" applyFont="1" applyAlignment="1"/>
    <xf numFmtId="164" fontId="2" fillId="0" borderId="0" xfId="8" applyNumberFormat="1" applyFont="1" applyAlignment="1">
      <alignment horizontal="center"/>
    </xf>
    <xf numFmtId="0" fontId="2" fillId="0" borderId="1" xfId="8" applyNumberFormat="1" applyFont="1" applyBorder="1" applyAlignment="1"/>
    <xf numFmtId="2" fontId="2" fillId="0" borderId="0" xfId="8" applyNumberFormat="1" applyFont="1" applyAlignment="1"/>
    <xf numFmtId="2" fontId="2" fillId="0" borderId="1" xfId="8" applyNumberFormat="1" applyFont="1" applyBorder="1" applyAlignment="1"/>
    <xf numFmtId="0" fontId="2" fillId="0" borderId="2" xfId="8" applyNumberFormat="1" applyFont="1" applyBorder="1" applyAlignment="1"/>
    <xf numFmtId="0" fontId="4" fillId="0" borderId="0" xfId="4" applyNumberFormat="1" applyFont="1" applyAlignment="1">
      <alignment horizontal="centerContinuous"/>
    </xf>
    <xf numFmtId="0" fontId="2" fillId="0" borderId="0" xfId="4" applyNumberFormat="1" applyFont="1" applyAlignment="1">
      <alignment horizontal="centerContinuous"/>
    </xf>
    <xf numFmtId="0" fontId="2" fillId="0" borderId="0" xfId="4" applyNumberFormat="1" applyFont="1" applyAlignment="1"/>
    <xf numFmtId="0" fontId="2" fillId="0" borderId="1" xfId="4" applyNumberFormat="1" applyFont="1" applyBorder="1" applyAlignment="1">
      <alignment horizontal="center"/>
    </xf>
    <xf numFmtId="0" fontId="2" fillId="0" borderId="0" xfId="4" applyNumberFormat="1" applyFont="1" applyAlignment="1">
      <alignment horizontal="center"/>
    </xf>
    <xf numFmtId="0" fontId="2" fillId="0" borderId="1" xfId="4" applyNumberFormat="1" applyFont="1" applyBorder="1" applyAlignment="1">
      <alignment horizontal="centerContinuous"/>
    </xf>
    <xf numFmtId="0" fontId="2" fillId="0" borderId="1" xfId="4" applyNumberFormat="1" applyFont="1" applyBorder="1" applyAlignment="1">
      <alignment horizontal="left"/>
    </xf>
    <xf numFmtId="167" fontId="2" fillId="0" borderId="0" xfId="4" applyNumberFormat="1" applyFont="1" applyAlignment="1"/>
    <xf numFmtId="0" fontId="2" fillId="0" borderId="0" xfId="4" applyNumberFormat="1" applyFont="1" applyAlignment="1">
      <alignment horizontal="right"/>
    </xf>
    <xf numFmtId="167" fontId="2" fillId="0" borderId="1" xfId="4" applyNumberFormat="1" applyFont="1" applyBorder="1" applyAlignment="1"/>
    <xf numFmtId="0" fontId="2" fillId="0" borderId="2" xfId="4" applyNumberFormat="1" applyFont="1" applyBorder="1" applyAlignment="1"/>
    <xf numFmtId="0" fontId="2" fillId="0" borderId="1" xfId="4" applyNumberFormat="1" applyFont="1" applyBorder="1" applyAlignment="1"/>
    <xf numFmtId="0" fontId="4" fillId="0" borderId="1" xfId="4" applyNumberFormat="1" applyFont="1" applyBorder="1" applyAlignment="1">
      <alignment horizontal="centerContinuous"/>
    </xf>
    <xf numFmtId="0" fontId="4" fillId="0" borderId="0" xfId="5" applyNumberFormat="1" applyFont="1" applyAlignment="1">
      <alignment horizontal="centerContinuous"/>
    </xf>
    <xf numFmtId="0" fontId="2" fillId="0" borderId="0" xfId="5" applyNumberFormat="1" applyFont="1" applyAlignment="1">
      <alignment horizontal="centerContinuous"/>
    </xf>
    <xf numFmtId="0" fontId="4" fillId="0" borderId="0" xfId="5" applyAlignment="1"/>
    <xf numFmtId="0" fontId="2" fillId="0" borderId="0" xfId="5" applyNumberFormat="1" applyFont="1" applyAlignment="1"/>
    <xf numFmtId="0" fontId="2" fillId="0" borderId="0" xfId="5" applyNumberFormat="1" applyFont="1" applyAlignment="1">
      <alignment horizontal="center"/>
    </xf>
    <xf numFmtId="0" fontId="2" fillId="0" borderId="1" xfId="5" applyNumberFormat="1" applyFont="1" applyBorder="1" applyAlignment="1">
      <alignment horizontal="centerContinuous"/>
    </xf>
    <xf numFmtId="0" fontId="4" fillId="0" borderId="1" xfId="5" applyNumberFormat="1" applyFont="1" applyBorder="1" applyAlignment="1">
      <alignment horizontal="centerContinuous"/>
    </xf>
    <xf numFmtId="0" fontId="2" fillId="0" borderId="1" xfId="5" applyNumberFormat="1" applyFont="1" applyBorder="1" applyAlignment="1">
      <alignment horizontal="center"/>
    </xf>
    <xf numFmtId="0" fontId="3" fillId="0" borderId="0" xfId="5" applyNumberFormat="1" applyFont="1" applyAlignment="1"/>
    <xf numFmtId="3" fontId="2" fillId="0" borderId="0" xfId="5" applyNumberFormat="1" applyFont="1" applyAlignment="1"/>
    <xf numFmtId="164" fontId="2" fillId="0" borderId="0" xfId="5" applyNumberFormat="1" applyFont="1" applyAlignment="1"/>
    <xf numFmtId="3" fontId="2" fillId="0" borderId="1" xfId="5" applyNumberFormat="1" applyFont="1" applyBorder="1" applyAlignment="1"/>
    <xf numFmtId="164" fontId="2" fillId="0" borderId="1" xfId="5" applyNumberFormat="1" applyFont="1" applyBorder="1" applyAlignment="1"/>
    <xf numFmtId="0" fontId="2" fillId="0" borderId="2" xfId="5" applyNumberFormat="1" applyFont="1" applyBorder="1" applyAlignment="1"/>
    <xf numFmtId="164" fontId="3" fillId="0" borderId="0" xfId="5" applyNumberFormat="1" applyFont="1" applyAlignment="1"/>
    <xf numFmtId="165" fontId="2" fillId="0" borderId="1" xfId="5" applyNumberFormat="1" applyFont="1" applyBorder="1" applyAlignment="1"/>
    <xf numFmtId="3" fontId="2" fillId="0" borderId="2" xfId="5" applyNumberFormat="1" applyFont="1" applyBorder="1" applyAlignment="1"/>
    <xf numFmtId="165" fontId="2" fillId="0" borderId="0" xfId="5" applyNumberFormat="1" applyFont="1" applyAlignment="1"/>
    <xf numFmtId="165" fontId="2" fillId="0" borderId="2" xfId="5" applyNumberFormat="1" applyFont="1" applyBorder="1" applyAlignment="1"/>
    <xf numFmtId="0" fontId="4" fillId="0" borderId="0" xfId="5"/>
    <xf numFmtId="3" fontId="2" fillId="0" borderId="0" xfId="5" applyNumberFormat="1" applyFont="1" applyAlignment="1">
      <alignment horizontal="center"/>
    </xf>
    <xf numFmtId="4" fontId="2" fillId="0" borderId="0" xfId="5" applyNumberFormat="1" applyFont="1" applyAlignment="1"/>
    <xf numFmtId="10" fontId="2" fillId="0" borderId="0" xfId="5" applyNumberFormat="1" applyFont="1" applyAlignment="1"/>
    <xf numFmtId="10" fontId="2" fillId="0" borderId="0" xfId="5" applyNumberFormat="1" applyFont="1" applyAlignment="1" applyProtection="1">
      <protection locked="0"/>
    </xf>
    <xf numFmtId="0" fontId="4" fillId="0" borderId="0" xfId="5" applyNumberFormat="1" applyFont="1" applyAlignment="1"/>
    <xf numFmtId="3" fontId="2" fillId="0" borderId="1" xfId="5" applyNumberFormat="1" applyFont="1" applyBorder="1" applyAlignment="1">
      <alignment horizontal="center"/>
    </xf>
    <xf numFmtId="0" fontId="4" fillId="0" borderId="0" xfId="5" applyNumberFormat="1" applyProtection="1">
      <protection locked="0"/>
    </xf>
    <xf numFmtId="0" fontId="2" fillId="0" borderId="1" xfId="5" applyNumberFormat="1" applyFont="1" applyBorder="1" applyAlignment="1"/>
    <xf numFmtId="0" fontId="4" fillId="0" borderId="0" xfId="0" applyNumberFormat="1" applyFont="1" applyAlignment="1">
      <alignment horizontal="centerContinuous" vertical="top" wrapText="1"/>
    </xf>
    <xf numFmtId="3" fontId="2" fillId="0" borderId="0" xfId="0" applyNumberFormat="1" applyFont="1" applyAlignment="1">
      <alignment horizontal="center"/>
    </xf>
    <xf numFmtId="3" fontId="3" fillId="0" borderId="0" xfId="0" applyNumberFormat="1" applyFont="1" applyAlignment="1"/>
    <xf numFmtId="0" fontId="5" fillId="0" borderId="0" xfId="0" applyNumberFormat="1" applyFont="1" applyAlignment="1"/>
    <xf numFmtId="0" fontId="3" fillId="0" borderId="0" xfId="0" applyNumberFormat="1" applyFont="1" applyAlignment="1"/>
    <xf numFmtId="0" fontId="2" fillId="0" borderId="0" xfId="0" applyNumberFormat="1" applyFont="1" applyAlignment="1">
      <alignment horizontal="left"/>
    </xf>
    <xf numFmtId="0" fontId="4" fillId="0" borderId="1" xfId="0" applyNumberFormat="1" applyFont="1" applyBorder="1" applyAlignment="1">
      <alignment horizontal="centerContinuous"/>
    </xf>
    <xf numFmtId="164" fontId="2" fillId="0" borderId="0" xfId="0" applyNumberFormat="1" applyFont="1" applyAlignment="1"/>
    <xf numFmtId="0" fontId="6" fillId="0" borderId="0" xfId="0" applyNumberFormat="1" applyFont="1" applyAlignment="1"/>
    <xf numFmtId="0" fontId="7" fillId="0" borderId="0" xfId="0" applyNumberFormat="1" applyFont="1" applyAlignment="1" applyProtection="1">
      <protection locked="0"/>
    </xf>
    <xf numFmtId="3" fontId="2" fillId="0" borderId="1" xfId="0" quotePrefix="1" applyNumberFormat="1" applyFont="1" applyBorder="1" applyAlignment="1">
      <alignment horizontal="center"/>
    </xf>
    <xf numFmtId="164" fontId="10" fillId="0" borderId="0" xfId="0" applyFont="1"/>
    <xf numFmtId="0" fontId="10" fillId="0" borderId="0" xfId="0" applyNumberFormat="1" applyFont="1" applyAlignment="1" applyProtection="1">
      <protection locked="0"/>
    </xf>
    <xf numFmtId="164" fontId="10" fillId="0" borderId="0" xfId="0" applyFont="1" applyAlignment="1">
      <alignment horizontal="center"/>
    </xf>
    <xf numFmtId="0" fontId="2" fillId="0" borderId="0" xfId="0" applyNumberFormat="1" applyFont="1" applyAlignment="1" applyProtection="1">
      <alignment horizontal="center"/>
      <protection locked="0"/>
    </xf>
    <xf numFmtId="168" fontId="10" fillId="0" borderId="0" xfId="0" applyNumberFormat="1" applyFont="1" applyAlignment="1">
      <alignment horizontal="center"/>
    </xf>
    <xf numFmtId="168" fontId="2" fillId="0" borderId="0" xfId="0" applyNumberFormat="1" applyFont="1" applyAlignment="1" applyProtection="1">
      <alignment horizontal="center"/>
      <protection locked="0"/>
    </xf>
    <xf numFmtId="37" fontId="2" fillId="0" borderId="0" xfId="0" applyNumberFormat="1" applyFont="1" applyAlignment="1" applyProtection="1">
      <protection locked="0"/>
    </xf>
    <xf numFmtId="0" fontId="2" fillId="0" borderId="0" xfId="0" applyNumberFormat="1" applyFont="1" applyBorder="1" applyAlignment="1" applyProtection="1">
      <protection locked="0"/>
    </xf>
    <xf numFmtId="37" fontId="2" fillId="0" borderId="0" xfId="0" applyNumberFormat="1" applyFont="1" applyAlignment="1" applyProtection="1">
      <alignment horizontal="center"/>
      <protection locked="0"/>
    </xf>
    <xf numFmtId="165" fontId="2" fillId="0" borderId="0" xfId="0" applyNumberFormat="1" applyFont="1" applyBorder="1" applyAlignment="1"/>
    <xf numFmtId="164" fontId="2" fillId="0" borderId="4" xfId="0" applyFont="1" applyBorder="1" applyAlignment="1"/>
    <xf numFmtId="3" fontId="2" fillId="0" borderId="4" xfId="0" applyNumberFormat="1" applyFont="1" applyBorder="1" applyAlignment="1"/>
    <xf numFmtId="164" fontId="2" fillId="0" borderId="4" xfId="0" applyNumberFormat="1" applyFont="1" applyBorder="1" applyAlignment="1"/>
    <xf numFmtId="0" fontId="2" fillId="0" borderId="0" xfId="0" applyNumberFormat="1" applyFont="1" applyAlignment="1" applyProtection="1">
      <alignment horizontal="right"/>
      <protection locked="0"/>
    </xf>
    <xf numFmtId="3" fontId="2" fillId="0" borderId="0" xfId="0" applyNumberFormat="1" applyFont="1" applyBorder="1" applyAlignment="1"/>
    <xf numFmtId="164" fontId="2" fillId="0" borderId="0" xfId="0" applyNumberFormat="1" applyFont="1" applyAlignment="1" applyProtection="1">
      <alignment horizontal="right"/>
      <protection locked="0"/>
    </xf>
    <xf numFmtId="37" fontId="2" fillId="0" borderId="0" xfId="0" applyNumberFormat="1" applyFont="1" applyAlignment="1" applyProtection="1">
      <alignment horizontal="right"/>
      <protection locked="0"/>
    </xf>
    <xf numFmtId="37" fontId="2" fillId="0" borderId="1" xfId="0" applyNumberFormat="1" applyFont="1" applyBorder="1" applyAlignment="1"/>
    <xf numFmtId="37" fontId="2" fillId="0" borderId="0" xfId="6" applyNumberFormat="1" applyFont="1" applyAlignment="1"/>
    <xf numFmtId="37" fontId="2" fillId="0" borderId="1" xfId="6" applyNumberFormat="1" applyFont="1" applyBorder="1" applyAlignment="1"/>
    <xf numFmtId="164" fontId="2" fillId="0" borderId="0" xfId="0" applyFont="1" applyBorder="1" applyAlignment="1"/>
    <xf numFmtId="164" fontId="7" fillId="0" borderId="0" xfId="0" applyFont="1" applyAlignment="1"/>
    <xf numFmtId="37" fontId="2" fillId="0" borderId="1" xfId="7" applyNumberFormat="1" applyFont="1" applyBorder="1" applyAlignment="1"/>
    <xf numFmtId="0" fontId="2" fillId="0" borderId="0" xfId="7" applyNumberFormat="1" applyFont="1" applyBorder="1" applyAlignment="1"/>
    <xf numFmtId="164" fontId="2" fillId="0" borderId="4" xfId="7" applyNumberFormat="1" applyFont="1" applyBorder="1" applyAlignment="1"/>
    <xf numFmtId="166" fontId="2" fillId="0" borderId="0" xfId="7" applyNumberFormat="1" applyFont="1" applyAlignment="1"/>
    <xf numFmtId="165" fontId="7" fillId="0" borderId="0" xfId="12" applyNumberFormat="1" applyFont="1" applyAlignment="1"/>
    <xf numFmtId="37" fontId="2" fillId="0" borderId="4" xfId="0" applyNumberFormat="1" applyFont="1" applyBorder="1" applyAlignment="1"/>
    <xf numFmtId="0" fontId="4" fillId="0" borderId="0" xfId="4" applyFont="1" applyAlignment="1"/>
    <xf numFmtId="0" fontId="2" fillId="0" borderId="0" xfId="4" applyNumberFormat="1" applyFont="1" applyBorder="1" applyAlignment="1"/>
    <xf numFmtId="167" fontId="2" fillId="0" borderId="4" xfId="4" applyNumberFormat="1" applyFont="1" applyBorder="1" applyAlignment="1"/>
    <xf numFmtId="165" fontId="2" fillId="0" borderId="0" xfId="5" applyNumberFormat="1" applyFont="1" applyBorder="1" applyAlignment="1"/>
    <xf numFmtId="164" fontId="2" fillId="0" borderId="4" xfId="5" applyNumberFormat="1" applyFont="1" applyBorder="1" applyAlignment="1"/>
    <xf numFmtId="0" fontId="0" fillId="0" borderId="0" xfId="0" applyNumberFormat="1" applyBorder="1"/>
    <xf numFmtId="170" fontId="2" fillId="0" borderId="0" xfId="0" applyNumberFormat="1" applyFont="1" applyAlignment="1"/>
    <xf numFmtId="170" fontId="2" fillId="0" borderId="0" xfId="7" applyNumberFormat="1" applyFont="1" applyAlignment="1"/>
    <xf numFmtId="170" fontId="2" fillId="0" borderId="0" xfId="0" applyNumberFormat="1" applyFont="1" applyAlignment="1" applyProtection="1">
      <protection locked="0"/>
    </xf>
    <xf numFmtId="0" fontId="2" fillId="0" borderId="3" xfId="7" applyNumberFormat="1" applyFont="1" applyBorder="1" applyAlignment="1"/>
    <xf numFmtId="3" fontId="2" fillId="0" borderId="4" xfId="7" applyNumberFormat="1" applyFont="1" applyBorder="1" applyAlignment="1"/>
    <xf numFmtId="0" fontId="0" fillId="0" borderId="0" xfId="0" applyNumberFormat="1" applyAlignment="1">
      <alignment horizontal="centerContinuous"/>
    </xf>
    <xf numFmtId="0" fontId="7" fillId="0" borderId="0" xfId="12" applyNumberFormat="1" applyFont="1" applyAlignment="1">
      <alignment horizontal="centerContinuous"/>
    </xf>
    <xf numFmtId="0" fontId="7" fillId="0" borderId="0" xfId="12" applyFont="1" applyAlignment="1"/>
    <xf numFmtId="0" fontId="7" fillId="0" borderId="0" xfId="12" applyNumberFormat="1" applyFont="1" applyAlignment="1"/>
    <xf numFmtId="0" fontId="7" fillId="0" borderId="0" xfId="12" applyNumberFormat="1" applyFont="1" applyAlignment="1">
      <alignment horizontal="center"/>
    </xf>
    <xf numFmtId="0" fontId="7" fillId="0" borderId="1" xfId="12" applyNumberFormat="1" applyFont="1" applyBorder="1" applyAlignment="1">
      <alignment horizontal="centerContinuous"/>
    </xf>
    <xf numFmtId="0" fontId="7" fillId="0" borderId="1" xfId="12" applyNumberFormat="1" applyFont="1" applyBorder="1" applyAlignment="1">
      <alignment horizontal="center"/>
    </xf>
    <xf numFmtId="0" fontId="8" fillId="0" borderId="0" xfId="12" applyNumberFormat="1" applyFont="1" applyAlignment="1"/>
    <xf numFmtId="0" fontId="7" fillId="0" borderId="1" xfId="12" applyNumberFormat="1" applyFont="1" applyBorder="1" applyAlignment="1"/>
    <xf numFmtId="3" fontId="7" fillId="0" borderId="0" xfId="12" applyNumberFormat="1" applyFont="1" applyAlignment="1"/>
    <xf numFmtId="0" fontId="7" fillId="0" borderId="1" xfId="12" applyNumberFormat="1" applyFont="1" applyBorder="1" applyAlignment="1">
      <alignment horizontal="right"/>
    </xf>
    <xf numFmtId="0" fontId="7" fillId="0" borderId="0" xfId="12" applyNumberFormat="1" applyFont="1" applyAlignment="1">
      <alignment horizontal="right"/>
    </xf>
    <xf numFmtId="3" fontId="7" fillId="0" borderId="1" xfId="12" applyNumberFormat="1" applyFont="1" applyBorder="1" applyAlignment="1"/>
    <xf numFmtId="164" fontId="7" fillId="0" borderId="0" xfId="12" applyNumberFormat="1" applyFont="1" applyAlignment="1"/>
    <xf numFmtId="0" fontId="7" fillId="0" borderId="3" xfId="12" applyNumberFormat="1" applyFont="1" applyBorder="1" applyAlignment="1">
      <alignment horizontal="center"/>
    </xf>
    <xf numFmtId="37" fontId="2" fillId="0" borderId="0" xfId="6" applyNumberFormat="1" applyFont="1" applyBorder="1" applyAlignment="1"/>
    <xf numFmtId="37" fontId="2" fillId="0" borderId="4" xfId="6" applyNumberFormat="1" applyFont="1" applyBorder="1" applyAlignment="1"/>
    <xf numFmtId="0" fontId="2" fillId="0" borderId="0" xfId="8" applyNumberFormat="1" applyFont="1" applyBorder="1" applyAlignment="1"/>
    <xf numFmtId="164" fontId="2" fillId="0" borderId="4" xfId="8" applyNumberFormat="1" applyFont="1" applyBorder="1" applyAlignment="1"/>
    <xf numFmtId="2" fontId="2" fillId="0" borderId="4" xfId="7" applyNumberFormat="1" applyFont="1" applyBorder="1" applyAlignment="1"/>
    <xf numFmtId="2" fontId="2" fillId="0" borderId="0" xfId="6" applyNumberFormat="1" applyFont="1" applyBorder="1" applyAlignment="1"/>
    <xf numFmtId="2" fontId="2" fillId="0" borderId="4" xfId="6" applyNumberFormat="1" applyFont="1" applyBorder="1" applyAlignment="1"/>
    <xf numFmtId="164" fontId="10" fillId="0" borderId="0" xfId="0" applyFont="1" applyBorder="1"/>
    <xf numFmtId="170" fontId="2" fillId="0" borderId="0" xfId="3" applyNumberFormat="1" applyFont="1" applyAlignment="1"/>
    <xf numFmtId="170" fontId="2" fillId="0" borderId="1" xfId="3" applyNumberFormat="1" applyFont="1" applyBorder="1" applyAlignment="1"/>
    <xf numFmtId="37" fontId="2" fillId="0" borderId="0" xfId="3" applyNumberFormat="1" applyFont="1" applyBorder="1" applyAlignment="1"/>
    <xf numFmtId="170" fontId="2" fillId="0" borderId="4" xfId="3" applyNumberFormat="1" applyFont="1" applyBorder="1" applyAlignment="1"/>
    <xf numFmtId="42" fontId="2" fillId="0" borderId="0" xfId="0" applyNumberFormat="1" applyFont="1" applyAlignment="1" applyProtection="1">
      <protection locked="0"/>
    </xf>
    <xf numFmtId="171" fontId="2" fillId="0" borderId="0" xfId="0" applyNumberFormat="1" applyFont="1" applyAlignment="1"/>
    <xf numFmtId="171" fontId="2" fillId="0" borderId="4" xfId="0" applyNumberFormat="1" applyFont="1" applyBorder="1" applyAlignment="1"/>
    <xf numFmtId="3" fontId="7" fillId="0" borderId="4" xfId="12" applyNumberFormat="1" applyFont="1" applyBorder="1" applyAlignment="1"/>
    <xf numFmtId="167" fontId="7" fillId="0" borderId="4" xfId="12" applyNumberFormat="1" applyFont="1" applyBorder="1" applyAlignment="1"/>
    <xf numFmtId="0" fontId="9" fillId="0" borderId="0" xfId="12" applyNumberFormat="1" applyFont="1" applyAlignment="1">
      <alignment horizontal="centerContinuous"/>
    </xf>
    <xf numFmtId="3" fontId="7" fillId="0" borderId="3" xfId="12" applyNumberFormat="1" applyFont="1" applyBorder="1" applyAlignment="1"/>
    <xf numFmtId="174" fontId="2" fillId="0" borderId="0" xfId="1" applyNumberFormat="1" applyFont="1" applyAlignment="1" applyProtection="1">
      <protection locked="0"/>
    </xf>
    <xf numFmtId="1" fontId="2" fillId="0" borderId="0" xfId="7" applyNumberFormat="1" applyFont="1" applyAlignment="1"/>
    <xf numFmtId="0" fontId="4" fillId="0" borderId="0" xfId="7" applyFont="1" applyAlignment="1"/>
    <xf numFmtId="3" fontId="2" fillId="0" borderId="0" xfId="8" applyNumberFormat="1" applyFont="1" applyAlignment="1">
      <alignment horizontal="left"/>
    </xf>
    <xf numFmtId="164" fontId="2" fillId="0" borderId="0" xfId="0" applyFont="1"/>
    <xf numFmtId="3" fontId="2" fillId="0" borderId="3" xfId="8" applyNumberFormat="1" applyFont="1" applyBorder="1" applyAlignment="1"/>
    <xf numFmtId="0" fontId="10" fillId="0" borderId="0" xfId="0" applyNumberFormat="1" applyFont="1" applyAlignment="1" applyProtection="1">
      <alignment horizontal="right"/>
      <protection locked="0"/>
    </xf>
    <xf numFmtId="0" fontId="6" fillId="0" borderId="0" xfId="0" applyNumberFormat="1" applyFont="1" applyAlignment="1" applyProtection="1">
      <protection locked="0"/>
    </xf>
    <xf numFmtId="41" fontId="2" fillId="0" borderId="0" xfId="0" applyNumberFormat="1" applyFont="1" applyAlignment="1"/>
    <xf numFmtId="41" fontId="2" fillId="0" borderId="1" xfId="0" applyNumberFormat="1" applyFont="1" applyBorder="1" applyAlignment="1"/>
    <xf numFmtId="41" fontId="2" fillId="0" borderId="4" xfId="0" applyNumberFormat="1" applyFont="1" applyBorder="1" applyAlignment="1"/>
    <xf numFmtId="42" fontId="2" fillId="0" borderId="0" xfId="0" applyNumberFormat="1" applyFont="1" applyAlignment="1"/>
    <xf numFmtId="173" fontId="9" fillId="0" borderId="0" xfId="13" applyNumberFormat="1" applyFont="1" applyAlignment="1"/>
    <xf numFmtId="176" fontId="9" fillId="0" borderId="0" xfId="11" applyFont="1" applyAlignment="1">
      <alignment horizontal="center"/>
    </xf>
    <xf numFmtId="176" fontId="9" fillId="0" borderId="0" xfId="11" applyFont="1" applyAlignment="1"/>
    <xf numFmtId="176" fontId="7" fillId="0" borderId="0" xfId="11" applyFont="1" applyAlignment="1"/>
    <xf numFmtId="176" fontId="13" fillId="0" borderId="0" xfId="11" applyNumberFormat="1" applyFont="1" applyAlignment="1"/>
    <xf numFmtId="176" fontId="9" fillId="0" borderId="3" xfId="11" applyFont="1" applyBorder="1" applyAlignment="1">
      <alignment horizontal="center"/>
    </xf>
    <xf numFmtId="41" fontId="9" fillId="0" borderId="0" xfId="11" quotePrefix="1" applyNumberFormat="1" applyFont="1" applyAlignment="1">
      <alignment horizontal="center"/>
    </xf>
    <xf numFmtId="41" fontId="9" fillId="0" borderId="0" xfId="11" applyNumberFormat="1" applyFont="1" applyAlignment="1"/>
    <xf numFmtId="177" fontId="9" fillId="0" borderId="0" xfId="2" applyNumberFormat="1" applyFont="1" applyAlignment="1"/>
    <xf numFmtId="173" fontId="9" fillId="0" borderId="3" xfId="13" applyNumberFormat="1" applyFont="1" applyBorder="1" applyAlignment="1"/>
    <xf numFmtId="41" fontId="9" fillId="0" borderId="3" xfId="11" applyNumberFormat="1" applyFont="1" applyBorder="1" applyAlignment="1"/>
    <xf numFmtId="173" fontId="9" fillId="0" borderId="4" xfId="13" applyNumberFormat="1" applyFont="1" applyBorder="1" applyAlignment="1"/>
    <xf numFmtId="176" fontId="9" fillId="0" borderId="0" xfId="11" applyFont="1"/>
    <xf numFmtId="176" fontId="7" fillId="0" borderId="0" xfId="11" applyFont="1"/>
    <xf numFmtId="42" fontId="9" fillId="0" borderId="4" xfId="11" applyNumberFormat="1" applyFont="1" applyBorder="1" applyAlignment="1"/>
    <xf numFmtId="168" fontId="2" fillId="0" borderId="0" xfId="0" applyNumberFormat="1" applyFont="1" applyAlignment="1" applyProtection="1">
      <protection locked="0"/>
    </xf>
    <xf numFmtId="167" fontId="4" fillId="0" borderId="0" xfId="4" applyNumberFormat="1" applyFont="1" applyAlignment="1"/>
    <xf numFmtId="174" fontId="4" fillId="0" borderId="0" xfId="1" applyNumberFormat="1" applyFont="1" applyAlignment="1" applyProtection="1">
      <protection locked="0"/>
    </xf>
    <xf numFmtId="42" fontId="4" fillId="0" borderId="0" xfId="0" applyNumberFormat="1" applyFont="1" applyAlignment="1" applyProtection="1">
      <protection locked="0"/>
    </xf>
    <xf numFmtId="174" fontId="2" fillId="0" borderId="0" xfId="1" applyNumberFormat="1" applyFont="1" applyAlignment="1"/>
    <xf numFmtId="37" fontId="4" fillId="0" borderId="0" xfId="6" applyNumberFormat="1" applyAlignment="1"/>
    <xf numFmtId="3" fontId="4" fillId="0" borderId="0" xfId="6" applyNumberFormat="1" applyAlignment="1"/>
    <xf numFmtId="164" fontId="4" fillId="0" borderId="0" xfId="6" applyNumberFormat="1" applyAlignment="1"/>
    <xf numFmtId="174" fontId="9" fillId="0" borderId="0" xfId="1" applyNumberFormat="1" applyFont="1" applyAlignment="1"/>
    <xf numFmtId="173" fontId="4" fillId="0" borderId="0" xfId="13" applyNumberFormat="1" applyFont="1" applyAlignment="1" applyProtection="1">
      <protection locked="0"/>
    </xf>
    <xf numFmtId="0" fontId="4" fillId="0" borderId="0" xfId="0" applyNumberFormat="1" applyFont="1" applyAlignment="1" applyProtection="1">
      <alignment horizontal="center"/>
      <protection locked="0"/>
    </xf>
    <xf numFmtId="170" fontId="2" fillId="0" borderId="4" xfId="7" applyNumberFormat="1" applyFont="1" applyBorder="1" applyAlignment="1"/>
    <xf numFmtId="176" fontId="4" fillId="0" borderId="0" xfId="11" applyFont="1" applyAlignment="1">
      <alignment horizontal="center"/>
    </xf>
    <xf numFmtId="0" fontId="4" fillId="0" borderId="3" xfId="0" applyNumberFormat="1" applyFont="1" applyBorder="1" applyAlignment="1" applyProtection="1">
      <alignment horizontal="center"/>
      <protection locked="0"/>
    </xf>
    <xf numFmtId="0" fontId="4" fillId="0" borderId="0" xfId="0" quotePrefix="1" applyNumberFormat="1" applyFont="1" applyAlignment="1" applyProtection="1">
      <alignment horizontal="center"/>
      <protection locked="0"/>
    </xf>
    <xf numFmtId="176" fontId="4" fillId="0" borderId="0" xfId="11" applyFont="1" applyAlignment="1"/>
    <xf numFmtId="2" fontId="4" fillId="0" borderId="0" xfId="0" applyNumberFormat="1" applyFont="1" applyAlignment="1" applyProtection="1">
      <protection locked="0"/>
    </xf>
    <xf numFmtId="37" fontId="2" fillId="0" borderId="0" xfId="0" applyNumberFormat="1" applyFont="1" applyFill="1" applyAlignment="1" applyProtection="1">
      <protection locked="0"/>
    </xf>
    <xf numFmtId="0" fontId="10" fillId="0" borderId="0" xfId="0" applyNumberFormat="1" applyFont="1" applyBorder="1" applyAlignment="1" applyProtection="1">
      <protection locked="0"/>
    </xf>
    <xf numFmtId="0" fontId="7" fillId="0" borderId="0" xfId="0" applyNumberFormat="1" applyFont="1" applyBorder="1" applyAlignment="1" applyProtection="1">
      <protection locked="0"/>
    </xf>
    <xf numFmtId="5" fontId="9" fillId="0" borderId="3" xfId="11" applyNumberFormat="1" applyFont="1" applyBorder="1" applyAlignment="1"/>
    <xf numFmtId="174" fontId="2" fillId="0" borderId="0" xfId="1" applyNumberFormat="1" applyFont="1"/>
    <xf numFmtId="168" fontId="2" fillId="0" borderId="0" xfId="0" applyNumberFormat="1" applyFont="1" applyAlignment="1">
      <alignment horizontal="center"/>
    </xf>
    <xf numFmtId="37" fontId="2" fillId="0" borderId="0" xfId="0" applyNumberFormat="1" applyFont="1"/>
    <xf numFmtId="37" fontId="2" fillId="0" borderId="3" xfId="0" applyNumberFormat="1" applyFont="1" applyBorder="1" applyAlignment="1" applyProtection="1">
      <protection locked="0"/>
    </xf>
    <xf numFmtId="167" fontId="4" fillId="0" borderId="0" xfId="4" applyNumberFormat="1" applyFont="1"/>
    <xf numFmtId="167" fontId="2" fillId="0" borderId="0" xfId="4" applyNumberFormat="1" applyFont="1" applyAlignment="1" applyProtection="1">
      <protection locked="0"/>
    </xf>
    <xf numFmtId="164" fontId="4" fillId="0" borderId="0" xfId="4" applyNumberFormat="1" applyFont="1" applyAlignment="1"/>
    <xf numFmtId="3" fontId="2" fillId="0" borderId="0" xfId="4" applyNumberFormat="1" applyFont="1" applyAlignment="1"/>
    <xf numFmtId="164" fontId="4" fillId="0" borderId="0" xfId="4" applyNumberFormat="1" applyFont="1"/>
    <xf numFmtId="37" fontId="2" fillId="0" borderId="0" xfId="0" applyNumberFormat="1" applyFont="1" applyBorder="1" applyAlignment="1">
      <alignment horizontal="right" vertical="top"/>
    </xf>
    <xf numFmtId="164" fontId="2" fillId="0" borderId="0" xfId="0" applyNumberFormat="1" applyFont="1" applyAlignment="1" applyProtection="1">
      <protection locked="0"/>
    </xf>
    <xf numFmtId="0" fontId="4" fillId="0" borderId="2" xfId="0" applyNumberFormat="1" applyFont="1" applyBorder="1"/>
    <xf numFmtId="0" fontId="4" fillId="0" borderId="0" xfId="0" applyNumberFormat="1" applyFont="1" applyBorder="1"/>
    <xf numFmtId="0" fontId="4" fillId="0" borderId="0" xfId="0" applyNumberFormat="1" applyFont="1" applyProtection="1">
      <protection locked="0"/>
    </xf>
    <xf numFmtId="164" fontId="2" fillId="0" borderId="0" xfId="7" applyNumberFormat="1" applyFont="1" applyAlignment="1" applyProtection="1">
      <protection locked="0"/>
    </xf>
    <xf numFmtId="0" fontId="7" fillId="0" borderId="0" xfId="10" applyNumberFormat="1" applyFont="1" applyAlignment="1">
      <alignment horizontal="centerContinuous"/>
    </xf>
    <xf numFmtId="0" fontId="9" fillId="0" borderId="0" xfId="10" applyFont="1" applyAlignment="1"/>
    <xf numFmtId="0" fontId="7" fillId="0" borderId="0" xfId="10" applyNumberFormat="1" applyFont="1" applyAlignment="1"/>
    <xf numFmtId="0" fontId="7" fillId="0" borderId="0" xfId="10" applyNumberFormat="1" applyFont="1" applyAlignment="1">
      <alignment horizontal="center"/>
    </xf>
    <xf numFmtId="0" fontId="7" fillId="0" borderId="1" xfId="10" applyNumberFormat="1" applyFont="1" applyBorder="1" applyAlignment="1">
      <alignment horizontal="center"/>
    </xf>
    <xf numFmtId="37" fontId="7" fillId="0" borderId="1" xfId="10" applyNumberFormat="1" applyFont="1" applyBorder="1" applyAlignment="1">
      <alignment horizontal="center"/>
    </xf>
    <xf numFmtId="37" fontId="7" fillId="0" borderId="0" xfId="10" applyNumberFormat="1" applyFont="1" applyAlignment="1">
      <alignment horizontal="center"/>
    </xf>
    <xf numFmtId="3" fontId="7" fillId="0" borderId="0" xfId="10" applyNumberFormat="1" applyFont="1" applyAlignment="1">
      <alignment horizontal="center"/>
    </xf>
    <xf numFmtId="3" fontId="7" fillId="0" borderId="1" xfId="10" applyNumberFormat="1" applyFont="1" applyBorder="1" applyAlignment="1">
      <alignment horizontal="center"/>
    </xf>
    <xf numFmtId="165" fontId="7" fillId="0" borderId="0" xfId="10" applyNumberFormat="1" applyFont="1" applyAlignment="1"/>
    <xf numFmtId="3" fontId="7" fillId="0" borderId="0" xfId="10" applyNumberFormat="1" applyFont="1" applyAlignment="1"/>
    <xf numFmtId="0" fontId="7" fillId="0" borderId="1" xfId="10" applyNumberFormat="1" applyFont="1" applyBorder="1" applyAlignment="1"/>
    <xf numFmtId="3" fontId="7" fillId="0" borderId="4" xfId="10" applyNumberFormat="1" applyFont="1" applyBorder="1" applyAlignment="1"/>
    <xf numFmtId="3" fontId="7" fillId="0" borderId="2" xfId="10" applyNumberFormat="1" applyFont="1" applyBorder="1" applyAlignment="1"/>
    <xf numFmtId="3" fontId="7" fillId="0" borderId="0" xfId="10" applyNumberFormat="1" applyFont="1" applyBorder="1" applyAlignment="1"/>
    <xf numFmtId="0" fontId="9" fillId="0" borderId="0" xfId="10" applyNumberFormat="1" applyFont="1" applyAlignment="1">
      <alignment horizontal="centerContinuous"/>
    </xf>
    <xf numFmtId="4" fontId="7" fillId="0" borderId="0" xfId="10" applyNumberFormat="1" applyFont="1" applyAlignment="1"/>
    <xf numFmtId="0" fontId="7" fillId="0" borderId="0" xfId="10" applyFont="1" applyAlignment="1"/>
    <xf numFmtId="0" fontId="9" fillId="0" borderId="0" xfId="10" applyFont="1"/>
    <xf numFmtId="0" fontId="9" fillId="0" borderId="0" xfId="0" applyNumberFormat="1" applyFont="1" applyAlignment="1">
      <alignment horizontal="centerContinuous"/>
    </xf>
    <xf numFmtId="167" fontId="2" fillId="0" borderId="0" xfId="0" applyNumberFormat="1" applyFont="1" applyAlignment="1" applyProtection="1">
      <protection locked="0"/>
    </xf>
    <xf numFmtId="0" fontId="4" fillId="0" borderId="0" xfId="0" applyNumberFormat="1" applyFont="1"/>
    <xf numFmtId="0" fontId="15" fillId="0" borderId="0" xfId="0" applyNumberFormat="1" applyFont="1" applyAlignment="1" applyProtection="1">
      <protection locked="0"/>
    </xf>
    <xf numFmtId="3" fontId="4" fillId="0" borderId="0" xfId="0" applyNumberFormat="1" applyFont="1"/>
    <xf numFmtId="0" fontId="4" fillId="0" borderId="0" xfId="8" applyFont="1" applyAlignment="1"/>
    <xf numFmtId="0" fontId="16" fillId="0" borderId="0" xfId="0" applyNumberFormat="1" applyFont="1" applyAlignment="1" applyProtection="1">
      <protection locked="0"/>
    </xf>
    <xf numFmtId="4" fontId="16" fillId="0" borderId="0" xfId="0" applyNumberFormat="1" applyFont="1" applyAlignment="1" applyProtection="1">
      <protection locked="0"/>
    </xf>
    <xf numFmtId="174" fontId="16" fillId="0" borderId="0" xfId="1" applyNumberFormat="1" applyFont="1" applyAlignment="1" applyProtection="1">
      <protection locked="0"/>
    </xf>
    <xf numFmtId="37" fontId="4" fillId="0" borderId="0" xfId="0" applyNumberFormat="1" applyFont="1" applyAlignment="1" applyProtection="1">
      <protection locked="0"/>
    </xf>
    <xf numFmtId="0" fontId="17" fillId="0" borderId="0" xfId="0" applyNumberFormat="1" applyFont="1" applyAlignment="1" applyProtection="1">
      <protection locked="0"/>
    </xf>
    <xf numFmtId="3" fontId="2" fillId="0" borderId="1" xfId="8" applyNumberFormat="1" applyFont="1" applyBorder="1" applyAlignment="1"/>
    <xf numFmtId="3" fontId="2" fillId="0" borderId="1" xfId="4" applyNumberFormat="1" applyFont="1" applyBorder="1" applyAlignment="1"/>
    <xf numFmtId="3" fontId="2" fillId="0" borderId="4" xfId="4" applyNumberFormat="1" applyFont="1" applyBorder="1" applyAlignment="1"/>
    <xf numFmtId="0" fontId="6" fillId="0" borderId="0" xfId="4" applyNumberFormat="1" applyFont="1" applyAlignment="1"/>
    <xf numFmtId="0" fontId="16" fillId="0" borderId="0" xfId="4" applyFont="1" applyAlignment="1"/>
    <xf numFmtId="0" fontId="16" fillId="0" borderId="0" xfId="8" applyFont="1" applyAlignment="1"/>
    <xf numFmtId="174" fontId="7" fillId="0" borderId="0" xfId="1" applyNumberFormat="1" applyFont="1" applyAlignment="1" applyProtection="1">
      <protection locked="0"/>
    </xf>
    <xf numFmtId="37" fontId="2" fillId="0" borderId="0" xfId="0" applyNumberFormat="1" applyFont="1" applyFill="1"/>
    <xf numFmtId="37" fontId="2" fillId="0" borderId="0" xfId="0" applyNumberFormat="1" applyFont="1" applyFill="1" applyBorder="1"/>
    <xf numFmtId="174" fontId="4" fillId="0" borderId="0" xfId="1" applyNumberFormat="1" applyFont="1" applyAlignment="1"/>
    <xf numFmtId="1" fontId="2" fillId="0" borderId="0" xfId="1" applyNumberFormat="1" applyFont="1" applyAlignment="1"/>
    <xf numFmtId="0" fontId="2" fillId="0" borderId="0" xfId="5" applyNumberFormat="1" applyFont="1" applyAlignment="1">
      <alignment horizontal="justify" vertical="top" wrapText="1"/>
    </xf>
    <xf numFmtId="0" fontId="4" fillId="0" borderId="0" xfId="0" applyNumberFormat="1" applyFont="1" applyBorder="1" applyAlignment="1" applyProtection="1">
      <alignment horizontal="center"/>
      <protection locked="0"/>
    </xf>
    <xf numFmtId="164" fontId="3" fillId="0" borderId="0" xfId="5" applyNumberFormat="1" applyFont="1" applyBorder="1" applyAlignment="1"/>
    <xf numFmtId="164" fontId="3" fillId="0" borderId="3" xfId="5" applyNumberFormat="1" applyFont="1" applyBorder="1" applyAlignment="1"/>
    <xf numFmtId="0" fontId="4" fillId="0" borderId="0" xfId="5" applyBorder="1" applyAlignment="1"/>
    <xf numFmtId="3" fontId="4" fillId="0" borderId="0" xfId="5" applyNumberFormat="1" applyBorder="1" applyAlignment="1"/>
    <xf numFmtId="164" fontId="2" fillId="0" borderId="0" xfId="5" applyNumberFormat="1" applyFont="1" applyBorder="1" applyAlignment="1"/>
    <xf numFmtId="3" fontId="2" fillId="0" borderId="0" xfId="5" applyNumberFormat="1" applyFont="1" applyBorder="1" applyAlignment="1"/>
    <xf numFmtId="0" fontId="4" fillId="0" borderId="0" xfId="5" applyBorder="1"/>
    <xf numFmtId="37" fontId="2" fillId="0" borderId="0" xfId="0" applyNumberFormat="1" applyFont="1" applyAlignment="1">
      <alignment horizontal="left"/>
    </xf>
    <xf numFmtId="173" fontId="2" fillId="0" borderId="0" xfId="13" applyNumberFormat="1" applyFont="1" applyAlignment="1" applyProtection="1">
      <protection locked="0"/>
    </xf>
    <xf numFmtId="41" fontId="2" fillId="0" borderId="0" xfId="0" applyNumberFormat="1" applyFont="1" applyAlignment="1" applyProtection="1">
      <protection locked="0"/>
    </xf>
    <xf numFmtId="174" fontId="2" fillId="0" borderId="0" xfId="0" applyNumberFormat="1" applyFont="1" applyAlignment="1" applyProtection="1">
      <protection locked="0"/>
    </xf>
    <xf numFmtId="37" fontId="2" fillId="0" borderId="0" xfId="0" applyNumberFormat="1" applyFont="1" applyBorder="1" applyAlignment="1"/>
    <xf numFmtId="37" fontId="2" fillId="0" borderId="3" xfId="0" applyNumberFormat="1" applyFont="1" applyBorder="1" applyAlignment="1"/>
    <xf numFmtId="180" fontId="2" fillId="0" borderId="0" xfId="1" applyNumberFormat="1" applyFont="1" applyBorder="1" applyAlignment="1">
      <alignment horizontal="right" vertical="top"/>
    </xf>
    <xf numFmtId="180" fontId="2" fillId="0" borderId="0" xfId="1" applyNumberFormat="1" applyFont="1" applyAlignment="1"/>
    <xf numFmtId="37" fontId="4" fillId="0" borderId="0" xfId="0" applyNumberFormat="1" applyFont="1" applyAlignment="1" applyProtection="1">
      <alignment horizontal="center"/>
      <protection locked="0"/>
    </xf>
    <xf numFmtId="37" fontId="4" fillId="0" borderId="0" xfId="0" applyNumberFormat="1" applyFont="1" applyAlignment="1" applyProtection="1">
      <alignment horizontal="right"/>
      <protection locked="0"/>
    </xf>
    <xf numFmtId="16" fontId="4" fillId="0" borderId="0" xfId="0" quotePrefix="1" applyNumberFormat="1" applyFont="1" applyAlignment="1" applyProtection="1">
      <alignment horizontal="center"/>
      <protection locked="0"/>
    </xf>
    <xf numFmtId="2" fontId="4" fillId="0" borderId="0" xfId="0" quotePrefix="1" applyNumberFormat="1" applyFont="1" applyAlignment="1" applyProtection="1">
      <alignment horizontal="center"/>
      <protection locked="0"/>
    </xf>
    <xf numFmtId="3" fontId="7" fillId="0" borderId="0" xfId="9" applyNumberFormat="1" applyFont="1" applyAlignment="1"/>
    <xf numFmtId="0" fontId="4" fillId="0" borderId="0" xfId="0" applyNumberFormat="1" applyFont="1" applyBorder="1" applyAlignment="1" applyProtection="1">
      <protection locked="0"/>
    </xf>
    <xf numFmtId="0" fontId="16" fillId="0" borderId="0" xfId="0" applyNumberFormat="1" applyFont="1" applyBorder="1" applyAlignment="1" applyProtection="1">
      <protection locked="0"/>
    </xf>
    <xf numFmtId="0" fontId="16" fillId="0" borderId="0" xfId="0" applyNumberFormat="1" applyFont="1" applyBorder="1" applyAlignment="1" applyProtection="1">
      <alignment horizontal="centerContinuous"/>
      <protection locked="0"/>
    </xf>
    <xf numFmtId="0" fontId="16" fillId="0" borderId="0" xfId="0" applyNumberFormat="1" applyFont="1" applyBorder="1" applyAlignment="1" applyProtection="1">
      <alignment horizontal="center"/>
      <protection locked="0"/>
    </xf>
    <xf numFmtId="43" fontId="4" fillId="0" borderId="0" xfId="1" applyFont="1" applyBorder="1" applyAlignment="1" applyProtection="1">
      <protection locked="0"/>
    </xf>
    <xf numFmtId="174" fontId="4" fillId="0" borderId="0" xfId="1" applyNumberFormat="1" applyFont="1" applyBorder="1" applyAlignment="1" applyProtection="1">
      <protection locked="0"/>
    </xf>
    <xf numFmtId="0" fontId="15" fillId="0" borderId="0" xfId="0" applyNumberFormat="1" applyFont="1" applyBorder="1" applyAlignment="1" applyProtection="1">
      <protection locked="0"/>
    </xf>
    <xf numFmtId="43" fontId="15" fillId="0" borderId="0" xfId="1" applyFont="1" applyBorder="1" applyAlignment="1" applyProtection="1">
      <protection locked="0"/>
    </xf>
    <xf numFmtId="4" fontId="16" fillId="0" borderId="0" xfId="0" applyNumberFormat="1" applyFont="1" applyBorder="1" applyAlignment="1" applyProtection="1">
      <protection locked="0"/>
    </xf>
    <xf numFmtId="174" fontId="16" fillId="0" borderId="0" xfId="1" applyNumberFormat="1" applyFont="1" applyBorder="1" applyAlignment="1" applyProtection="1">
      <protection locked="0"/>
    </xf>
    <xf numFmtId="0" fontId="4" fillId="0" borderId="0" xfId="7" applyFont="1" applyBorder="1" applyAlignment="1"/>
    <xf numFmtId="3" fontId="4" fillId="0" borderId="0" xfId="7" applyNumberFormat="1" applyFont="1" applyBorder="1" applyAlignment="1"/>
    <xf numFmtId="164" fontId="2" fillId="0" borderId="0" xfId="7" applyNumberFormat="1" applyFont="1" applyBorder="1" applyAlignment="1"/>
    <xf numFmtId="37" fontId="2" fillId="0" borderId="0" xfId="7" applyNumberFormat="1" applyFont="1" applyBorder="1" applyAlignment="1"/>
    <xf numFmtId="164" fontId="0" fillId="0" borderId="0" xfId="0" applyAlignment="1">
      <alignment horizontal="center"/>
    </xf>
    <xf numFmtId="164" fontId="0" fillId="0" borderId="0" xfId="0"/>
    <xf numFmtId="164" fontId="0" fillId="0" borderId="3" xfId="0" applyBorder="1" applyAlignment="1">
      <alignment horizontal="center"/>
    </xf>
    <xf numFmtId="3" fontId="4" fillId="0" borderId="3" xfId="0" applyNumberFormat="1" applyFont="1" applyBorder="1" applyAlignment="1">
      <alignment horizontal="center"/>
    </xf>
    <xf numFmtId="164" fontId="0" fillId="0" borderId="0" xfId="0" applyBorder="1" applyAlignment="1">
      <alignment horizontal="center"/>
    </xf>
    <xf numFmtId="3" fontId="4" fillId="0" borderId="0" xfId="0" applyNumberFormat="1" applyFont="1" applyBorder="1" applyAlignment="1">
      <alignment horizontal="center"/>
    </xf>
    <xf numFmtId="164" fontId="13" fillId="0" borderId="0" xfId="0" applyFont="1"/>
    <xf numFmtId="3" fontId="16" fillId="0" borderId="0" xfId="0" applyNumberFormat="1" applyFont="1"/>
    <xf numFmtId="3" fontId="4" fillId="0" borderId="0" xfId="0" applyNumberFormat="1" applyFont="1" applyBorder="1"/>
    <xf numFmtId="164" fontId="0" fillId="0" borderId="0" xfId="0" applyAlignment="1">
      <alignment horizontal="right"/>
    </xf>
    <xf numFmtId="164" fontId="16" fillId="0" borderId="0" xfId="0" applyFont="1"/>
    <xf numFmtId="164" fontId="0" fillId="0" borderId="0" xfId="0" applyAlignment="1">
      <alignment horizontal="left"/>
    </xf>
    <xf numFmtId="0" fontId="7" fillId="0" borderId="0" xfId="4" applyNumberFormat="1" applyFont="1" applyAlignment="1"/>
    <xf numFmtId="0" fontId="4" fillId="0" borderId="0" xfId="10" applyAlignment="1"/>
    <xf numFmtId="165" fontId="18" fillId="0" borderId="0" xfId="10" applyNumberFormat="1" applyFont="1" applyAlignment="1"/>
    <xf numFmtId="0" fontId="3" fillId="0" borderId="0" xfId="10" applyNumberFormat="1" applyFont="1" applyAlignment="1"/>
    <xf numFmtId="4" fontId="19" fillId="0" borderId="0" xfId="10" applyNumberFormat="1" applyFont="1" applyAlignment="1"/>
    <xf numFmtId="4" fontId="3" fillId="0" borderId="0" xfId="10" applyNumberFormat="1" applyFont="1" applyAlignment="1"/>
    <xf numFmtId="0" fontId="7" fillId="0" borderId="0" xfId="10" applyNumberFormat="1" applyFont="1" applyAlignment="1">
      <alignment horizontal="left"/>
    </xf>
    <xf numFmtId="0" fontId="7" fillId="0" borderId="0" xfId="10" applyFont="1" applyBorder="1" applyAlignment="1"/>
    <xf numFmtId="0" fontId="7" fillId="0" borderId="0" xfId="10" applyFont="1" applyBorder="1" applyAlignment="1">
      <alignment horizontal="center"/>
    </xf>
    <xf numFmtId="0" fontId="7" fillId="0" borderId="0" xfId="10" applyNumberFormat="1" applyFont="1" applyBorder="1" applyAlignment="1">
      <alignment horizontal="centerContinuous"/>
    </xf>
    <xf numFmtId="0" fontId="7" fillId="0" borderId="0" xfId="10" applyNumberFormat="1" applyFont="1" applyBorder="1" applyAlignment="1">
      <alignment horizontal="center"/>
    </xf>
    <xf numFmtId="0" fontId="7" fillId="0" borderId="0" xfId="0" applyNumberFormat="1" applyFont="1" applyAlignment="1">
      <alignment horizontal="center"/>
    </xf>
    <xf numFmtId="0" fontId="7" fillId="0" borderId="0" xfId="0" applyNumberFormat="1" applyFont="1" applyAlignment="1"/>
    <xf numFmtId="2" fontId="7" fillId="0" borderId="0" xfId="0" applyNumberFormat="1" applyFont="1" applyAlignment="1"/>
    <xf numFmtId="165" fontId="7" fillId="0" borderId="0" xfId="10" applyNumberFormat="1" applyFont="1" applyAlignment="1">
      <alignment horizontal="right"/>
    </xf>
    <xf numFmtId="0" fontId="7" fillId="0" borderId="3" xfId="0" applyNumberFormat="1" applyFont="1" applyBorder="1" applyAlignment="1" applyProtection="1">
      <protection locked="0"/>
    </xf>
    <xf numFmtId="166" fontId="7" fillId="0" borderId="0" xfId="9" applyNumberFormat="1" applyFont="1"/>
    <xf numFmtId="3" fontId="7" fillId="0" borderId="0" xfId="12" applyNumberFormat="1" applyFont="1" applyBorder="1" applyAlignment="1"/>
    <xf numFmtId="37" fontId="7" fillId="0" borderId="0" xfId="12" applyNumberFormat="1" applyFont="1" applyBorder="1" applyAlignment="1"/>
    <xf numFmtId="164" fontId="7" fillId="0" borderId="4" xfId="12" applyNumberFormat="1" applyFont="1" applyBorder="1" applyAlignment="1"/>
    <xf numFmtId="0" fontId="7" fillId="0" borderId="0" xfId="9" applyNumberFormat="1" applyFont="1" applyAlignment="1"/>
    <xf numFmtId="164" fontId="2" fillId="0" borderId="0" xfId="0" applyFont="1" applyBorder="1"/>
    <xf numFmtId="37" fontId="2" fillId="0" borderId="0" xfId="0" applyNumberFormat="1" applyFont="1" applyBorder="1"/>
    <xf numFmtId="37" fontId="2" fillId="0" borderId="0" xfId="0" applyNumberFormat="1" applyFont="1" applyBorder="1" applyAlignment="1" applyProtection="1">
      <protection locked="0"/>
    </xf>
    <xf numFmtId="174" fontId="2" fillId="0" borderId="3" xfId="1" applyNumberFormat="1" applyFont="1" applyFill="1" applyBorder="1"/>
    <xf numFmtId="37" fontId="2" fillId="0" borderId="3" xfId="0" applyNumberFormat="1" applyFont="1" applyFill="1" applyBorder="1"/>
    <xf numFmtId="164" fontId="20" fillId="0" borderId="0" xfId="0" applyFont="1"/>
    <xf numFmtId="164" fontId="1" fillId="0" borderId="0" xfId="0" applyFont="1"/>
    <xf numFmtId="37" fontId="2" fillId="0" borderId="4" xfId="0" applyNumberFormat="1" applyFont="1" applyFill="1" applyBorder="1"/>
    <xf numFmtId="0" fontId="20" fillId="0" borderId="0" xfId="0" applyNumberFormat="1" applyFont="1" applyAlignment="1" applyProtection="1">
      <protection locked="0"/>
    </xf>
    <xf numFmtId="39" fontId="2" fillId="0" borderId="0" xfId="0" applyNumberFormat="1" applyFont="1" applyAlignment="1"/>
    <xf numFmtId="37" fontId="2" fillId="0" borderId="4" xfId="0" applyNumberFormat="1" applyFont="1" applyFill="1" applyBorder="1" applyAlignment="1" applyProtection="1">
      <protection locked="0"/>
    </xf>
    <xf numFmtId="0" fontId="14" fillId="0" borderId="0" xfId="10" applyFont="1" applyAlignment="1"/>
    <xf numFmtId="0" fontId="6" fillId="0" borderId="0" xfId="5" applyNumberFormat="1" applyFont="1" applyAlignment="1"/>
    <xf numFmtId="174" fontId="7" fillId="0" borderId="4" xfId="1" applyNumberFormat="1" applyFont="1" applyBorder="1" applyAlignment="1"/>
    <xf numFmtId="164" fontId="2" fillId="0" borderId="0" xfId="0" applyFont="1" applyFill="1"/>
    <xf numFmtId="168" fontId="2" fillId="0" borderId="0" xfId="0" applyNumberFormat="1" applyFont="1" applyFill="1" applyAlignment="1">
      <alignment horizontal="center"/>
    </xf>
    <xf numFmtId="0" fontId="2" fillId="0" borderId="0" xfId="0" applyNumberFormat="1" applyFont="1" applyFill="1" applyAlignment="1" applyProtection="1">
      <protection locked="0"/>
    </xf>
    <xf numFmtId="16" fontId="7" fillId="0" borderId="0" xfId="0" applyNumberFormat="1" applyFont="1" applyAlignment="1" applyProtection="1">
      <protection locked="0"/>
    </xf>
    <xf numFmtId="171" fontId="2" fillId="0" borderId="1" xfId="5" applyNumberFormat="1" applyFont="1" applyBorder="1" applyAlignment="1"/>
    <xf numFmtId="171" fontId="2" fillId="0" borderId="4" xfId="5" applyNumberFormat="1" applyFont="1" applyBorder="1" applyAlignment="1"/>
    <xf numFmtId="176" fontId="9" fillId="0" borderId="0" xfId="11" quotePrefix="1" applyFont="1" applyAlignment="1"/>
    <xf numFmtId="185" fontId="4" fillId="0" borderId="0" xfId="2" applyNumberFormat="1" applyFont="1" applyAlignment="1" applyProtection="1">
      <protection locked="0"/>
    </xf>
    <xf numFmtId="43" fontId="2" fillId="0" borderId="0" xfId="0" applyNumberFormat="1" applyFont="1" applyAlignment="1" applyProtection="1">
      <protection locked="0"/>
    </xf>
    <xf numFmtId="186" fontId="4" fillId="0" borderId="0" xfId="2" applyNumberFormat="1" applyFont="1" applyAlignment="1" applyProtection="1">
      <protection locked="0"/>
    </xf>
    <xf numFmtId="183" fontId="4" fillId="0" borderId="0" xfId="1" applyNumberFormat="1" applyFont="1" applyAlignment="1" applyProtection="1">
      <protection locked="0"/>
    </xf>
    <xf numFmtId="0" fontId="4" fillId="0" borderId="0" xfId="0" applyNumberFormat="1" applyFont="1" applyAlignment="1" applyProtection="1">
      <alignment horizontal="left"/>
      <protection locked="0"/>
    </xf>
    <xf numFmtId="43" fontId="4" fillId="0" borderId="0" xfId="1" applyFont="1" applyAlignment="1" applyProtection="1">
      <protection locked="0"/>
    </xf>
    <xf numFmtId="43" fontId="4" fillId="0" borderId="0" xfId="1" applyFont="1" applyBorder="1" applyAlignment="1" applyProtection="1">
      <alignment horizontal="center"/>
      <protection locked="0"/>
    </xf>
    <xf numFmtId="0" fontId="22" fillId="0" borderId="0" xfId="0" applyNumberFormat="1" applyFont="1" applyAlignment="1" applyProtection="1">
      <protection locked="0"/>
    </xf>
    <xf numFmtId="0" fontId="22" fillId="0" borderId="0" xfId="0" applyNumberFormat="1" applyFont="1" applyAlignment="1" applyProtection="1">
      <alignment horizontal="center"/>
      <protection locked="0"/>
    </xf>
    <xf numFmtId="44" fontId="4" fillId="0" borderId="0" xfId="2" applyFont="1" applyAlignment="1" applyProtection="1">
      <protection locked="0"/>
    </xf>
    <xf numFmtId="185" fontId="12" fillId="0" borderId="0" xfId="2" applyNumberFormat="1" applyFont="1" applyAlignment="1" applyProtection="1">
      <alignment horizontal="left"/>
      <protection locked="0"/>
    </xf>
    <xf numFmtId="44" fontId="4" fillId="0" borderId="0" xfId="2" applyNumberFormat="1" applyFont="1" applyAlignment="1" applyProtection="1">
      <protection locked="0"/>
    </xf>
    <xf numFmtId="182" fontId="4" fillId="0" borderId="0" xfId="2" applyNumberFormat="1" applyFont="1" applyAlignment="1" applyProtection="1">
      <protection locked="0"/>
    </xf>
    <xf numFmtId="185" fontId="12" fillId="0" borderId="0" xfId="2" applyNumberFormat="1" applyFont="1" applyAlignment="1" applyProtection="1">
      <protection locked="0"/>
    </xf>
    <xf numFmtId="178" fontId="4" fillId="0" borderId="0" xfId="1" applyNumberFormat="1" applyFont="1" applyAlignment="1" applyProtection="1">
      <protection locked="0"/>
    </xf>
    <xf numFmtId="184" fontId="4" fillId="0" borderId="0" xfId="2" applyNumberFormat="1" applyFont="1" applyAlignment="1" applyProtection="1">
      <protection locked="0"/>
    </xf>
    <xf numFmtId="180" fontId="4" fillId="0" borderId="0" xfId="1" applyNumberFormat="1" applyFont="1" applyAlignment="1" applyProtection="1">
      <protection locked="0"/>
    </xf>
    <xf numFmtId="0" fontId="9" fillId="0" borderId="0" xfId="0" applyNumberFormat="1" applyFont="1" applyAlignment="1" applyProtection="1">
      <alignment horizontal="left"/>
      <protection locked="0"/>
    </xf>
    <xf numFmtId="43" fontId="9" fillId="0" borderId="0" xfId="1" applyFont="1" applyAlignment="1"/>
    <xf numFmtId="44" fontId="9" fillId="0" borderId="0" xfId="2" applyFont="1" applyAlignment="1"/>
    <xf numFmtId="43" fontId="9" fillId="0" borderId="0" xfId="1" applyNumberFormat="1" applyFont="1" applyAlignment="1"/>
    <xf numFmtId="41" fontId="9" fillId="0" borderId="0" xfId="11" applyNumberFormat="1" applyFont="1"/>
    <xf numFmtId="43" fontId="9" fillId="0" borderId="3" xfId="1" applyNumberFormat="1" applyFont="1" applyBorder="1" applyAlignment="1"/>
    <xf numFmtId="179" fontId="9" fillId="0" borderId="4" xfId="11" applyNumberFormat="1" applyFont="1" applyBorder="1" applyAlignment="1"/>
    <xf numFmtId="176" fontId="14" fillId="0" borderId="0" xfId="11" applyFont="1" applyAlignment="1"/>
    <xf numFmtId="168" fontId="9" fillId="0" borderId="0" xfId="0" applyNumberFormat="1" applyFont="1" applyBorder="1" applyAlignment="1">
      <alignment horizontal="center"/>
    </xf>
    <xf numFmtId="168" fontId="9" fillId="0" borderId="0" xfId="0" applyNumberFormat="1" applyFont="1" applyAlignment="1">
      <alignment horizontal="center"/>
    </xf>
    <xf numFmtId="176" fontId="9" fillId="0" borderId="0" xfId="11" applyNumberFormat="1" applyFont="1" applyAlignment="1"/>
    <xf numFmtId="175" fontId="9" fillId="0" borderId="0" xfId="1" applyNumberFormat="1" applyFont="1" applyAlignment="1"/>
    <xf numFmtId="3" fontId="4" fillId="0" borderId="0" xfId="0" applyNumberFormat="1" applyFont="1" applyAlignment="1" applyProtection="1">
      <protection locked="0"/>
    </xf>
    <xf numFmtId="181" fontId="9" fillId="0" borderId="0" xfId="11" applyNumberFormat="1" applyFont="1"/>
    <xf numFmtId="169" fontId="2" fillId="0" borderId="0" xfId="0" applyNumberFormat="1" applyFont="1" applyAlignment="1" applyProtection="1">
      <protection locked="0"/>
    </xf>
    <xf numFmtId="43" fontId="4" fillId="0" borderId="0" xfId="1" applyNumberFormat="1" applyFont="1" applyAlignment="1" applyProtection="1">
      <protection locked="0"/>
    </xf>
    <xf numFmtId="176" fontId="4" fillId="0" borderId="3" xfId="11" applyFont="1" applyBorder="1" applyAlignment="1">
      <alignment horizontal="center"/>
    </xf>
    <xf numFmtId="0" fontId="2" fillId="0" borderId="0" xfId="0" applyNumberFormat="1" applyFont="1" applyAlignment="1" applyProtection="1">
      <protection locked="0"/>
    </xf>
    <xf numFmtId="176" fontId="4" fillId="0" borderId="0" xfId="11" applyFont="1" applyAlignment="1">
      <alignment horizontal="center"/>
    </xf>
    <xf numFmtId="0" fontId="2" fillId="0" borderId="0" xfId="7" applyNumberFormat="1" applyFont="1" applyAlignment="1">
      <alignment horizontal="center"/>
    </xf>
    <xf numFmtId="174" fontId="24" fillId="0" borderId="0" xfId="1" applyNumberFormat="1" applyFont="1" applyAlignment="1" applyProtection="1">
      <protection locked="0"/>
    </xf>
    <xf numFmtId="0" fontId="24" fillId="0" borderId="0" xfId="0" applyNumberFormat="1" applyFont="1" applyAlignment="1" applyProtection="1">
      <protection locked="0"/>
    </xf>
    <xf numFmtId="0" fontId="24" fillId="0" borderId="0" xfId="0" applyNumberFormat="1" applyFont="1" applyAlignment="1" applyProtection="1">
      <alignment horizontal="center"/>
      <protection locked="0"/>
    </xf>
    <xf numFmtId="37" fontId="24" fillId="0" borderId="0" xfId="0" applyNumberFormat="1" applyFont="1" applyAlignment="1" applyProtection="1">
      <protection locked="0"/>
    </xf>
    <xf numFmtId="180" fontId="24" fillId="0" borderId="0" xfId="1" applyNumberFormat="1" applyFont="1" applyAlignment="1" applyProtection="1">
      <protection locked="0"/>
    </xf>
    <xf numFmtId="0" fontId="23" fillId="0" borderId="0" xfId="8" applyFont="1" applyAlignment="1">
      <alignment horizontal="center"/>
    </xf>
    <xf numFmtId="174" fontId="23" fillId="0" borderId="0" xfId="1" applyNumberFormat="1" applyFont="1" applyAlignment="1"/>
    <xf numFmtId="174" fontId="23" fillId="0" borderId="0" xfId="1" applyNumberFormat="1" applyFont="1" applyAlignment="1" applyProtection="1">
      <alignment horizontal="center"/>
      <protection locked="0"/>
    </xf>
    <xf numFmtId="1" fontId="4" fillId="0" borderId="0" xfId="0" applyNumberFormat="1" applyFont="1" applyAlignment="1" applyProtection="1">
      <alignment horizontal="center"/>
      <protection locked="0"/>
    </xf>
    <xf numFmtId="44" fontId="23" fillId="0" borderId="0" xfId="2" applyFont="1" applyAlignment="1" applyProtection="1">
      <protection locked="0"/>
    </xf>
    <xf numFmtId="185" fontId="23" fillId="0" borderId="0" xfId="2" applyNumberFormat="1" applyFont="1" applyAlignment="1" applyProtection="1">
      <protection locked="0"/>
    </xf>
    <xf numFmtId="0" fontId="23" fillId="0" borderId="0" xfId="0" applyNumberFormat="1" applyFont="1" applyAlignment="1" applyProtection="1">
      <protection locked="0"/>
    </xf>
    <xf numFmtId="0" fontId="23" fillId="0" borderId="0" xfId="4" applyFont="1" applyAlignment="1"/>
    <xf numFmtId="0" fontId="24" fillId="0" borderId="0" xfId="4" applyNumberFormat="1" applyFont="1" applyAlignment="1"/>
    <xf numFmtId="16" fontId="24" fillId="0" borderId="0" xfId="0" applyNumberFormat="1" applyFont="1" applyAlignment="1" applyProtection="1">
      <protection locked="0"/>
    </xf>
    <xf numFmtId="175" fontId="4" fillId="0" borderId="0" xfId="1" applyNumberFormat="1" applyFont="1" applyAlignment="1"/>
    <xf numFmtId="3" fontId="4" fillId="0" borderId="3" xfId="0" applyNumberFormat="1" applyFont="1" applyBorder="1"/>
    <xf numFmtId="164" fontId="4" fillId="0" borderId="0" xfId="0" applyFont="1"/>
    <xf numFmtId="174" fontId="4" fillId="0" borderId="0" xfId="1" applyNumberFormat="1" applyFont="1" applyAlignment="1" applyProtection="1">
      <alignment horizontal="center"/>
      <protection locked="0"/>
    </xf>
    <xf numFmtId="43" fontId="4" fillId="0" borderId="0" xfId="1" applyFont="1" applyAlignment="1" applyProtection="1">
      <alignment horizontal="center"/>
      <protection locked="0"/>
    </xf>
    <xf numFmtId="3" fontId="2" fillId="0" borderId="0" xfId="9" applyNumberFormat="1" applyFont="1" applyAlignment="1"/>
    <xf numFmtId="0" fontId="2" fillId="0" borderId="0" xfId="0" applyNumberFormat="1" applyFont="1" applyAlignment="1" applyProtection="1">
      <protection locked="0"/>
    </xf>
    <xf numFmtId="0" fontId="2" fillId="0" borderId="0" xfId="0" applyNumberFormat="1" applyFont="1" applyAlignment="1" applyProtection="1">
      <protection locked="0"/>
    </xf>
    <xf numFmtId="0" fontId="4" fillId="0" borderId="0" xfId="0" applyNumberFormat="1" applyFont="1" applyAlignment="1" applyProtection="1">
      <alignment horizontal="center"/>
      <protection locked="0"/>
    </xf>
    <xf numFmtId="43" fontId="2" fillId="0" borderId="0" xfId="1" applyFont="1" applyAlignment="1"/>
    <xf numFmtId="37" fontId="2" fillId="0" borderId="0" xfId="0" applyNumberFormat="1" applyFont="1" applyAlignment="1"/>
    <xf numFmtId="16" fontId="7" fillId="0" borderId="0" xfId="10" quotePrefix="1" applyNumberFormat="1" applyFont="1" applyAlignment="1">
      <alignment horizontal="center"/>
    </xf>
    <xf numFmtId="37" fontId="2" fillId="0" borderId="3" xfId="12" applyNumberFormat="1" applyFont="1" applyBorder="1" applyAlignment="1"/>
    <xf numFmtId="0" fontId="2" fillId="0" borderId="0" xfId="12" applyNumberFormat="1" applyFont="1" applyAlignment="1"/>
    <xf numFmtId="3" fontId="2" fillId="0" borderId="0" xfId="0" applyNumberFormat="1" applyFont="1" applyAlignment="1" applyProtection="1">
      <protection locked="0"/>
    </xf>
    <xf numFmtId="0" fontId="24" fillId="0" borderId="0" xfId="0" applyNumberFormat="1" applyFont="1" applyAlignment="1"/>
    <xf numFmtId="0" fontId="13" fillId="0" borderId="0" xfId="0" applyNumberFormat="1" applyFont="1" applyAlignment="1" applyProtection="1">
      <alignment horizontal="center"/>
      <protection locked="0"/>
    </xf>
    <xf numFmtId="176" fontId="23" fillId="0" borderId="0" xfId="11" applyFont="1" applyAlignment="1"/>
    <xf numFmtId="174" fontId="2" fillId="0" borderId="0" xfId="1" applyNumberFormat="1" applyFont="1" applyAlignment="1" applyProtection="1">
      <alignment horizontal="center"/>
      <protection locked="0"/>
    </xf>
    <xf numFmtId="174" fontId="2" fillId="0" borderId="0" xfId="1" applyNumberFormat="1" applyFont="1" applyFill="1" applyAlignment="1" applyProtection="1">
      <alignment horizontal="center"/>
      <protection locked="0"/>
    </xf>
    <xf numFmtId="174" fontId="2" fillId="0" borderId="0" xfId="1" applyNumberFormat="1" applyFont="1" applyBorder="1" applyAlignment="1" applyProtection="1">
      <protection locked="0"/>
    </xf>
    <xf numFmtId="174" fontId="2" fillId="0" borderId="0" xfId="1" applyNumberFormat="1" applyFont="1" applyFill="1" applyAlignment="1" applyProtection="1">
      <protection locked="0"/>
    </xf>
    <xf numFmtId="174" fontId="2" fillId="0" borderId="0" xfId="1" applyNumberFormat="1" applyFont="1" applyBorder="1"/>
    <xf numFmtId="174" fontId="2" fillId="0" borderId="0" xfId="1" applyNumberFormat="1" applyFont="1" applyAlignment="1" applyProtection="1">
      <alignment horizontal="centerContinuous"/>
      <protection locked="0"/>
    </xf>
    <xf numFmtId="168" fontId="2" fillId="0" borderId="0" xfId="0" applyNumberFormat="1" applyFont="1" applyAlignment="1" applyProtection="1">
      <alignment horizontal="centerContinuous"/>
      <protection locked="0"/>
    </xf>
    <xf numFmtId="174" fontId="2" fillId="0" borderId="3" xfId="1" applyNumberFormat="1" applyFont="1" applyBorder="1" applyAlignment="1" applyProtection="1">
      <alignment horizontal="centerContinuous"/>
      <protection locked="0"/>
    </xf>
    <xf numFmtId="0" fontId="2" fillId="0" borderId="3" xfId="0" applyNumberFormat="1" applyFont="1" applyBorder="1" applyAlignment="1" applyProtection="1">
      <alignment horizontal="centerContinuous"/>
      <protection locked="0"/>
    </xf>
    <xf numFmtId="175" fontId="4" fillId="0" borderId="0" xfId="1" applyNumberFormat="1" applyFont="1" applyAlignment="1" applyProtection="1">
      <protection locked="0"/>
    </xf>
    <xf numFmtId="175" fontId="2" fillId="0" borderId="0" xfId="1" applyNumberFormat="1" applyFont="1" applyAlignment="1" applyProtection="1">
      <alignment horizontal="center"/>
      <protection locked="0"/>
    </xf>
    <xf numFmtId="175" fontId="2" fillId="0" borderId="0" xfId="1" applyNumberFormat="1" applyFont="1" applyFill="1" applyAlignment="1" applyProtection="1">
      <alignment horizontal="center"/>
      <protection locked="0"/>
    </xf>
    <xf numFmtId="175" fontId="2" fillId="0" borderId="0" xfId="1" applyNumberFormat="1" applyFont="1" applyAlignment="1" applyProtection="1">
      <protection locked="0"/>
    </xf>
    <xf numFmtId="175" fontId="2" fillId="0" borderId="0" xfId="1" applyNumberFormat="1" applyFont="1" applyBorder="1" applyAlignment="1" applyProtection="1">
      <protection locked="0"/>
    </xf>
    <xf numFmtId="175" fontId="2" fillId="0" borderId="0" xfId="1" applyNumberFormat="1" applyFont="1" applyFill="1" applyAlignment="1" applyProtection="1">
      <protection locked="0"/>
    </xf>
    <xf numFmtId="175" fontId="2" fillId="0" borderId="0" xfId="1" applyNumberFormat="1" applyFont="1"/>
    <xf numFmtId="175" fontId="2" fillId="0" borderId="0" xfId="1" applyNumberFormat="1" applyFont="1" applyBorder="1"/>
    <xf numFmtId="3" fontId="26" fillId="0" borderId="0" xfId="14" applyNumberFormat="1" applyFont="1" applyFill="1" applyBorder="1" applyAlignment="1">
      <alignment horizontal="left"/>
    </xf>
    <xf numFmtId="168" fontId="2" fillId="0" borderId="0" xfId="0" applyNumberFormat="1" applyFont="1" applyBorder="1" applyAlignment="1" applyProtection="1">
      <protection locked="0"/>
    </xf>
    <xf numFmtId="174" fontId="2" fillId="0" borderId="0" xfId="1" applyNumberFormat="1" applyFont="1" applyFill="1" applyBorder="1"/>
    <xf numFmtId="49" fontId="2" fillId="0" borderId="0" xfId="0" applyNumberFormat="1" applyFont="1" applyBorder="1" applyAlignment="1" applyProtection="1">
      <protection locked="0"/>
    </xf>
    <xf numFmtId="168" fontId="2" fillId="0" borderId="0" xfId="0" applyNumberFormat="1" applyFont="1" applyAlignment="1" applyProtection="1">
      <alignment horizontal="right"/>
      <protection locked="0"/>
    </xf>
    <xf numFmtId="0" fontId="2" fillId="0" borderId="0" xfId="0" applyNumberFormat="1" applyFont="1" applyAlignment="1" applyProtection="1">
      <protection locked="0"/>
    </xf>
    <xf numFmtId="178" fontId="2" fillId="0" borderId="0" xfId="1" applyNumberFormat="1" applyFont="1" applyFill="1" applyAlignment="1" applyProtection="1">
      <protection locked="0"/>
    </xf>
    <xf numFmtId="174" fontId="2" fillId="0" borderId="0" xfId="0" applyNumberFormat="1" applyFont="1" applyFill="1" applyAlignment="1" applyProtection="1">
      <protection locked="0"/>
    </xf>
    <xf numFmtId="44" fontId="2" fillId="0" borderId="0" xfId="0" applyNumberFormat="1" applyFont="1" applyAlignment="1" applyProtection="1">
      <protection locked="0"/>
    </xf>
    <xf numFmtId="3" fontId="2" fillId="0" borderId="0" xfId="10" applyNumberFormat="1" applyFont="1" applyAlignment="1"/>
    <xf numFmtId="171" fontId="2" fillId="0" borderId="0" xfId="5" applyNumberFormat="1" applyFont="1" applyAlignment="1"/>
    <xf numFmtId="177" fontId="4" fillId="0" borderId="0" xfId="2" applyNumberFormat="1" applyFont="1" applyAlignment="1"/>
    <xf numFmtId="177" fontId="4" fillId="0" borderId="0" xfId="2" applyNumberFormat="1" applyFont="1" applyBorder="1" applyAlignment="1"/>
    <xf numFmtId="174" fontId="4" fillId="0" borderId="0" xfId="1" applyNumberFormat="1" applyFont="1" applyBorder="1" applyAlignment="1"/>
    <xf numFmtId="174" fontId="4" fillId="0" borderId="3" xfId="1" applyNumberFormat="1" applyFont="1" applyBorder="1" applyAlignment="1"/>
    <xf numFmtId="176" fontId="4" fillId="0" borderId="0" xfId="11" quotePrefix="1" applyFont="1" applyAlignment="1"/>
    <xf numFmtId="37" fontId="2" fillId="0" borderId="3" xfId="0" applyNumberFormat="1" applyFont="1" applyBorder="1"/>
    <xf numFmtId="43" fontId="2" fillId="0" borderId="0" xfId="1" applyFont="1" applyBorder="1" applyAlignment="1" applyProtection="1">
      <protection locked="0"/>
    </xf>
    <xf numFmtId="43" fontId="2" fillId="0" borderId="0" xfId="0" applyNumberFormat="1" applyFont="1" applyBorder="1" applyAlignment="1" applyProtection="1">
      <protection locked="0"/>
    </xf>
    <xf numFmtId="1" fontId="2" fillId="0" borderId="0" xfId="0" applyNumberFormat="1" applyFont="1" applyBorder="1" applyAlignment="1" applyProtection="1">
      <protection locked="0"/>
    </xf>
    <xf numFmtId="176" fontId="9" fillId="0" borderId="3" xfId="11" applyFont="1" applyBorder="1" applyAlignment="1">
      <alignment horizontal="center"/>
    </xf>
    <xf numFmtId="49" fontId="2" fillId="0" borderId="0" xfId="0" applyNumberFormat="1" applyFont="1" applyBorder="1" applyAlignment="1">
      <alignment horizontal="center"/>
    </xf>
    <xf numFmtId="1" fontId="2" fillId="0" borderId="0" xfId="0" applyNumberFormat="1" applyFont="1" applyBorder="1" applyAlignment="1">
      <alignment horizontal="center"/>
    </xf>
    <xf numFmtId="0" fontId="2" fillId="0" borderId="0" xfId="10" applyFont="1" applyAlignment="1"/>
    <xf numFmtId="37" fontId="2" fillId="0" borderId="1" xfId="10" applyNumberFormat="1" applyFont="1" applyBorder="1" applyAlignment="1">
      <alignment horizontal="center"/>
    </xf>
    <xf numFmtId="0" fontId="2" fillId="0" borderId="0" xfId="10" applyNumberFormat="1" applyFont="1" applyAlignment="1"/>
    <xf numFmtId="0" fontId="2" fillId="0" borderId="0" xfId="0" applyNumberFormat="1" applyFont="1" applyAlignment="1" applyProtection="1">
      <protection locked="0"/>
    </xf>
    <xf numFmtId="187" fontId="2" fillId="0" borderId="0" xfId="0" applyNumberFormat="1" applyFont="1" applyFill="1" applyAlignment="1" applyProtection="1">
      <protection locked="0"/>
    </xf>
    <xf numFmtId="43" fontId="2" fillId="0" borderId="0" xfId="1" applyFont="1" applyAlignment="1" applyProtection="1">
      <protection locked="0"/>
    </xf>
    <xf numFmtId="0" fontId="2" fillId="0" borderId="0" xfId="0" applyNumberFormat="1" applyFont="1" applyAlignment="1" applyProtection="1">
      <protection locked="0"/>
    </xf>
    <xf numFmtId="176" fontId="4" fillId="0" borderId="0" xfId="11" applyFont="1" applyAlignment="1">
      <alignment horizontal="center"/>
    </xf>
    <xf numFmtId="8" fontId="4" fillId="0" borderId="0" xfId="2" applyNumberFormat="1" applyFont="1" applyAlignment="1" applyProtection="1">
      <protection locked="0"/>
    </xf>
    <xf numFmtId="184" fontId="2" fillId="0" borderId="0" xfId="0" applyNumberFormat="1" applyFont="1" applyAlignment="1" applyProtection="1">
      <protection locked="0"/>
    </xf>
    <xf numFmtId="188" fontId="2" fillId="0" borderId="0" xfId="0" applyNumberFormat="1" applyFont="1" applyAlignment="1" applyProtection="1">
      <protection locked="0"/>
    </xf>
    <xf numFmtId="189" fontId="2" fillId="0" borderId="0" xfId="0" applyNumberFormat="1" applyFont="1" applyAlignment="1" applyProtection="1">
      <protection locked="0"/>
    </xf>
    <xf numFmtId="0" fontId="2" fillId="0" borderId="3" xfId="0" applyNumberFormat="1" applyFont="1" applyBorder="1" applyAlignment="1" applyProtection="1">
      <alignment horizontal="center"/>
      <protection locked="0"/>
    </xf>
    <xf numFmtId="0" fontId="2" fillId="0" borderId="0" xfId="0" applyNumberFormat="1" applyFont="1" applyAlignment="1" applyProtection="1">
      <protection locked="0"/>
    </xf>
    <xf numFmtId="177" fontId="2" fillId="0" borderId="0" xfId="0" applyNumberFormat="1" applyFont="1" applyAlignment="1" applyProtection="1">
      <protection locked="0"/>
    </xf>
    <xf numFmtId="0" fontId="2" fillId="0" borderId="3" xfId="0" applyNumberFormat="1" applyFont="1" applyFill="1" applyBorder="1" applyAlignment="1" applyProtection="1">
      <protection locked="0"/>
    </xf>
    <xf numFmtId="174" fontId="2" fillId="0" borderId="3" xfId="1" applyNumberFormat="1" applyFont="1" applyFill="1" applyBorder="1" applyAlignment="1" applyProtection="1">
      <protection locked="0"/>
    </xf>
    <xf numFmtId="37" fontId="2" fillId="0" borderId="3" xfId="0" applyNumberFormat="1" applyFont="1" applyFill="1" applyBorder="1" applyAlignment="1" applyProtection="1">
      <protection locked="0"/>
    </xf>
    <xf numFmtId="0" fontId="2" fillId="0" borderId="0" xfId="0" applyNumberFormat="1" applyFont="1" applyBorder="1" applyAlignment="1" applyProtection="1">
      <alignment horizontal="center"/>
      <protection locked="0"/>
    </xf>
    <xf numFmtId="174" fontId="2" fillId="0" borderId="0" xfId="1" applyNumberFormat="1" applyFont="1" applyBorder="1" applyAlignment="1" applyProtection="1">
      <alignment horizontal="center"/>
      <protection locked="0"/>
    </xf>
    <xf numFmtId="174" fontId="2" fillId="0" borderId="3" xfId="1" applyNumberFormat="1" applyFont="1" applyBorder="1" applyAlignment="1" applyProtection="1">
      <alignment horizontal="center"/>
      <protection locked="0"/>
    </xf>
    <xf numFmtId="0" fontId="4" fillId="0" borderId="0" xfId="0" applyNumberFormat="1" applyFont="1" applyAlignment="1" applyProtection="1">
      <alignment horizontal="centerContinuous"/>
      <protection locked="0"/>
    </xf>
    <xf numFmtId="164" fontId="4" fillId="0" borderId="0" xfId="0" applyFont="1" applyAlignment="1">
      <alignment horizontal="center"/>
    </xf>
    <xf numFmtId="164" fontId="2" fillId="0" borderId="0" xfId="0" applyFont="1" applyAlignment="1">
      <alignment horizontal="center"/>
    </xf>
    <xf numFmtId="37" fontId="2" fillId="0" borderId="0" xfId="0" applyNumberFormat="1" applyFont="1" applyAlignment="1">
      <alignment horizontal="center"/>
    </xf>
    <xf numFmtId="175" fontId="2" fillId="0" borderId="3" xfId="0" applyNumberFormat="1" applyFont="1" applyBorder="1" applyAlignment="1">
      <alignment horizontal="centerContinuous"/>
    </xf>
    <xf numFmtId="168" fontId="2" fillId="0" borderId="3" xfId="0" applyNumberFormat="1" applyFont="1" applyBorder="1" applyAlignment="1">
      <alignment horizontal="center"/>
    </xf>
    <xf numFmtId="37" fontId="2" fillId="0" borderId="3" xfId="0" applyNumberFormat="1" applyFont="1" applyBorder="1" applyAlignment="1">
      <alignment horizontal="center"/>
    </xf>
    <xf numFmtId="37" fontId="2" fillId="0" borderId="3" xfId="0" applyNumberFormat="1" applyFont="1" applyBorder="1" applyAlignment="1" applyProtection="1">
      <alignment horizontal="center"/>
      <protection locked="0"/>
    </xf>
    <xf numFmtId="164" fontId="2" fillId="0" borderId="3" xfId="0" applyFont="1" applyBorder="1" applyAlignment="1">
      <alignment horizontal="center"/>
    </xf>
    <xf numFmtId="175" fontId="2" fillId="0" borderId="0" xfId="0" applyNumberFormat="1" applyFont="1" applyBorder="1" applyAlignment="1">
      <alignment horizontal="centerContinuous"/>
    </xf>
    <xf numFmtId="168" fontId="2" fillId="0" borderId="0" xfId="0" applyNumberFormat="1" applyFont="1" applyBorder="1" applyAlignment="1">
      <alignment horizontal="center"/>
    </xf>
    <xf numFmtId="42" fontId="2" fillId="0" borderId="0" xfId="0" applyNumberFormat="1" applyFont="1"/>
    <xf numFmtId="174" fontId="2" fillId="0" borderId="3" xfId="1" applyNumberFormat="1" applyFont="1" applyBorder="1"/>
    <xf numFmtId="0" fontId="2" fillId="0" borderId="0" xfId="1" applyNumberFormat="1" applyFont="1" applyBorder="1"/>
    <xf numFmtId="49"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2" fontId="2" fillId="0" borderId="0" xfId="0" applyNumberFormat="1" applyFont="1" applyBorder="1" applyAlignment="1" applyProtection="1">
      <protection locked="0"/>
    </xf>
    <xf numFmtId="49" fontId="2" fillId="0" borderId="0" xfId="0" applyNumberFormat="1" applyFont="1" applyFill="1" applyBorder="1" applyAlignment="1" applyProtection="1">
      <protection locked="0"/>
    </xf>
    <xf numFmtId="164" fontId="10" fillId="0" borderId="0" xfId="0" applyFont="1" applyFill="1"/>
    <xf numFmtId="0" fontId="2" fillId="0" borderId="0" xfId="1" applyNumberFormat="1" applyFont="1" applyFill="1" applyBorder="1"/>
    <xf numFmtId="41" fontId="2" fillId="0" borderId="0" xfId="0" applyNumberFormat="1" applyFont="1" applyBorder="1" applyAlignment="1" applyProtection="1">
      <protection locked="0"/>
    </xf>
    <xf numFmtId="42" fontId="2" fillId="0" borderId="0" xfId="0" applyNumberFormat="1" applyFont="1" applyBorder="1"/>
    <xf numFmtId="43" fontId="2" fillId="0" borderId="0" xfId="1" applyNumberFormat="1" applyFont="1" applyAlignment="1" applyProtection="1">
      <protection locked="0"/>
    </xf>
    <xf numFmtId="42" fontId="2" fillId="0" borderId="0" xfId="0" applyNumberFormat="1" applyFont="1" applyBorder="1" applyAlignment="1" applyProtection="1">
      <protection locked="0"/>
    </xf>
    <xf numFmtId="41" fontId="2" fillId="0" borderId="0" xfId="0" applyNumberFormat="1" applyFont="1" applyBorder="1" applyAlignment="1">
      <alignment horizontal="center"/>
    </xf>
    <xf numFmtId="168" fontId="2" fillId="0" borderId="0" xfId="0" applyNumberFormat="1" applyFont="1" applyBorder="1" applyAlignment="1" applyProtection="1">
      <alignment horizontal="center"/>
      <protection locked="0"/>
    </xf>
    <xf numFmtId="170" fontId="1" fillId="0" borderId="0" xfId="0" applyNumberFormat="1" applyFont="1" applyAlignment="1" applyProtection="1">
      <alignment horizontal="left"/>
      <protection locked="0"/>
    </xf>
    <xf numFmtId="172" fontId="2" fillId="0" borderId="0" xfId="0" applyNumberFormat="1" applyFont="1" applyAlignment="1" applyProtection="1">
      <alignment horizontal="right"/>
      <protection locked="0"/>
    </xf>
    <xf numFmtId="172" fontId="2" fillId="0" borderId="0" xfId="0" applyNumberFormat="1" applyFont="1" applyAlignment="1" applyProtection="1">
      <protection locked="0"/>
    </xf>
    <xf numFmtId="0" fontId="4" fillId="0" borderId="0" xfId="10" applyBorder="1" applyAlignment="1"/>
    <xf numFmtId="3" fontId="2" fillId="0" borderId="0" xfId="10" applyNumberFormat="1" applyFont="1" applyBorder="1" applyAlignment="1"/>
    <xf numFmtId="0" fontId="24" fillId="0" borderId="0" xfId="0" applyNumberFormat="1" applyFont="1" applyBorder="1" applyAlignment="1" applyProtection="1">
      <protection locked="0"/>
    </xf>
    <xf numFmtId="176" fontId="9" fillId="0" borderId="0" xfId="11" applyFont="1" applyBorder="1" applyAlignment="1">
      <alignment horizontal="center"/>
    </xf>
    <xf numFmtId="0" fontId="23" fillId="0" borderId="0" xfId="0" quotePrefix="1" applyNumberFormat="1" applyFont="1" applyBorder="1" applyAlignment="1" applyProtection="1">
      <alignment horizontal="left"/>
      <protection locked="0"/>
    </xf>
    <xf numFmtId="176" fontId="7" fillId="0" borderId="0" xfId="11" applyFont="1" applyBorder="1" applyAlignment="1"/>
    <xf numFmtId="176" fontId="9" fillId="0" borderId="0" xfId="11" applyFont="1" applyBorder="1" applyAlignment="1"/>
    <xf numFmtId="0" fontId="9" fillId="0" borderId="0" xfId="0" applyNumberFormat="1" applyFont="1" applyBorder="1" applyAlignment="1" applyProtection="1">
      <alignment horizontal="center"/>
      <protection locked="0"/>
    </xf>
    <xf numFmtId="0" fontId="9" fillId="0" borderId="0" xfId="0" applyNumberFormat="1" applyFont="1" applyBorder="1" applyAlignment="1" applyProtection="1">
      <protection locked="0"/>
    </xf>
    <xf numFmtId="176" fontId="4" fillId="0" borderId="0" xfId="11" applyFont="1" applyBorder="1" applyAlignment="1">
      <alignment horizontal="center"/>
    </xf>
    <xf numFmtId="37" fontId="9" fillId="0" borderId="0" xfId="0" applyNumberFormat="1" applyFont="1" applyBorder="1" applyAlignment="1">
      <alignment horizontal="center"/>
    </xf>
    <xf numFmtId="37" fontId="9" fillId="0" borderId="0" xfId="0" applyNumberFormat="1" applyFont="1" applyBorder="1" applyAlignment="1" applyProtection="1">
      <alignment horizontal="center"/>
      <protection locked="0"/>
    </xf>
    <xf numFmtId="37" fontId="4" fillId="0" borderId="0" xfId="0" applyNumberFormat="1" applyFont="1" applyBorder="1" applyAlignment="1" applyProtection="1">
      <alignment horizontal="center"/>
      <protection locked="0"/>
    </xf>
    <xf numFmtId="37" fontId="9" fillId="0" borderId="0" xfId="0" quotePrefix="1" applyNumberFormat="1" applyFont="1" applyBorder="1" applyAlignment="1" applyProtection="1">
      <alignment horizontal="center"/>
      <protection locked="0"/>
    </xf>
    <xf numFmtId="176" fontId="2" fillId="0" borderId="0" xfId="11" applyFont="1" applyBorder="1" applyAlignment="1"/>
    <xf numFmtId="10" fontId="4" fillId="0" borderId="0" xfId="13" applyNumberFormat="1" applyFont="1" applyBorder="1" applyAlignment="1" applyProtection="1">
      <protection locked="0"/>
    </xf>
    <xf numFmtId="43" fontId="4" fillId="0" borderId="0" xfId="1" applyFont="1" applyBorder="1" applyAlignment="1">
      <alignment horizontal="right"/>
    </xf>
    <xf numFmtId="44" fontId="9" fillId="0" borderId="0" xfId="2" applyFont="1" applyBorder="1" applyAlignment="1"/>
    <xf numFmtId="44" fontId="9" fillId="0" borderId="0" xfId="2" applyFont="1" applyBorder="1" applyAlignment="1" applyProtection="1">
      <protection locked="0"/>
    </xf>
    <xf numFmtId="43" fontId="4" fillId="0" borderId="0" xfId="1" applyFont="1" applyBorder="1" applyAlignment="1"/>
    <xf numFmtId="43" fontId="9" fillId="0" borderId="0" xfId="0" applyNumberFormat="1" applyFont="1" applyBorder="1" applyAlignment="1" applyProtection="1">
      <protection locked="0"/>
    </xf>
    <xf numFmtId="174" fontId="4" fillId="0" borderId="0" xfId="0" applyNumberFormat="1" applyFont="1" applyBorder="1" applyAlignment="1" applyProtection="1">
      <protection locked="0"/>
    </xf>
    <xf numFmtId="177" fontId="9" fillId="0" borderId="0" xfId="2" applyNumberFormat="1" applyFont="1" applyBorder="1" applyAlignment="1" applyProtection="1">
      <protection locked="0"/>
    </xf>
    <xf numFmtId="175" fontId="9" fillId="0" borderId="0" xfId="1" applyNumberFormat="1" applyFont="1" applyBorder="1" applyAlignment="1"/>
    <xf numFmtId="3" fontId="9" fillId="0" borderId="0" xfId="10" applyNumberFormat="1" applyFont="1" applyBorder="1" applyAlignment="1"/>
    <xf numFmtId="43" fontId="9" fillId="0" borderId="0" xfId="11" applyNumberFormat="1" applyFont="1" applyBorder="1" applyAlignment="1"/>
    <xf numFmtId="43" fontId="4" fillId="0" borderId="0" xfId="10" applyNumberFormat="1" applyFont="1" applyBorder="1" applyAlignment="1"/>
    <xf numFmtId="174" fontId="9" fillId="0" borderId="0" xfId="0" applyNumberFormat="1" applyFont="1" applyBorder="1" applyAlignment="1" applyProtection="1">
      <protection locked="0"/>
    </xf>
    <xf numFmtId="44" fontId="2" fillId="0" borderId="0" xfId="0" applyNumberFormat="1" applyFont="1" applyBorder="1" applyAlignment="1" applyProtection="1">
      <protection locked="0"/>
    </xf>
    <xf numFmtId="181" fontId="9" fillId="0" borderId="0" xfId="11" applyNumberFormat="1" applyFont="1" applyBorder="1"/>
    <xf numFmtId="43" fontId="9" fillId="0" borderId="0" xfId="1" applyFont="1" applyBorder="1" applyAlignment="1"/>
    <xf numFmtId="43" fontId="9" fillId="0" borderId="0" xfId="2" applyNumberFormat="1" applyFont="1" applyBorder="1" applyAlignment="1"/>
    <xf numFmtId="0" fontId="9" fillId="0" borderId="0" xfId="10" applyNumberFormat="1" applyFont="1" applyBorder="1" applyAlignment="1"/>
    <xf numFmtId="4" fontId="2" fillId="0" borderId="0" xfId="10" applyNumberFormat="1" applyFont="1" applyBorder="1" applyAlignment="1"/>
    <xf numFmtId="174" fontId="2" fillId="0" borderId="0" xfId="0" applyNumberFormat="1" applyFont="1" applyBorder="1" applyAlignment="1" applyProtection="1">
      <protection locked="0"/>
    </xf>
    <xf numFmtId="4" fontId="19" fillId="0" borderId="0" xfId="10" applyNumberFormat="1" applyFont="1" applyBorder="1" applyAlignment="1"/>
    <xf numFmtId="0" fontId="9" fillId="0" borderId="0" xfId="0" quotePrefix="1" applyNumberFormat="1" applyFont="1" applyBorder="1" applyAlignment="1" applyProtection="1">
      <alignment horizontal="left"/>
      <protection locked="0"/>
    </xf>
    <xf numFmtId="3" fontId="4" fillId="0" borderId="0" xfId="0" applyNumberFormat="1" applyFont="1" applyBorder="1" applyAlignment="1" applyProtection="1">
      <protection locked="0"/>
    </xf>
    <xf numFmtId="174" fontId="9" fillId="2" borderId="0" xfId="0" applyNumberFormat="1" applyFont="1" applyFill="1" applyBorder="1" applyAlignment="1" applyProtection="1">
      <protection locked="0"/>
    </xf>
    <xf numFmtId="0" fontId="2" fillId="0" borderId="0" xfId="0" applyNumberFormat="1" applyFont="1" applyFill="1" applyAlignment="1" applyProtection="1">
      <alignment horizontal="center"/>
      <protection locked="0"/>
    </xf>
    <xf numFmtId="0" fontId="8" fillId="0" borderId="0" xfId="0" applyNumberFormat="1" applyFont="1" applyFill="1" applyAlignment="1" applyProtection="1">
      <protection locked="0"/>
    </xf>
    <xf numFmtId="0" fontId="8" fillId="0" borderId="0" xfId="0" applyNumberFormat="1" applyFont="1" applyFill="1" applyAlignment="1" applyProtection="1">
      <alignment horizontal="center"/>
      <protection locked="0"/>
    </xf>
    <xf numFmtId="10" fontId="2" fillId="0" borderId="0" xfId="0" applyNumberFormat="1" applyFont="1" applyFill="1" applyAlignment="1" applyProtection="1">
      <protection locked="0"/>
    </xf>
    <xf numFmtId="0" fontId="20" fillId="0" borderId="0" xfId="0" applyNumberFormat="1" applyFont="1" applyFill="1" applyAlignment="1" applyProtection="1">
      <protection locked="0"/>
    </xf>
    <xf numFmtId="43" fontId="2" fillId="0" borderId="0" xfId="1" applyFont="1" applyFill="1" applyAlignment="1" applyProtection="1">
      <protection locked="0"/>
    </xf>
    <xf numFmtId="10" fontId="2" fillId="0" borderId="0" xfId="13" applyNumberFormat="1" applyFont="1" applyFill="1" applyAlignment="1" applyProtection="1">
      <protection locked="0"/>
    </xf>
    <xf numFmtId="43" fontId="21" fillId="0" borderId="0" xfId="1" applyFont="1" applyFill="1" applyAlignment="1" applyProtection="1">
      <protection locked="0"/>
    </xf>
    <xf numFmtId="0" fontId="2" fillId="0" borderId="0" xfId="0" applyNumberFormat="1" applyFont="1" applyAlignment="1" applyProtection="1">
      <alignment horizontal="center"/>
      <protection locked="0"/>
    </xf>
    <xf numFmtId="0" fontId="2" fillId="0" borderId="3" xfId="0" applyNumberFormat="1" applyFont="1" applyBorder="1" applyAlignment="1" applyProtection="1">
      <alignment horizontal="center"/>
      <protection locked="0"/>
    </xf>
    <xf numFmtId="0" fontId="4" fillId="0" borderId="0" xfId="0" applyNumberFormat="1" applyFont="1" applyAlignment="1" applyProtection="1">
      <alignment horizontal="center"/>
      <protection locked="0"/>
    </xf>
    <xf numFmtId="0" fontId="2" fillId="0" borderId="0" xfId="0" applyNumberFormat="1" applyFont="1" applyAlignment="1">
      <alignment horizontal="justify" vertical="top" wrapText="1"/>
    </xf>
    <xf numFmtId="0" fontId="2" fillId="0" borderId="0" xfId="0" applyNumberFormat="1" applyFont="1" applyAlignment="1">
      <alignment horizontal="justify" wrapText="1"/>
    </xf>
    <xf numFmtId="0" fontId="2" fillId="0" borderId="0" xfId="6" applyNumberFormat="1" applyFont="1" applyAlignment="1">
      <alignment horizontal="justify" vertical="top" wrapText="1"/>
    </xf>
    <xf numFmtId="0" fontId="2" fillId="0" borderId="0" xfId="0" applyNumberFormat="1" applyFont="1" applyAlignment="1">
      <alignment horizontal="justify"/>
    </xf>
    <xf numFmtId="0" fontId="2" fillId="0" borderId="0" xfId="0" applyNumberFormat="1" applyFont="1" applyAlignment="1">
      <alignment horizontal="left" wrapText="1"/>
    </xf>
    <xf numFmtId="0" fontId="2" fillId="0" borderId="0" xfId="7" applyNumberFormat="1" applyFont="1" applyAlignment="1">
      <alignment horizontal="justify" vertical="top" wrapText="1"/>
    </xf>
    <xf numFmtId="0" fontId="2" fillId="0" borderId="0" xfId="3" applyNumberFormat="1" applyFont="1" applyAlignment="1">
      <alignment horizontal="justify" vertical="top" wrapText="1"/>
    </xf>
    <xf numFmtId="0" fontId="2" fillId="0" borderId="0" xfId="7" applyNumberFormat="1" applyFont="1" applyAlignment="1">
      <alignment horizontal="center"/>
    </xf>
    <xf numFmtId="0" fontId="2" fillId="0" borderId="5" xfId="7" applyNumberFormat="1" applyFont="1" applyBorder="1" applyAlignment="1">
      <alignment horizontal="center"/>
    </xf>
    <xf numFmtId="0" fontId="2" fillId="0" borderId="0" xfId="8" applyNumberFormat="1" applyFont="1" applyAlignment="1">
      <alignment horizontal="justify" vertical="top" wrapText="1"/>
    </xf>
    <xf numFmtId="0" fontId="2" fillId="0" borderId="0" xfId="0" applyNumberFormat="1" applyFont="1" applyAlignment="1" applyProtection="1">
      <protection locked="0"/>
    </xf>
    <xf numFmtId="0" fontId="2" fillId="0" borderId="0" xfId="4" applyNumberFormat="1" applyFont="1" applyAlignment="1">
      <alignment horizontal="justify" vertical="top" wrapText="1"/>
    </xf>
    <xf numFmtId="0" fontId="2" fillId="0" borderId="0" xfId="5" applyNumberFormat="1" applyFont="1" applyAlignment="1">
      <alignment horizontal="justify" vertical="top" wrapText="1"/>
    </xf>
    <xf numFmtId="0" fontId="2" fillId="0" borderId="0" xfId="5" applyNumberFormat="1" applyFont="1" applyAlignment="1">
      <alignment horizontal="center"/>
    </xf>
    <xf numFmtId="0" fontId="2" fillId="0" borderId="0" xfId="0" applyNumberFormat="1" applyFont="1" applyBorder="1" applyAlignment="1" applyProtection="1">
      <alignment horizontal="center"/>
      <protection locked="0"/>
    </xf>
    <xf numFmtId="176" fontId="9" fillId="0" borderId="0" xfId="11" applyFont="1" applyAlignment="1">
      <alignment horizontal="center"/>
    </xf>
    <xf numFmtId="0" fontId="7" fillId="0" borderId="5" xfId="12" applyNumberFormat="1" applyFont="1" applyBorder="1" applyAlignment="1">
      <alignment horizontal="center"/>
    </xf>
    <xf numFmtId="0" fontId="7" fillId="0" borderId="0" xfId="12" applyNumberFormat="1" applyFont="1" applyAlignment="1">
      <alignment horizontal="center"/>
    </xf>
    <xf numFmtId="176" fontId="9" fillId="0" borderId="0" xfId="11" applyFont="1" applyBorder="1" applyAlignment="1">
      <alignment horizontal="center"/>
    </xf>
    <xf numFmtId="176" fontId="9" fillId="0" borderId="3" xfId="11" applyFont="1" applyBorder="1" applyAlignment="1">
      <alignment horizontal="center"/>
    </xf>
    <xf numFmtId="41" fontId="9" fillId="0" borderId="6" xfId="11" quotePrefix="1" applyNumberFormat="1" applyFont="1" applyBorder="1" applyAlignment="1">
      <alignment horizontal="center"/>
    </xf>
    <xf numFmtId="164" fontId="0" fillId="0" borderId="3" xfId="0" applyBorder="1" applyAlignment="1">
      <alignment horizontal="center"/>
    </xf>
    <xf numFmtId="164" fontId="0" fillId="0" borderId="0" xfId="0" applyAlignment="1">
      <alignment horizontal="center"/>
    </xf>
    <xf numFmtId="176" fontId="4" fillId="0" borderId="0" xfId="11" applyFont="1" applyAlignment="1">
      <alignment horizontal="center"/>
    </xf>
    <xf numFmtId="43" fontId="4" fillId="0" borderId="3" xfId="1" applyFont="1" applyBorder="1" applyAlignment="1" applyProtection="1">
      <alignment horizontal="center"/>
      <protection locked="0"/>
    </xf>
    <xf numFmtId="0" fontId="22" fillId="0" borderId="0" xfId="0" applyNumberFormat="1" applyFont="1" applyAlignment="1" applyProtection="1">
      <alignment horizontal="center"/>
      <protection locked="0"/>
    </xf>
  </cellXfs>
  <cellStyles count="19">
    <cellStyle name="Comma" xfId="1" builtinId="3"/>
    <cellStyle name="Comma 2" xfId="16"/>
    <cellStyle name="Currency" xfId="2" builtinId="4"/>
    <cellStyle name="Currency 2" xfId="15"/>
    <cellStyle name="Normal" xfId="0" builtinId="0"/>
    <cellStyle name="Normal 2" xfId="14"/>
    <cellStyle name="Normal 2 2" xfId="17"/>
    <cellStyle name="Normal 3" xfId="18"/>
    <cellStyle name="Normal_F   5" xfId="3"/>
    <cellStyle name="Normal_F   6   7" xfId="4"/>
    <cellStyle name="Normal_F   8  9  10" xfId="5"/>
    <cellStyle name="Normal_F 2 B" xfId="6"/>
    <cellStyle name="Normal_F 3B 4B" xfId="7"/>
    <cellStyle name="Normal_F 5B" xfId="8"/>
    <cellStyle name="Normal_Factors" xfId="9"/>
    <cellStyle name="Normal_MetersServices" xfId="10"/>
    <cellStyle name="Normal_Sch M" xfId="11"/>
    <cellStyle name="Normal_Sched G" xfId="12"/>
    <cellStyle name="Percent"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D889"/>
  <sheetViews>
    <sheetView tabSelected="1" workbookViewId="0">
      <selection activeCell="L43" sqref="L43"/>
    </sheetView>
  </sheetViews>
  <sheetFormatPr defaultRowHeight="12.75"/>
  <cols>
    <col min="1" max="1" width="9.109375" style="529" customWidth="1"/>
    <col min="2" max="2" width="10" style="529" bestFit="1" customWidth="1"/>
    <col min="3" max="3" width="11" style="212" customWidth="1"/>
    <col min="4" max="4" width="8.33203125" style="488" customWidth="1"/>
    <col min="5" max="5" width="1.5546875" style="212" customWidth="1"/>
    <col min="6" max="6" width="37.77734375" style="140" customWidth="1"/>
    <col min="7" max="7" width="1.44140625" style="140" customWidth="1"/>
    <col min="8" max="8" width="4.6640625" style="144" customWidth="1"/>
    <col min="9" max="9" width="1.44140625" style="529" customWidth="1"/>
    <col min="10" max="10" width="10.88671875" style="145" customWidth="1"/>
    <col min="11" max="11" width="3" style="529" customWidth="1"/>
    <col min="12" max="12" width="10.6640625" style="145" customWidth="1"/>
    <col min="13" max="13" width="1.44140625" style="145" customWidth="1"/>
    <col min="14" max="14" width="10.5546875" style="145" customWidth="1"/>
    <col min="15" max="15" width="1.44140625" style="145" customWidth="1"/>
    <col min="16" max="16" width="10.88671875" style="145" customWidth="1"/>
    <col min="17" max="17" width="1.5546875" style="145" customWidth="1"/>
    <col min="18" max="18" width="10.33203125" style="145" customWidth="1"/>
    <col min="19" max="19" width="1.44140625" style="145" customWidth="1"/>
    <col min="20" max="20" width="10" style="145" customWidth="1"/>
    <col min="21" max="21" width="1.44140625" style="145" customWidth="1"/>
    <col min="22" max="22" width="9.6640625" style="145" customWidth="1"/>
    <col min="23" max="23" width="1.5546875" style="145" customWidth="1"/>
    <col min="24" max="24" width="9.88671875" style="145" customWidth="1"/>
    <col min="25" max="25" width="2.44140625" style="529" customWidth="1"/>
    <col min="26" max="26" width="9.33203125" style="529" customWidth="1"/>
    <col min="27" max="27" width="12.33203125" style="529" customWidth="1"/>
    <col min="28" max="28" width="1.77734375" style="529" customWidth="1"/>
    <col min="29" max="29" width="40.6640625" style="529" bestFit="1" customWidth="1"/>
    <col min="30" max="30" width="1.33203125" style="529" customWidth="1"/>
    <col min="31" max="31" width="4" style="529" customWidth="1"/>
    <col min="32" max="32" width="1.6640625" style="529" customWidth="1"/>
    <col min="33" max="33" width="10.77734375" style="529" bestFit="1" customWidth="1"/>
    <col min="34" max="34" width="2.5546875" style="529" customWidth="1"/>
    <col min="35" max="35" width="10.77734375" style="529" bestFit="1" customWidth="1"/>
    <col min="36" max="36" width="0.88671875" style="529" customWidth="1"/>
    <col min="37" max="37" width="10.77734375" style="529" bestFit="1" customWidth="1"/>
    <col min="38" max="38" width="1.21875" style="529" customWidth="1"/>
    <col min="39" max="39" width="9.6640625" style="529" customWidth="1"/>
    <col min="40" max="40" width="1.21875" style="529" customWidth="1"/>
    <col min="41" max="41" width="10.109375" style="529" customWidth="1"/>
    <col min="42" max="42" width="0.88671875" style="529" customWidth="1"/>
    <col min="43" max="43" width="11.109375" style="529" customWidth="1"/>
    <col min="44" max="44" width="0.88671875" style="529" customWidth="1"/>
    <col min="45" max="45" width="10.77734375" style="529" customWidth="1"/>
    <col min="46" max="46" width="1.33203125" style="529" customWidth="1"/>
    <col min="47" max="47" width="10.77734375" style="529" customWidth="1"/>
    <col min="48" max="48" width="0.77734375" style="529" customWidth="1"/>
    <col min="49" max="49" width="9.77734375" style="529" customWidth="1"/>
    <col min="50" max="50" width="0.77734375" style="529" customWidth="1"/>
    <col min="51" max="51" width="9.77734375" style="529" customWidth="1"/>
    <col min="52" max="52" width="3.21875" style="529" customWidth="1"/>
    <col min="53" max="53" width="10.21875" style="529" customWidth="1"/>
    <col min="54" max="16384" width="8.88671875" style="529"/>
  </cols>
  <sheetData>
    <row r="1" spans="1:56" s="38" customFormat="1" ht="15">
      <c r="C1" s="241"/>
      <c r="D1" s="485"/>
      <c r="E1" s="241"/>
      <c r="F1" s="615" t="s">
        <v>7</v>
      </c>
      <c r="G1" s="615"/>
      <c r="H1" s="615"/>
      <c r="I1" s="615"/>
      <c r="J1" s="615"/>
      <c r="K1" s="615"/>
      <c r="L1" s="615"/>
      <c r="M1" s="615"/>
      <c r="N1" s="615"/>
      <c r="O1" s="615"/>
      <c r="P1" s="615"/>
      <c r="Q1" s="615"/>
      <c r="R1" s="615"/>
      <c r="S1" s="615"/>
      <c r="T1" s="615"/>
      <c r="U1" s="615"/>
      <c r="V1" s="615"/>
      <c r="W1" s="615"/>
      <c r="X1" s="615"/>
      <c r="AC1" s="537" t="s">
        <v>7</v>
      </c>
      <c r="AD1" s="537"/>
      <c r="AE1" s="537"/>
      <c r="AF1" s="537"/>
      <c r="AG1" s="537"/>
      <c r="AH1" s="537"/>
      <c r="AI1" s="537"/>
      <c r="AJ1" s="537"/>
      <c r="AK1" s="537"/>
      <c r="AL1" s="537"/>
      <c r="AM1" s="537"/>
      <c r="AN1" s="537"/>
      <c r="AO1" s="537"/>
      <c r="AP1" s="537"/>
      <c r="AQ1" s="537"/>
      <c r="AR1" s="537"/>
      <c r="AS1" s="537"/>
      <c r="AT1" s="537"/>
      <c r="AU1" s="537"/>
      <c r="AV1" s="537"/>
      <c r="AW1" s="537"/>
      <c r="AX1" s="537"/>
      <c r="AY1" s="537"/>
    </row>
    <row r="2" spans="1:56" s="38" customFormat="1" ht="13.5" customHeight="1">
      <c r="C2" s="241"/>
      <c r="D2" s="485"/>
      <c r="E2" s="241"/>
      <c r="F2" s="613"/>
      <c r="G2" s="613"/>
      <c r="H2" s="613"/>
      <c r="I2" s="613"/>
      <c r="J2" s="613"/>
      <c r="K2" s="613"/>
      <c r="L2" s="613"/>
      <c r="M2" s="613"/>
      <c r="N2" s="613"/>
      <c r="O2" s="613"/>
      <c r="P2" s="613"/>
      <c r="Q2" s="613"/>
      <c r="R2" s="613"/>
      <c r="S2" s="613"/>
      <c r="T2" s="613"/>
      <c r="U2" s="613"/>
      <c r="V2" s="613"/>
      <c r="W2" s="613"/>
      <c r="X2" s="613"/>
      <c r="AC2" s="613"/>
      <c r="AD2" s="613"/>
      <c r="AE2" s="613"/>
      <c r="AF2" s="613"/>
      <c r="AG2" s="613"/>
      <c r="AH2" s="613"/>
      <c r="AI2" s="613"/>
      <c r="AJ2" s="613"/>
      <c r="AK2" s="613"/>
      <c r="AL2" s="613"/>
      <c r="AM2" s="613"/>
      <c r="AN2" s="613"/>
      <c r="AO2" s="613"/>
      <c r="AP2" s="613"/>
      <c r="AQ2" s="613"/>
      <c r="AR2" s="613"/>
      <c r="AS2" s="613"/>
      <c r="AT2" s="613"/>
      <c r="AU2" s="613"/>
      <c r="AV2" s="537"/>
      <c r="AW2" s="537"/>
      <c r="AX2" s="537"/>
      <c r="AY2" s="537"/>
    </row>
    <row r="3" spans="1:56" s="38" customFormat="1" ht="16.149999999999999" customHeight="1">
      <c r="C3" s="241"/>
      <c r="D3" s="485"/>
      <c r="E3" s="241"/>
      <c r="F3" s="615" t="s">
        <v>781</v>
      </c>
      <c r="G3" s="615"/>
      <c r="H3" s="615"/>
      <c r="I3" s="615"/>
      <c r="J3" s="615"/>
      <c r="K3" s="615"/>
      <c r="L3" s="615"/>
      <c r="M3" s="615"/>
      <c r="N3" s="615"/>
      <c r="O3" s="615"/>
      <c r="P3" s="615"/>
      <c r="Q3" s="615"/>
      <c r="R3" s="615"/>
      <c r="S3" s="615"/>
      <c r="T3" s="615"/>
      <c r="U3" s="615"/>
      <c r="V3" s="615"/>
      <c r="W3" s="615"/>
      <c r="X3" s="615"/>
      <c r="AC3" s="537" t="s">
        <v>785</v>
      </c>
      <c r="AD3" s="537"/>
      <c r="AE3" s="537"/>
      <c r="AF3" s="537"/>
      <c r="AG3" s="537"/>
      <c r="AH3" s="537"/>
      <c r="AI3" s="537"/>
      <c r="AJ3" s="537"/>
      <c r="AK3" s="537"/>
      <c r="AL3" s="537"/>
      <c r="AM3" s="537"/>
      <c r="AN3" s="537"/>
      <c r="AO3" s="537"/>
      <c r="AP3" s="537"/>
      <c r="AQ3" s="537"/>
      <c r="AR3" s="537"/>
      <c r="AS3" s="537"/>
      <c r="AT3" s="537"/>
      <c r="AU3" s="537"/>
      <c r="AV3" s="537"/>
      <c r="AW3" s="537"/>
      <c r="AX3" s="537"/>
      <c r="AY3" s="537"/>
    </row>
    <row r="4" spans="1:56" s="38" customFormat="1" ht="11.85" customHeight="1">
      <c r="C4" s="241"/>
      <c r="D4" s="485"/>
      <c r="E4" s="241"/>
      <c r="F4" s="538"/>
      <c r="G4" s="538"/>
      <c r="H4" s="538"/>
      <c r="I4" s="538"/>
      <c r="J4" s="538"/>
      <c r="K4" s="538"/>
      <c r="L4" s="538"/>
      <c r="M4" s="538"/>
      <c r="N4" s="538"/>
      <c r="O4" s="538"/>
      <c r="P4" s="538"/>
      <c r="Q4" s="538"/>
      <c r="R4" s="538"/>
      <c r="S4" s="538"/>
      <c r="T4" s="538"/>
      <c r="U4" s="538"/>
      <c r="V4" s="538"/>
      <c r="W4" s="538"/>
      <c r="X4" s="538"/>
    </row>
    <row r="5" spans="1:56" s="142" customFormat="1" ht="7.9" customHeight="1">
      <c r="C5" s="476"/>
      <c r="D5" s="486"/>
      <c r="E5" s="476"/>
      <c r="F5" s="539"/>
      <c r="G5" s="539"/>
      <c r="H5" s="261"/>
      <c r="I5" s="539"/>
      <c r="J5" s="540"/>
      <c r="K5" s="539"/>
      <c r="L5" s="540"/>
      <c r="M5" s="147"/>
      <c r="N5" s="529"/>
      <c r="O5" s="529"/>
      <c r="P5" s="529"/>
      <c r="Q5" s="529"/>
      <c r="R5" s="529"/>
      <c r="S5" s="529"/>
      <c r="T5" s="529"/>
      <c r="U5" s="529"/>
      <c r="V5" s="529"/>
      <c r="W5" s="529"/>
      <c r="X5" s="529"/>
    </row>
    <row r="6" spans="1:56" s="142" customFormat="1" ht="15" customHeight="1">
      <c r="C6" s="476"/>
      <c r="D6" s="486"/>
      <c r="E6" s="476"/>
      <c r="F6" s="539"/>
      <c r="G6" s="539"/>
      <c r="H6" s="261" t="s">
        <v>208</v>
      </c>
      <c r="I6" s="539"/>
      <c r="J6" s="540" t="s">
        <v>146</v>
      </c>
      <c r="K6" s="539"/>
      <c r="L6" s="540"/>
      <c r="M6" s="147"/>
      <c r="N6" s="529"/>
      <c r="O6" s="529"/>
      <c r="P6" s="529"/>
      <c r="Q6" s="529"/>
      <c r="R6" s="142" t="s">
        <v>379</v>
      </c>
      <c r="T6" s="142" t="s">
        <v>338</v>
      </c>
      <c r="V6" s="614" t="s">
        <v>253</v>
      </c>
      <c r="W6" s="614"/>
      <c r="X6" s="614"/>
      <c r="AC6" s="539"/>
      <c r="AD6" s="539"/>
      <c r="AE6" s="261" t="s">
        <v>208</v>
      </c>
      <c r="AF6" s="539"/>
      <c r="AG6" s="540" t="s">
        <v>146</v>
      </c>
      <c r="AS6" s="142" t="s">
        <v>447</v>
      </c>
      <c r="AU6" s="142" t="s">
        <v>570</v>
      </c>
      <c r="AW6" s="142" t="s">
        <v>149</v>
      </c>
      <c r="AY6" s="142" t="s">
        <v>568</v>
      </c>
    </row>
    <row r="7" spans="1:56" s="142" customFormat="1" ht="11.85" customHeight="1">
      <c r="C7" s="476"/>
      <c r="D7" s="541" t="s">
        <v>147</v>
      </c>
      <c r="E7" s="483"/>
      <c r="F7" s="484"/>
      <c r="G7" s="141"/>
      <c r="H7" s="542" t="s">
        <v>145</v>
      </c>
      <c r="I7" s="539"/>
      <c r="J7" s="543" t="s">
        <v>342</v>
      </c>
      <c r="K7" s="539"/>
      <c r="L7" s="543" t="s">
        <v>212</v>
      </c>
      <c r="M7" s="147"/>
      <c r="N7" s="544" t="s">
        <v>213</v>
      </c>
      <c r="O7" s="147"/>
      <c r="P7" s="544" t="s">
        <v>214</v>
      </c>
      <c r="Q7" s="147"/>
      <c r="R7" s="544" t="s">
        <v>152</v>
      </c>
      <c r="S7" s="147"/>
      <c r="T7" s="544" t="s">
        <v>339</v>
      </c>
      <c r="U7" s="147"/>
      <c r="V7" s="544" t="s">
        <v>148</v>
      </c>
      <c r="W7" s="147"/>
      <c r="X7" s="544" t="s">
        <v>379</v>
      </c>
      <c r="AC7" s="545" t="s">
        <v>147</v>
      </c>
      <c r="AD7" s="141"/>
      <c r="AE7" s="542" t="s">
        <v>145</v>
      </c>
      <c r="AF7" s="539"/>
      <c r="AG7" s="543" t="s">
        <v>342</v>
      </c>
      <c r="AI7" s="528" t="s">
        <v>444</v>
      </c>
      <c r="AK7" s="528" t="s">
        <v>445</v>
      </c>
      <c r="AM7" s="528" t="s">
        <v>446</v>
      </c>
      <c r="AO7" s="528" t="s">
        <v>400</v>
      </c>
      <c r="AQ7" s="528" t="s">
        <v>346</v>
      </c>
      <c r="AS7" s="528" t="s">
        <v>448</v>
      </c>
      <c r="AU7" s="528" t="s">
        <v>571</v>
      </c>
      <c r="AW7" s="528" t="s">
        <v>342</v>
      </c>
      <c r="AY7" s="528" t="s">
        <v>342</v>
      </c>
    </row>
    <row r="8" spans="1:56" s="144" customFormat="1" ht="14.25" customHeight="1">
      <c r="C8" s="476"/>
      <c r="D8" s="546">
        <v>-1</v>
      </c>
      <c r="E8" s="481"/>
      <c r="F8" s="482"/>
      <c r="G8" s="143"/>
      <c r="H8" s="547">
        <v>-2</v>
      </c>
      <c r="I8" s="261"/>
      <c r="J8" s="540">
        <v>-3</v>
      </c>
      <c r="K8" s="261"/>
      <c r="L8" s="540">
        <v>-4</v>
      </c>
      <c r="M8" s="147"/>
      <c r="N8" s="147">
        <v>-5</v>
      </c>
      <c r="O8" s="147"/>
      <c r="P8" s="147">
        <v>-6</v>
      </c>
      <c r="Q8" s="147"/>
      <c r="R8" s="147">
        <v>-7</v>
      </c>
      <c r="S8" s="147"/>
      <c r="T8" s="147">
        <v>-8</v>
      </c>
      <c r="U8" s="147"/>
      <c r="V8" s="147">
        <v>-9</v>
      </c>
      <c r="W8" s="147"/>
      <c r="X8" s="147">
        <v>-10</v>
      </c>
      <c r="AC8" s="547">
        <v>-1</v>
      </c>
      <c r="AD8" s="143"/>
      <c r="AE8" s="547">
        <v>-2</v>
      </c>
      <c r="AF8" s="261"/>
      <c r="AG8" s="540">
        <v>-3</v>
      </c>
      <c r="AH8" s="143"/>
      <c r="AI8" s="547">
        <v>-4</v>
      </c>
      <c r="AJ8" s="261"/>
      <c r="AK8" s="540">
        <v>-5</v>
      </c>
      <c r="AL8" s="143"/>
      <c r="AM8" s="547">
        <v>-6</v>
      </c>
      <c r="AN8" s="261"/>
      <c r="AO8" s="540">
        <v>-7</v>
      </c>
      <c r="AP8" s="143"/>
      <c r="AQ8" s="547">
        <v>-8</v>
      </c>
      <c r="AR8" s="261"/>
      <c r="AS8" s="540">
        <v>-9</v>
      </c>
      <c r="AT8" s="143"/>
      <c r="AU8" s="547">
        <v>-10</v>
      </c>
      <c r="AV8" s="261"/>
      <c r="AW8" s="540">
        <v>-11</v>
      </c>
      <c r="AX8" s="143"/>
      <c r="AY8" s="547">
        <v>-12</v>
      </c>
    </row>
    <row r="9" spans="1:56" s="142" customFormat="1">
      <c r="C9" s="477"/>
      <c r="D9" s="487"/>
      <c r="E9" s="477"/>
      <c r="F9" s="141"/>
      <c r="G9" s="141"/>
      <c r="H9" s="547"/>
      <c r="I9" s="539"/>
      <c r="J9" s="540"/>
      <c r="K9" s="539"/>
      <c r="L9" s="540"/>
      <c r="M9" s="147"/>
      <c r="N9" s="147"/>
      <c r="O9" s="147"/>
      <c r="P9" s="147"/>
      <c r="Q9" s="147"/>
      <c r="R9" s="147"/>
      <c r="S9" s="147"/>
      <c r="T9" s="147"/>
      <c r="U9" s="147"/>
      <c r="V9" s="147"/>
      <c r="W9" s="147"/>
      <c r="X9" s="147"/>
    </row>
    <row r="10" spans="1:56">
      <c r="F10" s="391" t="s">
        <v>144</v>
      </c>
      <c r="G10" s="139"/>
      <c r="H10" s="261"/>
      <c r="I10" s="216"/>
      <c r="J10" s="262"/>
      <c r="K10" s="216"/>
      <c r="L10" s="262"/>
      <c r="AC10" s="391" t="s">
        <v>144</v>
      </c>
    </row>
    <row r="11" spans="1:56">
      <c r="F11" s="139" t="s">
        <v>426</v>
      </c>
      <c r="G11" s="139"/>
      <c r="H11" s="261"/>
      <c r="I11" s="216"/>
      <c r="J11" s="262"/>
      <c r="K11" s="216"/>
      <c r="L11" s="262"/>
      <c r="AC11" s="139" t="s">
        <v>426</v>
      </c>
    </row>
    <row r="12" spans="1:56">
      <c r="F12" s="216" t="s">
        <v>143</v>
      </c>
      <c r="G12" s="139"/>
      <c r="H12" s="261"/>
      <c r="I12" s="216"/>
      <c r="J12" s="262"/>
      <c r="K12" s="216"/>
      <c r="L12" s="262"/>
      <c r="AC12" s="216" t="s">
        <v>143</v>
      </c>
    </row>
    <row r="13" spans="1:56">
      <c r="A13" s="146"/>
      <c r="B13" s="146"/>
      <c r="F13" s="216" t="s">
        <v>91</v>
      </c>
      <c r="G13" s="200"/>
      <c r="H13" s="261"/>
      <c r="I13" s="216"/>
      <c r="J13" s="548"/>
      <c r="K13" s="548"/>
      <c r="L13" s="548"/>
      <c r="M13" s="205"/>
      <c r="N13" s="548"/>
      <c r="O13" s="205"/>
      <c r="P13" s="548"/>
      <c r="Q13" s="205"/>
      <c r="R13" s="548"/>
      <c r="S13" s="205"/>
      <c r="T13" s="548"/>
      <c r="U13" s="205"/>
      <c r="V13" s="548"/>
      <c r="W13" s="205"/>
      <c r="X13" s="548"/>
      <c r="Z13" s="175"/>
      <c r="AC13" s="216" t="s">
        <v>91</v>
      </c>
      <c r="AE13" s="239"/>
      <c r="AG13" s="145"/>
      <c r="AI13" s="262"/>
      <c r="AJ13" s="262"/>
      <c r="AK13" s="262"/>
      <c r="AL13" s="262"/>
      <c r="AM13" s="262"/>
      <c r="AN13" s="262"/>
      <c r="AO13" s="262"/>
      <c r="AP13" s="262"/>
      <c r="AQ13" s="262"/>
      <c r="AR13" s="262"/>
      <c r="AS13" s="262"/>
      <c r="AT13" s="262"/>
      <c r="AU13" s="262"/>
      <c r="AV13" s="262"/>
      <c r="AW13" s="262"/>
      <c r="AX13" s="262"/>
      <c r="AY13" s="262"/>
      <c r="BA13" s="175"/>
    </row>
    <row r="14" spans="1:56">
      <c r="A14" s="146"/>
      <c r="B14" s="146"/>
      <c r="D14" s="488">
        <v>610.1</v>
      </c>
      <c r="F14" s="216" t="s">
        <v>578</v>
      </c>
      <c r="G14" s="200"/>
      <c r="H14" s="261">
        <v>1</v>
      </c>
      <c r="I14" s="216"/>
      <c r="J14" s="312">
        <v>207227.34217190393</v>
      </c>
      <c r="K14" s="548"/>
      <c r="L14" s="260">
        <f t="shared" ref="L14:L19" si="0">(VLOOKUP($H14,Factors,L$382))*$J14</f>
        <v>102577.53437509245</v>
      </c>
      <c r="M14" s="212"/>
      <c r="N14" s="260">
        <f t="shared" ref="N14:N19" si="1">(VLOOKUP($H14,Factors,N$382))*$J14</f>
        <v>64447.703415462121</v>
      </c>
      <c r="O14" s="212"/>
      <c r="P14" s="260">
        <f t="shared" ref="P14:P19" si="2">(VLOOKUP($H14,Factors,P$382))*$J14</f>
        <v>8931.4984476090594</v>
      </c>
      <c r="Q14" s="212"/>
      <c r="R14" s="260">
        <f t="shared" ref="R14:R19" si="3">(VLOOKUP($H14,Factors,R$382))*$J14</f>
        <v>22919.344044212576</v>
      </c>
      <c r="S14" s="212"/>
      <c r="T14" s="260">
        <f t="shared" ref="T14:T19" si="4">(VLOOKUP($H14,Factors,T$382))*$J14</f>
        <v>7149.3433049306859</v>
      </c>
      <c r="U14" s="212"/>
      <c r="V14" s="260">
        <f t="shared" ref="V14:V19" si="5">(VLOOKUP($H14,Factors,V$382))*$J14</f>
        <v>538.79108964695024</v>
      </c>
      <c r="W14" s="212"/>
      <c r="X14" s="260">
        <f t="shared" ref="X14:X19" si="6">(VLOOKUP($H14,Factors,X$382))*$J14</f>
        <v>663.12749495009257</v>
      </c>
      <c r="Y14" s="212"/>
      <c r="Z14" s="212"/>
      <c r="AC14" s="216" t="s">
        <v>578</v>
      </c>
      <c r="AE14" s="239">
        <f t="shared" ref="AE14:AE19" si="7">+H14</f>
        <v>1</v>
      </c>
      <c r="AG14" s="312">
        <f t="shared" ref="AG14:AG19" si="8">+J14</f>
        <v>207227.34217190393</v>
      </c>
      <c r="AH14" s="548"/>
      <c r="AI14" s="260">
        <f t="shared" ref="AI14:AI19" si="9">(VLOOKUP($AE14,func,AI$382))*$AG14</f>
        <v>206025.4235873069</v>
      </c>
      <c r="AJ14" s="212"/>
      <c r="AK14" s="260">
        <f t="shared" ref="AK14:AK19" si="10">(VLOOKUP($AE14,func,AK$382))*$AG14</f>
        <v>0</v>
      </c>
      <c r="AL14" s="212"/>
      <c r="AM14" s="260">
        <f t="shared" ref="AM14:AM19" si="11">(VLOOKUP($AE14,func,AM$382))*$AG14</f>
        <v>0</v>
      </c>
      <c r="AN14" s="212"/>
      <c r="AO14" s="260">
        <f t="shared" ref="AO14:AO19" si="12">(VLOOKUP($AE14,func,AO$382))*$AG14</f>
        <v>0</v>
      </c>
      <c r="AP14" s="212"/>
      <c r="AQ14" s="260">
        <f t="shared" ref="AQ14:AQ19" si="13">(VLOOKUP($AE14,func,AQ$382))*$AG14</f>
        <v>0</v>
      </c>
      <c r="AR14" s="212"/>
      <c r="AS14" s="260">
        <f t="shared" ref="AS14:AS19" si="14">(VLOOKUP($AE14,func,AS$382))*$AG14</f>
        <v>0</v>
      </c>
      <c r="AT14" s="212"/>
      <c r="AU14" s="260">
        <f t="shared" ref="AU14:AU19" si="15">(VLOOKUP($AE14,func,AU$382))*$AG14</f>
        <v>0</v>
      </c>
      <c r="AV14" s="262"/>
      <c r="AW14" s="262">
        <f t="shared" ref="AW14:AW19" si="16">(VLOOKUP($AE14,func,AW$382))*$AG14</f>
        <v>538.79108964695024</v>
      </c>
      <c r="AX14" s="262"/>
      <c r="AY14" s="262">
        <f t="shared" ref="AY14:AY19" si="17">(VLOOKUP($AE14,func,AY$382))*$AG14</f>
        <v>663.12749495009257</v>
      </c>
      <c r="BA14" s="175"/>
      <c r="BB14" s="145"/>
      <c r="BC14" s="145"/>
      <c r="BD14" s="145"/>
    </row>
    <row r="15" spans="1:56">
      <c r="A15" s="146"/>
      <c r="B15" s="146"/>
      <c r="D15" s="488">
        <v>615.1</v>
      </c>
      <c r="F15" s="216" t="s">
        <v>579</v>
      </c>
      <c r="G15" s="200"/>
      <c r="H15" s="261">
        <v>1</v>
      </c>
      <c r="I15" s="216"/>
      <c r="J15" s="312">
        <v>26123.857731109663</v>
      </c>
      <c r="K15" s="548"/>
      <c r="L15" s="260">
        <f t="shared" si="0"/>
        <v>12931.309576899283</v>
      </c>
      <c r="M15" s="212"/>
      <c r="N15" s="260">
        <f t="shared" si="1"/>
        <v>8124.5197543751055</v>
      </c>
      <c r="O15" s="212"/>
      <c r="P15" s="260">
        <f t="shared" si="2"/>
        <v>1125.9382682108264</v>
      </c>
      <c r="Q15" s="212"/>
      <c r="R15" s="260">
        <f t="shared" si="3"/>
        <v>2889.298665060729</v>
      </c>
      <c r="S15" s="212"/>
      <c r="T15" s="260">
        <f t="shared" si="4"/>
        <v>901.27309172328341</v>
      </c>
      <c r="U15" s="212"/>
      <c r="V15" s="260">
        <f t="shared" si="5"/>
        <v>67.922030100885124</v>
      </c>
      <c r="W15" s="212"/>
      <c r="X15" s="260">
        <f t="shared" si="6"/>
        <v>83.596344739550929</v>
      </c>
      <c r="Y15" s="212"/>
      <c r="Z15" s="212"/>
      <c r="AC15" s="216" t="s">
        <v>579</v>
      </c>
      <c r="AE15" s="239">
        <f t="shared" si="7"/>
        <v>1</v>
      </c>
      <c r="AG15" s="312">
        <f t="shared" si="8"/>
        <v>26123.857731109663</v>
      </c>
      <c r="AH15" s="548"/>
      <c r="AI15" s="260">
        <f t="shared" si="9"/>
        <v>25972.339356269225</v>
      </c>
      <c r="AJ15" s="212"/>
      <c r="AK15" s="260">
        <f t="shared" si="10"/>
        <v>0</v>
      </c>
      <c r="AL15" s="212"/>
      <c r="AM15" s="260">
        <f t="shared" si="11"/>
        <v>0</v>
      </c>
      <c r="AN15" s="212"/>
      <c r="AO15" s="260">
        <f t="shared" si="12"/>
        <v>0</v>
      </c>
      <c r="AP15" s="212"/>
      <c r="AQ15" s="260">
        <f t="shared" si="13"/>
        <v>0</v>
      </c>
      <c r="AR15" s="212"/>
      <c r="AS15" s="260">
        <f t="shared" si="14"/>
        <v>0</v>
      </c>
      <c r="AT15" s="212"/>
      <c r="AU15" s="260">
        <f t="shared" si="15"/>
        <v>0</v>
      </c>
      <c r="AV15" s="262"/>
      <c r="AW15" s="262">
        <f t="shared" si="16"/>
        <v>67.922030100885124</v>
      </c>
      <c r="AX15" s="262"/>
      <c r="AY15" s="262">
        <f t="shared" si="17"/>
        <v>83.596344739550929</v>
      </c>
      <c r="BA15" s="175"/>
      <c r="BB15" s="145"/>
      <c r="BC15" s="145"/>
      <c r="BD15" s="145"/>
    </row>
    <row r="16" spans="1:56">
      <c r="A16" s="146"/>
      <c r="B16" s="146"/>
      <c r="D16" s="488">
        <v>675.1</v>
      </c>
      <c r="F16" s="216" t="s">
        <v>580</v>
      </c>
      <c r="G16" s="200"/>
      <c r="H16" s="261">
        <v>2</v>
      </c>
      <c r="I16" s="216"/>
      <c r="J16" s="312">
        <v>4231.3233049635246</v>
      </c>
      <c r="K16" s="548"/>
      <c r="L16" s="260">
        <f t="shared" si="0"/>
        <v>2146.5503126079957</v>
      </c>
      <c r="M16" s="212"/>
      <c r="N16" s="260">
        <f t="shared" si="1"/>
        <v>1317.6340771656417</v>
      </c>
      <c r="O16" s="212"/>
      <c r="P16" s="260">
        <f t="shared" si="2"/>
        <v>169.67606452903735</v>
      </c>
      <c r="Q16" s="212"/>
      <c r="R16" s="260">
        <f t="shared" si="3"/>
        <v>446.82774100414821</v>
      </c>
      <c r="S16" s="212"/>
      <c r="T16" s="260">
        <f t="shared" si="4"/>
        <v>135.82547808932912</v>
      </c>
      <c r="U16" s="212"/>
      <c r="V16" s="260">
        <f t="shared" si="5"/>
        <v>6.7701172879416394</v>
      </c>
      <c r="W16" s="212"/>
      <c r="X16" s="260">
        <f t="shared" si="6"/>
        <v>8.039514279430696</v>
      </c>
      <c r="Y16" s="212"/>
      <c r="Z16" s="212"/>
      <c r="AC16" s="216" t="s">
        <v>580</v>
      </c>
      <c r="AE16" s="239">
        <f t="shared" si="7"/>
        <v>2</v>
      </c>
      <c r="AG16" s="312">
        <f t="shared" si="8"/>
        <v>4231.3233049635246</v>
      </c>
      <c r="AH16" s="548"/>
      <c r="AI16" s="260">
        <f t="shared" si="9"/>
        <v>2549.7954235710195</v>
      </c>
      <c r="AJ16" s="212"/>
      <c r="AK16" s="260">
        <f t="shared" si="10"/>
        <v>1666.7182498251323</v>
      </c>
      <c r="AL16" s="212"/>
      <c r="AM16" s="260">
        <f t="shared" si="11"/>
        <v>0</v>
      </c>
      <c r="AN16" s="212"/>
      <c r="AO16" s="260">
        <f t="shared" si="12"/>
        <v>0</v>
      </c>
      <c r="AP16" s="212"/>
      <c r="AQ16" s="260">
        <f t="shared" si="13"/>
        <v>0</v>
      </c>
      <c r="AR16" s="212"/>
      <c r="AS16" s="260">
        <f t="shared" si="14"/>
        <v>0</v>
      </c>
      <c r="AT16" s="212"/>
      <c r="AU16" s="260">
        <f t="shared" si="15"/>
        <v>0</v>
      </c>
      <c r="AV16" s="262"/>
      <c r="AW16" s="262">
        <f t="shared" si="16"/>
        <v>6.7701172879416394</v>
      </c>
      <c r="AX16" s="262"/>
      <c r="AY16" s="262">
        <f t="shared" si="17"/>
        <v>8.039514279430696</v>
      </c>
      <c r="BA16" s="175"/>
      <c r="BB16" s="145"/>
      <c r="BC16" s="145"/>
      <c r="BD16" s="145"/>
    </row>
    <row r="17" spans="1:56">
      <c r="A17" s="146"/>
      <c r="B17" s="146"/>
      <c r="D17" s="488">
        <v>675.1</v>
      </c>
      <c r="F17" s="216" t="s">
        <v>679</v>
      </c>
      <c r="G17" s="200"/>
      <c r="H17" s="261">
        <v>2</v>
      </c>
      <c r="I17" s="216"/>
      <c r="J17" s="312">
        <v>244.5804680620586</v>
      </c>
      <c r="K17" s="548"/>
      <c r="L17" s="260">
        <f t="shared" si="0"/>
        <v>124.07567144788231</v>
      </c>
      <c r="M17" s="212"/>
      <c r="N17" s="260">
        <f t="shared" si="1"/>
        <v>76.162357754525047</v>
      </c>
      <c r="O17" s="212"/>
      <c r="P17" s="260">
        <f t="shared" si="2"/>
        <v>9.80767676928855</v>
      </c>
      <c r="Q17" s="212"/>
      <c r="R17" s="260">
        <f t="shared" si="3"/>
        <v>25.827697427353389</v>
      </c>
      <c r="S17" s="212"/>
      <c r="T17" s="260">
        <f t="shared" si="4"/>
        <v>7.8510330247920805</v>
      </c>
      <c r="U17" s="212"/>
      <c r="V17" s="260">
        <f t="shared" si="5"/>
        <v>0.39132874889929375</v>
      </c>
      <c r="W17" s="212"/>
      <c r="X17" s="260">
        <f t="shared" si="6"/>
        <v>0.46470288931791132</v>
      </c>
      <c r="Y17" s="212"/>
      <c r="Z17" s="212"/>
      <c r="AC17" s="216" t="s">
        <v>679</v>
      </c>
      <c r="AE17" s="239">
        <f t="shared" si="7"/>
        <v>2</v>
      </c>
      <c r="AG17" s="312">
        <f t="shared" si="8"/>
        <v>244.5804680620586</v>
      </c>
      <c r="AH17" s="548"/>
      <c r="AI17" s="260">
        <f t="shared" si="9"/>
        <v>147.38419005419649</v>
      </c>
      <c r="AJ17" s="212"/>
      <c r="AK17" s="260">
        <f t="shared" si="10"/>
        <v>96.340246369644873</v>
      </c>
      <c r="AL17" s="212"/>
      <c r="AM17" s="260">
        <f t="shared" si="11"/>
        <v>0</v>
      </c>
      <c r="AN17" s="212"/>
      <c r="AO17" s="260">
        <f t="shared" si="12"/>
        <v>0</v>
      </c>
      <c r="AP17" s="212"/>
      <c r="AQ17" s="260">
        <f t="shared" si="13"/>
        <v>0</v>
      </c>
      <c r="AR17" s="212"/>
      <c r="AS17" s="260">
        <f t="shared" si="14"/>
        <v>0</v>
      </c>
      <c r="AT17" s="212"/>
      <c r="AU17" s="260">
        <f t="shared" si="15"/>
        <v>0</v>
      </c>
      <c r="AV17" s="262"/>
      <c r="AW17" s="262">
        <f t="shared" si="16"/>
        <v>0.39132874889929375</v>
      </c>
      <c r="AX17" s="262"/>
      <c r="AY17" s="262">
        <f t="shared" si="17"/>
        <v>0.46470288931791132</v>
      </c>
      <c r="BA17" s="175"/>
      <c r="BB17" s="145"/>
      <c r="BC17" s="145"/>
      <c r="BD17" s="145"/>
    </row>
    <row r="18" spans="1:56">
      <c r="A18" s="146"/>
      <c r="B18" s="146"/>
      <c r="D18" s="488">
        <v>675.1</v>
      </c>
      <c r="F18" s="216" t="s">
        <v>683</v>
      </c>
      <c r="G18" s="200"/>
      <c r="H18" s="261">
        <v>2</v>
      </c>
      <c r="I18" s="216"/>
      <c r="J18" s="312">
        <v>7728.7920970428158</v>
      </c>
      <c r="K18" s="548"/>
      <c r="L18" s="260">
        <f t="shared" si="0"/>
        <v>3920.8162308298201</v>
      </c>
      <c r="M18" s="212"/>
      <c r="N18" s="260">
        <f t="shared" si="1"/>
        <v>2406.7458590191331</v>
      </c>
      <c r="O18" s="212"/>
      <c r="P18" s="260">
        <f t="shared" si="2"/>
        <v>309.92456309141693</v>
      </c>
      <c r="Q18" s="212"/>
      <c r="R18" s="260">
        <f t="shared" si="3"/>
        <v>816.16044544772137</v>
      </c>
      <c r="S18" s="212"/>
      <c r="T18" s="260">
        <f t="shared" si="4"/>
        <v>248.09422631507437</v>
      </c>
      <c r="U18" s="212"/>
      <c r="V18" s="260">
        <f t="shared" si="5"/>
        <v>12.366067355268505</v>
      </c>
      <c r="W18" s="212"/>
      <c r="X18" s="260">
        <f t="shared" si="6"/>
        <v>14.68470498438135</v>
      </c>
      <c r="Y18" s="212"/>
      <c r="Z18" s="212"/>
      <c r="AC18" s="216" t="s">
        <v>683</v>
      </c>
      <c r="AE18" s="239">
        <f t="shared" si="7"/>
        <v>2</v>
      </c>
      <c r="AG18" s="312">
        <f t="shared" si="8"/>
        <v>7728.7920970428158</v>
      </c>
      <c r="AH18" s="548"/>
      <c r="AI18" s="260">
        <f t="shared" si="9"/>
        <v>4657.3701176780005</v>
      </c>
      <c r="AJ18" s="212"/>
      <c r="AK18" s="260">
        <f t="shared" si="10"/>
        <v>3044.3712070251649</v>
      </c>
      <c r="AL18" s="212"/>
      <c r="AM18" s="260">
        <f t="shared" si="11"/>
        <v>0</v>
      </c>
      <c r="AN18" s="212"/>
      <c r="AO18" s="260">
        <f t="shared" si="12"/>
        <v>0</v>
      </c>
      <c r="AP18" s="212"/>
      <c r="AQ18" s="260">
        <f t="shared" si="13"/>
        <v>0</v>
      </c>
      <c r="AR18" s="212"/>
      <c r="AS18" s="260">
        <f t="shared" si="14"/>
        <v>0</v>
      </c>
      <c r="AT18" s="212"/>
      <c r="AU18" s="260">
        <f t="shared" si="15"/>
        <v>0</v>
      </c>
      <c r="AV18" s="262"/>
      <c r="AW18" s="262">
        <f t="shared" si="16"/>
        <v>12.366067355268505</v>
      </c>
      <c r="AX18" s="262"/>
      <c r="AY18" s="262">
        <f t="shared" si="17"/>
        <v>14.68470498438135</v>
      </c>
      <c r="BA18" s="175"/>
      <c r="BB18" s="145"/>
      <c r="BC18" s="145"/>
      <c r="BD18" s="145"/>
    </row>
    <row r="19" spans="1:56">
      <c r="A19" s="146"/>
      <c r="B19" s="146"/>
      <c r="D19" s="488">
        <v>675.1</v>
      </c>
      <c r="F19" s="216" t="s">
        <v>687</v>
      </c>
      <c r="G19" s="200"/>
      <c r="H19" s="261">
        <v>1</v>
      </c>
      <c r="I19" s="216"/>
      <c r="J19" s="389">
        <v>43838.454362876648</v>
      </c>
      <c r="K19" s="548"/>
      <c r="L19" s="549">
        <f t="shared" si="0"/>
        <v>21700.034909623941</v>
      </c>
      <c r="M19" s="548"/>
      <c r="N19" s="549">
        <f t="shared" si="1"/>
        <v>13633.759306854638</v>
      </c>
      <c r="O19" s="548"/>
      <c r="P19" s="549">
        <f t="shared" si="2"/>
        <v>1889.4373830399834</v>
      </c>
      <c r="Q19" s="548"/>
      <c r="R19" s="549">
        <f t="shared" si="3"/>
        <v>4848.5330525341578</v>
      </c>
      <c r="S19" s="548"/>
      <c r="T19" s="549">
        <f t="shared" si="4"/>
        <v>1512.4266755192446</v>
      </c>
      <c r="U19" s="548"/>
      <c r="V19" s="549">
        <f t="shared" si="5"/>
        <v>113.97998134347928</v>
      </c>
      <c r="W19" s="548"/>
      <c r="X19" s="549">
        <f t="shared" si="6"/>
        <v>140.28305396120527</v>
      </c>
      <c r="Y19" s="212"/>
      <c r="Z19" s="212"/>
      <c r="AC19" s="216" t="s">
        <v>687</v>
      </c>
      <c r="AE19" s="239">
        <f t="shared" si="7"/>
        <v>1</v>
      </c>
      <c r="AG19" s="389">
        <f t="shared" si="8"/>
        <v>43838.454362876648</v>
      </c>
      <c r="AH19" s="548"/>
      <c r="AI19" s="549">
        <f t="shared" si="9"/>
        <v>43584.191327571963</v>
      </c>
      <c r="AJ19" s="548"/>
      <c r="AK19" s="549">
        <f t="shared" si="10"/>
        <v>0</v>
      </c>
      <c r="AL19" s="548"/>
      <c r="AM19" s="549">
        <f t="shared" si="11"/>
        <v>0</v>
      </c>
      <c r="AN19" s="548"/>
      <c r="AO19" s="549">
        <f t="shared" si="12"/>
        <v>0</v>
      </c>
      <c r="AP19" s="548"/>
      <c r="AQ19" s="549">
        <f t="shared" si="13"/>
        <v>0</v>
      </c>
      <c r="AR19" s="548"/>
      <c r="AS19" s="549">
        <f t="shared" si="14"/>
        <v>0</v>
      </c>
      <c r="AT19" s="548"/>
      <c r="AU19" s="549">
        <f t="shared" si="15"/>
        <v>0</v>
      </c>
      <c r="AV19" s="548"/>
      <c r="AW19" s="549">
        <f t="shared" si="16"/>
        <v>113.97998134347928</v>
      </c>
      <c r="AX19" s="548"/>
      <c r="AY19" s="549">
        <f t="shared" si="17"/>
        <v>140.28305396120527</v>
      </c>
      <c r="BA19" s="175"/>
      <c r="BB19" s="145"/>
      <c r="BC19" s="145"/>
      <c r="BD19" s="145"/>
    </row>
    <row r="20" spans="1:56">
      <c r="A20" s="146"/>
      <c r="B20" s="146"/>
      <c r="C20" s="478"/>
      <c r="D20" s="489"/>
      <c r="E20" s="478"/>
      <c r="F20" s="480"/>
      <c r="G20" s="200"/>
      <c r="H20" s="547"/>
      <c r="I20" s="216"/>
      <c r="J20" s="312"/>
      <c r="K20" s="385"/>
      <c r="L20" s="386"/>
      <c r="M20" s="387"/>
      <c r="N20" s="386"/>
      <c r="O20" s="387"/>
      <c r="P20" s="386"/>
      <c r="Q20" s="387"/>
      <c r="R20" s="386"/>
      <c r="S20" s="387"/>
      <c r="T20" s="386"/>
      <c r="U20" s="387"/>
      <c r="V20" s="386"/>
      <c r="W20" s="387"/>
      <c r="X20" s="386"/>
      <c r="Z20" s="175"/>
      <c r="AC20" s="480"/>
      <c r="AD20" s="200"/>
      <c r="AE20" s="547"/>
      <c r="AF20" s="216"/>
      <c r="AG20" s="312"/>
      <c r="AH20" s="385"/>
      <c r="AI20" s="386"/>
      <c r="AJ20" s="387"/>
      <c r="AK20" s="386"/>
      <c r="AL20" s="387"/>
      <c r="AM20" s="386"/>
      <c r="AN20" s="387"/>
      <c r="AO20" s="386"/>
      <c r="AP20" s="387"/>
      <c r="AQ20" s="386"/>
      <c r="AR20" s="387"/>
      <c r="AS20" s="386"/>
      <c r="AT20" s="387"/>
      <c r="AU20" s="386"/>
      <c r="AV20" s="146"/>
      <c r="AW20" s="386"/>
      <c r="AX20" s="146"/>
      <c r="AY20" s="386"/>
      <c r="BA20" s="175"/>
      <c r="BB20" s="145"/>
      <c r="BC20" s="145"/>
      <c r="BD20" s="145"/>
    </row>
    <row r="21" spans="1:56">
      <c r="A21" s="146"/>
      <c r="B21" s="146"/>
      <c r="C21" s="478"/>
      <c r="D21" s="489"/>
      <c r="E21" s="478"/>
      <c r="F21" s="216" t="s">
        <v>92</v>
      </c>
      <c r="G21" s="139"/>
      <c r="H21" s="261"/>
      <c r="I21" s="216"/>
      <c r="J21" s="312">
        <f>SUM(J14:J19)</f>
        <v>289394.35013595864</v>
      </c>
      <c r="K21" s="262"/>
      <c r="L21" s="262">
        <f>SUM(L14:L19)</f>
        <v>143400.32107650136</v>
      </c>
      <c r="M21" s="262"/>
      <c r="N21" s="262">
        <f>SUM(N14:N19)</f>
        <v>90006.524770631178</v>
      </c>
      <c r="O21" s="262"/>
      <c r="P21" s="262">
        <f>SUM(P14:P19)</f>
        <v>12436.282403249614</v>
      </c>
      <c r="Q21" s="262"/>
      <c r="R21" s="262">
        <f>SUM(R14:R19)</f>
        <v>31945.991645686685</v>
      </c>
      <c r="S21" s="262"/>
      <c r="T21" s="262">
        <f>SUM(T14:T19)</f>
        <v>9954.8138096024086</v>
      </c>
      <c r="U21" s="262"/>
      <c r="V21" s="262">
        <f>SUM(V14:V19)</f>
        <v>740.2206144834239</v>
      </c>
      <c r="W21" s="262"/>
      <c r="X21" s="262">
        <f>SUM(X14:X19)</f>
        <v>910.19581580397869</v>
      </c>
      <c r="Y21" s="262"/>
      <c r="Z21" s="262"/>
      <c r="AA21" s="262"/>
      <c r="AB21" s="262"/>
      <c r="AC21" s="216" t="s">
        <v>92</v>
      </c>
      <c r="AD21" s="139"/>
      <c r="AE21" s="261"/>
      <c r="AF21" s="216"/>
      <c r="AG21" s="389">
        <f>SUM(AG14:AG19)</f>
        <v>289394.35013595864</v>
      </c>
      <c r="AH21" s="262"/>
      <c r="AI21" s="509">
        <f>SUM(AI14:AI19)</f>
        <v>282936.50400245131</v>
      </c>
      <c r="AJ21" s="262"/>
      <c r="AK21" s="509">
        <f>SUM(AK14:AK19)</f>
        <v>4807.429703219942</v>
      </c>
      <c r="AL21" s="262"/>
      <c r="AM21" s="509">
        <f>SUM(AM14:AM19)</f>
        <v>0</v>
      </c>
      <c r="AN21" s="262"/>
      <c r="AO21" s="509">
        <f>SUM(AO14:AO19)</f>
        <v>0</v>
      </c>
      <c r="AP21" s="262"/>
      <c r="AQ21" s="509">
        <f>SUM(AQ14:AQ19)</f>
        <v>0</v>
      </c>
      <c r="AR21" s="262"/>
      <c r="AS21" s="509">
        <f>SUM(AS14:AS19)</f>
        <v>0</v>
      </c>
      <c r="AT21" s="262"/>
      <c r="AU21" s="509">
        <f>SUM(AU14:AU19)</f>
        <v>0</v>
      </c>
      <c r="AV21" s="262"/>
      <c r="AW21" s="509">
        <f>SUM(AW14:AW19)</f>
        <v>740.2206144834239</v>
      </c>
      <c r="AX21" s="262"/>
      <c r="AY21" s="509">
        <f>SUM(AY14:AY19)</f>
        <v>910.19581580397869</v>
      </c>
      <c r="AZ21" s="262"/>
      <c r="BA21" s="175"/>
      <c r="BB21" s="145"/>
      <c r="BC21" s="145"/>
      <c r="BD21" s="145"/>
    </row>
    <row r="22" spans="1:56">
      <c r="A22" s="146"/>
      <c r="B22" s="146"/>
      <c r="C22" s="478"/>
      <c r="D22" s="489"/>
      <c r="E22" s="478"/>
      <c r="F22" s="480"/>
      <c r="G22" s="200"/>
      <c r="H22" s="547"/>
      <c r="I22" s="216"/>
      <c r="J22" s="312"/>
      <c r="K22" s="385"/>
      <c r="L22" s="386"/>
      <c r="M22" s="387"/>
      <c r="N22" s="386"/>
      <c r="O22" s="387"/>
      <c r="P22" s="386"/>
      <c r="Q22" s="387"/>
      <c r="R22" s="386"/>
      <c r="S22" s="387"/>
      <c r="T22" s="386"/>
      <c r="U22" s="387"/>
      <c r="V22" s="386"/>
      <c r="W22" s="387"/>
      <c r="X22" s="386"/>
      <c r="Z22" s="175"/>
      <c r="AC22" s="480"/>
      <c r="AE22" s="239"/>
      <c r="AG22" s="312"/>
      <c r="AH22" s="385"/>
      <c r="AI22" s="386"/>
      <c r="AJ22" s="387"/>
      <c r="AK22" s="386"/>
      <c r="AL22" s="387"/>
      <c r="AM22" s="386"/>
      <c r="AN22" s="387"/>
      <c r="AO22" s="386"/>
      <c r="AP22" s="387"/>
      <c r="AQ22" s="386"/>
      <c r="AR22" s="387"/>
      <c r="AS22" s="386"/>
      <c r="AT22" s="387"/>
      <c r="AU22" s="386"/>
      <c r="AV22" s="386"/>
      <c r="AW22" s="386"/>
      <c r="AX22" s="386"/>
      <c r="AY22" s="386"/>
      <c r="BA22" s="175"/>
      <c r="BB22" s="145"/>
      <c r="BC22" s="145"/>
      <c r="BD22" s="145"/>
    </row>
    <row r="23" spans="1:56">
      <c r="A23" s="146"/>
      <c r="B23" s="146"/>
      <c r="F23" s="216" t="s">
        <v>93</v>
      </c>
      <c r="G23" s="139"/>
      <c r="H23" s="261"/>
      <c r="I23" s="216"/>
      <c r="J23" s="312"/>
      <c r="K23" s="385"/>
      <c r="L23" s="386"/>
      <c r="M23" s="387"/>
      <c r="N23" s="386"/>
      <c r="O23" s="387"/>
      <c r="P23" s="386"/>
      <c r="Q23" s="387"/>
      <c r="R23" s="386"/>
      <c r="S23" s="387"/>
      <c r="T23" s="386"/>
      <c r="U23" s="387"/>
      <c r="V23" s="386"/>
      <c r="W23" s="387"/>
      <c r="X23" s="386"/>
      <c r="Z23" s="175"/>
      <c r="AC23" s="216" t="s">
        <v>93</v>
      </c>
      <c r="AE23" s="239"/>
      <c r="AG23" s="312"/>
      <c r="AH23" s="385"/>
      <c r="AI23" s="386"/>
      <c r="AJ23" s="387"/>
      <c r="AK23" s="386"/>
      <c r="AL23" s="387"/>
      <c r="AM23" s="386"/>
      <c r="AN23" s="387"/>
      <c r="AO23" s="386"/>
      <c r="AP23" s="387"/>
      <c r="AQ23" s="386"/>
      <c r="AR23" s="387"/>
      <c r="AS23" s="386"/>
      <c r="AT23" s="387"/>
      <c r="AU23" s="386"/>
      <c r="AV23" s="262"/>
      <c r="AW23" s="262"/>
      <c r="AX23" s="262"/>
      <c r="AY23" s="262"/>
      <c r="BA23" s="175"/>
      <c r="BB23" s="145"/>
      <c r="BC23" s="145"/>
      <c r="BD23" s="145"/>
    </row>
    <row r="24" spans="1:56">
      <c r="A24" s="146"/>
      <c r="B24" s="146"/>
      <c r="D24" s="488">
        <v>601.20000000000005</v>
      </c>
      <c r="F24" s="216" t="s">
        <v>699</v>
      </c>
      <c r="G24" s="139"/>
      <c r="H24" s="261">
        <v>2</v>
      </c>
      <c r="I24" s="216"/>
      <c r="J24" s="495">
        <v>10557.670657693094</v>
      </c>
      <c r="K24" s="385"/>
      <c r="L24" s="260">
        <f>(VLOOKUP($H24,Factors,L$382))*$J24</f>
        <v>5355.9063246477062</v>
      </c>
      <c r="M24" s="212"/>
      <c r="N24" s="260">
        <f>(VLOOKUP($H24,Factors,N$382))*$J24</f>
        <v>3287.6586428056294</v>
      </c>
      <c r="O24" s="212"/>
      <c r="P24" s="260">
        <f>(VLOOKUP($H24,Factors,P$382))*$J24</f>
        <v>423.3625933734931</v>
      </c>
      <c r="Q24" s="212"/>
      <c r="R24" s="260">
        <f>(VLOOKUP($H24,Factors,R$382))*$J24</f>
        <v>1114.8900214523908</v>
      </c>
      <c r="S24" s="212"/>
      <c r="T24" s="260">
        <f>(VLOOKUP($H24,Factors,T$382))*$J24</f>
        <v>338.90122811194829</v>
      </c>
      <c r="U24" s="212"/>
      <c r="V24" s="260">
        <f>(VLOOKUP($H24,Factors,V$382))*$J24</f>
        <v>16.892273052308951</v>
      </c>
      <c r="W24" s="212"/>
      <c r="X24" s="260">
        <f>(VLOOKUP($H24,Factors,X$382))*$J24</f>
        <v>20.05957424961688</v>
      </c>
      <c r="Y24" s="212"/>
      <c r="Z24" s="260"/>
      <c r="AC24" s="216" t="s">
        <v>699</v>
      </c>
      <c r="AE24" s="239">
        <f t="shared" ref="AE24:AE25" si="18">+H24</f>
        <v>2</v>
      </c>
      <c r="AG24" s="495">
        <f t="shared" ref="AG24:AG25" si="19">+J24</f>
        <v>10557.670657693094</v>
      </c>
      <c r="AH24" s="385"/>
      <c r="AI24" s="260">
        <f>(VLOOKUP($AE24,func,AI$382))*$AG24</f>
        <v>6362.0523383258578</v>
      </c>
      <c r="AJ24" s="212"/>
      <c r="AK24" s="260">
        <f>(VLOOKUP($AE24,func,AK$382))*$AG24</f>
        <v>4158.6664720653089</v>
      </c>
      <c r="AL24" s="212"/>
      <c r="AM24" s="260">
        <f>(VLOOKUP($AE24,func,AM$382))*$AG24</f>
        <v>0</v>
      </c>
      <c r="AN24" s="212"/>
      <c r="AO24" s="260">
        <f>(VLOOKUP($AE24,func,AO$382))*$AG24</f>
        <v>0</v>
      </c>
      <c r="AP24" s="212"/>
      <c r="AQ24" s="260">
        <f>(VLOOKUP($AE24,func,AQ$382))*$AG24</f>
        <v>0</v>
      </c>
      <c r="AR24" s="212"/>
      <c r="AS24" s="260">
        <f>(VLOOKUP($AE24,func,AS$382))*$AG24</f>
        <v>0</v>
      </c>
      <c r="AT24" s="212"/>
      <c r="AU24" s="260">
        <f>(VLOOKUP($AE24,func,AU$382))*$AG24</f>
        <v>0</v>
      </c>
      <c r="AV24" s="262"/>
      <c r="AW24" s="262">
        <f>(VLOOKUP($AE24,func,AW$382))*$AG24</f>
        <v>16.892273052308951</v>
      </c>
      <c r="AX24" s="262"/>
      <c r="AY24" s="262">
        <f>(VLOOKUP($AE24,func,AY$382))*$AG24</f>
        <v>20.05957424961688</v>
      </c>
      <c r="BA24" s="175"/>
      <c r="BB24" s="145"/>
      <c r="BC24" s="145"/>
      <c r="BD24" s="145"/>
    </row>
    <row r="25" spans="1:56">
      <c r="A25" s="146"/>
      <c r="B25" s="146"/>
      <c r="D25" s="488">
        <v>620.20000000000005</v>
      </c>
      <c r="F25" s="216" t="s">
        <v>646</v>
      </c>
      <c r="G25" s="139"/>
      <c r="H25" s="261">
        <v>2</v>
      </c>
      <c r="I25" s="216"/>
      <c r="J25" s="388">
        <v>149691.66666666669</v>
      </c>
      <c r="K25" s="385"/>
      <c r="L25" s="549">
        <f>(VLOOKUP($H25,Factors,L$382))*$J25</f>
        <v>75938.582500000004</v>
      </c>
      <c r="M25" s="385"/>
      <c r="N25" s="549">
        <f>(VLOOKUP($H25,Factors,N$382))*$J25</f>
        <v>46613.985000000008</v>
      </c>
      <c r="O25" s="385"/>
      <c r="P25" s="549">
        <f>(VLOOKUP($H25,Factors,P$382))*$J25</f>
        <v>6002.6358333333346</v>
      </c>
      <c r="Q25" s="385"/>
      <c r="R25" s="549">
        <f>(VLOOKUP($H25,Factors,R$382))*$J25</f>
        <v>15807.440000000002</v>
      </c>
      <c r="S25" s="385"/>
      <c r="T25" s="549">
        <f>(VLOOKUP($H25,Factors,T$382))*$J25</f>
        <v>4805.1025</v>
      </c>
      <c r="U25" s="385"/>
      <c r="V25" s="549">
        <f>(VLOOKUP($H25,Factors,V$382))*$J25</f>
        <v>239.50666666666672</v>
      </c>
      <c r="W25" s="385"/>
      <c r="X25" s="549">
        <f>(VLOOKUP($H25,Factors,X$382))*$J25</f>
        <v>284.41416666666669</v>
      </c>
      <c r="Y25" s="212"/>
      <c r="Z25" s="212"/>
      <c r="AC25" s="216" t="s">
        <v>646</v>
      </c>
      <c r="AE25" s="239">
        <f t="shared" si="18"/>
        <v>2</v>
      </c>
      <c r="AG25" s="388">
        <f t="shared" si="19"/>
        <v>149691.66666666669</v>
      </c>
      <c r="AH25" s="385"/>
      <c r="AI25" s="549">
        <f>(VLOOKUP($AE25,func,AI$382))*$AG25</f>
        <v>90204.198333333334</v>
      </c>
      <c r="AJ25" s="385"/>
      <c r="AK25" s="549">
        <f>(VLOOKUP($AE25,func,AK$382))*$AG25</f>
        <v>58963.547500000001</v>
      </c>
      <c r="AL25" s="385"/>
      <c r="AM25" s="549">
        <f>(VLOOKUP($AE25,func,AM$382))*$AG25</f>
        <v>0</v>
      </c>
      <c r="AN25" s="385"/>
      <c r="AO25" s="549">
        <f>(VLOOKUP($AE25,func,AO$382))*$AG25</f>
        <v>0</v>
      </c>
      <c r="AP25" s="385"/>
      <c r="AQ25" s="549">
        <f>(VLOOKUP($AE25,func,AQ$382))*$AG25</f>
        <v>0</v>
      </c>
      <c r="AR25" s="385"/>
      <c r="AS25" s="549">
        <f>(VLOOKUP($AE25,func,AS$382))*$AG25</f>
        <v>0</v>
      </c>
      <c r="AT25" s="385"/>
      <c r="AU25" s="549">
        <f>(VLOOKUP($AE25,func,AU$382))*$AG25</f>
        <v>0</v>
      </c>
      <c r="AV25" s="385"/>
      <c r="AW25" s="549">
        <f>(VLOOKUP($AE25,func,AW$382))*$AG25</f>
        <v>239.50666666666672</v>
      </c>
      <c r="AX25" s="385"/>
      <c r="AY25" s="549">
        <f>(VLOOKUP($AE25,func,AY$382))*$AG25</f>
        <v>284.41416666666669</v>
      </c>
      <c r="BA25" s="175"/>
      <c r="BB25" s="145"/>
      <c r="BC25" s="145"/>
      <c r="BD25" s="145"/>
    </row>
    <row r="26" spans="1:56">
      <c r="A26" s="146"/>
      <c r="B26" s="146"/>
      <c r="F26" s="216"/>
      <c r="G26" s="139"/>
      <c r="H26" s="261"/>
      <c r="I26" s="216"/>
      <c r="J26" s="312"/>
      <c r="K26" s="385"/>
      <c r="L26" s="386"/>
      <c r="M26" s="385"/>
      <c r="N26" s="386"/>
      <c r="O26" s="385"/>
      <c r="P26" s="386"/>
      <c r="Q26" s="385"/>
      <c r="R26" s="386"/>
      <c r="S26" s="385"/>
      <c r="T26" s="386"/>
      <c r="U26" s="385"/>
      <c r="V26" s="386"/>
      <c r="W26" s="385"/>
      <c r="X26" s="386"/>
      <c r="Z26" s="175"/>
      <c r="AC26" s="216"/>
      <c r="AE26" s="239"/>
      <c r="AG26" s="312"/>
      <c r="AH26" s="385"/>
      <c r="AI26" s="386"/>
      <c r="AJ26" s="385"/>
      <c r="AK26" s="386"/>
      <c r="AL26" s="385"/>
      <c r="AM26" s="386"/>
      <c r="AN26" s="385"/>
      <c r="AO26" s="386"/>
      <c r="AP26" s="385"/>
      <c r="AQ26" s="386"/>
      <c r="AR26" s="385"/>
      <c r="AS26" s="386"/>
      <c r="AT26" s="385"/>
      <c r="AU26" s="386"/>
      <c r="AV26" s="385"/>
      <c r="AW26" s="386"/>
      <c r="AX26" s="385"/>
      <c r="AY26" s="386"/>
      <c r="BA26" s="175"/>
      <c r="BB26" s="145"/>
      <c r="BC26" s="145"/>
      <c r="BD26" s="145"/>
    </row>
    <row r="27" spans="1:56">
      <c r="A27" s="146"/>
      <c r="B27" s="146"/>
      <c r="F27" s="216" t="s">
        <v>94</v>
      </c>
      <c r="G27" s="139"/>
      <c r="H27" s="261"/>
      <c r="I27" s="216"/>
      <c r="J27" s="389">
        <f>SUM(J24:J25)</f>
        <v>160249.33732435977</v>
      </c>
      <c r="K27" s="216"/>
      <c r="L27" s="389">
        <f>SUM(L24:L25)</f>
        <v>81294.488824647706</v>
      </c>
      <c r="M27" s="216"/>
      <c r="N27" s="389">
        <f t="shared" ref="N27" si="20">SUM(N24:N25)</f>
        <v>49901.64364280564</v>
      </c>
      <c r="O27" s="216"/>
      <c r="P27" s="389">
        <f t="shared" ref="P27" si="21">SUM(P24:P25)</f>
        <v>6425.9984267068276</v>
      </c>
      <c r="Q27" s="216"/>
      <c r="R27" s="389">
        <f t="shared" ref="R27" si="22">SUM(R24:R25)</f>
        <v>16922.330021452392</v>
      </c>
      <c r="S27" s="216"/>
      <c r="T27" s="389">
        <f t="shared" ref="T27" si="23">SUM(T24:T25)</f>
        <v>5144.0037281119485</v>
      </c>
      <c r="U27" s="216"/>
      <c r="V27" s="389">
        <f t="shared" ref="V27" si="24">SUM(V24:V25)</f>
        <v>256.39893971897567</v>
      </c>
      <c r="W27" s="216"/>
      <c r="X27" s="389">
        <f t="shared" ref="X27" si="25">SUM(X24:X25)</f>
        <v>304.47374091628359</v>
      </c>
      <c r="Z27" s="175"/>
      <c r="AC27" s="216" t="s">
        <v>94</v>
      </c>
      <c r="AD27" s="139"/>
      <c r="AE27" s="261"/>
      <c r="AF27" s="216"/>
      <c r="AG27" s="389">
        <f>SUM(AG24:AG25)</f>
        <v>160249.33732435977</v>
      </c>
      <c r="AH27" s="216"/>
      <c r="AI27" s="389">
        <f>SUM(AI24:AI25)</f>
        <v>96566.250671659189</v>
      </c>
      <c r="AJ27" s="216"/>
      <c r="AK27" s="389">
        <f>SUM(AK24:AK25)</f>
        <v>63122.213972065307</v>
      </c>
      <c r="AL27" s="216"/>
      <c r="AM27" s="389">
        <f>SUM(AM24:AM25)</f>
        <v>0</v>
      </c>
      <c r="AN27" s="216"/>
      <c r="AO27" s="389">
        <f>SUM(AO24:AO25)</f>
        <v>0</v>
      </c>
      <c r="AP27" s="216"/>
      <c r="AQ27" s="389">
        <f>SUM(AQ24:AQ25)</f>
        <v>0</v>
      </c>
      <c r="AR27" s="216"/>
      <c r="AS27" s="389">
        <f>SUM(AS24:AS25)</f>
        <v>0</v>
      </c>
      <c r="AT27" s="216"/>
      <c r="AU27" s="389">
        <f>SUM(AU24:AU25)</f>
        <v>0</v>
      </c>
      <c r="AV27" s="216"/>
      <c r="AW27" s="389">
        <f>SUM(AW24:AW25)</f>
        <v>256.39893971897567</v>
      </c>
      <c r="AX27" s="216"/>
      <c r="AY27" s="389">
        <f>SUM(AY24:AY25)</f>
        <v>304.47374091628359</v>
      </c>
      <c r="BA27" s="175"/>
      <c r="BB27" s="145"/>
      <c r="BC27" s="145"/>
      <c r="BD27" s="145"/>
    </row>
    <row r="28" spans="1:56">
      <c r="A28" s="146"/>
      <c r="B28" s="146"/>
      <c r="F28" s="216"/>
      <c r="G28" s="139"/>
      <c r="H28" s="261"/>
      <c r="I28" s="216"/>
      <c r="J28" s="312"/>
      <c r="K28" s="216"/>
      <c r="L28" s="312"/>
      <c r="M28" s="216"/>
      <c r="N28" s="312"/>
      <c r="O28" s="216"/>
      <c r="P28" s="312"/>
      <c r="Q28" s="216"/>
      <c r="R28" s="312"/>
      <c r="S28" s="216"/>
      <c r="T28" s="312"/>
      <c r="U28" s="216"/>
      <c r="V28" s="312"/>
      <c r="W28" s="216"/>
      <c r="X28" s="312"/>
      <c r="Z28" s="175"/>
      <c r="AC28" s="216"/>
      <c r="AD28" s="139"/>
      <c r="AE28" s="261"/>
      <c r="AF28" s="216"/>
      <c r="AG28" s="312"/>
      <c r="AH28" s="216"/>
      <c r="AI28" s="312"/>
      <c r="AJ28" s="216"/>
      <c r="AK28" s="312"/>
      <c r="AL28" s="216"/>
      <c r="AM28" s="312"/>
      <c r="AN28" s="216"/>
      <c r="AO28" s="312"/>
      <c r="AP28" s="216"/>
      <c r="AQ28" s="312"/>
      <c r="AR28" s="216"/>
      <c r="AS28" s="312"/>
      <c r="AT28" s="216"/>
      <c r="AU28" s="312"/>
      <c r="AV28" s="216"/>
      <c r="AW28" s="312"/>
      <c r="AX28" s="216"/>
      <c r="AY28" s="312"/>
      <c r="BA28" s="175"/>
      <c r="BB28" s="145"/>
      <c r="BC28" s="145"/>
      <c r="BD28" s="145"/>
    </row>
    <row r="29" spans="1:56">
      <c r="A29" s="146"/>
      <c r="B29" s="146"/>
      <c r="F29" s="216" t="s">
        <v>95</v>
      </c>
      <c r="G29" s="139"/>
      <c r="H29" s="261"/>
      <c r="I29" s="216"/>
      <c r="J29" s="389">
        <f>J21+J27</f>
        <v>449643.68746031844</v>
      </c>
      <c r="K29" s="216"/>
      <c r="L29" s="389">
        <f>L21+L27</f>
        <v>224694.80990114907</v>
      </c>
      <c r="M29" s="216"/>
      <c r="N29" s="389">
        <f t="shared" ref="N29" si="26">N21+N27</f>
        <v>139908.16841343683</v>
      </c>
      <c r="O29" s="216"/>
      <c r="P29" s="389">
        <f t="shared" ref="P29" si="27">P21+P27</f>
        <v>18862.280829956442</v>
      </c>
      <c r="Q29" s="216"/>
      <c r="R29" s="389">
        <f t="shared" ref="R29" si="28">R21+R27</f>
        <v>48868.321667139076</v>
      </c>
      <c r="S29" s="216"/>
      <c r="T29" s="389">
        <f t="shared" ref="T29" si="29">T21+T27</f>
        <v>15098.817537714356</v>
      </c>
      <c r="U29" s="216"/>
      <c r="V29" s="389">
        <f t="shared" ref="V29" si="30">V21+V27</f>
        <v>996.61955420239951</v>
      </c>
      <c r="W29" s="216"/>
      <c r="X29" s="389">
        <f t="shared" ref="X29" si="31">X21+X27</f>
        <v>1214.6695567202623</v>
      </c>
      <c r="Z29" s="175"/>
      <c r="AC29" s="216" t="s">
        <v>95</v>
      </c>
      <c r="AD29" s="139"/>
      <c r="AE29" s="261"/>
      <c r="AF29" s="216"/>
      <c r="AG29" s="389">
        <f>AG21+AG27</f>
        <v>449643.68746031844</v>
      </c>
      <c r="AH29" s="216"/>
      <c r="AI29" s="389">
        <f>AI21+AI27</f>
        <v>379502.7546741105</v>
      </c>
      <c r="AJ29" s="216"/>
      <c r="AK29" s="389">
        <f>AK21+AK27</f>
        <v>67929.643675285246</v>
      </c>
      <c r="AL29" s="216"/>
      <c r="AM29" s="389">
        <f>AM21+AM27</f>
        <v>0</v>
      </c>
      <c r="AN29" s="216"/>
      <c r="AO29" s="389">
        <f>AO21+AO27</f>
        <v>0</v>
      </c>
      <c r="AP29" s="216"/>
      <c r="AQ29" s="389">
        <f>AQ21+AQ27</f>
        <v>0</v>
      </c>
      <c r="AR29" s="216"/>
      <c r="AS29" s="389">
        <f>AS21+AS27</f>
        <v>0</v>
      </c>
      <c r="AT29" s="216"/>
      <c r="AU29" s="389">
        <f>AU21+AU27</f>
        <v>0</v>
      </c>
      <c r="AV29" s="216"/>
      <c r="AW29" s="389">
        <f t="shared" ref="AW29" si="32">AW21+AW27</f>
        <v>996.61955420239951</v>
      </c>
      <c r="AX29" s="216"/>
      <c r="AY29" s="389">
        <f t="shared" ref="AY29" si="33">AY21+AY27</f>
        <v>1214.6695567202623</v>
      </c>
      <c r="BA29" s="175"/>
      <c r="BB29" s="145"/>
      <c r="BC29" s="145"/>
      <c r="BD29" s="145"/>
    </row>
    <row r="30" spans="1:56">
      <c r="A30" s="146"/>
      <c r="B30" s="146"/>
      <c r="C30" s="478"/>
      <c r="D30" s="489"/>
      <c r="E30" s="478"/>
      <c r="F30" s="480"/>
      <c r="G30" s="200"/>
      <c r="H30" s="547"/>
      <c r="I30" s="216"/>
      <c r="J30" s="312"/>
      <c r="K30" s="385"/>
      <c r="L30" s="386"/>
      <c r="M30" s="385"/>
      <c r="N30" s="386"/>
      <c r="O30" s="385"/>
      <c r="P30" s="386"/>
      <c r="Q30" s="385"/>
      <c r="R30" s="386"/>
      <c r="S30" s="385"/>
      <c r="T30" s="386"/>
      <c r="U30" s="385"/>
      <c r="V30" s="386"/>
      <c r="W30" s="385"/>
      <c r="X30" s="386"/>
      <c r="Z30" s="175"/>
      <c r="AC30" s="480"/>
      <c r="AG30" s="312"/>
      <c r="AH30" s="385"/>
      <c r="AI30" s="386"/>
      <c r="AJ30" s="385"/>
      <c r="AK30" s="386"/>
      <c r="AL30" s="385"/>
      <c r="AM30" s="386"/>
      <c r="AN30" s="385"/>
      <c r="AO30" s="386"/>
      <c r="AP30" s="385"/>
      <c r="AQ30" s="386"/>
      <c r="AR30" s="385"/>
      <c r="AS30" s="386"/>
      <c r="AT30" s="385"/>
      <c r="AU30" s="386"/>
      <c r="AV30" s="385"/>
      <c r="AW30" s="386"/>
      <c r="AX30" s="385"/>
      <c r="AY30" s="386"/>
      <c r="BA30" s="175"/>
      <c r="BB30" s="145"/>
      <c r="BC30" s="145"/>
      <c r="BD30" s="145"/>
    </row>
    <row r="31" spans="1:56">
      <c r="A31" s="146"/>
      <c r="B31" s="146"/>
      <c r="F31" s="216" t="s">
        <v>142</v>
      </c>
      <c r="G31" s="139"/>
      <c r="H31" s="261"/>
      <c r="I31" s="216"/>
      <c r="J31" s="312"/>
      <c r="K31" s="386"/>
      <c r="L31" s="386"/>
      <c r="M31" s="386"/>
      <c r="N31" s="386"/>
      <c r="O31" s="386"/>
      <c r="P31" s="386"/>
      <c r="Q31" s="386"/>
      <c r="R31" s="386"/>
      <c r="S31" s="386"/>
      <c r="T31" s="386"/>
      <c r="U31" s="386"/>
      <c r="V31" s="386"/>
      <c r="W31" s="386"/>
      <c r="X31" s="386"/>
      <c r="Z31" s="175"/>
      <c r="AC31" s="216" t="s">
        <v>142</v>
      </c>
      <c r="AG31" s="312"/>
      <c r="AH31" s="386"/>
      <c r="AI31" s="386"/>
      <c r="AJ31" s="386"/>
      <c r="AK31" s="386"/>
      <c r="AL31" s="386"/>
      <c r="AM31" s="386"/>
      <c r="AN31" s="386"/>
      <c r="AO31" s="386"/>
      <c r="AP31" s="386"/>
      <c r="AQ31" s="386"/>
      <c r="AR31" s="386"/>
      <c r="AS31" s="386"/>
      <c r="AT31" s="386"/>
      <c r="AU31" s="386"/>
      <c r="AV31" s="386"/>
      <c r="AW31" s="386"/>
      <c r="AX31" s="386"/>
      <c r="AY31" s="386"/>
      <c r="BA31" s="175"/>
      <c r="BB31" s="145"/>
      <c r="BC31" s="145"/>
      <c r="BD31" s="145"/>
    </row>
    <row r="32" spans="1:56">
      <c r="A32" s="146"/>
      <c r="B32" s="146"/>
      <c r="D32" s="488">
        <v>615.1</v>
      </c>
      <c r="F32" s="216" t="s">
        <v>579</v>
      </c>
      <c r="G32" s="139"/>
      <c r="H32" s="261">
        <v>1</v>
      </c>
      <c r="I32" s="216"/>
      <c r="J32" s="389">
        <v>631320.72059455735</v>
      </c>
      <c r="K32" s="385"/>
      <c r="L32" s="389">
        <f>(VLOOKUP($H32,Factors,L$382))*$J32</f>
        <v>312503.75669430586</v>
      </c>
      <c r="M32" s="385"/>
      <c r="N32" s="389">
        <f>(VLOOKUP($H32,Factors,N$382))*$J32</f>
        <v>196340.74410490732</v>
      </c>
      <c r="O32" s="385"/>
      <c r="P32" s="389">
        <f>(VLOOKUP($H32,Factors,P$382))*$J32</f>
        <v>27209.923057625423</v>
      </c>
      <c r="Q32" s="385"/>
      <c r="R32" s="389">
        <f>(VLOOKUP($H32,Factors,R$382))*$J32</f>
        <v>69824.071697758045</v>
      </c>
      <c r="S32" s="385"/>
      <c r="T32" s="389">
        <f>(VLOOKUP($H32,Factors,T$382))*$J32</f>
        <v>21780.56486051223</v>
      </c>
      <c r="U32" s="385"/>
      <c r="V32" s="389">
        <f>(VLOOKUP($H32,Factors,V$382))*$J32</f>
        <v>1641.4338735458491</v>
      </c>
      <c r="W32" s="385"/>
      <c r="X32" s="389">
        <f>(VLOOKUP($H32,Factors,X$382))*$J32</f>
        <v>2020.2263059025836</v>
      </c>
      <c r="Y32" s="212"/>
      <c r="Z32" s="212"/>
      <c r="AC32" s="216" t="s">
        <v>579</v>
      </c>
      <c r="AE32" s="239">
        <f t="shared" ref="AE32" si="34">+H32</f>
        <v>1</v>
      </c>
      <c r="AG32" s="389">
        <f>+J32</f>
        <v>631320.72059455735</v>
      </c>
      <c r="AH32" s="385"/>
      <c r="AI32" s="389">
        <f>(VLOOKUP($AE32,func,AI$382))*$AG32</f>
        <v>627659.06041510892</v>
      </c>
      <c r="AJ32" s="385"/>
      <c r="AK32" s="389">
        <f>(VLOOKUP($AE32,func,AK$382))*$AG32</f>
        <v>0</v>
      </c>
      <c r="AL32" s="385"/>
      <c r="AM32" s="389">
        <f>(VLOOKUP($AE32,func,AM$382))*$AG32</f>
        <v>0</v>
      </c>
      <c r="AN32" s="385"/>
      <c r="AO32" s="389">
        <f>(VLOOKUP($AE32,func,AO$382))*$AG32</f>
        <v>0</v>
      </c>
      <c r="AP32" s="385"/>
      <c r="AQ32" s="389">
        <f>(VLOOKUP($AE32,func,AQ$382))*$AG32</f>
        <v>0</v>
      </c>
      <c r="AR32" s="385"/>
      <c r="AS32" s="389">
        <f>(VLOOKUP($AE32,func,AS$382))*$AG32</f>
        <v>0</v>
      </c>
      <c r="AT32" s="385"/>
      <c r="AU32" s="389">
        <f>(VLOOKUP($AE32,func,AU$382))*$AG32</f>
        <v>0</v>
      </c>
      <c r="AV32" s="385"/>
      <c r="AW32" s="389">
        <f>(VLOOKUP($AE32,func,AW$382))*$AG32</f>
        <v>1641.4338735458491</v>
      </c>
      <c r="AX32" s="385"/>
      <c r="AY32" s="389">
        <f>(VLOOKUP($AE32,func,AY$382))*$AG32</f>
        <v>2020.2263059025836</v>
      </c>
      <c r="BA32" s="175"/>
      <c r="BB32" s="145"/>
      <c r="BC32" s="145"/>
      <c r="BD32" s="145"/>
    </row>
    <row r="33" spans="1:56">
      <c r="A33" s="146"/>
      <c r="B33" s="146"/>
      <c r="F33" s="216"/>
      <c r="G33" s="139"/>
      <c r="H33" s="261"/>
      <c r="I33" s="216"/>
      <c r="J33" s="312"/>
      <c r="K33" s="385"/>
      <c r="L33" s="312"/>
      <c r="M33" s="385"/>
      <c r="N33" s="312"/>
      <c r="O33" s="385"/>
      <c r="P33" s="312"/>
      <c r="Q33" s="385"/>
      <c r="R33" s="312"/>
      <c r="S33" s="385"/>
      <c r="T33" s="312"/>
      <c r="U33" s="385"/>
      <c r="V33" s="312"/>
      <c r="W33" s="385"/>
      <c r="X33" s="312"/>
      <c r="Z33" s="175"/>
      <c r="AC33" s="216"/>
      <c r="AD33" s="139"/>
      <c r="AE33" s="261"/>
      <c r="AF33" s="216"/>
      <c r="AG33" s="312"/>
      <c r="AH33" s="385"/>
      <c r="AI33" s="312"/>
      <c r="AJ33" s="385"/>
      <c r="AK33" s="312"/>
      <c r="AL33" s="385"/>
      <c r="AM33" s="312"/>
      <c r="AN33" s="385"/>
      <c r="AO33" s="312"/>
      <c r="AP33" s="385"/>
      <c r="AQ33" s="312"/>
      <c r="AR33" s="385"/>
      <c r="AS33" s="312"/>
      <c r="AT33" s="385"/>
      <c r="AU33" s="312"/>
      <c r="AV33" s="385"/>
      <c r="AW33" s="312"/>
      <c r="AX33" s="385"/>
      <c r="AY33" s="312"/>
      <c r="BA33" s="175"/>
      <c r="BB33" s="145"/>
      <c r="BC33" s="145"/>
      <c r="BD33" s="145"/>
    </row>
    <row r="34" spans="1:56">
      <c r="A34" s="146"/>
      <c r="B34" s="146"/>
      <c r="F34" s="216" t="s">
        <v>92</v>
      </c>
      <c r="G34" s="139"/>
      <c r="H34" s="261"/>
      <c r="I34" s="216"/>
      <c r="J34" s="389">
        <f>SUM(J32:J32)</f>
        <v>631320.72059455735</v>
      </c>
      <c r="K34" s="216"/>
      <c r="L34" s="389">
        <f>SUM(L32:L32)</f>
        <v>312503.75669430586</v>
      </c>
      <c r="M34" s="216"/>
      <c r="N34" s="389">
        <f t="shared" ref="N34" si="35">SUM(N32:N32)</f>
        <v>196340.74410490732</v>
      </c>
      <c r="O34" s="216"/>
      <c r="P34" s="389">
        <f t="shared" ref="P34" si="36">SUM(P32:P32)</f>
        <v>27209.923057625423</v>
      </c>
      <c r="Q34" s="216"/>
      <c r="R34" s="389">
        <f t="shared" ref="R34" si="37">SUM(R32:R32)</f>
        <v>69824.071697758045</v>
      </c>
      <c r="S34" s="216"/>
      <c r="T34" s="389">
        <f t="shared" ref="T34" si="38">SUM(T32:T32)</f>
        <v>21780.56486051223</v>
      </c>
      <c r="U34" s="216"/>
      <c r="V34" s="389">
        <f t="shared" ref="V34" si="39">SUM(V32:V32)</f>
        <v>1641.4338735458491</v>
      </c>
      <c r="W34" s="216"/>
      <c r="X34" s="389">
        <f t="shared" ref="X34" si="40">SUM(X32:X32)</f>
        <v>2020.2263059025836</v>
      </c>
      <c r="Z34" s="175"/>
      <c r="AC34" s="216" t="s">
        <v>92</v>
      </c>
      <c r="AD34" s="139"/>
      <c r="AE34" s="261"/>
      <c r="AF34" s="216"/>
      <c r="AG34" s="389">
        <f>SUM(AG32:AG32)</f>
        <v>631320.72059455735</v>
      </c>
      <c r="AH34" s="216"/>
      <c r="AI34" s="389">
        <f>SUM(AI32:AI32)</f>
        <v>627659.06041510892</v>
      </c>
      <c r="AJ34" s="216"/>
      <c r="AK34" s="389">
        <f>SUM(AK32:AK32)</f>
        <v>0</v>
      </c>
      <c r="AL34" s="216"/>
      <c r="AM34" s="389">
        <f>SUM(AM32:AM32)</f>
        <v>0</v>
      </c>
      <c r="AN34" s="216"/>
      <c r="AO34" s="389">
        <f>SUM(AO32:AO32)</f>
        <v>0</v>
      </c>
      <c r="AP34" s="216"/>
      <c r="AQ34" s="389">
        <f>SUM(AQ32:AQ32)</f>
        <v>0</v>
      </c>
      <c r="AR34" s="216"/>
      <c r="AS34" s="389">
        <f>SUM(AS32:AS32)</f>
        <v>0</v>
      </c>
      <c r="AT34" s="216"/>
      <c r="AU34" s="389">
        <f>SUM(AU32:AU32)</f>
        <v>0</v>
      </c>
      <c r="AV34" s="216"/>
      <c r="AW34" s="389">
        <f t="shared" ref="AW34" si="41">SUM(AW32:AW32)</f>
        <v>1641.4338735458491</v>
      </c>
      <c r="AX34" s="216"/>
      <c r="AY34" s="389">
        <f t="shared" ref="AY34" si="42">SUM(AY32:AY32)</f>
        <v>2020.2263059025836</v>
      </c>
      <c r="BA34" s="175"/>
      <c r="BB34" s="145"/>
      <c r="BC34" s="145"/>
      <c r="BD34" s="145"/>
    </row>
    <row r="35" spans="1:56">
      <c r="A35" s="146"/>
      <c r="B35" s="146"/>
      <c r="F35" s="216" t="s">
        <v>93</v>
      </c>
      <c r="G35" s="139"/>
      <c r="H35" s="261"/>
      <c r="I35" s="216"/>
      <c r="J35" s="312"/>
      <c r="K35" s="385"/>
      <c r="L35" s="312"/>
      <c r="M35" s="385"/>
      <c r="N35" s="312"/>
      <c r="O35" s="385"/>
      <c r="P35" s="312"/>
      <c r="Q35" s="385"/>
      <c r="R35" s="312"/>
      <c r="S35" s="385"/>
      <c r="T35" s="312"/>
      <c r="U35" s="385"/>
      <c r="V35" s="312"/>
      <c r="W35" s="385"/>
      <c r="X35" s="312"/>
      <c r="Z35" s="175"/>
      <c r="AC35" s="216" t="s">
        <v>93</v>
      </c>
      <c r="AG35" s="312"/>
      <c r="AH35" s="385"/>
      <c r="AI35" s="312"/>
      <c r="AJ35" s="385"/>
      <c r="AK35" s="312"/>
      <c r="AL35" s="385"/>
      <c r="AM35" s="312"/>
      <c r="AN35" s="385"/>
      <c r="AO35" s="312"/>
      <c r="AP35" s="385"/>
      <c r="AQ35" s="312"/>
      <c r="AR35" s="385"/>
      <c r="AS35" s="312"/>
      <c r="AT35" s="385"/>
      <c r="AU35" s="312"/>
      <c r="AV35" s="385"/>
      <c r="AW35" s="312"/>
      <c r="AX35" s="385"/>
      <c r="AY35" s="312"/>
      <c r="BA35" s="175"/>
      <c r="BB35" s="145"/>
      <c r="BC35" s="145"/>
      <c r="BD35" s="145"/>
    </row>
    <row r="36" spans="1:56">
      <c r="A36" s="550"/>
      <c r="B36" s="550"/>
      <c r="D36" s="488">
        <v>601.20000000000005</v>
      </c>
      <c r="F36" s="216" t="s">
        <v>699</v>
      </c>
      <c r="G36" s="139"/>
      <c r="H36" s="261">
        <v>6</v>
      </c>
      <c r="I36" s="216"/>
      <c r="J36" s="389">
        <v>43683.625071967574</v>
      </c>
      <c r="K36" s="385"/>
      <c r="L36" s="389">
        <f>(VLOOKUP($H36,Factors,L$382))*$J36</f>
        <v>21160.347984861091</v>
      </c>
      <c r="M36" s="385"/>
      <c r="N36" s="389">
        <f>(VLOOKUP($H36,Factors,N$382))*$J36</f>
        <v>12934.721383809598</v>
      </c>
      <c r="O36" s="385"/>
      <c r="P36" s="389">
        <f>(VLOOKUP($H36,Factors,P$382))*$J36</f>
        <v>1620.662490169997</v>
      </c>
      <c r="Q36" s="385"/>
      <c r="R36" s="389">
        <f>(VLOOKUP($H36,Factors,R$382))*$J36</f>
        <v>4219.8381819520673</v>
      </c>
      <c r="S36" s="385"/>
      <c r="T36" s="389">
        <f>(VLOOKUP($H36,Factors,T$382))*$J36</f>
        <v>995.98665164086071</v>
      </c>
      <c r="U36" s="385"/>
      <c r="V36" s="389">
        <f>(VLOOKUP($H36,Factors,V$382))*$J36</f>
        <v>1240.6149520438792</v>
      </c>
      <c r="W36" s="385"/>
      <c r="X36" s="389">
        <f>(VLOOKUP($H36,Factors,X$382))*$J36</f>
        <v>1511.453427490078</v>
      </c>
      <c r="Y36" s="212"/>
      <c r="Z36" s="212"/>
      <c r="AC36" s="216" t="s">
        <v>699</v>
      </c>
      <c r="AE36" s="239">
        <f>+H36</f>
        <v>6</v>
      </c>
      <c r="AG36" s="389">
        <f>+J36</f>
        <v>43683.625071967574</v>
      </c>
      <c r="AH36" s="385"/>
      <c r="AI36" s="389">
        <f>(VLOOKUP($AE36,func,AI$382))*$AG36</f>
        <v>22687.153585546464</v>
      </c>
      <c r="AJ36" s="385"/>
      <c r="AK36" s="389">
        <f>(VLOOKUP($AE36,func,AK$382))*$AG36</f>
        <v>12227.046657643725</v>
      </c>
      <c r="AL36" s="385"/>
      <c r="AM36" s="389">
        <f>(VLOOKUP($AE36,func,AM$382))*$AG36</f>
        <v>6016.6575112422779</v>
      </c>
      <c r="AN36" s="385"/>
      <c r="AO36" s="389">
        <f>(VLOOKUP($AE36,func,AO$382))*$AG36</f>
        <v>0</v>
      </c>
      <c r="AP36" s="385"/>
      <c r="AQ36" s="389">
        <f>(VLOOKUP($AE36,func,AQ$382))*$AG36</f>
        <v>0</v>
      </c>
      <c r="AR36" s="385"/>
      <c r="AS36" s="389">
        <f>(VLOOKUP($AE36,func,AS$382))*$AG36</f>
        <v>0</v>
      </c>
      <c r="AT36" s="385"/>
      <c r="AU36" s="389">
        <f>(VLOOKUP($AE36,func,AU$382))*$AG36</f>
        <v>0</v>
      </c>
      <c r="AV36" s="385"/>
      <c r="AW36" s="389">
        <f>(VLOOKUP($AE36,func,AW$382))*$AG36</f>
        <v>1242.7921439174659</v>
      </c>
      <c r="AX36" s="385"/>
      <c r="AY36" s="389">
        <f>(VLOOKUP($AE36,func,AY$382))*$AG36</f>
        <v>1509.9751736176427</v>
      </c>
      <c r="BA36" s="175"/>
      <c r="BB36" s="145"/>
      <c r="BC36" s="145"/>
      <c r="BD36" s="145"/>
    </row>
    <row r="37" spans="1:56">
      <c r="A37" s="146"/>
      <c r="B37" s="146"/>
      <c r="F37" s="216"/>
      <c r="G37" s="139"/>
      <c r="H37" s="261"/>
      <c r="I37" s="216"/>
      <c r="J37" s="312"/>
      <c r="K37" s="385"/>
      <c r="L37" s="312"/>
      <c r="M37" s="385"/>
      <c r="N37" s="312"/>
      <c r="O37" s="385"/>
      <c r="P37" s="312"/>
      <c r="Q37" s="385"/>
      <c r="R37" s="312"/>
      <c r="S37" s="385"/>
      <c r="T37" s="312"/>
      <c r="U37" s="385"/>
      <c r="V37" s="312"/>
      <c r="W37" s="385"/>
      <c r="X37" s="312"/>
      <c r="Z37" s="175"/>
      <c r="AC37" s="216"/>
      <c r="AD37" s="139"/>
      <c r="AE37" s="261"/>
      <c r="AF37" s="216"/>
      <c r="AG37" s="312"/>
      <c r="AH37" s="385"/>
      <c r="AI37" s="312"/>
      <c r="AJ37" s="385"/>
      <c r="AK37" s="312"/>
      <c r="AL37" s="385"/>
      <c r="AM37" s="312"/>
      <c r="AN37" s="385"/>
      <c r="AO37" s="312"/>
      <c r="AP37" s="385"/>
      <c r="AQ37" s="312"/>
      <c r="AR37" s="385"/>
      <c r="AS37" s="312"/>
      <c r="AT37" s="385"/>
      <c r="AU37" s="312"/>
      <c r="AV37" s="385"/>
      <c r="AW37" s="312"/>
      <c r="AX37" s="385"/>
      <c r="AY37" s="312"/>
      <c r="BA37" s="175"/>
      <c r="BB37" s="145"/>
      <c r="BC37" s="145"/>
      <c r="BD37" s="145"/>
    </row>
    <row r="38" spans="1:56">
      <c r="A38" s="146"/>
      <c r="B38" s="146"/>
      <c r="F38" s="216" t="s">
        <v>94</v>
      </c>
      <c r="G38" s="139"/>
      <c r="H38" s="261"/>
      <c r="I38" s="216"/>
      <c r="J38" s="389">
        <f>SUM(J36:J36)</f>
        <v>43683.625071967574</v>
      </c>
      <c r="K38" s="216"/>
      <c r="L38" s="389">
        <f>SUM(L36:L36)</f>
        <v>21160.347984861091</v>
      </c>
      <c r="M38" s="216"/>
      <c r="N38" s="389">
        <f t="shared" ref="N38" si="43">SUM(N36:N36)</f>
        <v>12934.721383809598</v>
      </c>
      <c r="O38" s="216"/>
      <c r="P38" s="389">
        <f t="shared" ref="P38" si="44">SUM(P36:P36)</f>
        <v>1620.662490169997</v>
      </c>
      <c r="Q38" s="216"/>
      <c r="R38" s="389">
        <f t="shared" ref="R38" si="45">SUM(R36:R36)</f>
        <v>4219.8381819520673</v>
      </c>
      <c r="S38" s="216"/>
      <c r="T38" s="389">
        <f t="shared" ref="T38" si="46">SUM(T36:T36)</f>
        <v>995.98665164086071</v>
      </c>
      <c r="U38" s="216"/>
      <c r="V38" s="389">
        <f t="shared" ref="V38" si="47">SUM(V36:V36)</f>
        <v>1240.6149520438792</v>
      </c>
      <c r="W38" s="216"/>
      <c r="X38" s="389">
        <f t="shared" ref="X38" si="48">SUM(X36:X36)</f>
        <v>1511.453427490078</v>
      </c>
      <c r="Z38" s="175"/>
      <c r="AC38" s="216" t="s">
        <v>94</v>
      </c>
      <c r="AD38" s="139"/>
      <c r="AE38" s="261"/>
      <c r="AF38" s="216"/>
      <c r="AG38" s="389">
        <f>SUM(AG36:AG36)</f>
        <v>43683.625071967574</v>
      </c>
      <c r="AH38" s="216"/>
      <c r="AI38" s="389">
        <f>SUM(AI36:AI36)</f>
        <v>22687.153585546464</v>
      </c>
      <c r="AJ38" s="216"/>
      <c r="AK38" s="389">
        <f>SUM(AK36:AK36)</f>
        <v>12227.046657643725</v>
      </c>
      <c r="AL38" s="216"/>
      <c r="AM38" s="389">
        <f>SUM(AM36:AM36)</f>
        <v>6016.6575112422779</v>
      </c>
      <c r="AN38" s="216"/>
      <c r="AO38" s="389">
        <f>SUM(AO36:AO36)</f>
        <v>0</v>
      </c>
      <c r="AP38" s="216"/>
      <c r="AQ38" s="389">
        <f>SUM(AQ36:AQ36)</f>
        <v>0</v>
      </c>
      <c r="AR38" s="216"/>
      <c r="AS38" s="389">
        <f>SUM(AS36:AS36)</f>
        <v>0</v>
      </c>
      <c r="AT38" s="216"/>
      <c r="AU38" s="389">
        <f>SUM(AU36:AU36)</f>
        <v>0</v>
      </c>
      <c r="AV38" s="216"/>
      <c r="AW38" s="389">
        <f t="shared" ref="AW38" si="49">SUM(AW36:AW36)</f>
        <v>1242.7921439174659</v>
      </c>
      <c r="AX38" s="216"/>
      <c r="AY38" s="389">
        <f t="shared" ref="AY38" si="50">SUM(AY36:AY36)</f>
        <v>1509.9751736176427</v>
      </c>
      <c r="BA38" s="175"/>
      <c r="BB38" s="145"/>
      <c r="BC38" s="145"/>
      <c r="BD38" s="145"/>
    </row>
    <row r="39" spans="1:56">
      <c r="A39" s="550"/>
      <c r="B39" s="480"/>
      <c r="F39" s="216"/>
      <c r="G39" s="139"/>
      <c r="H39" s="261"/>
      <c r="I39" s="216"/>
      <c r="J39" s="312"/>
      <c r="K39" s="216"/>
      <c r="L39" s="312"/>
      <c r="M39" s="216"/>
      <c r="N39" s="312"/>
      <c r="O39" s="216"/>
      <c r="P39" s="312"/>
      <c r="Q39" s="216"/>
      <c r="R39" s="312"/>
      <c r="S39" s="216"/>
      <c r="T39" s="312"/>
      <c r="U39" s="216"/>
      <c r="V39" s="312"/>
      <c r="W39" s="216"/>
      <c r="X39" s="312"/>
      <c r="Z39" s="175"/>
      <c r="AC39" s="216"/>
      <c r="AD39" s="139"/>
      <c r="AE39" s="261"/>
      <c r="AF39" s="216"/>
      <c r="AG39" s="312"/>
      <c r="AH39" s="216"/>
      <c r="AI39" s="312"/>
      <c r="AJ39" s="216"/>
      <c r="AK39" s="312"/>
      <c r="AL39" s="216"/>
      <c r="AM39" s="312"/>
      <c r="AN39" s="216"/>
      <c r="AO39" s="312"/>
      <c r="AP39" s="216"/>
      <c r="AQ39" s="312"/>
      <c r="AR39" s="216"/>
      <c r="AS39" s="312"/>
      <c r="AT39" s="216"/>
      <c r="AU39" s="312"/>
      <c r="AV39" s="216"/>
      <c r="AW39" s="312"/>
      <c r="AX39" s="216"/>
      <c r="AY39" s="312"/>
      <c r="BA39" s="175"/>
      <c r="BB39" s="145"/>
      <c r="BC39" s="145"/>
      <c r="BD39" s="145"/>
    </row>
    <row r="40" spans="1:56">
      <c r="A40" s="550"/>
      <c r="B40" s="480"/>
      <c r="F40" s="216" t="s">
        <v>96</v>
      </c>
      <c r="G40" s="139"/>
      <c r="H40" s="261"/>
      <c r="I40" s="216"/>
      <c r="J40" s="389">
        <f>J38+J34</f>
        <v>675004.34566652495</v>
      </c>
      <c r="K40" s="216"/>
      <c r="L40" s="389">
        <f>L38+L34</f>
        <v>333664.10467916698</v>
      </c>
      <c r="M40" s="216"/>
      <c r="N40" s="389">
        <f t="shared" ref="N40" si="51">N38+N34</f>
        <v>209275.46548871693</v>
      </c>
      <c r="O40" s="216"/>
      <c r="P40" s="389">
        <f t="shared" ref="P40" si="52">P38+P34</f>
        <v>28830.585547795421</v>
      </c>
      <c r="Q40" s="216"/>
      <c r="R40" s="389">
        <f t="shared" ref="R40" si="53">R38+R34</f>
        <v>74043.909879710118</v>
      </c>
      <c r="S40" s="216"/>
      <c r="T40" s="389">
        <f t="shared" ref="T40" si="54">T38+T34</f>
        <v>22776.551512153092</v>
      </c>
      <c r="U40" s="216"/>
      <c r="V40" s="389">
        <f t="shared" ref="V40" si="55">V38+V34</f>
        <v>2882.048825589728</v>
      </c>
      <c r="W40" s="216"/>
      <c r="X40" s="389">
        <f t="shared" ref="X40" si="56">X38+X34</f>
        <v>3531.6797333926615</v>
      </c>
      <c r="Z40" s="175"/>
      <c r="AC40" s="216" t="s">
        <v>96</v>
      </c>
      <c r="AD40" s="139"/>
      <c r="AE40" s="261"/>
      <c r="AF40" s="216"/>
      <c r="AG40" s="389">
        <f>AG38+AG34</f>
        <v>675004.34566652495</v>
      </c>
      <c r="AH40" s="216"/>
      <c r="AI40" s="389">
        <f>AI38+AI34</f>
        <v>650346.21400065534</v>
      </c>
      <c r="AJ40" s="216"/>
      <c r="AK40" s="389">
        <f>AK38+AK34</f>
        <v>12227.046657643725</v>
      </c>
      <c r="AL40" s="216"/>
      <c r="AM40" s="389">
        <f>AM38+AM34</f>
        <v>6016.6575112422779</v>
      </c>
      <c r="AN40" s="216"/>
      <c r="AO40" s="389">
        <f>AO38+AO34</f>
        <v>0</v>
      </c>
      <c r="AP40" s="216"/>
      <c r="AQ40" s="389">
        <f>AQ38+AQ34</f>
        <v>0</v>
      </c>
      <c r="AR40" s="216"/>
      <c r="AS40" s="389">
        <f>AS38+AS34</f>
        <v>0</v>
      </c>
      <c r="AT40" s="216"/>
      <c r="AU40" s="389">
        <f>AU38+AU34</f>
        <v>0</v>
      </c>
      <c r="AV40" s="216"/>
      <c r="AW40" s="389">
        <f t="shared" ref="AW40" si="57">AW38+AW34</f>
        <v>2884.2260174633147</v>
      </c>
      <c r="AX40" s="216"/>
      <c r="AY40" s="389">
        <f t="shared" ref="AY40" si="58">AY38+AY34</f>
        <v>3530.2014795202263</v>
      </c>
      <c r="BA40" s="175"/>
      <c r="BB40" s="145"/>
      <c r="BC40" s="145"/>
      <c r="BD40" s="145"/>
    </row>
    <row r="41" spans="1:56">
      <c r="A41" s="550"/>
      <c r="B41" s="480"/>
      <c r="F41" s="216"/>
      <c r="G41" s="139"/>
      <c r="H41" s="261"/>
      <c r="I41" s="216"/>
      <c r="J41" s="312"/>
      <c r="K41" s="385"/>
      <c r="L41" s="386"/>
      <c r="M41" s="387"/>
      <c r="N41" s="386"/>
      <c r="O41" s="387"/>
      <c r="P41" s="386"/>
      <c r="Q41" s="387"/>
      <c r="R41" s="386"/>
      <c r="S41" s="387"/>
      <c r="T41" s="386"/>
      <c r="U41" s="387"/>
      <c r="V41" s="386"/>
      <c r="W41" s="387"/>
      <c r="X41" s="386"/>
      <c r="Z41" s="175"/>
      <c r="AC41" s="216"/>
      <c r="AE41" s="239"/>
      <c r="AG41" s="312"/>
      <c r="AH41" s="385"/>
      <c r="AI41" s="386"/>
      <c r="AJ41" s="387"/>
      <c r="AK41" s="386"/>
      <c r="AL41" s="387"/>
      <c r="AM41" s="386"/>
      <c r="AN41" s="387"/>
      <c r="AO41" s="386"/>
      <c r="AP41" s="387"/>
      <c r="AQ41" s="386"/>
      <c r="AR41" s="387"/>
      <c r="AS41" s="386"/>
      <c r="AT41" s="387"/>
      <c r="AU41" s="386"/>
      <c r="AV41" s="386"/>
      <c r="AW41" s="386"/>
      <c r="AX41" s="386"/>
      <c r="AY41" s="386"/>
      <c r="BA41" s="175"/>
      <c r="BB41" s="145"/>
      <c r="BC41" s="145"/>
      <c r="BD41" s="145"/>
    </row>
    <row r="42" spans="1:56">
      <c r="A42" s="550"/>
      <c r="B42" s="480"/>
      <c r="F42" s="216" t="s">
        <v>141</v>
      </c>
      <c r="G42" s="139"/>
      <c r="H42" s="261"/>
      <c r="I42" s="216"/>
      <c r="J42" s="312"/>
      <c r="K42" s="385"/>
      <c r="L42" s="386"/>
      <c r="M42" s="387"/>
      <c r="N42" s="386"/>
      <c r="O42" s="387"/>
      <c r="P42" s="386"/>
      <c r="Q42" s="387"/>
      <c r="R42" s="386"/>
      <c r="S42" s="387"/>
      <c r="T42" s="386"/>
      <c r="U42" s="387"/>
      <c r="V42" s="386"/>
      <c r="W42" s="387"/>
      <c r="X42" s="386"/>
      <c r="Z42" s="175"/>
      <c r="AC42" s="216" t="s">
        <v>141</v>
      </c>
      <c r="AE42" s="239"/>
      <c r="AG42" s="312"/>
      <c r="AH42" s="385"/>
      <c r="AI42" s="386"/>
      <c r="AJ42" s="387"/>
      <c r="AK42" s="386"/>
      <c r="AL42" s="387"/>
      <c r="AM42" s="386"/>
      <c r="AN42" s="387"/>
      <c r="AO42" s="386"/>
      <c r="AP42" s="387"/>
      <c r="AQ42" s="386"/>
      <c r="AR42" s="387"/>
      <c r="AS42" s="386"/>
      <c r="AT42" s="387"/>
      <c r="AU42" s="386"/>
      <c r="AV42" s="386"/>
      <c r="AW42" s="386"/>
      <c r="AX42" s="386"/>
      <c r="AY42" s="386"/>
      <c r="BA42" s="175"/>
      <c r="BB42" s="145"/>
      <c r="BC42" s="145"/>
      <c r="BD42" s="145"/>
    </row>
    <row r="43" spans="1:56">
      <c r="A43" s="550"/>
      <c r="B43" s="480"/>
      <c r="F43" s="216" t="s">
        <v>91</v>
      </c>
      <c r="G43" s="139"/>
      <c r="H43" s="261"/>
      <c r="I43" s="216"/>
      <c r="J43" s="312"/>
      <c r="K43" s="385"/>
      <c r="L43" s="386"/>
      <c r="M43" s="387"/>
      <c r="N43" s="386"/>
      <c r="O43" s="387"/>
      <c r="P43" s="386"/>
      <c r="Q43" s="387"/>
      <c r="R43" s="386"/>
      <c r="S43" s="387"/>
      <c r="T43" s="386"/>
      <c r="U43" s="387"/>
      <c r="V43" s="386"/>
      <c r="W43" s="387"/>
      <c r="X43" s="386"/>
      <c r="Z43" s="175"/>
      <c r="AC43" s="216" t="s">
        <v>91</v>
      </c>
      <c r="AE43" s="239"/>
      <c r="AG43" s="312"/>
      <c r="AH43" s="385"/>
      <c r="AI43" s="386"/>
      <c r="AJ43" s="387"/>
      <c r="AK43" s="386"/>
      <c r="AL43" s="387"/>
      <c r="AM43" s="386"/>
      <c r="AN43" s="387"/>
      <c r="AO43" s="386"/>
      <c r="AP43" s="387"/>
      <c r="AQ43" s="386"/>
      <c r="AR43" s="387"/>
      <c r="AS43" s="386"/>
      <c r="AT43" s="387"/>
      <c r="AU43" s="386"/>
      <c r="AV43" s="386"/>
      <c r="AW43" s="386"/>
      <c r="AX43" s="386"/>
      <c r="AY43" s="386"/>
      <c r="BA43" s="175"/>
      <c r="BB43" s="145"/>
      <c r="BC43" s="145"/>
      <c r="BD43" s="145"/>
    </row>
    <row r="44" spans="1:56">
      <c r="A44" s="550"/>
      <c r="B44" s="480"/>
      <c r="F44" s="529"/>
      <c r="G44" s="139"/>
      <c r="H44" s="261"/>
      <c r="I44" s="216"/>
      <c r="J44" s="312"/>
      <c r="K44" s="385"/>
      <c r="L44" s="386"/>
      <c r="M44" s="387"/>
      <c r="N44" s="386"/>
      <c r="O44" s="387"/>
      <c r="P44" s="386"/>
      <c r="Q44" s="387"/>
      <c r="R44" s="386"/>
      <c r="S44" s="387"/>
      <c r="T44" s="386"/>
      <c r="U44" s="387"/>
      <c r="V44" s="386"/>
      <c r="W44" s="387"/>
      <c r="X44" s="386"/>
      <c r="Z44" s="175"/>
      <c r="AE44" s="239"/>
      <c r="AG44" s="312"/>
      <c r="AH44" s="385"/>
      <c r="AI44" s="386"/>
      <c r="AJ44" s="387"/>
      <c r="AK44" s="386"/>
      <c r="AL44" s="387"/>
      <c r="AM44" s="386"/>
      <c r="AN44" s="387"/>
      <c r="AO44" s="386"/>
      <c r="AP44" s="387"/>
      <c r="AQ44" s="386"/>
      <c r="AR44" s="387"/>
      <c r="AS44" s="386"/>
      <c r="AT44" s="387"/>
      <c r="AU44" s="386"/>
      <c r="AV44" s="386"/>
      <c r="AW44" s="386"/>
      <c r="AX44" s="386"/>
      <c r="AY44" s="386"/>
      <c r="BA44" s="175"/>
      <c r="BB44" s="145"/>
      <c r="BC44" s="145"/>
      <c r="BD44" s="145"/>
    </row>
    <row r="45" spans="1:56">
      <c r="A45" s="550"/>
      <c r="B45" s="480"/>
      <c r="D45" s="488">
        <v>601.29999999999995</v>
      </c>
      <c r="F45" s="216" t="s">
        <v>583</v>
      </c>
      <c r="G45" s="139"/>
      <c r="H45" s="261">
        <v>2</v>
      </c>
      <c r="I45" s="216"/>
      <c r="J45" s="312">
        <v>936654.74597741826</v>
      </c>
      <c r="K45" s="385"/>
      <c r="L45" s="260">
        <f t="shared" ref="L45:L62" si="59">(VLOOKUP($H45,Factors,L$382))*$J45</f>
        <v>475164.95263434428</v>
      </c>
      <c r="M45" s="212"/>
      <c r="N45" s="260">
        <f t="shared" ref="N45:N62" si="60">(VLOOKUP($H45,Factors,N$382))*$J45</f>
        <v>291674.28789736808</v>
      </c>
      <c r="O45" s="212"/>
      <c r="P45" s="260">
        <f t="shared" ref="P45:P62" si="61">(VLOOKUP($H45,Factors,P$382))*$J45</f>
        <v>37559.855313694476</v>
      </c>
      <c r="Q45" s="212"/>
      <c r="R45" s="260">
        <f t="shared" ref="R45:R62" si="62">(VLOOKUP($H45,Factors,R$382))*$J45</f>
        <v>98910.741175215371</v>
      </c>
      <c r="S45" s="212"/>
      <c r="T45" s="260">
        <f t="shared" ref="T45:T62" si="63">(VLOOKUP($H45,Factors,T$382))*$J45</f>
        <v>30066.617345875122</v>
      </c>
      <c r="U45" s="212"/>
      <c r="V45" s="260">
        <f t="shared" ref="V45:V62" si="64">(VLOOKUP($H45,Factors,V$382))*$J45</f>
        <v>1498.6475935638693</v>
      </c>
      <c r="W45" s="212"/>
      <c r="X45" s="260">
        <f t="shared" ref="X45:X62" si="65">(VLOOKUP($H45,Factors,X$382))*$J45</f>
        <v>1779.6440173570948</v>
      </c>
      <c r="Y45" s="212"/>
      <c r="Z45" s="212"/>
      <c r="AC45" s="216" t="s">
        <v>583</v>
      </c>
      <c r="AE45" s="239">
        <f>+H45</f>
        <v>2</v>
      </c>
      <c r="AG45" s="312">
        <f>+J45</f>
        <v>936654.74597741826</v>
      </c>
      <c r="AH45" s="385"/>
      <c r="AI45" s="260">
        <f t="shared" ref="AI45:AI62" si="66">(VLOOKUP($AE45,func,AI$382))*$AG45</f>
        <v>564428.14992599213</v>
      </c>
      <c r="AJ45" s="212"/>
      <c r="AK45" s="260">
        <f t="shared" ref="AK45:AK62" si="67">(VLOOKUP($AE45,func,AK$382))*$AG45</f>
        <v>368948.30444050505</v>
      </c>
      <c r="AL45" s="212"/>
      <c r="AM45" s="260">
        <f t="shared" ref="AM45:AM62" si="68">(VLOOKUP($AE45,func,AM$382))*$AG45</f>
        <v>0</v>
      </c>
      <c r="AN45" s="212"/>
      <c r="AO45" s="260">
        <f t="shared" ref="AO45:AO62" si="69">(VLOOKUP($AE45,func,AO$382))*$AG45</f>
        <v>0</v>
      </c>
      <c r="AP45" s="212"/>
      <c r="AQ45" s="260">
        <f t="shared" ref="AQ45:AQ62" si="70">(VLOOKUP($AE45,func,AQ$382))*$AG45</f>
        <v>0</v>
      </c>
      <c r="AR45" s="212"/>
      <c r="AS45" s="260">
        <f t="shared" ref="AS45:AS62" si="71">(VLOOKUP($AE45,func,AS$382))*$AG45</f>
        <v>0</v>
      </c>
      <c r="AT45" s="212"/>
      <c r="AU45" s="260">
        <f t="shared" ref="AU45:AU62" si="72">(VLOOKUP($AE45,func,AU$382))*$AG45</f>
        <v>0</v>
      </c>
      <c r="AV45" s="262"/>
      <c r="AW45" s="262">
        <f t="shared" ref="AW45:AW62" si="73">(VLOOKUP($AE45,func,AW$382))*$AG45</f>
        <v>1498.6475935638693</v>
      </c>
      <c r="AX45" s="262"/>
      <c r="AY45" s="262">
        <f t="shared" ref="AY45:AY62" si="74">(VLOOKUP($AE45,func,AY$382))*$AG45</f>
        <v>1779.6440173570948</v>
      </c>
      <c r="BA45" s="175"/>
      <c r="BB45" s="145"/>
      <c r="BC45" s="145"/>
      <c r="BD45" s="145"/>
    </row>
    <row r="46" spans="1:56">
      <c r="A46" s="550"/>
      <c r="B46" s="480"/>
      <c r="D46" s="488">
        <v>601.29999999999995</v>
      </c>
      <c r="F46" s="216" t="s">
        <v>698</v>
      </c>
      <c r="G46" s="139"/>
      <c r="H46" s="261">
        <v>2</v>
      </c>
      <c r="I46" s="216"/>
      <c r="J46" s="312">
        <v>1694827.4158970923</v>
      </c>
      <c r="K46" s="385"/>
      <c r="L46" s="260">
        <f t="shared" si="59"/>
        <v>859785.94808459491</v>
      </c>
      <c r="M46" s="212"/>
      <c r="N46" s="260">
        <f t="shared" si="60"/>
        <v>527769.25731035462</v>
      </c>
      <c r="O46" s="212"/>
      <c r="P46" s="260">
        <f t="shared" si="61"/>
        <v>67962.579377473405</v>
      </c>
      <c r="Q46" s="212"/>
      <c r="R46" s="260">
        <f t="shared" si="62"/>
        <v>178973.77511873294</v>
      </c>
      <c r="S46" s="212"/>
      <c r="T46" s="260">
        <f t="shared" si="63"/>
        <v>54403.960050296657</v>
      </c>
      <c r="U46" s="212"/>
      <c r="V46" s="260">
        <f t="shared" si="64"/>
        <v>2711.7238654353478</v>
      </c>
      <c r="W46" s="212"/>
      <c r="X46" s="260">
        <f t="shared" si="65"/>
        <v>3220.1720902044754</v>
      </c>
      <c r="Y46" s="212"/>
      <c r="Z46" s="212"/>
      <c r="AC46" s="216" t="s">
        <v>698</v>
      </c>
      <c r="AE46" s="239">
        <f t="shared" ref="AE46:AE62" si="75">+H46</f>
        <v>2</v>
      </c>
      <c r="AG46" s="312">
        <f t="shared" ref="AG46:AG62" si="76">+J46</f>
        <v>1694827.4158970923</v>
      </c>
      <c r="AH46" s="385"/>
      <c r="AI46" s="260">
        <f t="shared" si="66"/>
        <v>1021303.0008195877</v>
      </c>
      <c r="AJ46" s="212"/>
      <c r="AK46" s="260">
        <f t="shared" si="67"/>
        <v>667592.51912186458</v>
      </c>
      <c r="AL46" s="212"/>
      <c r="AM46" s="260">
        <f t="shared" si="68"/>
        <v>0</v>
      </c>
      <c r="AN46" s="212"/>
      <c r="AO46" s="260">
        <f t="shared" si="69"/>
        <v>0</v>
      </c>
      <c r="AP46" s="212"/>
      <c r="AQ46" s="260">
        <f t="shared" si="70"/>
        <v>0</v>
      </c>
      <c r="AR46" s="212"/>
      <c r="AS46" s="260">
        <f t="shared" si="71"/>
        <v>0</v>
      </c>
      <c r="AT46" s="212"/>
      <c r="AU46" s="260">
        <f t="shared" si="72"/>
        <v>0</v>
      </c>
      <c r="AV46" s="262"/>
      <c r="AW46" s="262">
        <f t="shared" si="73"/>
        <v>2711.7238654353478</v>
      </c>
      <c r="AX46" s="262"/>
      <c r="AY46" s="262">
        <f t="shared" si="74"/>
        <v>3220.1720902044754</v>
      </c>
      <c r="BA46" s="175"/>
      <c r="BB46" s="145"/>
      <c r="BC46" s="145"/>
      <c r="BD46" s="145"/>
    </row>
    <row r="47" spans="1:56">
      <c r="A47" s="550"/>
      <c r="B47" s="480"/>
      <c r="D47" s="488">
        <v>618.29999999999995</v>
      </c>
      <c r="F47" s="216" t="s">
        <v>584</v>
      </c>
      <c r="G47" s="139"/>
      <c r="H47" s="261">
        <v>1</v>
      </c>
      <c r="I47" s="216"/>
      <c r="J47" s="312">
        <v>1779872.1105264197</v>
      </c>
      <c r="K47" s="385"/>
      <c r="L47" s="260">
        <f t="shared" si="59"/>
        <v>881036.69471057772</v>
      </c>
      <c r="M47" s="212"/>
      <c r="N47" s="260">
        <f t="shared" si="60"/>
        <v>553540.22637371649</v>
      </c>
      <c r="O47" s="212"/>
      <c r="P47" s="260">
        <f t="shared" si="61"/>
        <v>76712.487963688691</v>
      </c>
      <c r="Q47" s="212"/>
      <c r="R47" s="260">
        <f t="shared" si="62"/>
        <v>196853.85542422201</v>
      </c>
      <c r="S47" s="212"/>
      <c r="T47" s="260">
        <f t="shared" si="63"/>
        <v>61405.587813161488</v>
      </c>
      <c r="U47" s="212"/>
      <c r="V47" s="260">
        <f t="shared" si="64"/>
        <v>4627.6674873686907</v>
      </c>
      <c r="W47" s="212"/>
      <c r="X47" s="260">
        <f t="shared" si="65"/>
        <v>5695.5907536845434</v>
      </c>
      <c r="Y47" s="212"/>
      <c r="Z47" s="212"/>
      <c r="AC47" s="216" t="s">
        <v>584</v>
      </c>
      <c r="AE47" s="239">
        <f t="shared" si="75"/>
        <v>1</v>
      </c>
      <c r="AG47" s="312">
        <f t="shared" si="76"/>
        <v>1779872.1105264197</v>
      </c>
      <c r="AH47" s="385"/>
      <c r="AI47" s="260">
        <f t="shared" si="66"/>
        <v>1769548.8522853665</v>
      </c>
      <c r="AJ47" s="212"/>
      <c r="AK47" s="260">
        <f t="shared" si="67"/>
        <v>0</v>
      </c>
      <c r="AL47" s="212"/>
      <c r="AM47" s="260">
        <f t="shared" si="68"/>
        <v>0</v>
      </c>
      <c r="AN47" s="212"/>
      <c r="AO47" s="260">
        <f t="shared" si="69"/>
        <v>0</v>
      </c>
      <c r="AP47" s="212"/>
      <c r="AQ47" s="260">
        <f t="shared" si="70"/>
        <v>0</v>
      </c>
      <c r="AR47" s="212"/>
      <c r="AS47" s="260">
        <f t="shared" si="71"/>
        <v>0</v>
      </c>
      <c r="AT47" s="212"/>
      <c r="AU47" s="260">
        <f t="shared" si="72"/>
        <v>0</v>
      </c>
      <c r="AV47" s="262"/>
      <c r="AW47" s="262">
        <f t="shared" si="73"/>
        <v>4627.6674873686907</v>
      </c>
      <c r="AX47" s="262"/>
      <c r="AY47" s="262">
        <f t="shared" si="74"/>
        <v>5695.5907536845434</v>
      </c>
      <c r="BA47" s="175"/>
      <c r="BB47" s="145"/>
      <c r="BC47" s="145"/>
      <c r="BD47" s="145"/>
    </row>
    <row r="48" spans="1:56">
      <c r="A48" s="550"/>
      <c r="B48" s="480"/>
      <c r="D48" s="488">
        <v>615.29999999999995</v>
      </c>
      <c r="F48" s="216" t="s">
        <v>579</v>
      </c>
      <c r="G48" s="139"/>
      <c r="H48" s="261">
        <v>1</v>
      </c>
      <c r="I48" s="216"/>
      <c r="J48" s="312">
        <v>3110684.8922587004</v>
      </c>
      <c r="K48" s="385"/>
      <c r="L48" s="260">
        <f t="shared" si="59"/>
        <v>1539789.0216680567</v>
      </c>
      <c r="M48" s="212"/>
      <c r="N48" s="260">
        <f t="shared" si="60"/>
        <v>967423.00149245583</v>
      </c>
      <c r="O48" s="212"/>
      <c r="P48" s="260">
        <f t="shared" si="61"/>
        <v>134070.51885634998</v>
      </c>
      <c r="Q48" s="212"/>
      <c r="R48" s="260">
        <f t="shared" si="62"/>
        <v>344041.74908381229</v>
      </c>
      <c r="S48" s="212"/>
      <c r="T48" s="260">
        <f t="shared" si="63"/>
        <v>107318.62878292518</v>
      </c>
      <c r="U48" s="212"/>
      <c r="V48" s="260">
        <f t="shared" si="64"/>
        <v>8087.7807198726205</v>
      </c>
      <c r="W48" s="212"/>
      <c r="X48" s="260">
        <f t="shared" si="65"/>
        <v>9954.1916552278417</v>
      </c>
      <c r="Y48" s="212"/>
      <c r="Z48" s="212"/>
      <c r="AC48" s="216" t="s">
        <v>579</v>
      </c>
      <c r="AE48" s="239">
        <f t="shared" si="75"/>
        <v>1</v>
      </c>
      <c r="AG48" s="312">
        <f t="shared" si="76"/>
        <v>3110684.8922587004</v>
      </c>
      <c r="AH48" s="385"/>
      <c r="AI48" s="260">
        <f t="shared" si="66"/>
        <v>3092642.9198836</v>
      </c>
      <c r="AJ48" s="212"/>
      <c r="AK48" s="260">
        <f t="shared" si="67"/>
        <v>0</v>
      </c>
      <c r="AL48" s="212"/>
      <c r="AM48" s="260">
        <f t="shared" si="68"/>
        <v>0</v>
      </c>
      <c r="AN48" s="212"/>
      <c r="AO48" s="260">
        <f t="shared" si="69"/>
        <v>0</v>
      </c>
      <c r="AP48" s="212"/>
      <c r="AQ48" s="260">
        <f t="shared" si="70"/>
        <v>0</v>
      </c>
      <c r="AR48" s="212"/>
      <c r="AS48" s="260">
        <f t="shared" si="71"/>
        <v>0</v>
      </c>
      <c r="AT48" s="212"/>
      <c r="AU48" s="260">
        <f t="shared" si="72"/>
        <v>0</v>
      </c>
      <c r="AV48" s="262"/>
      <c r="AW48" s="262">
        <f t="shared" si="73"/>
        <v>8087.7807198726205</v>
      </c>
      <c r="AX48" s="262"/>
      <c r="AY48" s="262">
        <f t="shared" si="74"/>
        <v>9954.1916552278417</v>
      </c>
      <c r="BA48" s="175"/>
      <c r="BB48" s="145"/>
      <c r="BC48" s="145"/>
      <c r="BD48" s="145"/>
    </row>
    <row r="49" spans="1:56">
      <c r="A49" s="550"/>
      <c r="B49" s="480"/>
      <c r="D49" s="488">
        <v>620.29999999999995</v>
      </c>
      <c r="F49" s="216" t="s">
        <v>645</v>
      </c>
      <c r="G49" s="139"/>
      <c r="H49" s="261">
        <v>2</v>
      </c>
      <c r="I49" s="216"/>
      <c r="J49" s="312">
        <v>32349.321330082828</v>
      </c>
      <c r="K49" s="385"/>
      <c r="L49" s="260">
        <f t="shared" si="59"/>
        <v>16410.810710751019</v>
      </c>
      <c r="M49" s="212"/>
      <c r="N49" s="260">
        <f t="shared" si="60"/>
        <v>10073.578662187792</v>
      </c>
      <c r="O49" s="212"/>
      <c r="P49" s="260">
        <f t="shared" si="61"/>
        <v>1297.2077853363216</v>
      </c>
      <c r="Q49" s="212"/>
      <c r="R49" s="260">
        <f t="shared" si="62"/>
        <v>3416.0883324567467</v>
      </c>
      <c r="S49" s="212"/>
      <c r="T49" s="260">
        <f t="shared" si="63"/>
        <v>1038.4132146956588</v>
      </c>
      <c r="U49" s="212"/>
      <c r="V49" s="260">
        <f t="shared" si="64"/>
        <v>51.758914128132531</v>
      </c>
      <c r="W49" s="212"/>
      <c r="X49" s="260">
        <f t="shared" si="65"/>
        <v>61.463710527157374</v>
      </c>
      <c r="Y49" s="212"/>
      <c r="Z49" s="212"/>
      <c r="AC49" s="216" t="s">
        <v>645</v>
      </c>
      <c r="AE49" s="239">
        <f t="shared" si="75"/>
        <v>2</v>
      </c>
      <c r="AG49" s="312">
        <f t="shared" si="76"/>
        <v>32349.321330082828</v>
      </c>
      <c r="AH49" s="385"/>
      <c r="AI49" s="260">
        <f t="shared" si="66"/>
        <v>19493.70103350791</v>
      </c>
      <c r="AJ49" s="212"/>
      <c r="AK49" s="260">
        <f t="shared" si="67"/>
        <v>12742.397671919625</v>
      </c>
      <c r="AL49" s="212"/>
      <c r="AM49" s="260">
        <f t="shared" si="68"/>
        <v>0</v>
      </c>
      <c r="AN49" s="212"/>
      <c r="AO49" s="260">
        <f t="shared" si="69"/>
        <v>0</v>
      </c>
      <c r="AP49" s="212"/>
      <c r="AQ49" s="260">
        <f t="shared" si="70"/>
        <v>0</v>
      </c>
      <c r="AR49" s="212"/>
      <c r="AS49" s="260">
        <f t="shared" si="71"/>
        <v>0</v>
      </c>
      <c r="AT49" s="212"/>
      <c r="AU49" s="260">
        <f t="shared" si="72"/>
        <v>0</v>
      </c>
      <c r="AV49" s="262"/>
      <c r="AW49" s="262">
        <f t="shared" si="73"/>
        <v>51.758914128132531</v>
      </c>
      <c r="AX49" s="262"/>
      <c r="AY49" s="262">
        <f t="shared" si="74"/>
        <v>61.463710527157374</v>
      </c>
      <c r="BA49" s="175"/>
      <c r="BB49" s="145"/>
      <c r="BC49" s="145"/>
      <c r="BD49" s="145"/>
    </row>
    <row r="50" spans="1:56">
      <c r="A50" s="550"/>
      <c r="B50" s="480"/>
      <c r="D50" s="488">
        <v>636.29999999999995</v>
      </c>
      <c r="F50" s="216" t="s">
        <v>640</v>
      </c>
      <c r="G50" s="139"/>
      <c r="H50" s="261">
        <v>2</v>
      </c>
      <c r="I50" s="216"/>
      <c r="J50" s="312">
        <v>172893.13490569909</v>
      </c>
      <c r="K50" s="385"/>
      <c r="L50" s="260">
        <f t="shared" si="59"/>
        <v>87708.687337661147</v>
      </c>
      <c r="M50" s="212"/>
      <c r="N50" s="260">
        <f t="shared" si="60"/>
        <v>53838.9222096347</v>
      </c>
      <c r="O50" s="212"/>
      <c r="P50" s="260">
        <f t="shared" si="61"/>
        <v>6933.0147097185336</v>
      </c>
      <c r="Q50" s="212"/>
      <c r="R50" s="260">
        <f t="shared" si="62"/>
        <v>18257.515046041823</v>
      </c>
      <c r="S50" s="212"/>
      <c r="T50" s="260">
        <f t="shared" si="63"/>
        <v>5549.8696304729401</v>
      </c>
      <c r="U50" s="212"/>
      <c r="V50" s="260">
        <f t="shared" si="64"/>
        <v>276.62901584911856</v>
      </c>
      <c r="W50" s="212"/>
      <c r="X50" s="260">
        <f t="shared" si="65"/>
        <v>328.49695632082825</v>
      </c>
      <c r="Y50" s="212"/>
      <c r="Z50" s="212"/>
      <c r="AC50" s="216" t="s">
        <v>640</v>
      </c>
      <c r="AE50" s="239">
        <f t="shared" si="75"/>
        <v>2</v>
      </c>
      <c r="AG50" s="312">
        <f t="shared" si="76"/>
        <v>172893.13490569909</v>
      </c>
      <c r="AH50" s="385"/>
      <c r="AI50" s="260">
        <f t="shared" si="66"/>
        <v>104185.40309417425</v>
      </c>
      <c r="AJ50" s="212"/>
      <c r="AK50" s="260">
        <f t="shared" si="67"/>
        <v>68102.605839354859</v>
      </c>
      <c r="AL50" s="212"/>
      <c r="AM50" s="260">
        <f t="shared" si="68"/>
        <v>0</v>
      </c>
      <c r="AN50" s="212"/>
      <c r="AO50" s="260">
        <f t="shared" si="69"/>
        <v>0</v>
      </c>
      <c r="AP50" s="212"/>
      <c r="AQ50" s="260">
        <f t="shared" si="70"/>
        <v>0</v>
      </c>
      <c r="AR50" s="212"/>
      <c r="AS50" s="260">
        <f t="shared" si="71"/>
        <v>0</v>
      </c>
      <c r="AT50" s="212"/>
      <c r="AU50" s="260">
        <f t="shared" si="72"/>
        <v>0</v>
      </c>
      <c r="AV50" s="386"/>
      <c r="AW50" s="386">
        <f t="shared" si="73"/>
        <v>276.62901584911856</v>
      </c>
      <c r="AX50" s="386"/>
      <c r="AY50" s="386">
        <f t="shared" si="74"/>
        <v>328.49695632082825</v>
      </c>
      <c r="BA50" s="175"/>
      <c r="BB50" s="145"/>
      <c r="BC50" s="145"/>
      <c r="BD50" s="145"/>
    </row>
    <row r="51" spans="1:56">
      <c r="A51" s="550"/>
      <c r="B51" s="480"/>
      <c r="D51" s="488">
        <v>635.29999999999995</v>
      </c>
      <c r="F51" s="216" t="s">
        <v>649</v>
      </c>
      <c r="G51" s="139"/>
      <c r="H51" s="261">
        <v>2</v>
      </c>
      <c r="I51" s="216"/>
      <c r="J51" s="312">
        <v>11922</v>
      </c>
      <c r="K51" s="385"/>
      <c r="L51" s="260">
        <f t="shared" si="59"/>
        <v>6048.0306</v>
      </c>
      <c r="M51" s="212"/>
      <c r="N51" s="260">
        <f t="shared" si="60"/>
        <v>3712.5108</v>
      </c>
      <c r="O51" s="212"/>
      <c r="P51" s="260">
        <f t="shared" si="61"/>
        <v>478.07220000000007</v>
      </c>
      <c r="Q51" s="212"/>
      <c r="R51" s="260">
        <f t="shared" si="62"/>
        <v>1258.9631999999999</v>
      </c>
      <c r="S51" s="212"/>
      <c r="T51" s="260">
        <f t="shared" si="63"/>
        <v>382.69619999999998</v>
      </c>
      <c r="U51" s="212"/>
      <c r="V51" s="260">
        <f t="shared" si="64"/>
        <v>19.075200000000002</v>
      </c>
      <c r="W51" s="212"/>
      <c r="X51" s="260">
        <f t="shared" si="65"/>
        <v>22.651800000000001</v>
      </c>
      <c r="Y51" s="212"/>
      <c r="Z51" s="212"/>
      <c r="AC51" s="216" t="s">
        <v>649</v>
      </c>
      <c r="AE51" s="239">
        <f t="shared" si="75"/>
        <v>2</v>
      </c>
      <c r="AG51" s="312">
        <f t="shared" si="76"/>
        <v>11922</v>
      </c>
      <c r="AH51" s="385"/>
      <c r="AI51" s="260">
        <f t="shared" si="66"/>
        <v>7184.1971999999987</v>
      </c>
      <c r="AJ51" s="212"/>
      <c r="AK51" s="260">
        <f t="shared" si="67"/>
        <v>4696.0757999999996</v>
      </c>
      <c r="AL51" s="212"/>
      <c r="AM51" s="260">
        <f t="shared" si="68"/>
        <v>0</v>
      </c>
      <c r="AN51" s="212"/>
      <c r="AO51" s="260">
        <f t="shared" si="69"/>
        <v>0</v>
      </c>
      <c r="AP51" s="212"/>
      <c r="AQ51" s="260">
        <f t="shared" si="70"/>
        <v>0</v>
      </c>
      <c r="AR51" s="212"/>
      <c r="AS51" s="260">
        <f t="shared" si="71"/>
        <v>0</v>
      </c>
      <c r="AT51" s="212"/>
      <c r="AU51" s="260">
        <f t="shared" si="72"/>
        <v>0</v>
      </c>
      <c r="AV51" s="386"/>
      <c r="AW51" s="386">
        <f t="shared" si="73"/>
        <v>19.075200000000002</v>
      </c>
      <c r="AX51" s="386"/>
      <c r="AY51" s="386">
        <f t="shared" si="74"/>
        <v>22.651800000000001</v>
      </c>
      <c r="BA51" s="175"/>
      <c r="BB51" s="145"/>
      <c r="BC51" s="145"/>
      <c r="BD51" s="145"/>
    </row>
    <row r="52" spans="1:56">
      <c r="A52" s="550"/>
      <c r="B52" s="480"/>
      <c r="D52" s="488">
        <v>675.3</v>
      </c>
      <c r="F52" s="216" t="s">
        <v>651</v>
      </c>
      <c r="G52" s="139"/>
      <c r="H52" s="261">
        <v>2</v>
      </c>
      <c r="I52" s="216"/>
      <c r="J52" s="312">
        <v>13595.455887117683</v>
      </c>
      <c r="K52" s="385"/>
      <c r="L52" s="260">
        <f t="shared" si="59"/>
        <v>6896.9747715348003</v>
      </c>
      <c r="M52" s="212"/>
      <c r="N52" s="260">
        <f t="shared" si="60"/>
        <v>4233.6249632484469</v>
      </c>
      <c r="O52" s="212"/>
      <c r="P52" s="260">
        <f t="shared" si="61"/>
        <v>545.17778107341917</v>
      </c>
      <c r="Q52" s="212"/>
      <c r="R52" s="260">
        <f t="shared" si="62"/>
        <v>1435.6801416796272</v>
      </c>
      <c r="S52" s="212"/>
      <c r="T52" s="260">
        <f t="shared" si="63"/>
        <v>436.41413397647756</v>
      </c>
      <c r="U52" s="212"/>
      <c r="V52" s="260">
        <f t="shared" si="64"/>
        <v>21.752729419388295</v>
      </c>
      <c r="W52" s="212"/>
      <c r="X52" s="260">
        <f t="shared" si="65"/>
        <v>25.831366185523599</v>
      </c>
      <c r="Y52" s="212"/>
      <c r="Z52" s="212"/>
      <c r="AC52" s="216" t="s">
        <v>651</v>
      </c>
      <c r="AE52" s="239">
        <f t="shared" si="75"/>
        <v>2</v>
      </c>
      <c r="AG52" s="312">
        <f t="shared" si="76"/>
        <v>13595.455887117683</v>
      </c>
      <c r="AH52" s="385"/>
      <c r="AI52" s="260">
        <f t="shared" si="66"/>
        <v>8192.6217175771144</v>
      </c>
      <c r="AJ52" s="212"/>
      <c r="AK52" s="260">
        <f t="shared" si="67"/>
        <v>5355.2500739356547</v>
      </c>
      <c r="AL52" s="212"/>
      <c r="AM52" s="260">
        <f t="shared" si="68"/>
        <v>0</v>
      </c>
      <c r="AN52" s="212"/>
      <c r="AO52" s="260">
        <f t="shared" si="69"/>
        <v>0</v>
      </c>
      <c r="AP52" s="212"/>
      <c r="AQ52" s="260">
        <f t="shared" si="70"/>
        <v>0</v>
      </c>
      <c r="AR52" s="212"/>
      <c r="AS52" s="260">
        <f t="shared" si="71"/>
        <v>0</v>
      </c>
      <c r="AT52" s="212"/>
      <c r="AU52" s="260">
        <f t="shared" si="72"/>
        <v>0</v>
      </c>
      <c r="AV52" s="262"/>
      <c r="AW52" s="262">
        <f t="shared" si="73"/>
        <v>21.752729419388295</v>
      </c>
      <c r="AX52" s="262"/>
      <c r="AY52" s="262">
        <f t="shared" si="74"/>
        <v>25.831366185523599</v>
      </c>
      <c r="BA52" s="175"/>
      <c r="BB52" s="145"/>
      <c r="BC52" s="145"/>
      <c r="BD52" s="145"/>
    </row>
    <row r="53" spans="1:56">
      <c r="A53" s="550"/>
      <c r="B53" s="480"/>
      <c r="D53" s="488">
        <v>675.3</v>
      </c>
      <c r="F53" s="216" t="s">
        <v>654</v>
      </c>
      <c r="G53" s="139"/>
      <c r="H53" s="261">
        <v>2</v>
      </c>
      <c r="I53" s="216"/>
      <c r="J53" s="312">
        <v>121525</v>
      </c>
      <c r="K53" s="385"/>
      <c r="L53" s="260">
        <f t="shared" si="59"/>
        <v>61649.6325</v>
      </c>
      <c r="M53" s="212"/>
      <c r="N53" s="260">
        <f t="shared" si="60"/>
        <v>37842.885000000002</v>
      </c>
      <c r="O53" s="212"/>
      <c r="P53" s="260">
        <f t="shared" si="61"/>
        <v>4873.1525000000001</v>
      </c>
      <c r="Q53" s="212"/>
      <c r="R53" s="260">
        <f t="shared" si="62"/>
        <v>12833.039999999999</v>
      </c>
      <c r="S53" s="212"/>
      <c r="T53" s="260">
        <f t="shared" si="63"/>
        <v>3900.9524999999994</v>
      </c>
      <c r="U53" s="212"/>
      <c r="V53" s="260">
        <f t="shared" si="64"/>
        <v>194.44</v>
      </c>
      <c r="W53" s="212"/>
      <c r="X53" s="260">
        <f t="shared" si="65"/>
        <v>230.89750000000001</v>
      </c>
      <c r="Y53" s="212"/>
      <c r="Z53" s="212"/>
      <c r="AC53" s="216" t="s">
        <v>654</v>
      </c>
      <c r="AE53" s="239">
        <f t="shared" si="75"/>
        <v>2</v>
      </c>
      <c r="AG53" s="312">
        <f t="shared" si="76"/>
        <v>121525</v>
      </c>
      <c r="AH53" s="385"/>
      <c r="AI53" s="260">
        <f t="shared" si="66"/>
        <v>73230.964999999997</v>
      </c>
      <c r="AJ53" s="212"/>
      <c r="AK53" s="260">
        <f t="shared" si="67"/>
        <v>47868.697499999995</v>
      </c>
      <c r="AL53" s="212"/>
      <c r="AM53" s="260">
        <f t="shared" si="68"/>
        <v>0</v>
      </c>
      <c r="AN53" s="212"/>
      <c r="AO53" s="260">
        <f t="shared" si="69"/>
        <v>0</v>
      </c>
      <c r="AP53" s="212"/>
      <c r="AQ53" s="260">
        <f t="shared" si="70"/>
        <v>0</v>
      </c>
      <c r="AR53" s="212"/>
      <c r="AS53" s="260">
        <f t="shared" si="71"/>
        <v>0</v>
      </c>
      <c r="AT53" s="212"/>
      <c r="AU53" s="260">
        <f t="shared" si="72"/>
        <v>0</v>
      </c>
      <c r="AV53" s="262"/>
      <c r="AW53" s="262">
        <f t="shared" si="73"/>
        <v>194.44</v>
      </c>
      <c r="AX53" s="262"/>
      <c r="AY53" s="262">
        <f t="shared" si="74"/>
        <v>230.89750000000001</v>
      </c>
      <c r="BA53" s="175"/>
      <c r="BB53" s="145"/>
      <c r="BC53" s="145"/>
      <c r="BD53" s="145"/>
    </row>
    <row r="54" spans="1:56">
      <c r="A54" s="550"/>
      <c r="B54" s="480"/>
      <c r="D54" s="488">
        <v>675.3</v>
      </c>
      <c r="F54" s="216" t="s">
        <v>664</v>
      </c>
      <c r="G54" s="139"/>
      <c r="H54" s="261">
        <v>1</v>
      </c>
      <c r="I54" s="216"/>
      <c r="J54" s="312">
        <v>336750.00000000006</v>
      </c>
      <c r="K54" s="385"/>
      <c r="L54" s="260">
        <f t="shared" si="59"/>
        <v>166691.25000000003</v>
      </c>
      <c r="M54" s="212"/>
      <c r="N54" s="260">
        <f t="shared" si="60"/>
        <v>104729.25000000001</v>
      </c>
      <c r="O54" s="212"/>
      <c r="P54" s="260">
        <f t="shared" si="61"/>
        <v>14513.925000000003</v>
      </c>
      <c r="Q54" s="212"/>
      <c r="R54" s="260">
        <f t="shared" si="62"/>
        <v>37244.55000000001</v>
      </c>
      <c r="S54" s="212"/>
      <c r="T54" s="260">
        <f t="shared" si="63"/>
        <v>11617.875000000004</v>
      </c>
      <c r="U54" s="212"/>
      <c r="V54" s="260">
        <f t="shared" si="64"/>
        <v>875.55000000000007</v>
      </c>
      <c r="W54" s="212"/>
      <c r="X54" s="260">
        <f t="shared" si="65"/>
        <v>1077.6000000000001</v>
      </c>
      <c r="Y54" s="212"/>
      <c r="Z54" s="212"/>
      <c r="AC54" s="216" t="s">
        <v>664</v>
      </c>
      <c r="AE54" s="239">
        <f t="shared" si="75"/>
        <v>1</v>
      </c>
      <c r="AG54" s="312">
        <f t="shared" si="76"/>
        <v>336750.00000000006</v>
      </c>
      <c r="AH54" s="385"/>
      <c r="AI54" s="260">
        <f t="shared" si="66"/>
        <v>334796.85000000003</v>
      </c>
      <c r="AJ54" s="212"/>
      <c r="AK54" s="260">
        <f t="shared" si="67"/>
        <v>0</v>
      </c>
      <c r="AL54" s="212"/>
      <c r="AM54" s="260">
        <f t="shared" si="68"/>
        <v>0</v>
      </c>
      <c r="AN54" s="212"/>
      <c r="AO54" s="260">
        <f t="shared" si="69"/>
        <v>0</v>
      </c>
      <c r="AP54" s="212"/>
      <c r="AQ54" s="260">
        <f t="shared" si="70"/>
        <v>0</v>
      </c>
      <c r="AR54" s="212"/>
      <c r="AS54" s="260">
        <f t="shared" si="71"/>
        <v>0</v>
      </c>
      <c r="AT54" s="212"/>
      <c r="AU54" s="260">
        <f t="shared" si="72"/>
        <v>0</v>
      </c>
      <c r="AV54" s="262"/>
      <c r="AW54" s="262">
        <f t="shared" si="73"/>
        <v>875.55000000000007</v>
      </c>
      <c r="AX54" s="262"/>
      <c r="AY54" s="262">
        <f t="shared" si="74"/>
        <v>1077.6000000000001</v>
      </c>
      <c r="BA54" s="175"/>
      <c r="BB54" s="145"/>
      <c r="BC54" s="145"/>
      <c r="BD54" s="145"/>
    </row>
    <row r="55" spans="1:56">
      <c r="A55" s="550"/>
      <c r="B55" s="480"/>
      <c r="D55" s="488">
        <v>675.3</v>
      </c>
      <c r="F55" s="216" t="s">
        <v>666</v>
      </c>
      <c r="G55" s="139"/>
      <c r="H55" s="261">
        <v>2</v>
      </c>
      <c r="I55" s="216"/>
      <c r="J55" s="312">
        <v>12271.347663333247</v>
      </c>
      <c r="K55" s="385"/>
      <c r="L55" s="260">
        <f t="shared" si="59"/>
        <v>6225.2546696089557</v>
      </c>
      <c r="M55" s="212"/>
      <c r="N55" s="260">
        <f t="shared" si="60"/>
        <v>3821.2976623619729</v>
      </c>
      <c r="O55" s="212"/>
      <c r="P55" s="260">
        <f t="shared" si="61"/>
        <v>492.08104129966324</v>
      </c>
      <c r="Q55" s="212"/>
      <c r="R55" s="260">
        <f t="shared" si="62"/>
        <v>1295.8543132479908</v>
      </c>
      <c r="S55" s="212"/>
      <c r="T55" s="260">
        <f t="shared" si="63"/>
        <v>393.91025999299717</v>
      </c>
      <c r="U55" s="212"/>
      <c r="V55" s="260">
        <f t="shared" si="64"/>
        <v>19.634156261333196</v>
      </c>
      <c r="W55" s="212"/>
      <c r="X55" s="260">
        <f t="shared" si="65"/>
        <v>23.315560560333168</v>
      </c>
      <c r="Y55" s="212"/>
      <c r="Z55" s="212"/>
      <c r="AC55" s="216" t="s">
        <v>666</v>
      </c>
      <c r="AE55" s="239">
        <f t="shared" si="75"/>
        <v>2</v>
      </c>
      <c r="AG55" s="312">
        <f t="shared" si="76"/>
        <v>12271.347663333247</v>
      </c>
      <c r="AH55" s="385"/>
      <c r="AI55" s="260">
        <f t="shared" si="66"/>
        <v>7394.7141019246137</v>
      </c>
      <c r="AJ55" s="212"/>
      <c r="AK55" s="260">
        <f t="shared" si="67"/>
        <v>4833.6838445869653</v>
      </c>
      <c r="AL55" s="212"/>
      <c r="AM55" s="260">
        <f t="shared" si="68"/>
        <v>0</v>
      </c>
      <c r="AN55" s="212"/>
      <c r="AO55" s="260">
        <f t="shared" si="69"/>
        <v>0</v>
      </c>
      <c r="AP55" s="212"/>
      <c r="AQ55" s="260">
        <f t="shared" si="70"/>
        <v>0</v>
      </c>
      <c r="AR55" s="212"/>
      <c r="AS55" s="260">
        <f t="shared" si="71"/>
        <v>0</v>
      </c>
      <c r="AT55" s="212"/>
      <c r="AU55" s="260">
        <f t="shared" si="72"/>
        <v>0</v>
      </c>
      <c r="AV55" s="262"/>
      <c r="AW55" s="262">
        <f t="shared" si="73"/>
        <v>19.634156261333196</v>
      </c>
      <c r="AX55" s="262"/>
      <c r="AY55" s="262">
        <f t="shared" si="74"/>
        <v>23.315560560333168</v>
      </c>
      <c r="BA55" s="175"/>
      <c r="BB55" s="145"/>
      <c r="BC55" s="145"/>
      <c r="BD55" s="145"/>
    </row>
    <row r="56" spans="1:56">
      <c r="A56" s="550"/>
      <c r="B56" s="480"/>
      <c r="D56" s="488">
        <v>675.3</v>
      </c>
      <c r="F56" s="216" t="s">
        <v>665</v>
      </c>
      <c r="G56" s="139"/>
      <c r="H56" s="261">
        <v>2</v>
      </c>
      <c r="I56" s="216"/>
      <c r="J56" s="312">
        <v>29763.052296843773</v>
      </c>
      <c r="K56" s="385"/>
      <c r="L56" s="260">
        <f t="shared" si="59"/>
        <v>15098.796430188844</v>
      </c>
      <c r="M56" s="212"/>
      <c r="N56" s="260">
        <f t="shared" si="60"/>
        <v>9268.2144852371512</v>
      </c>
      <c r="O56" s="212"/>
      <c r="P56" s="260">
        <f t="shared" si="61"/>
        <v>1193.4983971034353</v>
      </c>
      <c r="Q56" s="212"/>
      <c r="R56" s="260">
        <f t="shared" si="62"/>
        <v>3142.9783225467022</v>
      </c>
      <c r="S56" s="212"/>
      <c r="T56" s="260">
        <f t="shared" si="63"/>
        <v>955.39397872868506</v>
      </c>
      <c r="U56" s="212"/>
      <c r="V56" s="260">
        <f t="shared" si="64"/>
        <v>47.620883674950036</v>
      </c>
      <c r="W56" s="212"/>
      <c r="X56" s="260">
        <f t="shared" si="65"/>
        <v>56.549799364003171</v>
      </c>
      <c r="Y56" s="212"/>
      <c r="Z56" s="212"/>
      <c r="AC56" s="216" t="s">
        <v>665</v>
      </c>
      <c r="AE56" s="239">
        <f t="shared" si="75"/>
        <v>2</v>
      </c>
      <c r="AG56" s="312">
        <f t="shared" si="76"/>
        <v>29763.052296843773</v>
      </c>
      <c r="AH56" s="385"/>
      <c r="AI56" s="260">
        <f t="shared" si="66"/>
        <v>17935.215314078054</v>
      </c>
      <c r="AJ56" s="212"/>
      <c r="AK56" s="260">
        <f t="shared" si="67"/>
        <v>11723.666299726761</v>
      </c>
      <c r="AL56" s="212"/>
      <c r="AM56" s="260">
        <f t="shared" si="68"/>
        <v>0</v>
      </c>
      <c r="AN56" s="212"/>
      <c r="AO56" s="260">
        <f t="shared" si="69"/>
        <v>0</v>
      </c>
      <c r="AP56" s="212"/>
      <c r="AQ56" s="260">
        <f t="shared" si="70"/>
        <v>0</v>
      </c>
      <c r="AR56" s="212"/>
      <c r="AS56" s="260">
        <f t="shared" si="71"/>
        <v>0</v>
      </c>
      <c r="AT56" s="212"/>
      <c r="AU56" s="260">
        <f t="shared" si="72"/>
        <v>0</v>
      </c>
      <c r="AV56" s="262"/>
      <c r="AW56" s="262">
        <f t="shared" si="73"/>
        <v>47.620883674950036</v>
      </c>
      <c r="AX56" s="262"/>
      <c r="AY56" s="262">
        <f t="shared" si="74"/>
        <v>56.549799364003171</v>
      </c>
      <c r="BA56" s="175"/>
      <c r="BB56" s="145"/>
      <c r="BC56" s="145"/>
      <c r="BD56" s="145"/>
    </row>
    <row r="57" spans="1:56">
      <c r="A57" s="550"/>
      <c r="B57" s="480"/>
      <c r="D57" s="488">
        <v>675.3</v>
      </c>
      <c r="F57" s="216" t="s">
        <v>674</v>
      </c>
      <c r="G57" s="139"/>
      <c r="H57" s="261">
        <v>2</v>
      </c>
      <c r="I57" s="216"/>
      <c r="J57" s="312">
        <v>2401.6306985389033</v>
      </c>
      <c r="K57" s="385"/>
      <c r="L57" s="260">
        <f t="shared" si="59"/>
        <v>1218.3472533687857</v>
      </c>
      <c r="M57" s="212"/>
      <c r="N57" s="260">
        <f t="shared" si="60"/>
        <v>747.86779952501456</v>
      </c>
      <c r="O57" s="212"/>
      <c r="P57" s="260">
        <f t="shared" si="61"/>
        <v>96.305391011410038</v>
      </c>
      <c r="Q57" s="212"/>
      <c r="R57" s="260">
        <f t="shared" si="62"/>
        <v>253.61220176570819</v>
      </c>
      <c r="S57" s="212"/>
      <c r="T57" s="260">
        <f t="shared" si="63"/>
        <v>77.092345423098791</v>
      </c>
      <c r="U57" s="212"/>
      <c r="V57" s="260">
        <f t="shared" si="64"/>
        <v>3.8426091176622457</v>
      </c>
      <c r="W57" s="212"/>
      <c r="X57" s="260">
        <f t="shared" si="65"/>
        <v>4.5630983272239165</v>
      </c>
      <c r="Y57" s="212"/>
      <c r="Z57" s="212"/>
      <c r="AC57" s="216" t="s">
        <v>674</v>
      </c>
      <c r="AE57" s="239">
        <f t="shared" si="75"/>
        <v>2</v>
      </c>
      <c r="AG57" s="312">
        <f t="shared" si="76"/>
        <v>2401.6306985389033</v>
      </c>
      <c r="AH57" s="385"/>
      <c r="AI57" s="260">
        <f t="shared" si="66"/>
        <v>1447.222658939543</v>
      </c>
      <c r="AJ57" s="212"/>
      <c r="AK57" s="260">
        <f t="shared" si="67"/>
        <v>946.00233215447395</v>
      </c>
      <c r="AL57" s="212"/>
      <c r="AM57" s="260">
        <f t="shared" si="68"/>
        <v>0</v>
      </c>
      <c r="AN57" s="212"/>
      <c r="AO57" s="260">
        <f t="shared" si="69"/>
        <v>0</v>
      </c>
      <c r="AP57" s="212"/>
      <c r="AQ57" s="260">
        <f t="shared" si="70"/>
        <v>0</v>
      </c>
      <c r="AR57" s="212"/>
      <c r="AS57" s="260">
        <f t="shared" si="71"/>
        <v>0</v>
      </c>
      <c r="AT57" s="212"/>
      <c r="AU57" s="260">
        <f t="shared" si="72"/>
        <v>0</v>
      </c>
      <c r="AV57" s="262"/>
      <c r="AW57" s="262">
        <f t="shared" si="73"/>
        <v>3.8426091176622457</v>
      </c>
      <c r="AX57" s="262"/>
      <c r="AY57" s="262">
        <f t="shared" si="74"/>
        <v>4.5630983272239165</v>
      </c>
      <c r="BA57" s="175"/>
      <c r="BB57" s="145"/>
      <c r="BC57" s="145"/>
      <c r="BD57" s="145"/>
    </row>
    <row r="58" spans="1:56">
      <c r="A58" s="550"/>
      <c r="B58" s="480"/>
      <c r="D58" s="488">
        <v>675.3</v>
      </c>
      <c r="F58" s="216" t="s">
        <v>680</v>
      </c>
      <c r="G58" s="139"/>
      <c r="H58" s="261">
        <v>2</v>
      </c>
      <c r="I58" s="216"/>
      <c r="J58" s="312">
        <v>10036.829469140199</v>
      </c>
      <c r="K58" s="385"/>
      <c r="L58" s="260">
        <f t="shared" si="59"/>
        <v>5091.6835896948223</v>
      </c>
      <c r="M58" s="212"/>
      <c r="N58" s="260">
        <f t="shared" si="60"/>
        <v>3125.4686966902582</v>
      </c>
      <c r="O58" s="212"/>
      <c r="P58" s="260">
        <f t="shared" si="61"/>
        <v>402.47686171252201</v>
      </c>
      <c r="Q58" s="212"/>
      <c r="R58" s="260">
        <f t="shared" si="62"/>
        <v>1059.8891919412049</v>
      </c>
      <c r="S58" s="212"/>
      <c r="T58" s="260">
        <f t="shared" si="63"/>
        <v>322.18222595940034</v>
      </c>
      <c r="U58" s="212"/>
      <c r="V58" s="260">
        <f t="shared" si="64"/>
        <v>16.058927150624317</v>
      </c>
      <c r="W58" s="212"/>
      <c r="X58" s="260">
        <f t="shared" si="65"/>
        <v>19.069975991366377</v>
      </c>
      <c r="Y58" s="212"/>
      <c r="Z58" s="212"/>
      <c r="AC58" s="216" t="s">
        <v>680</v>
      </c>
      <c r="AE58" s="239">
        <f t="shared" si="75"/>
        <v>2</v>
      </c>
      <c r="AG58" s="312">
        <f t="shared" si="76"/>
        <v>10036.829469140199</v>
      </c>
      <c r="AH58" s="385"/>
      <c r="AI58" s="260">
        <f t="shared" si="66"/>
        <v>6048.1934381038827</v>
      </c>
      <c r="AJ58" s="212"/>
      <c r="AK58" s="260">
        <f t="shared" si="67"/>
        <v>3953.5071278943242</v>
      </c>
      <c r="AL58" s="212"/>
      <c r="AM58" s="260">
        <f t="shared" si="68"/>
        <v>0</v>
      </c>
      <c r="AN58" s="212"/>
      <c r="AO58" s="260">
        <f t="shared" si="69"/>
        <v>0</v>
      </c>
      <c r="AP58" s="212"/>
      <c r="AQ58" s="260">
        <f t="shared" si="70"/>
        <v>0</v>
      </c>
      <c r="AR58" s="212"/>
      <c r="AS58" s="260">
        <f t="shared" si="71"/>
        <v>0</v>
      </c>
      <c r="AT58" s="212"/>
      <c r="AU58" s="260">
        <f t="shared" si="72"/>
        <v>0</v>
      </c>
      <c r="AV58" s="262"/>
      <c r="AW58" s="262">
        <f t="shared" si="73"/>
        <v>16.058927150624317</v>
      </c>
      <c r="AX58" s="262"/>
      <c r="AY58" s="262">
        <f t="shared" si="74"/>
        <v>19.069975991366377</v>
      </c>
      <c r="BA58" s="175"/>
      <c r="BB58" s="145"/>
      <c r="BC58" s="145"/>
      <c r="BD58" s="145"/>
    </row>
    <row r="59" spans="1:56">
      <c r="A59" s="550"/>
      <c r="B59" s="480"/>
      <c r="D59" s="488">
        <v>675.3</v>
      </c>
      <c r="F59" s="216" t="s">
        <v>684</v>
      </c>
      <c r="G59" s="139"/>
      <c r="H59" s="261">
        <v>2</v>
      </c>
      <c r="I59" s="216"/>
      <c r="J59" s="312">
        <v>2682.431646502695</v>
      </c>
      <c r="K59" s="385"/>
      <c r="L59" s="260">
        <f t="shared" si="59"/>
        <v>1360.797574270817</v>
      </c>
      <c r="M59" s="212"/>
      <c r="N59" s="260">
        <f t="shared" si="60"/>
        <v>835.30921472093928</v>
      </c>
      <c r="O59" s="212"/>
      <c r="P59" s="260">
        <f t="shared" si="61"/>
        <v>107.56550902475809</v>
      </c>
      <c r="Q59" s="212"/>
      <c r="R59" s="260">
        <f t="shared" si="62"/>
        <v>283.2647818706846</v>
      </c>
      <c r="S59" s="212"/>
      <c r="T59" s="260">
        <f t="shared" si="63"/>
        <v>86.106055852736503</v>
      </c>
      <c r="U59" s="212"/>
      <c r="V59" s="260">
        <f t="shared" si="64"/>
        <v>4.2918906344043126</v>
      </c>
      <c r="W59" s="212"/>
      <c r="X59" s="260">
        <f t="shared" si="65"/>
        <v>5.0966201283551209</v>
      </c>
      <c r="Y59" s="212"/>
      <c r="Z59" s="212"/>
      <c r="AC59" s="216" t="s">
        <v>684</v>
      </c>
      <c r="AE59" s="239">
        <f t="shared" si="75"/>
        <v>2</v>
      </c>
      <c r="AG59" s="312">
        <f t="shared" si="76"/>
        <v>2682.431646502695</v>
      </c>
      <c r="AH59" s="385"/>
      <c r="AI59" s="260">
        <f t="shared" si="66"/>
        <v>1616.4333101825239</v>
      </c>
      <c r="AJ59" s="212"/>
      <c r="AK59" s="260">
        <f t="shared" si="67"/>
        <v>1056.6098255574116</v>
      </c>
      <c r="AL59" s="212"/>
      <c r="AM59" s="260">
        <f t="shared" si="68"/>
        <v>0</v>
      </c>
      <c r="AN59" s="212"/>
      <c r="AO59" s="260">
        <f t="shared" si="69"/>
        <v>0</v>
      </c>
      <c r="AP59" s="212"/>
      <c r="AQ59" s="260">
        <f t="shared" si="70"/>
        <v>0</v>
      </c>
      <c r="AR59" s="212"/>
      <c r="AS59" s="260">
        <f t="shared" si="71"/>
        <v>0</v>
      </c>
      <c r="AT59" s="212"/>
      <c r="AU59" s="260">
        <f t="shared" si="72"/>
        <v>0</v>
      </c>
      <c r="AV59" s="262"/>
      <c r="AW59" s="262">
        <f t="shared" si="73"/>
        <v>4.2918906344043126</v>
      </c>
      <c r="AX59" s="262"/>
      <c r="AY59" s="262">
        <f t="shared" si="74"/>
        <v>5.0966201283551209</v>
      </c>
      <c r="BA59" s="175"/>
      <c r="BB59" s="145"/>
      <c r="BC59" s="145"/>
      <c r="BD59" s="145"/>
    </row>
    <row r="60" spans="1:56">
      <c r="A60" s="550"/>
      <c r="B60" s="480"/>
      <c r="D60" s="488">
        <v>675.3</v>
      </c>
      <c r="F60" s="216" t="s">
        <v>688</v>
      </c>
      <c r="G60" s="139"/>
      <c r="H60" s="261">
        <v>2</v>
      </c>
      <c r="I60" s="216"/>
      <c r="J60" s="312">
        <v>34.056736978072898</v>
      </c>
      <c r="K60" s="385"/>
      <c r="L60" s="260">
        <f t="shared" si="59"/>
        <v>17.27698266897638</v>
      </c>
      <c r="M60" s="212"/>
      <c r="N60" s="260">
        <f t="shared" si="60"/>
        <v>10.605267894971901</v>
      </c>
      <c r="O60" s="212"/>
      <c r="P60" s="260">
        <f t="shared" si="61"/>
        <v>1.3656751528207234</v>
      </c>
      <c r="Q60" s="212"/>
      <c r="R60" s="260">
        <f t="shared" si="62"/>
        <v>3.5963914248844979</v>
      </c>
      <c r="S60" s="212"/>
      <c r="T60" s="260">
        <f t="shared" si="63"/>
        <v>1.0932212569961399</v>
      </c>
      <c r="U60" s="212"/>
      <c r="V60" s="260">
        <f t="shared" si="64"/>
        <v>5.4490779164916639E-2</v>
      </c>
      <c r="W60" s="212"/>
      <c r="X60" s="260">
        <f t="shared" si="65"/>
        <v>6.4707800258338513E-2</v>
      </c>
      <c r="Y60" s="212"/>
      <c r="Z60" s="212"/>
      <c r="AC60" s="216" t="s">
        <v>688</v>
      </c>
      <c r="AE60" s="239">
        <f t="shared" si="75"/>
        <v>2</v>
      </c>
      <c r="AG60" s="312">
        <f t="shared" si="76"/>
        <v>34.056736978072898</v>
      </c>
      <c r="AH60" s="385"/>
      <c r="AI60" s="260">
        <f t="shared" si="66"/>
        <v>20.522589702986725</v>
      </c>
      <c r="AJ60" s="212"/>
      <c r="AK60" s="260">
        <f t="shared" si="67"/>
        <v>13.414948695662913</v>
      </c>
      <c r="AL60" s="212"/>
      <c r="AM60" s="260">
        <f t="shared" si="68"/>
        <v>0</v>
      </c>
      <c r="AN60" s="212"/>
      <c r="AO60" s="260">
        <f t="shared" si="69"/>
        <v>0</v>
      </c>
      <c r="AP60" s="212"/>
      <c r="AQ60" s="260">
        <f t="shared" si="70"/>
        <v>0</v>
      </c>
      <c r="AR60" s="212"/>
      <c r="AS60" s="260">
        <f t="shared" si="71"/>
        <v>0</v>
      </c>
      <c r="AT60" s="212"/>
      <c r="AU60" s="260">
        <f t="shared" si="72"/>
        <v>0</v>
      </c>
      <c r="AV60" s="262"/>
      <c r="AW60" s="262">
        <f t="shared" si="73"/>
        <v>5.4490779164916639E-2</v>
      </c>
      <c r="AX60" s="262"/>
      <c r="AY60" s="262">
        <f t="shared" si="74"/>
        <v>6.4707800258338513E-2</v>
      </c>
      <c r="BA60" s="175"/>
      <c r="BB60" s="145"/>
      <c r="BC60" s="145"/>
      <c r="BD60" s="145"/>
    </row>
    <row r="61" spans="1:56">
      <c r="A61" s="550"/>
      <c r="B61" s="480"/>
      <c r="D61" s="488">
        <v>675.3</v>
      </c>
      <c r="F61" s="216" t="s">
        <v>690</v>
      </c>
      <c r="G61" s="139"/>
      <c r="H61" s="261">
        <v>2</v>
      </c>
      <c r="I61" s="216"/>
      <c r="J61" s="312">
        <v>10937.752038589932</v>
      </c>
      <c r="K61" s="385"/>
      <c r="L61" s="260">
        <f t="shared" si="59"/>
        <v>5548.7216091766722</v>
      </c>
      <c r="M61" s="212"/>
      <c r="N61" s="260">
        <f t="shared" si="60"/>
        <v>3406.0159848169046</v>
      </c>
      <c r="O61" s="212"/>
      <c r="P61" s="260">
        <f t="shared" si="61"/>
        <v>438.60385674745629</v>
      </c>
      <c r="Q61" s="212"/>
      <c r="R61" s="260">
        <f t="shared" si="62"/>
        <v>1155.0266152750967</v>
      </c>
      <c r="S61" s="212"/>
      <c r="T61" s="260">
        <f t="shared" si="63"/>
        <v>351.10184043873676</v>
      </c>
      <c r="U61" s="212"/>
      <c r="V61" s="260">
        <f t="shared" si="64"/>
        <v>17.500403261743891</v>
      </c>
      <c r="W61" s="212"/>
      <c r="X61" s="260">
        <f t="shared" si="65"/>
        <v>20.781728873320869</v>
      </c>
      <c r="Y61" s="212"/>
      <c r="Z61" s="212"/>
      <c r="AC61" s="216" t="s">
        <v>690</v>
      </c>
      <c r="AE61" s="239">
        <f t="shared" si="75"/>
        <v>2</v>
      </c>
      <c r="AG61" s="312">
        <f t="shared" si="76"/>
        <v>10937.752038589932</v>
      </c>
      <c r="AH61" s="385"/>
      <c r="AI61" s="260">
        <f t="shared" si="66"/>
        <v>6591.0893784542914</v>
      </c>
      <c r="AJ61" s="212"/>
      <c r="AK61" s="260">
        <f t="shared" si="67"/>
        <v>4308.3805280005736</v>
      </c>
      <c r="AL61" s="212"/>
      <c r="AM61" s="260">
        <f t="shared" si="68"/>
        <v>0</v>
      </c>
      <c r="AN61" s="212"/>
      <c r="AO61" s="260">
        <f t="shared" si="69"/>
        <v>0</v>
      </c>
      <c r="AP61" s="212"/>
      <c r="AQ61" s="260">
        <f t="shared" si="70"/>
        <v>0</v>
      </c>
      <c r="AR61" s="212"/>
      <c r="AS61" s="260">
        <f t="shared" si="71"/>
        <v>0</v>
      </c>
      <c r="AT61" s="212"/>
      <c r="AU61" s="260">
        <f t="shared" si="72"/>
        <v>0</v>
      </c>
      <c r="AV61" s="262"/>
      <c r="AW61" s="262">
        <f t="shared" si="73"/>
        <v>17.500403261743891</v>
      </c>
      <c r="AX61" s="262"/>
      <c r="AY61" s="262">
        <f t="shared" si="74"/>
        <v>20.781728873320869</v>
      </c>
      <c r="BA61" s="175"/>
      <c r="BB61" s="145"/>
      <c r="BC61" s="145"/>
      <c r="BD61" s="145"/>
    </row>
    <row r="62" spans="1:56">
      <c r="A62" s="550"/>
      <c r="B62" s="480"/>
      <c r="D62" s="488">
        <v>675.3</v>
      </c>
      <c r="F62" s="216" t="s">
        <v>693</v>
      </c>
      <c r="G62" s="139"/>
      <c r="H62" s="261">
        <v>2</v>
      </c>
      <c r="I62" s="216"/>
      <c r="J62" s="389">
        <v>936.36613603206365</v>
      </c>
      <c r="K62" s="385"/>
      <c r="L62" s="549">
        <f t="shared" si="59"/>
        <v>475.01854080906588</v>
      </c>
      <c r="M62" s="385"/>
      <c r="N62" s="549">
        <f t="shared" si="60"/>
        <v>291.58441476038462</v>
      </c>
      <c r="O62" s="385"/>
      <c r="P62" s="549">
        <f t="shared" si="61"/>
        <v>37.548282054885753</v>
      </c>
      <c r="Q62" s="385"/>
      <c r="R62" s="549">
        <f t="shared" si="62"/>
        <v>98.880263964985915</v>
      </c>
      <c r="S62" s="385"/>
      <c r="T62" s="549">
        <f t="shared" si="63"/>
        <v>30.057352966629239</v>
      </c>
      <c r="U62" s="385"/>
      <c r="V62" s="549">
        <f t="shared" si="64"/>
        <v>1.4981858176513019</v>
      </c>
      <c r="W62" s="385"/>
      <c r="X62" s="549">
        <f t="shared" si="65"/>
        <v>1.779095658460921</v>
      </c>
      <c r="Y62" s="212"/>
      <c r="Z62" s="212"/>
      <c r="AC62" s="216" t="s">
        <v>693</v>
      </c>
      <c r="AE62" s="239">
        <f t="shared" si="75"/>
        <v>2</v>
      </c>
      <c r="AG62" s="389">
        <f t="shared" si="76"/>
        <v>936.36613603206365</v>
      </c>
      <c r="AH62" s="385"/>
      <c r="AI62" s="549">
        <f t="shared" si="66"/>
        <v>564.25423357292152</v>
      </c>
      <c r="AJ62" s="385"/>
      <c r="AK62" s="549">
        <f t="shared" si="67"/>
        <v>368.83462098302982</v>
      </c>
      <c r="AL62" s="385"/>
      <c r="AM62" s="549">
        <f t="shared" si="68"/>
        <v>0</v>
      </c>
      <c r="AN62" s="385"/>
      <c r="AO62" s="549">
        <f t="shared" si="69"/>
        <v>0</v>
      </c>
      <c r="AP62" s="385"/>
      <c r="AQ62" s="549">
        <f t="shared" si="70"/>
        <v>0</v>
      </c>
      <c r="AR62" s="385"/>
      <c r="AS62" s="549">
        <f t="shared" si="71"/>
        <v>0</v>
      </c>
      <c r="AT62" s="385"/>
      <c r="AU62" s="549">
        <f t="shared" si="72"/>
        <v>0</v>
      </c>
      <c r="AV62" s="385"/>
      <c r="AW62" s="549">
        <f t="shared" si="73"/>
        <v>1.4981858176513019</v>
      </c>
      <c r="AX62" s="385"/>
      <c r="AY62" s="549">
        <f t="shared" si="74"/>
        <v>1.779095658460921</v>
      </c>
      <c r="BA62" s="175"/>
      <c r="BB62" s="145"/>
      <c r="BC62" s="145"/>
      <c r="BD62" s="145"/>
    </row>
    <row r="63" spans="1:56">
      <c r="A63" s="146"/>
      <c r="B63" s="146"/>
      <c r="F63" s="216"/>
      <c r="G63" s="139"/>
      <c r="H63" s="261"/>
      <c r="I63" s="216"/>
      <c r="J63" s="312"/>
      <c r="K63" s="386"/>
      <c r="L63" s="386"/>
      <c r="M63" s="386"/>
      <c r="N63" s="386"/>
      <c r="O63" s="386"/>
      <c r="P63" s="386"/>
      <c r="Q63" s="386"/>
      <c r="R63" s="386"/>
      <c r="S63" s="386"/>
      <c r="T63" s="386"/>
      <c r="U63" s="386"/>
      <c r="V63" s="386"/>
      <c r="W63" s="386"/>
      <c r="X63" s="386"/>
      <c r="Z63" s="175"/>
      <c r="AC63" s="216"/>
      <c r="AG63" s="312"/>
      <c r="AH63" s="386"/>
      <c r="AI63" s="386"/>
      <c r="AJ63" s="386"/>
      <c r="AK63" s="386"/>
      <c r="AL63" s="386"/>
      <c r="AM63" s="386"/>
      <c r="AN63" s="386"/>
      <c r="AO63" s="386"/>
      <c r="AP63" s="386"/>
      <c r="AQ63" s="386"/>
      <c r="AR63" s="386"/>
      <c r="AS63" s="386"/>
      <c r="AT63" s="386"/>
      <c r="AU63" s="386"/>
      <c r="AV63" s="386"/>
      <c r="AW63" s="386"/>
      <c r="AX63" s="386"/>
      <c r="AY63" s="386"/>
      <c r="BA63" s="175"/>
      <c r="BB63" s="145"/>
      <c r="BC63" s="145"/>
      <c r="BD63" s="145"/>
    </row>
    <row r="64" spans="1:56">
      <c r="A64" s="146"/>
      <c r="B64" s="146"/>
      <c r="F64" s="216" t="s">
        <v>92</v>
      </c>
      <c r="G64" s="139"/>
      <c r="H64" s="261"/>
      <c r="I64" s="216"/>
      <c r="J64" s="389">
        <f>SUM(J45:J63)</f>
        <v>8280137.5434684884</v>
      </c>
      <c r="K64" s="216"/>
      <c r="L64" s="389">
        <f>SUM(L45:L63)</f>
        <v>4136217.8996673073</v>
      </c>
      <c r="M64" s="216"/>
      <c r="N64" s="389">
        <f t="shared" ref="N64" si="77">SUM(N45:N63)</f>
        <v>2576343.9082349739</v>
      </c>
      <c r="O64" s="216"/>
      <c r="P64" s="389">
        <f t="shared" ref="P64" si="78">SUM(P45:P63)</f>
        <v>347715.43650144181</v>
      </c>
      <c r="Q64" s="216"/>
      <c r="R64" s="389">
        <f t="shared" ref="R64" si="79">SUM(R45:R63)</f>
        <v>900519.05960419809</v>
      </c>
      <c r="S64" s="216"/>
      <c r="T64" s="389">
        <f t="shared" ref="T64" si="80">SUM(T45:T63)</f>
        <v>278337.95195202273</v>
      </c>
      <c r="U64" s="216"/>
      <c r="V64" s="389">
        <f t="shared" ref="V64" si="81">SUM(V45:V63)</f>
        <v>18475.527072334702</v>
      </c>
      <c r="W64" s="216"/>
      <c r="X64" s="389">
        <f t="shared" ref="X64" si="82">SUM(X45:X63)</f>
        <v>22527.760436210781</v>
      </c>
      <c r="Z64" s="175"/>
      <c r="AC64" s="216" t="s">
        <v>92</v>
      </c>
      <c r="AD64" s="139"/>
      <c r="AE64" s="261"/>
      <c r="AF64" s="216"/>
      <c r="AG64" s="389">
        <f>SUM(AG45:AG63)</f>
        <v>8280137.5434684884</v>
      </c>
      <c r="AH64" s="216"/>
      <c r="AI64" s="389">
        <f>SUM(AI45:AI63)</f>
        <v>7036624.3059847634</v>
      </c>
      <c r="AJ64" s="216"/>
      <c r="AK64" s="389">
        <f>SUM(AK45:AK63)</f>
        <v>1202509.949975179</v>
      </c>
      <c r="AL64" s="216"/>
      <c r="AM64" s="389">
        <f>SUM(AM45:AM63)</f>
        <v>0</v>
      </c>
      <c r="AN64" s="216"/>
      <c r="AO64" s="389">
        <f>SUM(AO45:AO63)</f>
        <v>0</v>
      </c>
      <c r="AP64" s="216"/>
      <c r="AQ64" s="389">
        <f>SUM(AQ45:AQ63)</f>
        <v>0</v>
      </c>
      <c r="AR64" s="216"/>
      <c r="AS64" s="389">
        <f>SUM(AS45:AS63)</f>
        <v>0</v>
      </c>
      <c r="AT64" s="216"/>
      <c r="AU64" s="389">
        <f>SUM(AU45:AU63)</f>
        <v>0</v>
      </c>
      <c r="AV64" s="216"/>
      <c r="AW64" s="389">
        <f t="shared" ref="AW64" si="83">SUM(AW45:AW63)</f>
        <v>18475.527072334702</v>
      </c>
      <c r="AX64" s="216"/>
      <c r="AY64" s="389">
        <f t="shared" ref="AY64" si="84">SUM(AY45:AY63)</f>
        <v>22527.760436210781</v>
      </c>
      <c r="BA64" s="175"/>
      <c r="BB64" s="145"/>
      <c r="BC64" s="145"/>
      <c r="BD64" s="145"/>
    </row>
    <row r="65" spans="1:56">
      <c r="A65" s="146"/>
      <c r="B65" s="146"/>
      <c r="F65" s="216"/>
      <c r="G65" s="139"/>
      <c r="H65" s="261"/>
      <c r="I65" s="216"/>
      <c r="J65" s="312"/>
      <c r="K65" s="385"/>
      <c r="L65" s="386"/>
      <c r="M65" s="387"/>
      <c r="N65" s="387"/>
      <c r="O65" s="387"/>
      <c r="P65" s="387"/>
      <c r="Q65" s="387"/>
      <c r="R65" s="387"/>
      <c r="S65" s="387"/>
      <c r="T65" s="387"/>
      <c r="U65" s="387"/>
      <c r="V65" s="387"/>
      <c r="W65" s="387"/>
      <c r="X65" s="387"/>
      <c r="Z65" s="175"/>
      <c r="AC65" s="216"/>
      <c r="AG65" s="312"/>
      <c r="AH65" s="385"/>
      <c r="AI65" s="386"/>
      <c r="AJ65" s="387"/>
      <c r="AK65" s="387"/>
      <c r="AL65" s="387"/>
      <c r="AM65" s="387"/>
      <c r="AN65" s="387"/>
      <c r="AO65" s="387"/>
      <c r="AP65" s="387"/>
      <c r="AQ65" s="387"/>
      <c r="AR65" s="387"/>
      <c r="AS65" s="387"/>
      <c r="AT65" s="387"/>
      <c r="AU65" s="387"/>
      <c r="AV65" s="387"/>
      <c r="AW65" s="387"/>
      <c r="AX65" s="387"/>
      <c r="AY65" s="387"/>
      <c r="BA65" s="175"/>
      <c r="BB65" s="145"/>
      <c r="BC65" s="145"/>
      <c r="BD65" s="145"/>
    </row>
    <row r="66" spans="1:56">
      <c r="A66" s="146"/>
      <c r="B66" s="146"/>
      <c r="F66" s="216" t="s">
        <v>93</v>
      </c>
      <c r="G66" s="139"/>
      <c r="H66" s="261"/>
      <c r="I66" s="216"/>
      <c r="J66" s="312"/>
      <c r="K66" s="385"/>
      <c r="L66" s="386"/>
      <c r="M66" s="387"/>
      <c r="N66" s="387"/>
      <c r="O66" s="387"/>
      <c r="P66" s="387"/>
      <c r="Q66" s="387"/>
      <c r="R66" s="387"/>
      <c r="S66" s="387"/>
      <c r="T66" s="387"/>
      <c r="U66" s="387"/>
      <c r="V66" s="387"/>
      <c r="W66" s="387"/>
      <c r="X66" s="387"/>
      <c r="Z66" s="175"/>
      <c r="AC66" s="216" t="s">
        <v>93</v>
      </c>
      <c r="AG66" s="312"/>
      <c r="AH66" s="385"/>
      <c r="AI66" s="386"/>
      <c r="AJ66" s="387"/>
      <c r="AK66" s="387"/>
      <c r="AL66" s="387"/>
      <c r="AM66" s="387"/>
      <c r="AN66" s="387"/>
      <c r="AO66" s="387"/>
      <c r="AP66" s="387"/>
      <c r="AQ66" s="387"/>
      <c r="AR66" s="387"/>
      <c r="AS66" s="387"/>
      <c r="AT66" s="387"/>
      <c r="AU66" s="387"/>
      <c r="AV66" s="387"/>
      <c r="AW66" s="387"/>
      <c r="AX66" s="387"/>
      <c r="AY66" s="387"/>
      <c r="BA66" s="175"/>
      <c r="BB66" s="145"/>
      <c r="BC66" s="145"/>
      <c r="BD66" s="145"/>
    </row>
    <row r="67" spans="1:56">
      <c r="A67" s="146"/>
      <c r="B67" s="146"/>
      <c r="D67" s="488">
        <v>601.4</v>
      </c>
      <c r="F67" s="216" t="s">
        <v>583</v>
      </c>
      <c r="G67" s="139"/>
      <c r="H67" s="261">
        <v>2</v>
      </c>
      <c r="I67" s="216"/>
      <c r="J67" s="312">
        <v>9477.233820672971</v>
      </c>
      <c r="K67" s="385"/>
      <c r="L67" s="260">
        <f>(VLOOKUP($H67,Factors,L$382))*$J67</f>
        <v>4807.8007172273983</v>
      </c>
      <c r="M67" s="212"/>
      <c r="N67" s="260">
        <f>(VLOOKUP($H67,Factors,N$382))*$J67</f>
        <v>2951.2106117575631</v>
      </c>
      <c r="O67" s="212"/>
      <c r="P67" s="260">
        <f>(VLOOKUP($H67,Factors,P$382))*$J67</f>
        <v>380.03707620898615</v>
      </c>
      <c r="Q67" s="212"/>
      <c r="R67" s="260">
        <f>(VLOOKUP($H67,Factors,R$382))*$J67</f>
        <v>1000.7958914630657</v>
      </c>
      <c r="S67" s="212"/>
      <c r="T67" s="260">
        <f>(VLOOKUP($H67,Factors,T$382))*$J67</f>
        <v>304.21920564360232</v>
      </c>
      <c r="U67" s="212"/>
      <c r="V67" s="260">
        <f>(VLOOKUP($H67,Factors,V$382))*$J67</f>
        <v>15.163574113076754</v>
      </c>
      <c r="W67" s="212"/>
      <c r="X67" s="260">
        <f>(VLOOKUP($H67,Factors,X$382))*$J67</f>
        <v>18.006744259278644</v>
      </c>
      <c r="Y67" s="212"/>
      <c r="Z67" s="212"/>
      <c r="AC67" s="216" t="s">
        <v>583</v>
      </c>
      <c r="AE67" s="239">
        <f>+H67</f>
        <v>2</v>
      </c>
      <c r="AG67" s="312">
        <f>+J67</f>
        <v>9477.233820672971</v>
      </c>
      <c r="AH67" s="385"/>
      <c r="AI67" s="260">
        <f>(VLOOKUP($AE67,func,AI$382))*$AG67</f>
        <v>5710.9811003375316</v>
      </c>
      <c r="AJ67" s="212"/>
      <c r="AK67" s="260">
        <f>(VLOOKUP($AE67,func,AK$382))*$AG67</f>
        <v>3733.0824019630832</v>
      </c>
      <c r="AL67" s="212"/>
      <c r="AM67" s="260">
        <f>(VLOOKUP($AE67,func,AM$382))*$AG67</f>
        <v>0</v>
      </c>
      <c r="AN67" s="212"/>
      <c r="AO67" s="260">
        <f>(VLOOKUP($AE67,func,AO$382))*$AG67</f>
        <v>0</v>
      </c>
      <c r="AP67" s="212"/>
      <c r="AQ67" s="260">
        <f>(VLOOKUP($AE67,func,AQ$382))*$AG67</f>
        <v>0</v>
      </c>
      <c r="AR67" s="212"/>
      <c r="AS67" s="260">
        <f>(VLOOKUP($AE67,func,AS$382))*$AG67</f>
        <v>0</v>
      </c>
      <c r="AT67" s="212"/>
      <c r="AU67" s="260">
        <f>(VLOOKUP($AE67,func,AU$382))*$AG67</f>
        <v>0</v>
      </c>
      <c r="AV67" s="212"/>
      <c r="AW67" s="260">
        <f>(VLOOKUP($AE67,func,AW$382))*$AG67</f>
        <v>15.163574113076754</v>
      </c>
      <c r="AX67" s="212"/>
      <c r="AY67" s="260">
        <f>(VLOOKUP($AE67,func,AY$382))*$AG67</f>
        <v>18.006744259278644</v>
      </c>
      <c r="BA67" s="175"/>
      <c r="BB67" s="145"/>
      <c r="BC67" s="145"/>
      <c r="BD67" s="145"/>
    </row>
    <row r="68" spans="1:56">
      <c r="A68" s="146"/>
      <c r="B68" s="146"/>
      <c r="D68" s="488">
        <v>601.4</v>
      </c>
      <c r="F68" s="216" t="s">
        <v>699</v>
      </c>
      <c r="G68" s="139"/>
      <c r="H68" s="261">
        <v>2</v>
      </c>
      <c r="I68" s="216"/>
      <c r="J68" s="312">
        <v>171091.08408943703</v>
      </c>
      <c r="K68" s="385"/>
      <c r="L68" s="260">
        <f>(VLOOKUP($H68,Factors,L$382))*$J68</f>
        <v>86794.506958571408</v>
      </c>
      <c r="M68" s="212"/>
      <c r="N68" s="260">
        <f>(VLOOKUP($H68,Factors,N$382))*$J68</f>
        <v>53277.763585450695</v>
      </c>
      <c r="O68" s="212"/>
      <c r="P68" s="260">
        <f>(VLOOKUP($H68,Factors,P$382))*$J68</f>
        <v>6860.7524719864259</v>
      </c>
      <c r="Q68" s="212"/>
      <c r="R68" s="260">
        <f>(VLOOKUP($H68,Factors,R$382))*$J68</f>
        <v>18067.218479844552</v>
      </c>
      <c r="S68" s="212"/>
      <c r="T68" s="260">
        <f>(VLOOKUP($H68,Factors,T$382))*$J68</f>
        <v>5492.0237992709281</v>
      </c>
      <c r="U68" s="212"/>
      <c r="V68" s="260">
        <f>(VLOOKUP($H68,Factors,V$382))*$J68</f>
        <v>273.74573454309927</v>
      </c>
      <c r="W68" s="212"/>
      <c r="X68" s="260">
        <f>(VLOOKUP($H68,Factors,X$382))*$J68</f>
        <v>325.07305976993035</v>
      </c>
      <c r="Y68" s="212"/>
      <c r="Z68" s="212"/>
      <c r="AC68" s="216" t="s">
        <v>699</v>
      </c>
      <c r="AE68" s="239">
        <f t="shared" ref="AE68:AE71" si="85">+H68</f>
        <v>2</v>
      </c>
      <c r="AG68" s="312">
        <f t="shared" ref="AG68:AG71" si="86">+J68</f>
        <v>171091.08408943703</v>
      </c>
      <c r="AH68" s="385"/>
      <c r="AI68" s="260">
        <f>(VLOOKUP($AE68,func,AI$382))*$AG68</f>
        <v>103099.48727229475</v>
      </c>
      <c r="AJ68" s="212"/>
      <c r="AK68" s="260">
        <f>(VLOOKUP($AE68,func,AK$382))*$AG68</f>
        <v>67392.778022829239</v>
      </c>
      <c r="AL68" s="212"/>
      <c r="AM68" s="260">
        <f>(VLOOKUP($AE68,func,AM$382))*$AG68</f>
        <v>0</v>
      </c>
      <c r="AN68" s="212"/>
      <c r="AO68" s="260">
        <f>(VLOOKUP($AE68,func,AO$382))*$AG68</f>
        <v>0</v>
      </c>
      <c r="AP68" s="212"/>
      <c r="AQ68" s="260">
        <f>(VLOOKUP($AE68,func,AQ$382))*$AG68</f>
        <v>0</v>
      </c>
      <c r="AR68" s="212"/>
      <c r="AS68" s="260">
        <f>(VLOOKUP($AE68,func,AS$382))*$AG68</f>
        <v>0</v>
      </c>
      <c r="AT68" s="212"/>
      <c r="AU68" s="260">
        <f>(VLOOKUP($AE68,func,AU$382))*$AG68</f>
        <v>0</v>
      </c>
      <c r="AV68" s="212"/>
      <c r="AW68" s="260">
        <f>(VLOOKUP($AE68,func,AW$382))*$AG68</f>
        <v>273.74573454309927</v>
      </c>
      <c r="AX68" s="212"/>
      <c r="AY68" s="260">
        <f>(VLOOKUP($AE68,func,AY$382))*$AG68</f>
        <v>325.07305976993035</v>
      </c>
      <c r="BA68" s="175"/>
      <c r="BB68" s="145"/>
      <c r="BC68" s="145"/>
      <c r="BD68" s="145"/>
    </row>
    <row r="69" spans="1:56">
      <c r="A69" s="146"/>
      <c r="B69" s="146"/>
      <c r="D69" s="488">
        <v>620.4</v>
      </c>
      <c r="F69" s="216" t="s">
        <v>645</v>
      </c>
      <c r="G69" s="139"/>
      <c r="H69" s="261">
        <v>2</v>
      </c>
      <c r="I69" s="216"/>
      <c r="J69" s="312">
        <v>299388</v>
      </c>
      <c r="K69" s="385"/>
      <c r="L69" s="260">
        <f>(VLOOKUP($H69,Factors,L$382))*$J69</f>
        <v>151879.5324</v>
      </c>
      <c r="M69" s="212"/>
      <c r="N69" s="260">
        <f>(VLOOKUP($H69,Factors,N$382))*$J69</f>
        <v>93229.423200000005</v>
      </c>
      <c r="O69" s="212"/>
      <c r="P69" s="260">
        <f>(VLOOKUP($H69,Factors,P$382))*$J69</f>
        <v>12005.4588</v>
      </c>
      <c r="Q69" s="212"/>
      <c r="R69" s="260">
        <f>(VLOOKUP($H69,Factors,R$382))*$J69</f>
        <v>31615.372800000001</v>
      </c>
      <c r="S69" s="212"/>
      <c r="T69" s="260">
        <f>(VLOOKUP($H69,Factors,T$382))*$J69</f>
        <v>9610.3547999999992</v>
      </c>
      <c r="U69" s="212"/>
      <c r="V69" s="260">
        <f>(VLOOKUP($H69,Factors,V$382))*$J69</f>
        <v>479.02080000000001</v>
      </c>
      <c r="W69" s="212"/>
      <c r="X69" s="260">
        <f>(VLOOKUP($H69,Factors,X$382))*$J69</f>
        <v>568.83720000000005</v>
      </c>
      <c r="Y69" s="212"/>
      <c r="Z69" s="212"/>
      <c r="AC69" s="216" t="s">
        <v>645</v>
      </c>
      <c r="AE69" s="239">
        <f t="shared" si="85"/>
        <v>2</v>
      </c>
      <c r="AG69" s="312">
        <f t="shared" si="86"/>
        <v>299388</v>
      </c>
      <c r="AH69" s="385"/>
      <c r="AI69" s="260">
        <f>(VLOOKUP($AE69,func,AI$382))*$AG69</f>
        <v>180411.20879999996</v>
      </c>
      <c r="AJ69" s="212"/>
      <c r="AK69" s="260">
        <f>(VLOOKUP($AE69,func,AK$382))*$AG69</f>
        <v>117928.93319999998</v>
      </c>
      <c r="AL69" s="212"/>
      <c r="AM69" s="260">
        <f>(VLOOKUP($AE69,func,AM$382))*$AG69</f>
        <v>0</v>
      </c>
      <c r="AN69" s="212"/>
      <c r="AO69" s="260">
        <f>(VLOOKUP($AE69,func,AO$382))*$AG69</f>
        <v>0</v>
      </c>
      <c r="AP69" s="212"/>
      <c r="AQ69" s="260">
        <f>(VLOOKUP($AE69,func,AQ$382))*$AG69</f>
        <v>0</v>
      </c>
      <c r="AR69" s="212"/>
      <c r="AS69" s="260">
        <f>(VLOOKUP($AE69,func,AS$382))*$AG69</f>
        <v>0</v>
      </c>
      <c r="AT69" s="212"/>
      <c r="AU69" s="260">
        <f>(VLOOKUP($AE69,func,AU$382))*$AG69</f>
        <v>0</v>
      </c>
      <c r="AV69" s="212"/>
      <c r="AW69" s="260">
        <f>(VLOOKUP($AE69,func,AW$382))*$AG69</f>
        <v>479.02080000000001</v>
      </c>
      <c r="AX69" s="212"/>
      <c r="AY69" s="260">
        <f>(VLOOKUP($AE69,func,AY$382))*$AG69</f>
        <v>568.83720000000005</v>
      </c>
      <c r="BA69" s="175"/>
      <c r="BB69" s="145"/>
      <c r="BC69" s="145"/>
      <c r="BD69" s="145"/>
    </row>
    <row r="70" spans="1:56">
      <c r="A70" s="146"/>
      <c r="B70" s="146"/>
      <c r="D70" s="488">
        <v>675.4</v>
      </c>
      <c r="F70" s="493" t="s">
        <v>668</v>
      </c>
      <c r="G70" s="139"/>
      <c r="H70" s="261">
        <v>2</v>
      </c>
      <c r="I70" s="216"/>
      <c r="J70" s="312">
        <v>24050</v>
      </c>
      <c r="K70" s="385"/>
      <c r="L70" s="260">
        <f>(VLOOKUP($H70,Factors,L$382))*$J70</f>
        <v>12200.564999999999</v>
      </c>
      <c r="M70" s="212"/>
      <c r="N70" s="260">
        <f>(VLOOKUP($H70,Factors,N$382))*$J70</f>
        <v>7489.17</v>
      </c>
      <c r="O70" s="212"/>
      <c r="P70" s="260">
        <f>(VLOOKUP($H70,Factors,P$382))*$J70</f>
        <v>964.40500000000009</v>
      </c>
      <c r="Q70" s="212"/>
      <c r="R70" s="260">
        <f>(VLOOKUP($H70,Factors,R$382))*$J70</f>
        <v>2539.6799999999998</v>
      </c>
      <c r="S70" s="212"/>
      <c r="T70" s="260">
        <f>(VLOOKUP($H70,Factors,T$382))*$J70</f>
        <v>772.00499999999988</v>
      </c>
      <c r="U70" s="212"/>
      <c r="V70" s="260">
        <f>(VLOOKUP($H70,Factors,V$382))*$J70</f>
        <v>38.480000000000004</v>
      </c>
      <c r="W70" s="212"/>
      <c r="X70" s="260">
        <f>(VLOOKUP($H70,Factors,X$382))*$J70</f>
        <v>45.695</v>
      </c>
      <c r="Y70" s="212"/>
      <c r="Z70" s="212"/>
      <c r="AC70" s="493" t="s">
        <v>668</v>
      </c>
      <c r="AE70" s="239">
        <f t="shared" si="85"/>
        <v>2</v>
      </c>
      <c r="AG70" s="312">
        <f t="shared" si="86"/>
        <v>24050</v>
      </c>
      <c r="AH70" s="385"/>
      <c r="AI70" s="260">
        <f>(VLOOKUP($AE70,func,AI$382))*$AG70</f>
        <v>14492.529999999997</v>
      </c>
      <c r="AJ70" s="212"/>
      <c r="AK70" s="260">
        <f>(VLOOKUP($AE70,func,AK$382))*$AG70</f>
        <v>9473.2950000000001</v>
      </c>
      <c r="AL70" s="212"/>
      <c r="AM70" s="260">
        <f>(VLOOKUP($AE70,func,AM$382))*$AG70</f>
        <v>0</v>
      </c>
      <c r="AN70" s="212"/>
      <c r="AO70" s="260">
        <f>(VLOOKUP($AE70,func,AO$382))*$AG70</f>
        <v>0</v>
      </c>
      <c r="AP70" s="212"/>
      <c r="AQ70" s="260">
        <f>(VLOOKUP($AE70,func,AQ$382))*$AG70</f>
        <v>0</v>
      </c>
      <c r="AR70" s="212"/>
      <c r="AS70" s="260">
        <f>(VLOOKUP($AE70,func,AS$382))*$AG70</f>
        <v>0</v>
      </c>
      <c r="AT70" s="212"/>
      <c r="AU70" s="260">
        <f>(VLOOKUP($AE70,func,AU$382))*$AG70</f>
        <v>0</v>
      </c>
      <c r="AV70" s="212"/>
      <c r="AW70" s="260">
        <f>(VLOOKUP($AE70,func,AW$382))*$AG70</f>
        <v>38.480000000000004</v>
      </c>
      <c r="AX70" s="212"/>
      <c r="AY70" s="260">
        <f>(VLOOKUP($AE70,func,AY$382))*$AG70</f>
        <v>45.695</v>
      </c>
      <c r="BA70" s="175"/>
      <c r="BB70" s="145"/>
      <c r="BC70" s="145"/>
      <c r="BD70" s="145"/>
    </row>
    <row r="71" spans="1:56">
      <c r="A71" s="146"/>
      <c r="B71" s="146"/>
      <c r="D71" s="488">
        <v>675.4</v>
      </c>
      <c r="F71" s="216" t="s">
        <v>671</v>
      </c>
      <c r="G71" s="139"/>
      <c r="H71" s="261">
        <v>2</v>
      </c>
      <c r="I71" s="216"/>
      <c r="J71" s="389">
        <v>212599.43080762404</v>
      </c>
      <c r="K71" s="385"/>
      <c r="L71" s="549">
        <f>(VLOOKUP($H71,Factors,L$382))*$J71</f>
        <v>107851.69124870768</v>
      </c>
      <c r="M71" s="385"/>
      <c r="N71" s="549">
        <f>(VLOOKUP($H71,Factors,N$382))*$J71</f>
        <v>66203.462753494125</v>
      </c>
      <c r="O71" s="385"/>
      <c r="P71" s="549">
        <f>(VLOOKUP($H71,Factors,P$382))*$J71</f>
        <v>8525.2371753857242</v>
      </c>
      <c r="Q71" s="385"/>
      <c r="R71" s="549">
        <f>(VLOOKUP($H71,Factors,R$382))*$J71</f>
        <v>22450.499893285098</v>
      </c>
      <c r="S71" s="385"/>
      <c r="T71" s="549">
        <f>(VLOOKUP($H71,Factors,T$382))*$J71</f>
        <v>6824.4417289247313</v>
      </c>
      <c r="U71" s="385"/>
      <c r="V71" s="549">
        <f>(VLOOKUP($H71,Factors,V$382))*$J71</f>
        <v>340.15908929219847</v>
      </c>
      <c r="W71" s="385"/>
      <c r="X71" s="549">
        <f>(VLOOKUP($H71,Factors,X$382))*$J71</f>
        <v>403.93891853448565</v>
      </c>
      <c r="Y71" s="212"/>
      <c r="Z71" s="212"/>
      <c r="AC71" s="216" t="s">
        <v>671</v>
      </c>
      <c r="AE71" s="239">
        <f t="shared" si="85"/>
        <v>2</v>
      </c>
      <c r="AG71" s="389">
        <f t="shared" si="86"/>
        <v>212599.43080762404</v>
      </c>
      <c r="AH71" s="385"/>
      <c r="AI71" s="549">
        <f>(VLOOKUP($AE71,func,AI$382))*$AG71</f>
        <v>128112.41700467422</v>
      </c>
      <c r="AJ71" s="385"/>
      <c r="AK71" s="549">
        <f>(VLOOKUP($AE71,func,AK$382))*$AG71</f>
        <v>83742.915795123103</v>
      </c>
      <c r="AL71" s="385"/>
      <c r="AM71" s="549">
        <f>(VLOOKUP($AE71,func,AM$382))*$AG71</f>
        <v>0</v>
      </c>
      <c r="AN71" s="385"/>
      <c r="AO71" s="549">
        <f>(VLOOKUP($AE71,func,AO$382))*$AG71</f>
        <v>0</v>
      </c>
      <c r="AP71" s="385"/>
      <c r="AQ71" s="549">
        <f>(VLOOKUP($AE71,func,AQ$382))*$AG71</f>
        <v>0</v>
      </c>
      <c r="AR71" s="385"/>
      <c r="AS71" s="549">
        <f>(VLOOKUP($AE71,func,AS$382))*$AG71</f>
        <v>0</v>
      </c>
      <c r="AT71" s="385"/>
      <c r="AU71" s="549">
        <f>(VLOOKUP($AE71,func,AU$382))*$AG71</f>
        <v>0</v>
      </c>
      <c r="AV71" s="385"/>
      <c r="AW71" s="549">
        <f>(VLOOKUP($AE71,func,AW$382))*$AG71</f>
        <v>340.15908929219847</v>
      </c>
      <c r="AX71" s="385"/>
      <c r="AY71" s="549">
        <f>(VLOOKUP($AE71,func,AY$382))*$AG71</f>
        <v>403.93891853448565</v>
      </c>
      <c r="BA71" s="175"/>
      <c r="BB71" s="145"/>
      <c r="BC71" s="145"/>
      <c r="BD71" s="145"/>
    </row>
    <row r="72" spans="1:56">
      <c r="A72" s="146"/>
      <c r="B72" s="146"/>
      <c r="F72" s="216"/>
      <c r="G72" s="139"/>
      <c r="H72" s="261"/>
      <c r="I72" s="216"/>
      <c r="J72" s="312"/>
      <c r="K72" s="385"/>
      <c r="L72" s="386"/>
      <c r="M72" s="385"/>
      <c r="N72" s="386"/>
      <c r="O72" s="385"/>
      <c r="P72" s="386"/>
      <c r="Q72" s="385"/>
      <c r="R72" s="386"/>
      <c r="S72" s="385"/>
      <c r="T72" s="386"/>
      <c r="U72" s="385"/>
      <c r="V72" s="386"/>
      <c r="W72" s="385"/>
      <c r="X72" s="386"/>
      <c r="Z72" s="175"/>
      <c r="AC72" s="216"/>
      <c r="AE72" s="239"/>
      <c r="AG72" s="312"/>
      <c r="AH72" s="385"/>
      <c r="AI72" s="386"/>
      <c r="AJ72" s="385"/>
      <c r="AK72" s="386"/>
      <c r="AL72" s="385"/>
      <c r="AM72" s="386"/>
      <c r="AN72" s="385"/>
      <c r="AO72" s="386"/>
      <c r="AP72" s="385"/>
      <c r="AQ72" s="386"/>
      <c r="AR72" s="385"/>
      <c r="AS72" s="386"/>
      <c r="AT72" s="385"/>
      <c r="AU72" s="386"/>
      <c r="AV72" s="385"/>
      <c r="AW72" s="386"/>
      <c r="AX72" s="385"/>
      <c r="AY72" s="386"/>
      <c r="BA72" s="175"/>
      <c r="BB72" s="145"/>
      <c r="BC72" s="145"/>
      <c r="BD72" s="145"/>
    </row>
    <row r="73" spans="1:56">
      <c r="A73" s="146"/>
      <c r="B73" s="146"/>
      <c r="F73" s="216" t="s">
        <v>94</v>
      </c>
      <c r="G73" s="139"/>
      <c r="H73" s="261"/>
      <c r="I73" s="216"/>
      <c r="J73" s="389">
        <f>SUM(J67:J72)</f>
        <v>716605.74871773401</v>
      </c>
      <c r="K73" s="216"/>
      <c r="L73" s="389">
        <f>SUM(L67:L72)</f>
        <v>363534.09632450645</v>
      </c>
      <c r="M73" s="216"/>
      <c r="N73" s="389">
        <f>SUM(N67:N72)</f>
        <v>223151.0301507024</v>
      </c>
      <c r="O73" s="216"/>
      <c r="P73" s="389">
        <f>SUM(P67:P72)</f>
        <v>28735.890523581133</v>
      </c>
      <c r="Q73" s="216"/>
      <c r="R73" s="389">
        <f>SUM(R67:R72)</f>
        <v>75673.567064592717</v>
      </c>
      <c r="S73" s="216"/>
      <c r="T73" s="389">
        <f>SUM(T67:T72)</f>
        <v>23003.04453383926</v>
      </c>
      <c r="U73" s="216"/>
      <c r="V73" s="389">
        <f>SUM(V67:V72)</f>
        <v>1146.5691979483745</v>
      </c>
      <c r="W73" s="216"/>
      <c r="X73" s="389">
        <f>SUM(X67:X72)</f>
        <v>1361.5509225636947</v>
      </c>
      <c r="Z73" s="175"/>
      <c r="AC73" s="216" t="s">
        <v>94</v>
      </c>
      <c r="AD73" s="139"/>
      <c r="AE73" s="261"/>
      <c r="AF73" s="216"/>
      <c r="AG73" s="389">
        <f>SUM(AG67:AG72)</f>
        <v>716605.74871773401</v>
      </c>
      <c r="AH73" s="216"/>
      <c r="AI73" s="389">
        <f>SUM(AI67:AI72)</f>
        <v>431826.62417730642</v>
      </c>
      <c r="AJ73" s="216"/>
      <c r="AK73" s="389">
        <f>SUM(AK67:AK72)</f>
        <v>282271.00441991544</v>
      </c>
      <c r="AL73" s="216"/>
      <c r="AM73" s="389">
        <f>SUM(AM67:AM72)</f>
        <v>0</v>
      </c>
      <c r="AN73" s="216"/>
      <c r="AO73" s="389">
        <f>SUM(AO67:AO72)</f>
        <v>0</v>
      </c>
      <c r="AP73" s="216"/>
      <c r="AQ73" s="389">
        <f>SUM(AQ67:AQ72)</f>
        <v>0</v>
      </c>
      <c r="AR73" s="216"/>
      <c r="AS73" s="389">
        <f>SUM(AS67:AS72)</f>
        <v>0</v>
      </c>
      <c r="AT73" s="216"/>
      <c r="AU73" s="389">
        <f>SUM(AU67:AU72)</f>
        <v>0</v>
      </c>
      <c r="AV73" s="216"/>
      <c r="AW73" s="389">
        <f t="shared" ref="AW73" si="87">SUM(AW67:AW72)</f>
        <v>1146.5691979483745</v>
      </c>
      <c r="AX73" s="216"/>
      <c r="AY73" s="389">
        <f t="shared" ref="AY73" si="88">SUM(AY67:AY72)</f>
        <v>1361.5509225636947</v>
      </c>
      <c r="BA73" s="175"/>
      <c r="BB73" s="145"/>
      <c r="BC73" s="145"/>
      <c r="BD73" s="145"/>
    </row>
    <row r="74" spans="1:56">
      <c r="A74" s="146"/>
      <c r="B74" s="146"/>
      <c r="F74" s="216"/>
      <c r="G74" s="139"/>
      <c r="H74" s="261"/>
      <c r="I74" s="216"/>
      <c r="J74" s="312"/>
      <c r="K74" s="216"/>
      <c r="L74" s="312"/>
      <c r="M74" s="216"/>
      <c r="N74" s="312"/>
      <c r="O74" s="216"/>
      <c r="P74" s="312"/>
      <c r="Q74" s="216"/>
      <c r="R74" s="312"/>
      <c r="S74" s="216"/>
      <c r="T74" s="312"/>
      <c r="U74" s="216"/>
      <c r="V74" s="312"/>
      <c r="W74" s="216"/>
      <c r="X74" s="312"/>
      <c r="Z74" s="175"/>
      <c r="AC74" s="216"/>
      <c r="AE74" s="239"/>
      <c r="AG74" s="312"/>
      <c r="AH74" s="216"/>
      <c r="AI74" s="312"/>
      <c r="AJ74" s="216"/>
      <c r="AK74" s="312"/>
      <c r="AL74" s="216"/>
      <c r="AM74" s="312"/>
      <c r="AN74" s="216"/>
      <c r="AO74" s="312"/>
      <c r="AP74" s="216"/>
      <c r="AQ74" s="312"/>
      <c r="AR74" s="216"/>
      <c r="AS74" s="312"/>
      <c r="AT74" s="216"/>
      <c r="AU74" s="312"/>
      <c r="AV74" s="216"/>
      <c r="AW74" s="312"/>
      <c r="AX74" s="216"/>
      <c r="AY74" s="312"/>
      <c r="BA74" s="175"/>
      <c r="BB74" s="145"/>
      <c r="BC74" s="145"/>
      <c r="BD74" s="145"/>
    </row>
    <row r="75" spans="1:56">
      <c r="A75" s="146"/>
      <c r="B75" s="146"/>
      <c r="F75" s="216" t="s">
        <v>97</v>
      </c>
      <c r="G75" s="139"/>
      <c r="H75" s="261"/>
      <c r="I75" s="216"/>
      <c r="J75" s="389">
        <f>J64+J73</f>
        <v>8996743.292186223</v>
      </c>
      <c r="K75" s="216"/>
      <c r="L75" s="389">
        <f>L64+L73</f>
        <v>4499751.995991814</v>
      </c>
      <c r="M75" s="216"/>
      <c r="N75" s="389">
        <f>N64+N73</f>
        <v>2799494.9383856761</v>
      </c>
      <c r="O75" s="216"/>
      <c r="P75" s="389">
        <f>P64+P73</f>
        <v>376451.32702502294</v>
      </c>
      <c r="Q75" s="216"/>
      <c r="R75" s="389">
        <f>R64+R73</f>
        <v>976192.62666879082</v>
      </c>
      <c r="S75" s="216"/>
      <c r="T75" s="389">
        <f>T64+T73</f>
        <v>301340.99648586201</v>
      </c>
      <c r="U75" s="216"/>
      <c r="V75" s="389">
        <f>V64+V73</f>
        <v>19622.096270283077</v>
      </c>
      <c r="W75" s="216"/>
      <c r="X75" s="389">
        <f>X64+X73</f>
        <v>23889.311358774477</v>
      </c>
      <c r="Z75" s="175"/>
      <c r="AC75" s="216" t="s">
        <v>97</v>
      </c>
      <c r="AE75" s="239"/>
      <c r="AG75" s="389">
        <f>+AG73+AG64</f>
        <v>8996743.292186223</v>
      </c>
      <c r="AH75" s="216"/>
      <c r="AI75" s="389">
        <f>+AI73+AI64</f>
        <v>7468450.9301620703</v>
      </c>
      <c r="AJ75" s="216"/>
      <c r="AK75" s="389">
        <f>+AK73+AK64</f>
        <v>1484780.9543950944</v>
      </c>
      <c r="AL75" s="216"/>
      <c r="AM75" s="389">
        <f>+AM73+AM64</f>
        <v>0</v>
      </c>
      <c r="AN75" s="216"/>
      <c r="AO75" s="389">
        <f>+AO73+AO64</f>
        <v>0</v>
      </c>
      <c r="AP75" s="216"/>
      <c r="AQ75" s="389">
        <f>+AQ73+AQ64</f>
        <v>0</v>
      </c>
      <c r="AR75" s="216"/>
      <c r="AS75" s="389">
        <f>+AS73+AS64</f>
        <v>0</v>
      </c>
      <c r="AT75" s="216"/>
      <c r="AU75" s="389">
        <f>+AU73+AU64</f>
        <v>0</v>
      </c>
      <c r="AV75" s="216"/>
      <c r="AW75" s="389">
        <f t="shared" ref="AW75" si="89">+AW73+AW64</f>
        <v>19622.096270283077</v>
      </c>
      <c r="AX75" s="216"/>
      <c r="AY75" s="389">
        <f t="shared" ref="AY75" si="90">+AY73+AY64</f>
        <v>23889.311358774477</v>
      </c>
      <c r="BA75" s="175"/>
      <c r="BB75" s="145"/>
      <c r="BC75" s="145"/>
      <c r="BD75" s="145"/>
    </row>
    <row r="76" spans="1:56">
      <c r="A76" s="146"/>
      <c r="B76" s="146"/>
      <c r="F76" s="216" t="s">
        <v>140</v>
      </c>
      <c r="G76" s="139"/>
      <c r="H76" s="261"/>
      <c r="I76" s="216"/>
      <c r="J76" s="312"/>
      <c r="K76" s="385"/>
      <c r="L76" s="386"/>
      <c r="M76" s="387"/>
      <c r="N76" s="386"/>
      <c r="O76" s="387"/>
      <c r="P76" s="386"/>
      <c r="Q76" s="387"/>
      <c r="R76" s="386"/>
      <c r="S76" s="387"/>
      <c r="T76" s="386"/>
      <c r="U76" s="387"/>
      <c r="V76" s="386"/>
      <c r="W76" s="387"/>
      <c r="X76" s="386"/>
      <c r="Z76" s="175"/>
      <c r="AC76" s="216" t="s">
        <v>140</v>
      </c>
      <c r="AE76" s="239"/>
      <c r="AG76" s="312"/>
      <c r="AH76" s="385"/>
      <c r="AI76" s="386"/>
      <c r="AJ76" s="387"/>
      <c r="AK76" s="386"/>
      <c r="AL76" s="387"/>
      <c r="AM76" s="386"/>
      <c r="AN76" s="387"/>
      <c r="AO76" s="386"/>
      <c r="AP76" s="387"/>
      <c r="AQ76" s="386"/>
      <c r="AR76" s="387"/>
      <c r="AS76" s="386"/>
      <c r="AT76" s="387"/>
      <c r="AU76" s="386"/>
      <c r="AV76" s="386"/>
      <c r="AW76" s="386"/>
      <c r="AX76" s="386"/>
      <c r="AY76" s="386"/>
      <c r="BA76" s="175"/>
      <c r="BB76" s="145"/>
      <c r="BC76" s="145"/>
      <c r="BD76" s="145"/>
    </row>
    <row r="77" spans="1:56">
      <c r="A77" s="146"/>
      <c r="B77" s="146"/>
      <c r="F77" s="216" t="s">
        <v>91</v>
      </c>
      <c r="G77" s="139"/>
      <c r="H77" s="261"/>
      <c r="I77" s="216"/>
      <c r="J77" s="312"/>
      <c r="K77" s="385"/>
      <c r="L77" s="386"/>
      <c r="M77" s="387"/>
      <c r="N77" s="386"/>
      <c r="O77" s="387"/>
      <c r="P77" s="386"/>
      <c r="Q77" s="387"/>
      <c r="R77" s="386"/>
      <c r="S77" s="387"/>
      <c r="T77" s="386"/>
      <c r="U77" s="387"/>
      <c r="V77" s="386"/>
      <c r="W77" s="387"/>
      <c r="X77" s="386"/>
      <c r="Z77" s="175"/>
      <c r="AC77" s="216" t="s">
        <v>91</v>
      </c>
      <c r="AE77" s="239"/>
      <c r="AG77" s="312"/>
      <c r="AH77" s="385"/>
      <c r="AI77" s="386"/>
      <c r="AJ77" s="387"/>
      <c r="AK77" s="386"/>
      <c r="AL77" s="387"/>
      <c r="AM77" s="386"/>
      <c r="AN77" s="387"/>
      <c r="AO77" s="386"/>
      <c r="AP77" s="387"/>
      <c r="AQ77" s="386"/>
      <c r="AR77" s="387"/>
      <c r="AS77" s="386"/>
      <c r="AT77" s="387"/>
      <c r="AU77" s="386"/>
      <c r="AV77" s="386"/>
      <c r="AW77" s="386"/>
      <c r="AX77" s="386"/>
      <c r="AY77" s="386"/>
      <c r="BA77" s="175"/>
      <c r="BB77" s="145"/>
      <c r="BC77" s="145"/>
      <c r="BD77" s="145"/>
    </row>
    <row r="78" spans="1:56">
      <c r="A78" s="146"/>
      <c r="B78" s="146"/>
      <c r="F78" s="529"/>
      <c r="G78" s="139"/>
      <c r="H78" s="261"/>
      <c r="I78" s="216"/>
      <c r="J78" s="312"/>
      <c r="K78" s="386"/>
      <c r="L78" s="386"/>
      <c r="M78" s="386"/>
      <c r="N78" s="386"/>
      <c r="O78" s="386"/>
      <c r="P78" s="386"/>
      <c r="Q78" s="386"/>
      <c r="R78" s="386"/>
      <c r="S78" s="386"/>
      <c r="T78" s="386"/>
      <c r="U78" s="386"/>
      <c r="V78" s="386"/>
      <c r="W78" s="386"/>
      <c r="X78" s="386"/>
      <c r="Z78" s="175"/>
      <c r="AG78" s="312"/>
      <c r="AH78" s="386"/>
      <c r="AI78" s="386"/>
      <c r="AJ78" s="386"/>
      <c r="AK78" s="386"/>
      <c r="AL78" s="386"/>
      <c r="AM78" s="386"/>
      <c r="AN78" s="386"/>
      <c r="AO78" s="386"/>
      <c r="AP78" s="386"/>
      <c r="AQ78" s="386"/>
      <c r="AR78" s="386"/>
      <c r="AS78" s="386"/>
      <c r="AT78" s="386"/>
      <c r="AU78" s="386"/>
      <c r="AV78" s="386"/>
      <c r="AW78" s="386"/>
      <c r="AX78" s="386"/>
      <c r="AY78" s="386"/>
      <c r="BA78" s="175"/>
      <c r="BB78" s="145"/>
      <c r="BC78" s="145"/>
      <c r="BD78" s="145"/>
    </row>
    <row r="79" spans="1:56">
      <c r="A79" s="146"/>
      <c r="B79" s="146"/>
      <c r="D79" s="488">
        <v>601.5</v>
      </c>
      <c r="F79" s="216" t="s">
        <v>583</v>
      </c>
      <c r="G79" s="139"/>
      <c r="H79" s="261">
        <v>11</v>
      </c>
      <c r="I79" s="216"/>
      <c r="J79" s="312">
        <v>45012.726538927935</v>
      </c>
      <c r="K79" s="385"/>
      <c r="L79" s="260">
        <f t="shared" ref="L79:L94" si="91">(VLOOKUP($H79,Factors,L$382))*$J79</f>
        <v>33944.097083005552</v>
      </c>
      <c r="M79" s="212"/>
      <c r="N79" s="260">
        <f t="shared" ref="N79:N94" si="92">(VLOOKUP($H79,Factors,N$382))*$J79</f>
        <v>7314.5680625757896</v>
      </c>
      <c r="O79" s="212"/>
      <c r="P79" s="260">
        <f t="shared" ref="P79:P94" si="93">(VLOOKUP($H79,Factors,P$382))*$J79</f>
        <v>454.62853804317211</v>
      </c>
      <c r="Q79" s="212"/>
      <c r="R79" s="260">
        <f t="shared" ref="R79:R94" si="94">(VLOOKUP($H79,Factors,R$382))*$J79</f>
        <v>1629.4607007091913</v>
      </c>
      <c r="S79" s="212"/>
      <c r="T79" s="260">
        <f t="shared" ref="T79:T94" si="95">(VLOOKUP($H79,Factors,T$382))*$J79</f>
        <v>139.53945227067661</v>
      </c>
      <c r="U79" s="212"/>
      <c r="V79" s="260">
        <f t="shared" ref="V79:V94" si="96">(VLOOKUP($H79,Factors,V$382))*$J79</f>
        <v>918.25962139412991</v>
      </c>
      <c r="W79" s="212"/>
      <c r="X79" s="260">
        <f t="shared" ref="X79:X94" si="97">(VLOOKUP($H79,Factors,X$382))*$J79</f>
        <v>612.17308092941983</v>
      </c>
      <c r="Y79" s="212"/>
      <c r="Z79" s="212"/>
      <c r="AC79" s="216" t="s">
        <v>583</v>
      </c>
      <c r="AE79" s="239">
        <f>+H79</f>
        <v>11</v>
      </c>
      <c r="AG79" s="312">
        <f>+J79</f>
        <v>45012.726538927935</v>
      </c>
      <c r="AH79" s="385"/>
      <c r="AI79" s="260">
        <f t="shared" ref="AI79:AI94" si="98">(VLOOKUP($AE79,func,AI$382))*$AG79</f>
        <v>3574.0104871908779</v>
      </c>
      <c r="AJ79" s="212"/>
      <c r="AK79" s="260">
        <f t="shared" ref="AK79:AK94" si="99">(VLOOKUP($AE79,func,AK$382))*$AG79</f>
        <v>679.69217073781181</v>
      </c>
      <c r="AL79" s="212"/>
      <c r="AM79" s="260">
        <f t="shared" ref="AM79:AM94" si="100">(VLOOKUP($AE79,func,AM$382))*$AG79</f>
        <v>3812.5779378471962</v>
      </c>
      <c r="AN79" s="212"/>
      <c r="AO79" s="260">
        <f t="shared" ref="AO79:AO94" si="101">(VLOOKUP($AE79,func,AO$382))*$AG79</f>
        <v>35398.008150212925</v>
      </c>
      <c r="AP79" s="212"/>
      <c r="AQ79" s="260">
        <f t="shared" ref="AQ79:AQ94" si="102">(VLOOKUP($AE79,func,AQ$382))*$AG79</f>
        <v>18.005090615571174</v>
      </c>
      <c r="AR79" s="212"/>
      <c r="AS79" s="260">
        <f t="shared" ref="AS79:AS94" si="103">(VLOOKUP($AE79,func,AS$382))*$AG79</f>
        <v>0</v>
      </c>
      <c r="AT79" s="212"/>
      <c r="AU79" s="260">
        <f t="shared" ref="AU79:AU94" si="104">(VLOOKUP($AE79,func,AU$382))*$AG79</f>
        <v>0</v>
      </c>
      <c r="AV79" s="262"/>
      <c r="AW79" s="262">
        <f t="shared" ref="AW79:AW94" si="105">(VLOOKUP($AE79,func,AW$382))*$AG79</f>
        <v>918.25962139412991</v>
      </c>
      <c r="AX79" s="262"/>
      <c r="AY79" s="262">
        <f t="shared" ref="AY79:AY94" si="106">(VLOOKUP($AE79,func,AY$382))*$AG79</f>
        <v>612.17308092941983</v>
      </c>
      <c r="BA79" s="175"/>
      <c r="BB79" s="145"/>
      <c r="BC79" s="145"/>
      <c r="BD79" s="145"/>
    </row>
    <row r="80" spans="1:56">
      <c r="A80" s="146"/>
      <c r="B80" s="146"/>
      <c r="D80" s="488">
        <v>601.5</v>
      </c>
      <c r="F80" s="216" t="s">
        <v>698</v>
      </c>
      <c r="G80" s="139"/>
      <c r="H80" s="261">
        <v>11</v>
      </c>
      <c r="I80" s="216"/>
      <c r="J80" s="312">
        <v>1128138.0348497713</v>
      </c>
      <c r="K80" s="385"/>
      <c r="L80" s="260">
        <f t="shared" si="91"/>
        <v>850728.89208021248</v>
      </c>
      <c r="M80" s="212"/>
      <c r="N80" s="260">
        <f t="shared" si="92"/>
        <v>183322.43066308784</v>
      </c>
      <c r="O80" s="212"/>
      <c r="P80" s="260">
        <f t="shared" si="93"/>
        <v>11394.194151982691</v>
      </c>
      <c r="Q80" s="212"/>
      <c r="R80" s="260">
        <f t="shared" si="94"/>
        <v>40838.596861561724</v>
      </c>
      <c r="S80" s="212"/>
      <c r="T80" s="260">
        <f t="shared" si="95"/>
        <v>3497.227908034291</v>
      </c>
      <c r="U80" s="212"/>
      <c r="V80" s="260">
        <f t="shared" si="96"/>
        <v>23014.015910935337</v>
      </c>
      <c r="W80" s="212"/>
      <c r="X80" s="260">
        <f t="shared" si="97"/>
        <v>15342.67727395689</v>
      </c>
      <c r="Y80" s="212"/>
      <c r="Z80" s="212"/>
      <c r="AC80" s="216" t="s">
        <v>698</v>
      </c>
      <c r="AE80" s="239">
        <f t="shared" ref="AE80:AE94" si="107">+H80</f>
        <v>11</v>
      </c>
      <c r="AG80" s="312">
        <f t="shared" ref="AG80:AG94" si="108">+J80</f>
        <v>1128138.0348497713</v>
      </c>
      <c r="AH80" s="385"/>
      <c r="AI80" s="260">
        <f t="shared" si="98"/>
        <v>89574.159967071842</v>
      </c>
      <c r="AJ80" s="212"/>
      <c r="AK80" s="260">
        <f t="shared" si="99"/>
        <v>17034.884326231546</v>
      </c>
      <c r="AL80" s="212"/>
      <c r="AM80" s="260">
        <f t="shared" si="100"/>
        <v>95553.291551775619</v>
      </c>
      <c r="AN80" s="212"/>
      <c r="AO80" s="260">
        <f t="shared" si="101"/>
        <v>887167.75060586014</v>
      </c>
      <c r="AP80" s="212"/>
      <c r="AQ80" s="260">
        <f t="shared" si="102"/>
        <v>451.25521393990851</v>
      </c>
      <c r="AR80" s="212"/>
      <c r="AS80" s="260">
        <f t="shared" si="103"/>
        <v>0</v>
      </c>
      <c r="AT80" s="212"/>
      <c r="AU80" s="260">
        <f t="shared" si="104"/>
        <v>0</v>
      </c>
      <c r="AV80" s="262"/>
      <c r="AW80" s="262">
        <f t="shared" si="105"/>
        <v>23014.015910935337</v>
      </c>
      <c r="AX80" s="262"/>
      <c r="AY80" s="262">
        <f t="shared" si="106"/>
        <v>15342.67727395689</v>
      </c>
      <c r="BA80" s="175"/>
      <c r="BB80" s="145"/>
      <c r="BC80" s="145"/>
      <c r="BD80" s="145"/>
    </row>
    <row r="81" spans="1:56">
      <c r="A81" s="146"/>
      <c r="B81" s="146"/>
      <c r="D81" s="488">
        <v>615.5</v>
      </c>
      <c r="F81" s="216" t="s">
        <v>579</v>
      </c>
      <c r="G81" s="139"/>
      <c r="H81" s="261">
        <v>11</v>
      </c>
      <c r="I81" s="216"/>
      <c r="J81" s="312">
        <v>162.52875201709585</v>
      </c>
      <c r="K81" s="385"/>
      <c r="L81" s="260">
        <f t="shared" si="91"/>
        <v>122.56293189609198</v>
      </c>
      <c r="M81" s="212"/>
      <c r="N81" s="260">
        <f t="shared" si="92"/>
        <v>26.410922202778078</v>
      </c>
      <c r="O81" s="212"/>
      <c r="P81" s="260">
        <f t="shared" si="93"/>
        <v>1.6415403953726682</v>
      </c>
      <c r="Q81" s="212"/>
      <c r="R81" s="260">
        <f t="shared" si="94"/>
        <v>5.8835408230188708</v>
      </c>
      <c r="S81" s="212"/>
      <c r="T81" s="260">
        <f t="shared" si="95"/>
        <v>0.50383913125299717</v>
      </c>
      <c r="U81" s="212"/>
      <c r="V81" s="260">
        <f t="shared" si="96"/>
        <v>3.3155865411487557</v>
      </c>
      <c r="W81" s="212"/>
      <c r="X81" s="260">
        <f t="shared" si="97"/>
        <v>2.2103910274325034</v>
      </c>
      <c r="Y81" s="212"/>
      <c r="Z81" s="212"/>
      <c r="AC81" s="216" t="s">
        <v>579</v>
      </c>
      <c r="AE81" s="239">
        <f t="shared" si="107"/>
        <v>11</v>
      </c>
      <c r="AG81" s="312">
        <f t="shared" si="108"/>
        <v>162.52875201709585</v>
      </c>
      <c r="AH81" s="385"/>
      <c r="AI81" s="260">
        <f t="shared" si="98"/>
        <v>12.90478291015741</v>
      </c>
      <c r="AJ81" s="212"/>
      <c r="AK81" s="260">
        <f t="shared" si="99"/>
        <v>2.4541841554581474</v>
      </c>
      <c r="AL81" s="212"/>
      <c r="AM81" s="260">
        <f t="shared" si="100"/>
        <v>13.766185295848018</v>
      </c>
      <c r="AN81" s="212"/>
      <c r="AO81" s="260">
        <f t="shared" si="101"/>
        <v>127.81261058624418</v>
      </c>
      <c r="AP81" s="212"/>
      <c r="AQ81" s="260">
        <f t="shared" si="102"/>
        <v>6.5011500806838346E-2</v>
      </c>
      <c r="AR81" s="212"/>
      <c r="AS81" s="260">
        <f t="shared" si="103"/>
        <v>0</v>
      </c>
      <c r="AT81" s="212"/>
      <c r="AU81" s="260">
        <f t="shared" si="104"/>
        <v>0</v>
      </c>
      <c r="AV81" s="262"/>
      <c r="AW81" s="262">
        <f t="shared" si="105"/>
        <v>3.3155865411487557</v>
      </c>
      <c r="AX81" s="262"/>
      <c r="AY81" s="262">
        <f t="shared" si="106"/>
        <v>2.2103910274325034</v>
      </c>
      <c r="BA81" s="175"/>
      <c r="BB81" s="145"/>
      <c r="BC81" s="145"/>
      <c r="BD81" s="145"/>
    </row>
    <row r="82" spans="1:56">
      <c r="A82" s="146"/>
      <c r="B82" s="146"/>
      <c r="D82" s="488">
        <v>601.5</v>
      </c>
      <c r="F82" s="216" t="s">
        <v>700</v>
      </c>
      <c r="G82" s="139"/>
      <c r="H82" s="261">
        <v>7</v>
      </c>
      <c r="I82" s="216"/>
      <c r="J82" s="312">
        <v>183297.49990657729</v>
      </c>
      <c r="K82" s="385"/>
      <c r="L82" s="260">
        <f t="shared" si="91"/>
        <v>86003.186956166057</v>
      </c>
      <c r="M82" s="212"/>
      <c r="N82" s="260">
        <f t="shared" si="92"/>
        <v>52203.12797339321</v>
      </c>
      <c r="O82" s="212"/>
      <c r="P82" s="260">
        <f t="shared" si="93"/>
        <v>6158.7959968609975</v>
      </c>
      <c r="Q82" s="212"/>
      <c r="R82" s="260">
        <f t="shared" si="94"/>
        <v>15598.617242049726</v>
      </c>
      <c r="S82" s="212"/>
      <c r="T82" s="260">
        <f t="shared" si="95"/>
        <v>1099.7849994394637</v>
      </c>
      <c r="U82" s="212"/>
      <c r="V82" s="260">
        <f t="shared" si="96"/>
        <v>10044.702994880436</v>
      </c>
      <c r="W82" s="212"/>
      <c r="X82" s="260">
        <f t="shared" si="97"/>
        <v>12189.28374378739</v>
      </c>
      <c r="Y82" s="212"/>
      <c r="Z82" s="212"/>
      <c r="AC82" s="216" t="s">
        <v>700</v>
      </c>
      <c r="AE82" s="239">
        <f t="shared" si="107"/>
        <v>7</v>
      </c>
      <c r="AG82" s="312">
        <f t="shared" si="108"/>
        <v>183297.49990657729</v>
      </c>
      <c r="AH82" s="385"/>
      <c r="AI82" s="260">
        <f t="shared" si="98"/>
        <v>71284.397713667902</v>
      </c>
      <c r="AJ82" s="212"/>
      <c r="AK82" s="260">
        <f t="shared" si="99"/>
        <v>13582.344743077378</v>
      </c>
      <c r="AL82" s="212"/>
      <c r="AM82" s="260">
        <f t="shared" si="100"/>
        <v>76196.770711164179</v>
      </c>
      <c r="AN82" s="212"/>
      <c r="AO82" s="260">
        <f t="shared" si="101"/>
        <v>0</v>
      </c>
      <c r="AP82" s="212"/>
      <c r="AQ82" s="260">
        <f t="shared" si="102"/>
        <v>0</v>
      </c>
      <c r="AR82" s="212"/>
      <c r="AS82" s="260">
        <f t="shared" si="103"/>
        <v>0</v>
      </c>
      <c r="AT82" s="212"/>
      <c r="AU82" s="260">
        <f t="shared" si="104"/>
        <v>0</v>
      </c>
      <c r="AV82" s="262"/>
      <c r="AW82" s="262">
        <f t="shared" si="105"/>
        <v>10044.702994880436</v>
      </c>
      <c r="AX82" s="262"/>
      <c r="AY82" s="262">
        <f t="shared" si="106"/>
        <v>12189.28374378739</v>
      </c>
      <c r="BA82" s="175"/>
      <c r="BB82" s="145"/>
      <c r="BC82" s="145"/>
      <c r="BD82" s="145"/>
    </row>
    <row r="83" spans="1:56">
      <c r="A83" s="146"/>
      <c r="B83" s="146"/>
      <c r="D83" s="488">
        <v>601.5</v>
      </c>
      <c r="F83" s="216" t="s">
        <v>701</v>
      </c>
      <c r="G83" s="139"/>
      <c r="H83" s="261">
        <v>9</v>
      </c>
      <c r="I83" s="216"/>
      <c r="J83" s="312">
        <v>715412.62610524346</v>
      </c>
      <c r="K83" s="385"/>
      <c r="L83" s="260">
        <f t="shared" si="91"/>
        <v>591646.24178903631</v>
      </c>
      <c r="M83" s="212"/>
      <c r="N83" s="260">
        <f t="shared" si="92"/>
        <v>93862.136545007947</v>
      </c>
      <c r="O83" s="212"/>
      <c r="P83" s="260">
        <f t="shared" si="93"/>
        <v>2933.1917670314983</v>
      </c>
      <c r="Q83" s="212"/>
      <c r="R83" s="260">
        <f t="shared" si="94"/>
        <v>16955.279238694267</v>
      </c>
      <c r="S83" s="212"/>
      <c r="T83" s="260">
        <f t="shared" si="95"/>
        <v>1716.9903026525842</v>
      </c>
      <c r="U83" s="212"/>
      <c r="V83" s="260">
        <f t="shared" si="96"/>
        <v>8298.7864628208226</v>
      </c>
      <c r="W83" s="212"/>
      <c r="X83" s="260">
        <f t="shared" si="97"/>
        <v>0</v>
      </c>
      <c r="Y83" s="212"/>
      <c r="Z83" s="212"/>
      <c r="AC83" s="216" t="s">
        <v>701</v>
      </c>
      <c r="AE83" s="239">
        <f t="shared" si="107"/>
        <v>9</v>
      </c>
      <c r="AG83" s="312">
        <f t="shared" si="108"/>
        <v>715412.62610524346</v>
      </c>
      <c r="AH83" s="385"/>
      <c r="AI83" s="260">
        <f t="shared" si="98"/>
        <v>0</v>
      </c>
      <c r="AJ83" s="212"/>
      <c r="AK83" s="260">
        <f t="shared" si="99"/>
        <v>0</v>
      </c>
      <c r="AL83" s="212"/>
      <c r="AM83" s="260">
        <f t="shared" si="100"/>
        <v>0</v>
      </c>
      <c r="AN83" s="212"/>
      <c r="AO83" s="260">
        <f t="shared" si="101"/>
        <v>707113.83964242262</v>
      </c>
      <c r="AP83" s="212"/>
      <c r="AQ83" s="260">
        <f t="shared" si="102"/>
        <v>0</v>
      </c>
      <c r="AR83" s="212"/>
      <c r="AS83" s="260">
        <f t="shared" si="103"/>
        <v>0</v>
      </c>
      <c r="AT83" s="212"/>
      <c r="AU83" s="260">
        <f t="shared" si="104"/>
        <v>0</v>
      </c>
      <c r="AV83" s="262"/>
      <c r="AW83" s="262">
        <f t="shared" si="105"/>
        <v>8298.7864628208226</v>
      </c>
      <c r="AX83" s="262"/>
      <c r="AY83" s="262">
        <f t="shared" si="106"/>
        <v>0</v>
      </c>
      <c r="BA83" s="175"/>
      <c r="BB83" s="145"/>
      <c r="BC83" s="145"/>
      <c r="BD83" s="145"/>
    </row>
    <row r="84" spans="1:56">
      <c r="A84" s="146"/>
      <c r="B84" s="146"/>
      <c r="D84" s="488">
        <v>601.5</v>
      </c>
      <c r="F84" s="216" t="s">
        <v>702</v>
      </c>
      <c r="G84" s="139"/>
      <c r="H84" s="261">
        <v>10</v>
      </c>
      <c r="I84" s="216"/>
      <c r="J84" s="312">
        <v>413.78409166763578</v>
      </c>
      <c r="K84" s="385"/>
      <c r="L84" s="260">
        <f t="shared" si="91"/>
        <v>340.95809153413188</v>
      </c>
      <c r="M84" s="212"/>
      <c r="N84" s="260">
        <f t="shared" si="92"/>
        <v>46.840359176776367</v>
      </c>
      <c r="O84" s="212"/>
      <c r="P84" s="260">
        <f t="shared" si="93"/>
        <v>0.49654091000116291</v>
      </c>
      <c r="Q84" s="212"/>
      <c r="R84" s="260">
        <f t="shared" si="94"/>
        <v>5.7929772833469011</v>
      </c>
      <c r="S84" s="212"/>
      <c r="T84" s="260">
        <f t="shared" si="95"/>
        <v>0.24827045500058145</v>
      </c>
      <c r="U84" s="212"/>
      <c r="V84" s="260">
        <f t="shared" si="96"/>
        <v>19.447852308378881</v>
      </c>
      <c r="W84" s="212"/>
      <c r="X84" s="260">
        <f t="shared" si="97"/>
        <v>0</v>
      </c>
      <c r="Y84" s="212"/>
      <c r="Z84" s="212"/>
      <c r="AC84" s="216" t="s">
        <v>702</v>
      </c>
      <c r="AE84" s="239">
        <f t="shared" si="107"/>
        <v>10</v>
      </c>
      <c r="AG84" s="312">
        <f t="shared" si="108"/>
        <v>413.78409166763578</v>
      </c>
      <c r="AH84" s="385"/>
      <c r="AI84" s="260">
        <f t="shared" si="98"/>
        <v>0</v>
      </c>
      <c r="AJ84" s="212"/>
      <c r="AK84" s="260">
        <f t="shared" si="99"/>
        <v>0</v>
      </c>
      <c r="AL84" s="212"/>
      <c r="AM84" s="260">
        <f t="shared" si="100"/>
        <v>0</v>
      </c>
      <c r="AN84" s="212"/>
      <c r="AO84" s="260">
        <f t="shared" si="101"/>
        <v>0</v>
      </c>
      <c r="AP84" s="212"/>
      <c r="AQ84" s="260">
        <f t="shared" si="102"/>
        <v>394.33623935925687</v>
      </c>
      <c r="AR84" s="212"/>
      <c r="AS84" s="260">
        <f t="shared" si="103"/>
        <v>0</v>
      </c>
      <c r="AT84" s="212"/>
      <c r="AU84" s="260">
        <f t="shared" si="104"/>
        <v>0</v>
      </c>
      <c r="AV84" s="262"/>
      <c r="AW84" s="262">
        <f t="shared" si="105"/>
        <v>19.447852308378881</v>
      </c>
      <c r="AX84" s="262"/>
      <c r="AY84" s="262">
        <f t="shared" si="106"/>
        <v>0</v>
      </c>
      <c r="BA84" s="175"/>
      <c r="BB84" s="145"/>
      <c r="BC84" s="145"/>
      <c r="BD84" s="145"/>
    </row>
    <row r="85" spans="1:56">
      <c r="A85" s="146"/>
      <c r="B85" s="146"/>
      <c r="D85" s="488">
        <v>620.5</v>
      </c>
      <c r="F85" s="216" t="s">
        <v>645</v>
      </c>
      <c r="G85" s="139"/>
      <c r="H85" s="261">
        <v>11</v>
      </c>
      <c r="I85" s="216"/>
      <c r="J85" s="312">
        <v>80867.880446401483</v>
      </c>
      <c r="K85" s="385"/>
      <c r="L85" s="260">
        <f t="shared" si="91"/>
        <v>60982.468644631357</v>
      </c>
      <c r="M85" s="212"/>
      <c r="N85" s="260">
        <f t="shared" si="92"/>
        <v>13141.030572540241</v>
      </c>
      <c r="O85" s="212"/>
      <c r="P85" s="260">
        <f t="shared" si="93"/>
        <v>816.76559250865489</v>
      </c>
      <c r="Q85" s="212"/>
      <c r="R85" s="260">
        <f t="shared" si="94"/>
        <v>2927.4172721597338</v>
      </c>
      <c r="S85" s="212"/>
      <c r="T85" s="260">
        <f t="shared" si="95"/>
        <v>250.69042938384459</v>
      </c>
      <c r="U85" s="212"/>
      <c r="V85" s="260">
        <f t="shared" si="96"/>
        <v>1649.7047611065905</v>
      </c>
      <c r="W85" s="212"/>
      <c r="X85" s="260">
        <f t="shared" si="97"/>
        <v>1099.8031740710601</v>
      </c>
      <c r="Y85" s="212"/>
      <c r="Z85" s="212"/>
      <c r="AC85" s="216" t="s">
        <v>645</v>
      </c>
      <c r="AE85" s="239">
        <f t="shared" si="107"/>
        <v>11</v>
      </c>
      <c r="AG85" s="312">
        <f t="shared" si="108"/>
        <v>80867.880446401483</v>
      </c>
      <c r="AH85" s="385"/>
      <c r="AI85" s="260">
        <f t="shared" si="98"/>
        <v>6420.909707444278</v>
      </c>
      <c r="AJ85" s="212"/>
      <c r="AK85" s="260">
        <f t="shared" si="99"/>
        <v>1221.1049947406625</v>
      </c>
      <c r="AL85" s="212"/>
      <c r="AM85" s="260">
        <f t="shared" si="100"/>
        <v>6849.5094738102052</v>
      </c>
      <c r="AN85" s="212"/>
      <c r="AO85" s="260">
        <f t="shared" si="101"/>
        <v>63594.501183050124</v>
      </c>
      <c r="AP85" s="212"/>
      <c r="AQ85" s="260">
        <f t="shared" si="102"/>
        <v>32.347152178560592</v>
      </c>
      <c r="AR85" s="212"/>
      <c r="AS85" s="260">
        <f t="shared" si="103"/>
        <v>0</v>
      </c>
      <c r="AT85" s="212"/>
      <c r="AU85" s="260">
        <f t="shared" si="104"/>
        <v>0</v>
      </c>
      <c r="AV85" s="262"/>
      <c r="AW85" s="262">
        <f t="shared" si="105"/>
        <v>1649.7047611065905</v>
      </c>
      <c r="AX85" s="262"/>
      <c r="AY85" s="262">
        <f t="shared" si="106"/>
        <v>1099.8031740710601</v>
      </c>
      <c r="BA85" s="175"/>
      <c r="BB85" s="145"/>
      <c r="BC85" s="145"/>
      <c r="BD85" s="145"/>
    </row>
    <row r="86" spans="1:56">
      <c r="A86" s="146"/>
      <c r="B86" s="146"/>
      <c r="D86" s="488">
        <v>636.5</v>
      </c>
      <c r="F86" s="216" t="s">
        <v>640</v>
      </c>
      <c r="G86" s="139"/>
      <c r="H86" s="261">
        <v>11</v>
      </c>
      <c r="I86" s="216"/>
      <c r="J86" s="312">
        <v>104733.22682568204</v>
      </c>
      <c r="K86" s="385"/>
      <c r="L86" s="260">
        <f t="shared" si="91"/>
        <v>78979.326349246825</v>
      </c>
      <c r="M86" s="212"/>
      <c r="N86" s="260">
        <f t="shared" si="92"/>
        <v>17019.149359173331</v>
      </c>
      <c r="O86" s="212"/>
      <c r="P86" s="260">
        <f t="shared" si="93"/>
        <v>1057.8055909393886</v>
      </c>
      <c r="Q86" s="212"/>
      <c r="R86" s="260">
        <f t="shared" si="94"/>
        <v>3791.3428110896903</v>
      </c>
      <c r="S86" s="212"/>
      <c r="T86" s="260">
        <f t="shared" si="95"/>
        <v>324.67300315961432</v>
      </c>
      <c r="U86" s="212"/>
      <c r="V86" s="260">
        <f t="shared" si="96"/>
        <v>2136.5578272439138</v>
      </c>
      <c r="W86" s="212"/>
      <c r="X86" s="260">
        <f t="shared" si="97"/>
        <v>1424.3718848292756</v>
      </c>
      <c r="Y86" s="212"/>
      <c r="Z86" s="212"/>
      <c r="AC86" s="216" t="s">
        <v>640</v>
      </c>
      <c r="AE86" s="239">
        <f t="shared" si="107"/>
        <v>11</v>
      </c>
      <c r="AG86" s="312">
        <f t="shared" si="108"/>
        <v>104733.22682568204</v>
      </c>
      <c r="AH86" s="385"/>
      <c r="AI86" s="260">
        <f t="shared" si="98"/>
        <v>8315.818209959154</v>
      </c>
      <c r="AJ86" s="212"/>
      <c r="AK86" s="260">
        <f t="shared" si="99"/>
        <v>1581.4717250677988</v>
      </c>
      <c r="AL86" s="212"/>
      <c r="AM86" s="260">
        <f t="shared" si="100"/>
        <v>8870.9043121352679</v>
      </c>
      <c r="AN86" s="212"/>
      <c r="AO86" s="260">
        <f t="shared" si="101"/>
        <v>82362.209575716348</v>
      </c>
      <c r="AP86" s="212"/>
      <c r="AQ86" s="260">
        <f t="shared" si="102"/>
        <v>41.893290730272817</v>
      </c>
      <c r="AR86" s="212"/>
      <c r="AS86" s="260">
        <f t="shared" si="103"/>
        <v>0</v>
      </c>
      <c r="AT86" s="212"/>
      <c r="AU86" s="260">
        <f t="shared" si="104"/>
        <v>0</v>
      </c>
      <c r="AV86" s="262"/>
      <c r="AW86" s="262">
        <f t="shared" si="105"/>
        <v>2136.5578272439138</v>
      </c>
      <c r="AX86" s="262"/>
      <c r="AY86" s="262">
        <f t="shared" si="106"/>
        <v>1424.3718848292756</v>
      </c>
      <c r="BA86" s="175"/>
      <c r="BB86" s="145"/>
      <c r="BC86" s="145"/>
      <c r="BD86" s="145"/>
    </row>
    <row r="87" spans="1:56">
      <c r="A87" s="512"/>
      <c r="B87" s="512"/>
      <c r="D87" s="488">
        <v>650.5</v>
      </c>
      <c r="F87" s="216" t="s">
        <v>655</v>
      </c>
      <c r="G87" s="139"/>
      <c r="H87" s="261">
        <v>11</v>
      </c>
      <c r="I87" s="216"/>
      <c r="J87" s="312">
        <v>3050.9985562725892</v>
      </c>
      <c r="K87" s="385"/>
      <c r="L87" s="260">
        <f t="shared" si="91"/>
        <v>2300.7580112851597</v>
      </c>
      <c r="M87" s="212"/>
      <c r="N87" s="260">
        <f t="shared" si="92"/>
        <v>495.78726539429579</v>
      </c>
      <c r="O87" s="212"/>
      <c r="P87" s="260">
        <f t="shared" si="93"/>
        <v>30.815085418353149</v>
      </c>
      <c r="Q87" s="212"/>
      <c r="R87" s="260">
        <f t="shared" si="94"/>
        <v>110.44614773706773</v>
      </c>
      <c r="S87" s="212"/>
      <c r="T87" s="260">
        <f t="shared" si="95"/>
        <v>9.4580955244450262</v>
      </c>
      <c r="U87" s="212"/>
      <c r="V87" s="260">
        <f t="shared" si="96"/>
        <v>62.240370547960822</v>
      </c>
      <c r="W87" s="212"/>
      <c r="X87" s="260">
        <f t="shared" si="97"/>
        <v>41.49358036530721</v>
      </c>
      <c r="Y87" s="212"/>
      <c r="Z87" s="212"/>
      <c r="AC87" s="216" t="s">
        <v>655</v>
      </c>
      <c r="AE87" s="239">
        <f t="shared" si="107"/>
        <v>11</v>
      </c>
      <c r="AG87" s="312">
        <f t="shared" si="108"/>
        <v>3050.9985562725892</v>
      </c>
      <c r="AH87" s="385"/>
      <c r="AI87" s="260">
        <f t="shared" si="98"/>
        <v>242.24928536804359</v>
      </c>
      <c r="AJ87" s="212"/>
      <c r="AK87" s="260">
        <f t="shared" si="99"/>
        <v>46.0700781997161</v>
      </c>
      <c r="AL87" s="212"/>
      <c r="AM87" s="260">
        <f t="shared" si="100"/>
        <v>258.4195777162883</v>
      </c>
      <c r="AN87" s="212"/>
      <c r="AO87" s="260">
        <f t="shared" si="101"/>
        <v>2399.305264652764</v>
      </c>
      <c r="AP87" s="212"/>
      <c r="AQ87" s="260">
        <f t="shared" si="102"/>
        <v>1.2203994225090358</v>
      </c>
      <c r="AR87" s="212"/>
      <c r="AS87" s="260">
        <f t="shared" si="103"/>
        <v>0</v>
      </c>
      <c r="AT87" s="212"/>
      <c r="AU87" s="260">
        <f t="shared" si="104"/>
        <v>0</v>
      </c>
      <c r="AV87" s="262"/>
      <c r="AW87" s="262">
        <f t="shared" si="105"/>
        <v>62.240370547960822</v>
      </c>
      <c r="AX87" s="262"/>
      <c r="AY87" s="262">
        <f t="shared" si="106"/>
        <v>41.49358036530721</v>
      </c>
      <c r="BA87" s="175"/>
      <c r="BB87" s="145"/>
      <c r="BC87" s="145"/>
      <c r="BD87" s="145"/>
    </row>
    <row r="88" spans="1:56">
      <c r="A88" s="512"/>
      <c r="B88" s="512"/>
      <c r="D88" s="488">
        <v>675.5</v>
      </c>
      <c r="F88" s="216" t="s">
        <v>667</v>
      </c>
      <c r="G88" s="139"/>
      <c r="H88" s="261">
        <v>11</v>
      </c>
      <c r="I88" s="216"/>
      <c r="J88" s="312">
        <v>36368.763353744398</v>
      </c>
      <c r="K88" s="385"/>
      <c r="L88" s="260">
        <f t="shared" si="91"/>
        <v>27425.68444505865</v>
      </c>
      <c r="M88" s="212"/>
      <c r="N88" s="260">
        <f t="shared" si="92"/>
        <v>5909.9240449834651</v>
      </c>
      <c r="O88" s="212"/>
      <c r="P88" s="260">
        <f t="shared" si="93"/>
        <v>367.3245098728184</v>
      </c>
      <c r="Q88" s="212"/>
      <c r="R88" s="260">
        <f t="shared" si="94"/>
        <v>1316.5492334055473</v>
      </c>
      <c r="S88" s="212"/>
      <c r="T88" s="260">
        <f t="shared" si="95"/>
        <v>112.74316639660763</v>
      </c>
      <c r="U88" s="212"/>
      <c r="V88" s="260">
        <f t="shared" si="96"/>
        <v>741.92277241638578</v>
      </c>
      <c r="W88" s="212"/>
      <c r="X88" s="260">
        <f t="shared" si="97"/>
        <v>494.6151816109238</v>
      </c>
      <c r="Y88" s="212"/>
      <c r="Z88" s="212"/>
      <c r="AC88" s="216" t="s">
        <v>667</v>
      </c>
      <c r="AE88" s="239">
        <f t="shared" si="107"/>
        <v>11</v>
      </c>
      <c r="AG88" s="312">
        <f t="shared" si="108"/>
        <v>36368.763353744398</v>
      </c>
      <c r="AH88" s="385"/>
      <c r="AI88" s="260">
        <f t="shared" si="98"/>
        <v>2887.6798102873054</v>
      </c>
      <c r="AJ88" s="212"/>
      <c r="AK88" s="260">
        <f t="shared" si="99"/>
        <v>549.16832664154038</v>
      </c>
      <c r="AL88" s="212"/>
      <c r="AM88" s="260">
        <f t="shared" si="100"/>
        <v>3080.4342560621503</v>
      </c>
      <c r="AN88" s="212"/>
      <c r="AO88" s="260">
        <f t="shared" si="101"/>
        <v>28600.395501384595</v>
      </c>
      <c r="AP88" s="212"/>
      <c r="AQ88" s="260">
        <f t="shared" si="102"/>
        <v>14.547505341497759</v>
      </c>
      <c r="AR88" s="212"/>
      <c r="AS88" s="260">
        <f t="shared" si="103"/>
        <v>0</v>
      </c>
      <c r="AT88" s="212"/>
      <c r="AU88" s="260">
        <f t="shared" si="104"/>
        <v>0</v>
      </c>
      <c r="AV88" s="262"/>
      <c r="AW88" s="262">
        <f t="shared" si="105"/>
        <v>741.92277241638578</v>
      </c>
      <c r="AX88" s="262"/>
      <c r="AY88" s="262">
        <f t="shared" si="106"/>
        <v>494.6151816109238</v>
      </c>
      <c r="BA88" s="175"/>
      <c r="BB88" s="145"/>
      <c r="BC88" s="145"/>
      <c r="BD88" s="145"/>
    </row>
    <row r="89" spans="1:56">
      <c r="A89" s="512"/>
      <c r="B89" s="512"/>
      <c r="D89" s="488">
        <v>675.5</v>
      </c>
      <c r="F89" s="216" t="s">
        <v>650</v>
      </c>
      <c r="G89" s="139"/>
      <c r="H89" s="261">
        <v>11</v>
      </c>
      <c r="I89" s="216"/>
      <c r="J89" s="312">
        <v>24014.321474985809</v>
      </c>
      <c r="K89" s="385"/>
      <c r="L89" s="260">
        <f t="shared" si="91"/>
        <v>18109.199824286799</v>
      </c>
      <c r="M89" s="212"/>
      <c r="N89" s="260">
        <f t="shared" si="92"/>
        <v>3902.3272396851939</v>
      </c>
      <c r="O89" s="212"/>
      <c r="P89" s="260">
        <f t="shared" si="93"/>
        <v>242.54464689735667</v>
      </c>
      <c r="Q89" s="212"/>
      <c r="R89" s="260">
        <f t="shared" si="94"/>
        <v>869.31843739448641</v>
      </c>
      <c r="S89" s="212"/>
      <c r="T89" s="260">
        <f t="shared" si="95"/>
        <v>74.444396572456</v>
      </c>
      <c r="U89" s="212"/>
      <c r="V89" s="260">
        <f t="shared" si="96"/>
        <v>489.89215808971056</v>
      </c>
      <c r="W89" s="212"/>
      <c r="X89" s="260">
        <f t="shared" si="97"/>
        <v>326.59477205980698</v>
      </c>
      <c r="Y89" s="212"/>
      <c r="Z89" s="212"/>
      <c r="AC89" s="216" t="s">
        <v>650</v>
      </c>
      <c r="AE89" s="239">
        <f t="shared" si="107"/>
        <v>11</v>
      </c>
      <c r="AG89" s="312">
        <f t="shared" si="108"/>
        <v>24014.321474985809</v>
      </c>
      <c r="AH89" s="385"/>
      <c r="AI89" s="260">
        <f t="shared" si="98"/>
        <v>1906.7371251138732</v>
      </c>
      <c r="AJ89" s="212"/>
      <c r="AK89" s="260">
        <f t="shared" si="99"/>
        <v>362.61625427228574</v>
      </c>
      <c r="AL89" s="212"/>
      <c r="AM89" s="260">
        <f t="shared" si="100"/>
        <v>2034.0130289312979</v>
      </c>
      <c r="AN89" s="212"/>
      <c r="AO89" s="260">
        <f t="shared" si="101"/>
        <v>18884.862407928838</v>
      </c>
      <c r="AP89" s="212"/>
      <c r="AQ89" s="260">
        <f t="shared" si="102"/>
        <v>9.6057285899943246</v>
      </c>
      <c r="AR89" s="212"/>
      <c r="AS89" s="260">
        <f t="shared" si="103"/>
        <v>0</v>
      </c>
      <c r="AT89" s="212"/>
      <c r="AU89" s="260">
        <f t="shared" si="104"/>
        <v>0</v>
      </c>
      <c r="AV89" s="262"/>
      <c r="AW89" s="262">
        <f t="shared" si="105"/>
        <v>489.89215808971056</v>
      </c>
      <c r="AX89" s="262"/>
      <c r="AY89" s="262">
        <f t="shared" si="106"/>
        <v>326.59477205980698</v>
      </c>
      <c r="BA89" s="175"/>
      <c r="BB89" s="145"/>
      <c r="BC89" s="145"/>
      <c r="BD89" s="145"/>
    </row>
    <row r="90" spans="1:56">
      <c r="A90" s="512"/>
      <c r="B90" s="512"/>
      <c r="D90" s="488">
        <v>675.5</v>
      </c>
      <c r="F90" s="216" t="s">
        <v>675</v>
      </c>
      <c r="G90" s="139"/>
      <c r="H90" s="261">
        <v>11</v>
      </c>
      <c r="I90" s="216"/>
      <c r="J90" s="312">
        <v>62735.950147668293</v>
      </c>
      <c r="K90" s="385"/>
      <c r="L90" s="260">
        <f t="shared" si="91"/>
        <v>47309.180006356662</v>
      </c>
      <c r="M90" s="212"/>
      <c r="N90" s="260">
        <f t="shared" si="92"/>
        <v>10194.591898996097</v>
      </c>
      <c r="O90" s="212"/>
      <c r="P90" s="260">
        <f t="shared" si="93"/>
        <v>633.63309649144969</v>
      </c>
      <c r="Q90" s="212"/>
      <c r="R90" s="260">
        <f t="shared" si="94"/>
        <v>2271.0413953455923</v>
      </c>
      <c r="S90" s="212"/>
      <c r="T90" s="260">
        <f t="shared" si="95"/>
        <v>194.48144545777171</v>
      </c>
      <c r="U90" s="212"/>
      <c r="V90" s="260">
        <f t="shared" si="96"/>
        <v>1279.8133830124332</v>
      </c>
      <c r="W90" s="212"/>
      <c r="X90" s="260">
        <f t="shared" si="97"/>
        <v>853.20892200828871</v>
      </c>
      <c r="Y90" s="212"/>
      <c r="Z90" s="212"/>
      <c r="AC90" s="216" t="s">
        <v>675</v>
      </c>
      <c r="AE90" s="239">
        <f t="shared" si="107"/>
        <v>11</v>
      </c>
      <c r="AG90" s="312">
        <f t="shared" si="108"/>
        <v>62735.950147668293</v>
      </c>
      <c r="AH90" s="385"/>
      <c r="AI90" s="260">
        <f t="shared" si="98"/>
        <v>4981.2344417248623</v>
      </c>
      <c r="AJ90" s="212"/>
      <c r="AK90" s="260">
        <f t="shared" si="99"/>
        <v>947.31284722979126</v>
      </c>
      <c r="AL90" s="212"/>
      <c r="AM90" s="260">
        <f t="shared" si="100"/>
        <v>5313.7349775075045</v>
      </c>
      <c r="AN90" s="212"/>
      <c r="AO90" s="260">
        <f t="shared" si="101"/>
        <v>49335.551196126347</v>
      </c>
      <c r="AP90" s="212"/>
      <c r="AQ90" s="260">
        <f t="shared" si="102"/>
        <v>25.094380059067319</v>
      </c>
      <c r="AR90" s="212"/>
      <c r="AS90" s="260">
        <f t="shared" si="103"/>
        <v>0</v>
      </c>
      <c r="AT90" s="212"/>
      <c r="AU90" s="260">
        <f t="shared" si="104"/>
        <v>0</v>
      </c>
      <c r="AV90" s="262"/>
      <c r="AW90" s="262">
        <f t="shared" si="105"/>
        <v>1279.8133830124332</v>
      </c>
      <c r="AX90" s="262"/>
      <c r="AY90" s="262">
        <f t="shared" si="106"/>
        <v>853.20892200828871</v>
      </c>
      <c r="BA90" s="175"/>
      <c r="BB90" s="145"/>
      <c r="BC90" s="145"/>
      <c r="BD90" s="145"/>
    </row>
    <row r="91" spans="1:56">
      <c r="A91" s="512"/>
      <c r="B91" s="512"/>
      <c r="D91" s="488">
        <v>675.5</v>
      </c>
      <c r="F91" s="216" t="s">
        <v>677</v>
      </c>
      <c r="G91" s="139"/>
      <c r="H91" s="261">
        <v>11</v>
      </c>
      <c r="I91" s="216"/>
      <c r="J91" s="312">
        <v>23845.674710566258</v>
      </c>
      <c r="K91" s="385"/>
      <c r="L91" s="260">
        <f t="shared" si="91"/>
        <v>17982.023299238015</v>
      </c>
      <c r="M91" s="212"/>
      <c r="N91" s="260">
        <f t="shared" si="92"/>
        <v>3874.922140467017</v>
      </c>
      <c r="O91" s="212"/>
      <c r="P91" s="260">
        <f t="shared" si="93"/>
        <v>240.84131457671918</v>
      </c>
      <c r="Q91" s="212"/>
      <c r="R91" s="260">
        <f t="shared" si="94"/>
        <v>863.2134245224986</v>
      </c>
      <c r="S91" s="212"/>
      <c r="T91" s="260">
        <f t="shared" si="95"/>
        <v>73.921591602755399</v>
      </c>
      <c r="U91" s="212"/>
      <c r="V91" s="260">
        <f t="shared" si="96"/>
        <v>486.45176409555171</v>
      </c>
      <c r="W91" s="212"/>
      <c r="X91" s="260">
        <f t="shared" si="97"/>
        <v>324.30117606370106</v>
      </c>
      <c r="Y91" s="212"/>
      <c r="Z91" s="212"/>
      <c r="AC91" s="216" t="s">
        <v>677</v>
      </c>
      <c r="AE91" s="239">
        <f t="shared" si="107"/>
        <v>11</v>
      </c>
      <c r="AG91" s="312">
        <f t="shared" si="108"/>
        <v>23845.674710566258</v>
      </c>
      <c r="AH91" s="385"/>
      <c r="AI91" s="260">
        <f t="shared" si="98"/>
        <v>1893.3465720189608</v>
      </c>
      <c r="AJ91" s="212"/>
      <c r="AK91" s="260">
        <f t="shared" si="99"/>
        <v>360.06968812955051</v>
      </c>
      <c r="AL91" s="212"/>
      <c r="AM91" s="260">
        <f t="shared" si="100"/>
        <v>2019.728647984962</v>
      </c>
      <c r="AN91" s="212"/>
      <c r="AO91" s="260">
        <f t="shared" si="101"/>
        <v>18752.238592389305</v>
      </c>
      <c r="AP91" s="212"/>
      <c r="AQ91" s="260">
        <f t="shared" si="102"/>
        <v>9.5382698842265032</v>
      </c>
      <c r="AR91" s="212"/>
      <c r="AS91" s="260">
        <f t="shared" si="103"/>
        <v>0</v>
      </c>
      <c r="AT91" s="212"/>
      <c r="AU91" s="260">
        <f t="shared" si="104"/>
        <v>0</v>
      </c>
      <c r="AV91" s="262"/>
      <c r="AW91" s="262">
        <f t="shared" si="105"/>
        <v>486.45176409555171</v>
      </c>
      <c r="AX91" s="262"/>
      <c r="AY91" s="262">
        <f t="shared" si="106"/>
        <v>324.30117606370106</v>
      </c>
      <c r="BA91" s="175"/>
      <c r="BB91" s="145"/>
      <c r="BC91" s="145"/>
      <c r="BD91" s="145"/>
    </row>
    <row r="92" spans="1:56">
      <c r="A92" s="512"/>
      <c r="B92" s="512"/>
      <c r="D92" s="488">
        <v>675.5</v>
      </c>
      <c r="F92" s="216" t="s">
        <v>685</v>
      </c>
      <c r="G92" s="139"/>
      <c r="H92" s="261">
        <v>11</v>
      </c>
      <c r="I92" s="216"/>
      <c r="J92" s="312">
        <v>10337.860232598316</v>
      </c>
      <c r="K92" s="385"/>
      <c r="L92" s="260">
        <f t="shared" si="91"/>
        <v>7795.7804014023895</v>
      </c>
      <c r="M92" s="212"/>
      <c r="N92" s="260">
        <f t="shared" si="92"/>
        <v>1679.9022877972263</v>
      </c>
      <c r="O92" s="212"/>
      <c r="P92" s="260">
        <f t="shared" si="93"/>
        <v>104.41238834924299</v>
      </c>
      <c r="Q92" s="212"/>
      <c r="R92" s="260">
        <f t="shared" si="94"/>
        <v>374.23054042005907</v>
      </c>
      <c r="S92" s="212"/>
      <c r="T92" s="260">
        <f t="shared" si="95"/>
        <v>32.047366721054779</v>
      </c>
      <c r="U92" s="212"/>
      <c r="V92" s="260">
        <f t="shared" si="96"/>
        <v>210.89234874500565</v>
      </c>
      <c r="W92" s="212"/>
      <c r="X92" s="260">
        <f t="shared" si="97"/>
        <v>140.59489916333709</v>
      </c>
      <c r="Y92" s="212"/>
      <c r="Z92" s="212"/>
      <c r="AC92" s="216" t="s">
        <v>685</v>
      </c>
      <c r="AE92" s="239">
        <f t="shared" si="107"/>
        <v>11</v>
      </c>
      <c r="AG92" s="312">
        <f t="shared" si="108"/>
        <v>10337.860232598316</v>
      </c>
      <c r="AH92" s="385"/>
      <c r="AI92" s="260">
        <f t="shared" si="98"/>
        <v>820.8261024683062</v>
      </c>
      <c r="AJ92" s="212"/>
      <c r="AK92" s="260">
        <f t="shared" si="99"/>
        <v>156.10168951223457</v>
      </c>
      <c r="AL92" s="212"/>
      <c r="AM92" s="260">
        <f t="shared" si="100"/>
        <v>875.61676170107728</v>
      </c>
      <c r="AN92" s="212"/>
      <c r="AO92" s="260">
        <f t="shared" si="101"/>
        <v>8129.6932869153152</v>
      </c>
      <c r="AP92" s="212"/>
      <c r="AQ92" s="260">
        <f t="shared" si="102"/>
        <v>4.1351440930393268</v>
      </c>
      <c r="AR92" s="212"/>
      <c r="AS92" s="260">
        <f t="shared" si="103"/>
        <v>0</v>
      </c>
      <c r="AT92" s="212"/>
      <c r="AU92" s="260">
        <f t="shared" si="104"/>
        <v>0</v>
      </c>
      <c r="AV92" s="262"/>
      <c r="AW92" s="262">
        <f t="shared" si="105"/>
        <v>210.89234874500565</v>
      </c>
      <c r="AX92" s="262"/>
      <c r="AY92" s="262">
        <f t="shared" si="106"/>
        <v>140.59489916333709</v>
      </c>
      <c r="BA92" s="175"/>
      <c r="BB92" s="145"/>
      <c r="BC92" s="145"/>
      <c r="BD92" s="145"/>
    </row>
    <row r="93" spans="1:56">
      <c r="A93" s="512"/>
      <c r="B93" s="512"/>
      <c r="D93" s="488">
        <v>675.5</v>
      </c>
      <c r="F93" s="216" t="s">
        <v>694</v>
      </c>
      <c r="G93" s="139"/>
      <c r="H93" s="261">
        <v>11</v>
      </c>
      <c r="I93" s="216"/>
      <c r="J93" s="312">
        <v>14269.998095768635</v>
      </c>
      <c r="K93" s="385"/>
      <c r="L93" s="260">
        <f t="shared" si="91"/>
        <v>10761.005564019128</v>
      </c>
      <c r="M93" s="212"/>
      <c r="N93" s="260">
        <f t="shared" si="92"/>
        <v>2318.8746905624034</v>
      </c>
      <c r="O93" s="212"/>
      <c r="P93" s="260">
        <f t="shared" si="93"/>
        <v>144.12698076726321</v>
      </c>
      <c r="Q93" s="212"/>
      <c r="R93" s="260">
        <f t="shared" si="94"/>
        <v>516.57393106682457</v>
      </c>
      <c r="S93" s="212"/>
      <c r="T93" s="260">
        <f t="shared" si="95"/>
        <v>44.236994096882768</v>
      </c>
      <c r="U93" s="212"/>
      <c r="V93" s="260">
        <f t="shared" si="96"/>
        <v>291.10796115368015</v>
      </c>
      <c r="W93" s="212"/>
      <c r="X93" s="260">
        <f t="shared" si="97"/>
        <v>194.07197410245342</v>
      </c>
      <c r="Y93" s="212"/>
      <c r="Z93" s="212"/>
      <c r="AC93" s="216" t="s">
        <v>694</v>
      </c>
      <c r="AE93" s="239">
        <f t="shared" si="107"/>
        <v>11</v>
      </c>
      <c r="AG93" s="312">
        <f t="shared" si="108"/>
        <v>14269.998095768635</v>
      </c>
      <c r="AH93" s="385"/>
      <c r="AI93" s="260">
        <f t="shared" si="98"/>
        <v>1133.0378488040296</v>
      </c>
      <c r="AJ93" s="212"/>
      <c r="AK93" s="260">
        <f t="shared" si="99"/>
        <v>215.47697124610639</v>
      </c>
      <c r="AL93" s="212"/>
      <c r="AM93" s="260">
        <f t="shared" si="100"/>
        <v>1208.6688387116033</v>
      </c>
      <c r="AN93" s="212"/>
      <c r="AO93" s="260">
        <f t="shared" si="101"/>
        <v>11221.926502512455</v>
      </c>
      <c r="AP93" s="212"/>
      <c r="AQ93" s="260">
        <f t="shared" si="102"/>
        <v>5.7079992383074538</v>
      </c>
      <c r="AR93" s="212"/>
      <c r="AS93" s="260">
        <f t="shared" si="103"/>
        <v>0</v>
      </c>
      <c r="AT93" s="212"/>
      <c r="AU93" s="260">
        <f t="shared" si="104"/>
        <v>0</v>
      </c>
      <c r="AV93" s="262"/>
      <c r="AW93" s="262">
        <f t="shared" si="105"/>
        <v>291.10796115368015</v>
      </c>
      <c r="AX93" s="262"/>
      <c r="AY93" s="262">
        <f t="shared" si="106"/>
        <v>194.07197410245342</v>
      </c>
      <c r="BA93" s="175"/>
      <c r="BB93" s="145"/>
      <c r="BC93" s="145"/>
      <c r="BD93" s="145"/>
    </row>
    <row r="94" spans="1:56">
      <c r="A94" s="512"/>
      <c r="B94" s="512"/>
      <c r="D94" s="488">
        <v>641.5</v>
      </c>
      <c r="F94" s="216" t="s">
        <v>581</v>
      </c>
      <c r="G94" s="139"/>
      <c r="H94" s="261">
        <v>11</v>
      </c>
      <c r="I94" s="216"/>
      <c r="J94" s="389">
        <v>5808</v>
      </c>
      <c r="K94" s="385"/>
      <c r="L94" s="549">
        <f t="shared" si="91"/>
        <v>4379.8127999999997</v>
      </c>
      <c r="M94" s="385"/>
      <c r="N94" s="549">
        <f t="shared" si="92"/>
        <v>943.80000000000007</v>
      </c>
      <c r="O94" s="385"/>
      <c r="P94" s="549">
        <f t="shared" si="93"/>
        <v>58.660799999999995</v>
      </c>
      <c r="Q94" s="385"/>
      <c r="R94" s="549">
        <f t="shared" si="94"/>
        <v>210.24960000000002</v>
      </c>
      <c r="S94" s="385"/>
      <c r="T94" s="549">
        <f t="shared" si="95"/>
        <v>18.004799999999999</v>
      </c>
      <c r="U94" s="385"/>
      <c r="V94" s="549">
        <f t="shared" si="96"/>
        <v>118.48320000000001</v>
      </c>
      <c r="W94" s="385"/>
      <c r="X94" s="549">
        <f t="shared" si="97"/>
        <v>78.988799999999998</v>
      </c>
      <c r="Y94" s="212"/>
      <c r="Z94" s="212"/>
      <c r="AC94" s="216" t="s">
        <v>581</v>
      </c>
      <c r="AE94" s="239">
        <f t="shared" si="107"/>
        <v>11</v>
      </c>
      <c r="AG94" s="389">
        <f t="shared" si="108"/>
        <v>5808</v>
      </c>
      <c r="AH94" s="385"/>
      <c r="AI94" s="549">
        <f t="shared" si="98"/>
        <v>461.15519999999998</v>
      </c>
      <c r="AJ94" s="385"/>
      <c r="AK94" s="549">
        <f t="shared" si="99"/>
        <v>87.700800000000001</v>
      </c>
      <c r="AL94" s="385"/>
      <c r="AM94" s="549">
        <f t="shared" si="100"/>
        <v>491.93759999999997</v>
      </c>
      <c r="AN94" s="385"/>
      <c r="AO94" s="549">
        <f t="shared" si="101"/>
        <v>4567.4111999999996</v>
      </c>
      <c r="AP94" s="385"/>
      <c r="AQ94" s="549">
        <f t="shared" si="102"/>
        <v>2.3231999999999999</v>
      </c>
      <c r="AR94" s="385"/>
      <c r="AS94" s="549">
        <f t="shared" si="103"/>
        <v>0</v>
      </c>
      <c r="AT94" s="385"/>
      <c r="AU94" s="549">
        <f t="shared" si="104"/>
        <v>0</v>
      </c>
      <c r="AV94" s="385"/>
      <c r="AW94" s="549">
        <f t="shared" si="105"/>
        <v>118.48320000000001</v>
      </c>
      <c r="AX94" s="385"/>
      <c r="AY94" s="549">
        <f t="shared" si="106"/>
        <v>78.988799999999998</v>
      </c>
      <c r="BA94" s="175"/>
      <c r="BB94" s="145"/>
      <c r="BC94" s="145"/>
      <c r="BD94" s="145"/>
    </row>
    <row r="95" spans="1:56">
      <c r="A95" s="146"/>
      <c r="B95" s="146"/>
      <c r="F95" s="216"/>
      <c r="G95" s="139"/>
      <c r="H95" s="261"/>
      <c r="I95" s="216"/>
      <c r="J95" s="312"/>
      <c r="K95" s="385"/>
      <c r="L95" s="386"/>
      <c r="M95" s="385"/>
      <c r="N95" s="386"/>
      <c r="O95" s="385"/>
      <c r="P95" s="386"/>
      <c r="Q95" s="385"/>
      <c r="R95" s="386"/>
      <c r="S95" s="385"/>
      <c r="T95" s="386"/>
      <c r="U95" s="385"/>
      <c r="V95" s="386"/>
      <c r="W95" s="385"/>
      <c r="X95" s="386"/>
      <c r="Z95" s="175"/>
      <c r="AC95" s="216"/>
      <c r="AG95" s="312"/>
      <c r="AH95" s="385"/>
      <c r="AI95" s="386"/>
      <c r="AJ95" s="385"/>
      <c r="AK95" s="386"/>
      <c r="AL95" s="385"/>
      <c r="AM95" s="386"/>
      <c r="AN95" s="385"/>
      <c r="AO95" s="386"/>
      <c r="AP95" s="385"/>
      <c r="AQ95" s="386"/>
      <c r="AR95" s="385"/>
      <c r="AS95" s="386"/>
      <c r="AT95" s="385"/>
      <c r="AU95" s="386"/>
      <c r="AV95" s="385"/>
      <c r="AW95" s="386"/>
      <c r="AX95" s="385"/>
      <c r="AY95" s="386"/>
      <c r="BA95" s="175"/>
      <c r="BB95" s="145"/>
      <c r="BC95" s="145"/>
      <c r="BD95" s="145"/>
    </row>
    <row r="96" spans="1:56">
      <c r="A96" s="146"/>
      <c r="B96" s="146"/>
      <c r="F96" s="216" t="s">
        <v>92</v>
      </c>
      <c r="G96" s="139"/>
      <c r="H96" s="261"/>
      <c r="I96" s="216"/>
      <c r="J96" s="389">
        <f>SUM(J79:J95)</f>
        <v>2438469.874087892</v>
      </c>
      <c r="K96" s="216"/>
      <c r="L96" s="389">
        <f>SUM(L79:L95)</f>
        <v>1838811.1782773756</v>
      </c>
      <c r="M96" s="216"/>
      <c r="N96" s="389">
        <f t="shared" ref="N96" si="109">SUM(N79:N95)</f>
        <v>396255.82402504364</v>
      </c>
      <c r="O96" s="216"/>
      <c r="P96" s="389">
        <f t="shared" ref="P96" si="110">SUM(P79:P95)</f>
        <v>24639.878541044975</v>
      </c>
      <c r="Q96" s="216"/>
      <c r="R96" s="389">
        <f t="shared" ref="R96" si="111">SUM(R79:R95)</f>
        <v>88284.013354262759</v>
      </c>
      <c r="S96" s="216"/>
      <c r="T96" s="389">
        <f t="shared" ref="T96" si="112">SUM(T79:T95)</f>
        <v>7588.9960608986985</v>
      </c>
      <c r="U96" s="216"/>
      <c r="V96" s="389">
        <f t="shared" ref="V96" si="113">SUM(V79:V95)</f>
        <v>49765.594975291489</v>
      </c>
      <c r="W96" s="216"/>
      <c r="X96" s="389">
        <f t="shared" ref="X96" si="114">SUM(X79:X95)</f>
        <v>33124.388853975288</v>
      </c>
      <c r="Z96" s="175"/>
      <c r="AC96" s="216" t="s">
        <v>92</v>
      </c>
      <c r="AD96" s="139"/>
      <c r="AE96" s="261"/>
      <c r="AF96" s="216"/>
      <c r="AG96" s="389">
        <f>SUM(AG79:AG95)</f>
        <v>2438469.874087892</v>
      </c>
      <c r="AH96" s="216"/>
      <c r="AI96" s="389">
        <f>SUM(AI79:AI95)</f>
        <v>193508.46725402962</v>
      </c>
      <c r="AJ96" s="216"/>
      <c r="AK96" s="389">
        <f>SUM(AK79:AK95)</f>
        <v>36826.468799241884</v>
      </c>
      <c r="AL96" s="216"/>
      <c r="AM96" s="389">
        <f>SUM(AM79:AM95)</f>
        <v>206579.37386064319</v>
      </c>
      <c r="AN96" s="216"/>
      <c r="AO96" s="389">
        <f>SUM(AO79:AO95)</f>
        <v>1917655.5057197581</v>
      </c>
      <c r="AP96" s="216"/>
      <c r="AQ96" s="389">
        <f>SUM(AQ79:AQ95)</f>
        <v>1010.0746249530187</v>
      </c>
      <c r="AR96" s="216"/>
      <c r="AS96" s="389">
        <f>SUM(AS79:AS95)</f>
        <v>0</v>
      </c>
      <c r="AT96" s="216"/>
      <c r="AU96" s="389">
        <f>SUM(AU79:AU95)</f>
        <v>0</v>
      </c>
      <c r="AV96" s="216"/>
      <c r="AW96" s="389">
        <f t="shared" ref="AW96" si="115">SUM(AW79:AW95)</f>
        <v>49765.594975291489</v>
      </c>
      <c r="AX96" s="216"/>
      <c r="AY96" s="389">
        <f t="shared" ref="AY96" si="116">SUM(AY79:AY95)</f>
        <v>33124.388853975288</v>
      </c>
      <c r="BA96" s="175"/>
      <c r="BB96" s="145"/>
      <c r="BC96" s="145"/>
      <c r="BD96" s="145"/>
    </row>
    <row r="97" spans="1:56">
      <c r="A97" s="146"/>
      <c r="B97" s="146"/>
      <c r="F97" s="216"/>
      <c r="G97" s="139"/>
      <c r="H97" s="261"/>
      <c r="I97" s="216"/>
      <c r="J97" s="312"/>
      <c r="K97" s="386"/>
      <c r="L97" s="386"/>
      <c r="M97" s="386"/>
      <c r="N97" s="386"/>
      <c r="O97" s="386"/>
      <c r="P97" s="386"/>
      <c r="Q97" s="386"/>
      <c r="R97" s="386"/>
      <c r="S97" s="386"/>
      <c r="T97" s="386"/>
      <c r="U97" s="386"/>
      <c r="V97" s="386"/>
      <c r="W97" s="386"/>
      <c r="X97" s="386"/>
      <c r="Z97" s="175"/>
      <c r="AC97" s="216"/>
      <c r="AG97" s="312"/>
      <c r="AH97" s="386"/>
      <c r="AI97" s="386"/>
      <c r="AJ97" s="386"/>
      <c r="AK97" s="386"/>
      <c r="AL97" s="386"/>
      <c r="AM97" s="386"/>
      <c r="AN97" s="386"/>
      <c r="AO97" s="386"/>
      <c r="AP97" s="386"/>
      <c r="AQ97" s="386"/>
      <c r="AR97" s="386"/>
      <c r="AS97" s="386"/>
      <c r="AT97" s="386"/>
      <c r="AU97" s="386"/>
      <c r="AV97" s="386"/>
      <c r="AW97" s="386"/>
      <c r="AX97" s="386"/>
      <c r="AY97" s="386"/>
      <c r="BA97" s="175"/>
      <c r="BB97" s="145"/>
      <c r="BC97" s="145"/>
      <c r="BD97" s="145"/>
    </row>
    <row r="98" spans="1:56">
      <c r="A98" s="146"/>
      <c r="B98" s="146"/>
      <c r="F98" s="216" t="s">
        <v>93</v>
      </c>
      <c r="G98" s="139"/>
      <c r="H98" s="261"/>
      <c r="I98" s="216"/>
      <c r="J98" s="312"/>
      <c r="K98" s="385"/>
      <c r="L98" s="386"/>
      <c r="M98" s="387"/>
      <c r="N98" s="387"/>
      <c r="O98" s="387"/>
      <c r="P98" s="387"/>
      <c r="Q98" s="387"/>
      <c r="R98" s="387"/>
      <c r="S98" s="387"/>
      <c r="T98" s="387"/>
      <c r="U98" s="387"/>
      <c r="V98" s="387"/>
      <c r="W98" s="387"/>
      <c r="X98" s="387"/>
      <c r="Z98" s="175"/>
      <c r="AC98" s="216" t="s">
        <v>93</v>
      </c>
      <c r="AG98" s="312"/>
      <c r="AH98" s="385"/>
      <c r="AI98" s="386"/>
      <c r="AJ98" s="387"/>
      <c r="AK98" s="387"/>
      <c r="AL98" s="387"/>
      <c r="AM98" s="387"/>
      <c r="AN98" s="387"/>
      <c r="AO98" s="387"/>
      <c r="AP98" s="387"/>
      <c r="AQ98" s="387"/>
      <c r="AR98" s="387"/>
      <c r="AS98" s="387"/>
      <c r="AT98" s="387"/>
      <c r="AU98" s="387"/>
      <c r="AV98" s="387"/>
      <c r="AW98" s="387"/>
      <c r="AX98" s="387"/>
      <c r="AY98" s="387"/>
      <c r="BA98" s="175"/>
      <c r="BB98" s="145"/>
      <c r="BC98" s="145"/>
      <c r="BD98" s="145"/>
    </row>
    <row r="99" spans="1:56">
      <c r="A99" s="146"/>
      <c r="B99" s="146"/>
      <c r="F99" s="529"/>
      <c r="G99" s="139"/>
      <c r="H99" s="261"/>
      <c r="I99" s="216"/>
      <c r="J99" s="312"/>
      <c r="K99" s="385"/>
      <c r="L99" s="386"/>
      <c r="M99" s="387"/>
      <c r="N99" s="387"/>
      <c r="O99" s="387"/>
      <c r="P99" s="387"/>
      <c r="Q99" s="387"/>
      <c r="R99" s="387"/>
      <c r="S99" s="387"/>
      <c r="T99" s="387"/>
      <c r="U99" s="387"/>
      <c r="V99" s="387"/>
      <c r="W99" s="387"/>
      <c r="X99" s="387"/>
      <c r="Z99" s="175"/>
      <c r="AG99" s="312"/>
      <c r="AH99" s="385"/>
      <c r="AI99" s="386"/>
      <c r="AJ99" s="387"/>
      <c r="AK99" s="387"/>
      <c r="AL99" s="387"/>
      <c r="AM99" s="387"/>
      <c r="AN99" s="387"/>
      <c r="AO99" s="387"/>
      <c r="AP99" s="387"/>
      <c r="AQ99" s="387"/>
      <c r="AR99" s="387"/>
      <c r="AS99" s="387"/>
      <c r="AT99" s="387"/>
      <c r="AU99" s="387"/>
      <c r="AV99" s="387"/>
      <c r="AW99" s="387"/>
      <c r="AX99" s="387"/>
      <c r="AY99" s="387"/>
      <c r="BA99" s="175"/>
      <c r="BB99" s="145"/>
      <c r="BC99" s="145"/>
      <c r="BD99" s="145"/>
    </row>
    <row r="100" spans="1:56">
      <c r="A100" s="146"/>
      <c r="B100" s="146"/>
      <c r="D100" s="488">
        <v>601.6</v>
      </c>
      <c r="F100" s="216" t="s">
        <v>699</v>
      </c>
      <c r="G100" s="139"/>
      <c r="H100" s="261">
        <v>12</v>
      </c>
      <c r="I100" s="216"/>
      <c r="J100" s="312">
        <v>71539.260577549707</v>
      </c>
      <c r="K100" s="385"/>
      <c r="L100" s="260">
        <f t="shared" ref="L100:L110" si="117">(VLOOKUP($H100,Factors,L$382))*$J100</f>
        <v>37250.492982730138</v>
      </c>
      <c r="M100" s="212"/>
      <c r="N100" s="260">
        <f t="shared" ref="N100:N110" si="118">(VLOOKUP($H100,Factors,N$382))*$J100</f>
        <v>12175.98215029896</v>
      </c>
      <c r="O100" s="212"/>
      <c r="P100" s="260">
        <f t="shared" ref="P100:P110" si="119">(VLOOKUP($H100,Factors,P$382))*$J100</f>
        <v>1108.8585389520204</v>
      </c>
      <c r="Q100" s="212"/>
      <c r="R100" s="260">
        <f t="shared" ref="R100:R110" si="120">(VLOOKUP($H100,Factors,R$382))*$J100</f>
        <v>3111.9578351234122</v>
      </c>
      <c r="S100" s="212"/>
      <c r="T100" s="260">
        <f t="shared" ref="T100:T110" si="121">(VLOOKUP($H100,Factors,T$382))*$J100</f>
        <v>214.61778173264912</v>
      </c>
      <c r="U100" s="212"/>
      <c r="V100" s="260">
        <f t="shared" ref="V100:V110" si="122">(VLOOKUP($H100,Factors,V$382))*$J100</f>
        <v>2925.9557576217831</v>
      </c>
      <c r="W100" s="212"/>
      <c r="X100" s="260">
        <f t="shared" ref="X100:X110" si="123">(VLOOKUP($H100,Factors,X$382))*$J100</f>
        <v>14751.39553109075</v>
      </c>
      <c r="Y100" s="212"/>
      <c r="Z100" s="212"/>
      <c r="AC100" s="216" t="s">
        <v>699</v>
      </c>
      <c r="AE100" s="239">
        <f t="shared" ref="AE100:AE110" si="124">+H100</f>
        <v>12</v>
      </c>
      <c r="AG100" s="312">
        <f t="shared" ref="AG100:AG110" si="125">+J100</f>
        <v>71539.260577549707</v>
      </c>
      <c r="AH100" s="385"/>
      <c r="AI100" s="260">
        <f t="shared" ref="AI100:AI110" si="126">(VLOOKUP($AE100,func,AI$382))*$AG100</f>
        <v>12369.138153858345</v>
      </c>
      <c r="AJ100" s="212"/>
      <c r="AK100" s="260">
        <f t="shared" ref="AK100:AK110" si="127">(VLOOKUP($AE100,func,AK$382))*$AG100</f>
        <v>2346.4877469436306</v>
      </c>
      <c r="AL100" s="212"/>
      <c r="AM100" s="260">
        <f t="shared" ref="AM100:AM110" si="128">(VLOOKUP($AE100,func,AM$382))*$AG100</f>
        <v>13249.071058962207</v>
      </c>
      <c r="AN100" s="212"/>
      <c r="AO100" s="260">
        <f t="shared" ref="AO100:AO110" si="129">(VLOOKUP($AE100,func,AO$382))*$AG100</f>
        <v>2768.5693843511735</v>
      </c>
      <c r="AP100" s="212"/>
      <c r="AQ100" s="260">
        <f t="shared" ref="AQ100:AQ110" si="130">(VLOOKUP($AE100,func,AQ$382))*$AG100</f>
        <v>23128.642944721818</v>
      </c>
      <c r="AR100" s="212"/>
      <c r="AS100" s="260">
        <f t="shared" ref="AS100:AS110" si="131">(VLOOKUP($AE100,func,AS$382))*$AG100</f>
        <v>0</v>
      </c>
      <c r="AT100" s="212"/>
      <c r="AU100" s="260">
        <f t="shared" ref="AU100:AU110" si="132">(VLOOKUP($AE100,func,AU$382))*$AG100</f>
        <v>0</v>
      </c>
      <c r="AV100" s="212"/>
      <c r="AW100" s="260">
        <f t="shared" ref="AW100:AW110" si="133">(VLOOKUP($AE100,func,AW$382))*$AG100</f>
        <v>2925.9557576217831</v>
      </c>
      <c r="AX100" s="212"/>
      <c r="AY100" s="260">
        <f t="shared" ref="AY100:AY110" si="134">(VLOOKUP($AE100,func,AY$382))*$AG100</f>
        <v>14751.39553109075</v>
      </c>
      <c r="BA100" s="175"/>
      <c r="BB100" s="145"/>
      <c r="BC100" s="145"/>
      <c r="BD100" s="145"/>
    </row>
    <row r="101" spans="1:56">
      <c r="A101" s="146"/>
      <c r="B101" s="146"/>
      <c r="D101" s="488">
        <v>601.6</v>
      </c>
      <c r="F101" s="216" t="s">
        <v>703</v>
      </c>
      <c r="G101" s="139"/>
      <c r="H101" s="261">
        <v>12</v>
      </c>
      <c r="I101" s="216"/>
      <c r="J101" s="312">
        <v>4690.2951846134974</v>
      </c>
      <c r="K101" s="385"/>
      <c r="L101" s="260">
        <f t="shared" si="117"/>
        <v>2442.2367026282482</v>
      </c>
      <c r="M101" s="212"/>
      <c r="N101" s="260">
        <f t="shared" si="118"/>
        <v>798.28824042121721</v>
      </c>
      <c r="O101" s="212"/>
      <c r="P101" s="260">
        <f t="shared" si="119"/>
        <v>72.699575361509204</v>
      </c>
      <c r="Q101" s="212"/>
      <c r="R101" s="260">
        <f t="shared" si="120"/>
        <v>204.02784053068712</v>
      </c>
      <c r="S101" s="212"/>
      <c r="T101" s="260">
        <f t="shared" si="121"/>
        <v>14.070885553840492</v>
      </c>
      <c r="U101" s="212"/>
      <c r="V101" s="260">
        <f t="shared" si="122"/>
        <v>191.83307305069204</v>
      </c>
      <c r="W101" s="212"/>
      <c r="X101" s="260">
        <f t="shared" si="123"/>
        <v>967.13886706730318</v>
      </c>
      <c r="Y101" s="212"/>
      <c r="Z101" s="212"/>
      <c r="AC101" s="216" t="s">
        <v>703</v>
      </c>
      <c r="AE101" s="239">
        <f t="shared" si="124"/>
        <v>12</v>
      </c>
      <c r="AG101" s="312">
        <f t="shared" si="125"/>
        <v>4690.2951846134974</v>
      </c>
      <c r="AH101" s="385"/>
      <c r="AI101" s="260">
        <f t="shared" si="126"/>
        <v>810.95203741967373</v>
      </c>
      <c r="AJ101" s="212"/>
      <c r="AK101" s="260">
        <f t="shared" si="127"/>
        <v>153.84168205532274</v>
      </c>
      <c r="AL101" s="212"/>
      <c r="AM101" s="260">
        <f t="shared" si="128"/>
        <v>868.64266819041973</v>
      </c>
      <c r="AN101" s="212"/>
      <c r="AO101" s="260">
        <f t="shared" si="129"/>
        <v>181.51442364454235</v>
      </c>
      <c r="AP101" s="212"/>
      <c r="AQ101" s="260">
        <f t="shared" si="130"/>
        <v>1516.3724331855435</v>
      </c>
      <c r="AR101" s="212"/>
      <c r="AS101" s="260">
        <f t="shared" si="131"/>
        <v>0</v>
      </c>
      <c r="AT101" s="212"/>
      <c r="AU101" s="260">
        <f t="shared" si="132"/>
        <v>0</v>
      </c>
      <c r="AV101" s="212"/>
      <c r="AW101" s="260">
        <f t="shared" si="133"/>
        <v>191.83307305069204</v>
      </c>
      <c r="AX101" s="212"/>
      <c r="AY101" s="260">
        <f t="shared" si="134"/>
        <v>967.13886706730318</v>
      </c>
      <c r="BA101" s="175"/>
      <c r="BB101" s="145"/>
      <c r="BC101" s="145"/>
      <c r="BD101" s="145"/>
    </row>
    <row r="102" spans="1:56">
      <c r="A102" s="146"/>
      <c r="B102" s="146"/>
      <c r="D102" s="488">
        <v>601.6</v>
      </c>
      <c r="F102" s="216" t="s">
        <v>704</v>
      </c>
      <c r="G102" s="139"/>
      <c r="H102" s="261">
        <v>5</v>
      </c>
      <c r="I102" s="216"/>
      <c r="J102" s="312">
        <v>2277.5519013853882</v>
      </c>
      <c r="K102" s="385"/>
      <c r="L102" s="260">
        <f t="shared" si="117"/>
        <v>960.6713920043569</v>
      </c>
      <c r="M102" s="212"/>
      <c r="N102" s="260">
        <f t="shared" si="118"/>
        <v>581.45900042368953</v>
      </c>
      <c r="O102" s="212"/>
      <c r="P102" s="260">
        <f t="shared" si="119"/>
        <v>66.732270710591877</v>
      </c>
      <c r="Q102" s="212"/>
      <c r="R102" s="260">
        <f t="shared" si="120"/>
        <v>167.40006475182602</v>
      </c>
      <c r="S102" s="212"/>
      <c r="T102" s="260">
        <f t="shared" si="121"/>
        <v>47.373079548816072</v>
      </c>
      <c r="U102" s="212"/>
      <c r="V102" s="260">
        <f t="shared" si="122"/>
        <v>205.20742631482346</v>
      </c>
      <c r="W102" s="212"/>
      <c r="X102" s="260">
        <f t="shared" si="123"/>
        <v>248.70866763128441</v>
      </c>
      <c r="Y102" s="212"/>
      <c r="Z102" s="212"/>
      <c r="AC102" s="216" t="s">
        <v>704</v>
      </c>
      <c r="AE102" s="239">
        <f t="shared" si="124"/>
        <v>5</v>
      </c>
      <c r="AG102" s="312">
        <f t="shared" si="125"/>
        <v>2277.5519013853882</v>
      </c>
      <c r="AH102" s="385"/>
      <c r="AI102" s="260">
        <f t="shared" si="126"/>
        <v>726.99456692221588</v>
      </c>
      <c r="AJ102" s="212"/>
      <c r="AK102" s="260">
        <f t="shared" si="127"/>
        <v>0</v>
      </c>
      <c r="AL102" s="212"/>
      <c r="AM102" s="260">
        <f t="shared" si="128"/>
        <v>1096.6412405170645</v>
      </c>
      <c r="AN102" s="212"/>
      <c r="AO102" s="260">
        <f t="shared" si="129"/>
        <v>0</v>
      </c>
      <c r="AP102" s="212"/>
      <c r="AQ102" s="260">
        <f t="shared" si="130"/>
        <v>0</v>
      </c>
      <c r="AR102" s="212"/>
      <c r="AS102" s="260">
        <f t="shared" si="131"/>
        <v>0</v>
      </c>
      <c r="AT102" s="212"/>
      <c r="AU102" s="260">
        <f t="shared" si="132"/>
        <v>0</v>
      </c>
      <c r="AV102" s="212"/>
      <c r="AW102" s="260">
        <f t="shared" si="133"/>
        <v>205.20742631482346</v>
      </c>
      <c r="AX102" s="212"/>
      <c r="AY102" s="260">
        <f t="shared" si="134"/>
        <v>248.70866763128441</v>
      </c>
      <c r="BA102" s="175"/>
      <c r="BB102" s="145"/>
      <c r="BC102" s="145"/>
      <c r="BD102" s="145"/>
    </row>
    <row r="103" spans="1:56">
      <c r="A103" s="146"/>
      <c r="B103" s="146"/>
      <c r="D103" s="488">
        <v>601.6</v>
      </c>
      <c r="F103" s="216" t="s">
        <v>705</v>
      </c>
      <c r="G103" s="139"/>
      <c r="H103" s="261">
        <v>7</v>
      </c>
      <c r="I103" s="216"/>
      <c r="J103" s="312">
        <v>225251.55518725188</v>
      </c>
      <c r="K103" s="385"/>
      <c r="L103" s="260">
        <f t="shared" si="117"/>
        <v>105688.02969385857</v>
      </c>
      <c r="M103" s="212"/>
      <c r="N103" s="260">
        <f t="shared" si="118"/>
        <v>64151.642917329336</v>
      </c>
      <c r="O103" s="212"/>
      <c r="P103" s="260">
        <f t="shared" si="119"/>
        <v>7568.4522542916648</v>
      </c>
      <c r="Q103" s="212"/>
      <c r="R103" s="260">
        <f t="shared" si="120"/>
        <v>19168.907346435135</v>
      </c>
      <c r="S103" s="212"/>
      <c r="T103" s="260">
        <f t="shared" si="121"/>
        <v>1351.5093311235114</v>
      </c>
      <c r="U103" s="212"/>
      <c r="V103" s="260">
        <f t="shared" si="122"/>
        <v>12343.785224261404</v>
      </c>
      <c r="W103" s="212"/>
      <c r="X103" s="260">
        <f t="shared" si="123"/>
        <v>14979.228419952251</v>
      </c>
      <c r="Y103" s="212"/>
      <c r="Z103" s="212"/>
      <c r="AC103" s="216" t="s">
        <v>705</v>
      </c>
      <c r="AE103" s="239">
        <f t="shared" si="124"/>
        <v>7</v>
      </c>
      <c r="AG103" s="312">
        <f t="shared" si="125"/>
        <v>225251.55518725188</v>
      </c>
      <c r="AH103" s="385"/>
      <c r="AI103" s="260">
        <f t="shared" si="126"/>
        <v>87600.329812322248</v>
      </c>
      <c r="AJ103" s="212"/>
      <c r="AK103" s="260">
        <f t="shared" si="127"/>
        <v>16691.140239375363</v>
      </c>
      <c r="AL103" s="212"/>
      <c r="AM103" s="260">
        <f t="shared" si="128"/>
        <v>93637.071491340612</v>
      </c>
      <c r="AN103" s="212"/>
      <c r="AO103" s="260">
        <f t="shared" si="129"/>
        <v>0</v>
      </c>
      <c r="AP103" s="212"/>
      <c r="AQ103" s="260">
        <f t="shared" si="130"/>
        <v>0</v>
      </c>
      <c r="AR103" s="212"/>
      <c r="AS103" s="260">
        <f t="shared" si="131"/>
        <v>0</v>
      </c>
      <c r="AT103" s="212"/>
      <c r="AU103" s="260">
        <f t="shared" si="132"/>
        <v>0</v>
      </c>
      <c r="AV103" s="212"/>
      <c r="AW103" s="260">
        <f t="shared" si="133"/>
        <v>12343.785224261404</v>
      </c>
      <c r="AX103" s="212"/>
      <c r="AY103" s="260">
        <f t="shared" si="134"/>
        <v>14979.228419952251</v>
      </c>
      <c r="BA103" s="175"/>
      <c r="BB103" s="145"/>
      <c r="BC103" s="145"/>
      <c r="BD103" s="145"/>
    </row>
    <row r="104" spans="1:56">
      <c r="A104" s="146"/>
      <c r="B104" s="146"/>
      <c r="D104" s="488">
        <v>601.6</v>
      </c>
      <c r="F104" s="216" t="s">
        <v>702</v>
      </c>
      <c r="G104" s="139"/>
      <c r="H104" s="261">
        <v>10</v>
      </c>
      <c r="I104" s="216"/>
      <c r="J104" s="312">
        <v>342695.99205871165</v>
      </c>
      <c r="K104" s="386"/>
      <c r="L104" s="260">
        <f t="shared" si="117"/>
        <v>282381.49745637842</v>
      </c>
      <c r="M104" s="212"/>
      <c r="N104" s="260">
        <f t="shared" si="118"/>
        <v>38793.18630104616</v>
      </c>
      <c r="O104" s="212"/>
      <c r="P104" s="260">
        <f t="shared" si="119"/>
        <v>411.23519047045397</v>
      </c>
      <c r="Q104" s="212"/>
      <c r="R104" s="260">
        <f t="shared" si="120"/>
        <v>4797.7438888219631</v>
      </c>
      <c r="S104" s="212"/>
      <c r="T104" s="260">
        <f t="shared" si="121"/>
        <v>205.61759523522699</v>
      </c>
      <c r="U104" s="212"/>
      <c r="V104" s="260">
        <f t="shared" si="122"/>
        <v>16106.711626759448</v>
      </c>
      <c r="W104" s="212"/>
      <c r="X104" s="260">
        <f t="shared" si="123"/>
        <v>0</v>
      </c>
      <c r="Y104" s="212"/>
      <c r="Z104" s="212"/>
      <c r="AC104" s="216" t="s">
        <v>702</v>
      </c>
      <c r="AE104" s="239">
        <f t="shared" si="124"/>
        <v>10</v>
      </c>
      <c r="AG104" s="312">
        <f t="shared" si="125"/>
        <v>342695.99205871165</v>
      </c>
      <c r="AH104" s="386"/>
      <c r="AI104" s="260">
        <f t="shared" si="126"/>
        <v>0</v>
      </c>
      <c r="AJ104" s="212"/>
      <c r="AK104" s="260">
        <f t="shared" si="127"/>
        <v>0</v>
      </c>
      <c r="AL104" s="212"/>
      <c r="AM104" s="260">
        <f t="shared" si="128"/>
        <v>0</v>
      </c>
      <c r="AN104" s="212"/>
      <c r="AO104" s="260">
        <f t="shared" si="129"/>
        <v>0</v>
      </c>
      <c r="AP104" s="212"/>
      <c r="AQ104" s="260">
        <f t="shared" si="130"/>
        <v>326589.28043195221</v>
      </c>
      <c r="AR104" s="212"/>
      <c r="AS104" s="260">
        <f t="shared" si="131"/>
        <v>0</v>
      </c>
      <c r="AT104" s="212"/>
      <c r="AU104" s="260">
        <f t="shared" si="132"/>
        <v>0</v>
      </c>
      <c r="AV104" s="212"/>
      <c r="AW104" s="260">
        <f t="shared" si="133"/>
        <v>16106.711626759448</v>
      </c>
      <c r="AX104" s="212"/>
      <c r="AY104" s="260">
        <f t="shared" si="134"/>
        <v>0</v>
      </c>
      <c r="BA104" s="175"/>
      <c r="BB104" s="145"/>
      <c r="BC104" s="145"/>
      <c r="BD104" s="145"/>
    </row>
    <row r="105" spans="1:56">
      <c r="A105" s="146"/>
      <c r="B105" s="146"/>
      <c r="D105" s="488">
        <v>601.6</v>
      </c>
      <c r="F105" s="216" t="s">
        <v>706</v>
      </c>
      <c r="G105" s="139"/>
      <c r="H105" s="261">
        <v>9</v>
      </c>
      <c r="I105" s="216"/>
      <c r="J105" s="312">
        <v>39565.424010798866</v>
      </c>
      <c r="K105" s="385"/>
      <c r="L105" s="260">
        <f t="shared" si="117"/>
        <v>32720.60565693066</v>
      </c>
      <c r="M105" s="212"/>
      <c r="N105" s="260">
        <f t="shared" si="118"/>
        <v>5190.9836302168114</v>
      </c>
      <c r="O105" s="212"/>
      <c r="P105" s="260">
        <f t="shared" si="119"/>
        <v>162.21823844427536</v>
      </c>
      <c r="Q105" s="212"/>
      <c r="R105" s="260">
        <f t="shared" si="120"/>
        <v>937.70054905593304</v>
      </c>
      <c r="S105" s="212"/>
      <c r="T105" s="260">
        <f t="shared" si="121"/>
        <v>94.957017625917274</v>
      </c>
      <c r="U105" s="212"/>
      <c r="V105" s="260">
        <f t="shared" si="122"/>
        <v>458.95891852526682</v>
      </c>
      <c r="W105" s="212"/>
      <c r="X105" s="260">
        <f t="shared" si="123"/>
        <v>0</v>
      </c>
      <c r="Y105" s="212"/>
      <c r="Z105" s="212"/>
      <c r="AC105" s="216" t="s">
        <v>706</v>
      </c>
      <c r="AE105" s="239">
        <f t="shared" si="124"/>
        <v>9</v>
      </c>
      <c r="AG105" s="312">
        <f t="shared" si="125"/>
        <v>39565.424010798866</v>
      </c>
      <c r="AH105" s="385"/>
      <c r="AI105" s="260">
        <f t="shared" si="126"/>
        <v>0</v>
      </c>
      <c r="AJ105" s="212"/>
      <c r="AK105" s="260">
        <f t="shared" si="127"/>
        <v>0</v>
      </c>
      <c r="AL105" s="212"/>
      <c r="AM105" s="260">
        <f t="shared" si="128"/>
        <v>0</v>
      </c>
      <c r="AN105" s="212"/>
      <c r="AO105" s="260">
        <f t="shared" si="129"/>
        <v>39106.465092273596</v>
      </c>
      <c r="AP105" s="212"/>
      <c r="AQ105" s="260">
        <f t="shared" si="130"/>
        <v>0</v>
      </c>
      <c r="AR105" s="212"/>
      <c r="AS105" s="260">
        <f t="shared" si="131"/>
        <v>0</v>
      </c>
      <c r="AT105" s="212"/>
      <c r="AU105" s="260">
        <f t="shared" si="132"/>
        <v>0</v>
      </c>
      <c r="AV105" s="212"/>
      <c r="AW105" s="260">
        <f t="shared" si="133"/>
        <v>458.95891852526682</v>
      </c>
      <c r="AX105" s="212"/>
      <c r="AY105" s="260">
        <f t="shared" si="134"/>
        <v>0</v>
      </c>
      <c r="BA105" s="175"/>
      <c r="BB105" s="145"/>
      <c r="BC105" s="145"/>
      <c r="BD105" s="145"/>
    </row>
    <row r="106" spans="1:56">
      <c r="A106" s="146"/>
      <c r="B106" s="146"/>
      <c r="D106" s="488">
        <v>601.6</v>
      </c>
      <c r="F106" s="216" t="s">
        <v>707</v>
      </c>
      <c r="G106" s="139"/>
      <c r="H106" s="261">
        <v>8</v>
      </c>
      <c r="I106" s="216"/>
      <c r="J106" s="312">
        <v>178232.30524626779</v>
      </c>
      <c r="K106" s="385"/>
      <c r="L106" s="260">
        <f t="shared" si="117"/>
        <v>0</v>
      </c>
      <c r="M106" s="212"/>
      <c r="N106" s="260">
        <f t="shared" si="118"/>
        <v>0</v>
      </c>
      <c r="O106" s="212"/>
      <c r="P106" s="260">
        <f t="shared" si="119"/>
        <v>0</v>
      </c>
      <c r="Q106" s="212"/>
      <c r="R106" s="260">
        <f t="shared" si="120"/>
        <v>0</v>
      </c>
      <c r="S106" s="212"/>
      <c r="T106" s="260">
        <f t="shared" si="121"/>
        <v>0</v>
      </c>
      <c r="U106" s="212"/>
      <c r="V106" s="260">
        <f t="shared" si="122"/>
        <v>0</v>
      </c>
      <c r="W106" s="212"/>
      <c r="X106" s="260">
        <f t="shared" si="123"/>
        <v>178232.30524626779</v>
      </c>
      <c r="Y106" s="212"/>
      <c r="Z106" s="212"/>
      <c r="AC106" s="216" t="s">
        <v>707</v>
      </c>
      <c r="AE106" s="239">
        <f t="shared" si="124"/>
        <v>8</v>
      </c>
      <c r="AG106" s="312">
        <f t="shared" si="125"/>
        <v>178232.30524626779</v>
      </c>
      <c r="AH106" s="385"/>
      <c r="AI106" s="260">
        <f t="shared" si="126"/>
        <v>0</v>
      </c>
      <c r="AJ106" s="212"/>
      <c r="AK106" s="260">
        <f t="shared" si="127"/>
        <v>0</v>
      </c>
      <c r="AL106" s="212"/>
      <c r="AM106" s="260">
        <f t="shared" si="128"/>
        <v>0</v>
      </c>
      <c r="AN106" s="212"/>
      <c r="AO106" s="260">
        <f t="shared" si="129"/>
        <v>0</v>
      </c>
      <c r="AP106" s="212"/>
      <c r="AQ106" s="260">
        <f t="shared" si="130"/>
        <v>0</v>
      </c>
      <c r="AR106" s="212"/>
      <c r="AS106" s="260">
        <f t="shared" si="131"/>
        <v>0</v>
      </c>
      <c r="AT106" s="212"/>
      <c r="AU106" s="260">
        <f t="shared" si="132"/>
        <v>0</v>
      </c>
      <c r="AV106" s="212"/>
      <c r="AW106" s="260">
        <f t="shared" si="133"/>
        <v>0</v>
      </c>
      <c r="AX106" s="212"/>
      <c r="AY106" s="260">
        <f t="shared" si="134"/>
        <v>178232.30524626779</v>
      </c>
      <c r="BA106" s="175"/>
      <c r="BB106" s="145"/>
      <c r="BC106" s="145"/>
      <c r="BD106" s="145"/>
    </row>
    <row r="107" spans="1:56">
      <c r="A107" s="146"/>
      <c r="B107" s="146"/>
      <c r="D107" s="488">
        <v>620.6</v>
      </c>
      <c r="F107" s="216" t="s">
        <v>647</v>
      </c>
      <c r="G107" s="139"/>
      <c r="H107" s="261">
        <v>12</v>
      </c>
      <c r="I107" s="385"/>
      <c r="J107" s="313">
        <v>276600</v>
      </c>
      <c r="K107" s="385"/>
      <c r="L107" s="480">
        <f t="shared" si="117"/>
        <v>144025.62000000002</v>
      </c>
      <c r="M107" s="478"/>
      <c r="N107" s="480">
        <f t="shared" si="118"/>
        <v>47077.32</v>
      </c>
      <c r="O107" s="478"/>
      <c r="P107" s="480">
        <f t="shared" si="119"/>
        <v>4287.3</v>
      </c>
      <c r="Q107" s="478"/>
      <c r="R107" s="480">
        <f t="shared" si="120"/>
        <v>12032.099999999999</v>
      </c>
      <c r="S107" s="478"/>
      <c r="T107" s="480">
        <f t="shared" si="121"/>
        <v>829.80000000000007</v>
      </c>
      <c r="U107" s="478"/>
      <c r="V107" s="480">
        <f t="shared" si="122"/>
        <v>11312.94</v>
      </c>
      <c r="W107" s="478"/>
      <c r="X107" s="480">
        <f t="shared" si="123"/>
        <v>57034.92</v>
      </c>
      <c r="Y107" s="478"/>
      <c r="Z107" s="478"/>
      <c r="AA107" s="146"/>
      <c r="AB107" s="146"/>
      <c r="AC107" s="216" t="s">
        <v>647</v>
      </c>
      <c r="AD107" s="146"/>
      <c r="AE107" s="494">
        <f t="shared" si="124"/>
        <v>12</v>
      </c>
      <c r="AF107" s="146"/>
      <c r="AG107" s="313">
        <f t="shared" si="125"/>
        <v>276600</v>
      </c>
      <c r="AH107" s="385"/>
      <c r="AI107" s="480">
        <f t="shared" si="126"/>
        <v>47824.14</v>
      </c>
      <c r="AJ107" s="478"/>
      <c r="AK107" s="480">
        <f t="shared" si="127"/>
        <v>9072.4800000000014</v>
      </c>
      <c r="AL107" s="478"/>
      <c r="AM107" s="480">
        <f t="shared" si="128"/>
        <v>51226.32</v>
      </c>
      <c r="AN107" s="478"/>
      <c r="AO107" s="480">
        <f t="shared" si="129"/>
        <v>10704.42</v>
      </c>
      <c r="AP107" s="478"/>
      <c r="AQ107" s="480">
        <f t="shared" si="130"/>
        <v>89424.78</v>
      </c>
      <c r="AR107" s="478"/>
      <c r="AS107" s="480">
        <f t="shared" si="131"/>
        <v>0</v>
      </c>
      <c r="AT107" s="478"/>
      <c r="AU107" s="480">
        <f t="shared" si="132"/>
        <v>0</v>
      </c>
      <c r="AV107" s="478"/>
      <c r="AW107" s="480">
        <f t="shared" si="133"/>
        <v>11312.94</v>
      </c>
      <c r="AX107" s="478"/>
      <c r="AY107" s="480">
        <f t="shared" si="134"/>
        <v>57034.92</v>
      </c>
      <c r="AZ107" s="146"/>
      <c r="BA107" s="175"/>
      <c r="BB107" s="387"/>
      <c r="BC107" s="387"/>
      <c r="BD107" s="145"/>
    </row>
    <row r="108" spans="1:56">
      <c r="A108" s="146"/>
      <c r="B108" s="146"/>
      <c r="D108" s="488">
        <v>675.6</v>
      </c>
      <c r="F108" s="216" t="s">
        <v>669</v>
      </c>
      <c r="G108" s="139"/>
      <c r="H108" s="261">
        <v>12</v>
      </c>
      <c r="I108" s="385"/>
      <c r="J108" s="313">
        <v>27600</v>
      </c>
      <c r="K108" s="385"/>
      <c r="L108" s="480">
        <f t="shared" si="117"/>
        <v>14371.320000000002</v>
      </c>
      <c r="M108" s="385"/>
      <c r="N108" s="480">
        <f t="shared" si="118"/>
        <v>4697.5199999999995</v>
      </c>
      <c r="O108" s="385"/>
      <c r="P108" s="480">
        <f t="shared" si="119"/>
        <v>427.8</v>
      </c>
      <c r="Q108" s="385"/>
      <c r="R108" s="480">
        <f t="shared" si="120"/>
        <v>1200.5999999999999</v>
      </c>
      <c r="S108" s="385"/>
      <c r="T108" s="480">
        <f t="shared" si="121"/>
        <v>82.8</v>
      </c>
      <c r="U108" s="385"/>
      <c r="V108" s="480">
        <f t="shared" si="122"/>
        <v>1128.8399999999999</v>
      </c>
      <c r="W108" s="385"/>
      <c r="X108" s="480">
        <f t="shared" si="123"/>
        <v>5691.12</v>
      </c>
      <c r="Y108" s="385"/>
      <c r="Z108" s="478"/>
      <c r="AA108" s="146"/>
      <c r="AB108" s="146"/>
      <c r="AC108" s="216" t="s">
        <v>669</v>
      </c>
      <c r="AD108" s="146"/>
      <c r="AE108" s="494">
        <f t="shared" si="124"/>
        <v>12</v>
      </c>
      <c r="AF108" s="146"/>
      <c r="AG108" s="313">
        <f t="shared" si="125"/>
        <v>27600</v>
      </c>
      <c r="AH108" s="385"/>
      <c r="AI108" s="480">
        <f t="shared" si="126"/>
        <v>4772.04</v>
      </c>
      <c r="AJ108" s="385"/>
      <c r="AK108" s="480">
        <f t="shared" si="127"/>
        <v>905.28000000000009</v>
      </c>
      <c r="AL108" s="385"/>
      <c r="AM108" s="480">
        <f t="shared" si="128"/>
        <v>5111.5200000000004</v>
      </c>
      <c r="AN108" s="385"/>
      <c r="AO108" s="480">
        <f t="shared" si="129"/>
        <v>1068.1199999999999</v>
      </c>
      <c r="AP108" s="385"/>
      <c r="AQ108" s="480">
        <f t="shared" si="130"/>
        <v>8923.08</v>
      </c>
      <c r="AR108" s="385"/>
      <c r="AS108" s="480">
        <f t="shared" si="131"/>
        <v>0</v>
      </c>
      <c r="AT108" s="385"/>
      <c r="AU108" s="480">
        <f t="shared" si="132"/>
        <v>0</v>
      </c>
      <c r="AV108" s="385"/>
      <c r="AW108" s="480">
        <f t="shared" si="133"/>
        <v>1128.8399999999999</v>
      </c>
      <c r="AX108" s="385"/>
      <c r="AY108" s="480">
        <f t="shared" si="134"/>
        <v>5691.12</v>
      </c>
      <c r="AZ108" s="146"/>
      <c r="BA108" s="175"/>
      <c r="BB108" s="387"/>
      <c r="BC108" s="387"/>
      <c r="BD108" s="145"/>
    </row>
    <row r="109" spans="1:56">
      <c r="A109" s="146"/>
      <c r="B109" s="146"/>
      <c r="D109" s="488">
        <v>675.6</v>
      </c>
      <c r="F109" s="216" t="s">
        <v>672</v>
      </c>
      <c r="G109" s="139"/>
      <c r="H109" s="261">
        <v>12</v>
      </c>
      <c r="I109" s="216"/>
      <c r="J109" s="313">
        <v>268298.34919237584</v>
      </c>
      <c r="K109" s="385"/>
      <c r="L109" s="480">
        <f t="shared" si="117"/>
        <v>139702.95042447012</v>
      </c>
      <c r="M109" s="385"/>
      <c r="N109" s="480">
        <f t="shared" si="118"/>
        <v>45664.379032542369</v>
      </c>
      <c r="O109" s="385"/>
      <c r="P109" s="480">
        <f t="shared" si="119"/>
        <v>4158.6244124818259</v>
      </c>
      <c r="Q109" s="385"/>
      <c r="R109" s="480">
        <f t="shared" si="120"/>
        <v>11670.978189868349</v>
      </c>
      <c r="S109" s="385"/>
      <c r="T109" s="480">
        <f t="shared" si="121"/>
        <v>804.89504757712757</v>
      </c>
      <c r="U109" s="385"/>
      <c r="V109" s="480">
        <f t="shared" si="122"/>
        <v>10973.402481968171</v>
      </c>
      <c r="W109" s="385"/>
      <c r="X109" s="480">
        <f t="shared" si="123"/>
        <v>55323.119603467894</v>
      </c>
      <c r="Y109" s="385"/>
      <c r="Z109" s="478"/>
      <c r="AC109" s="216" t="s">
        <v>672</v>
      </c>
      <c r="AE109" s="239">
        <f t="shared" si="124"/>
        <v>12</v>
      </c>
      <c r="AG109" s="313">
        <f t="shared" si="125"/>
        <v>268298.34919237584</v>
      </c>
      <c r="AH109" s="385"/>
      <c r="AI109" s="480">
        <f t="shared" si="126"/>
        <v>46388.78457536178</v>
      </c>
      <c r="AJ109" s="385"/>
      <c r="AK109" s="480">
        <f t="shared" si="127"/>
        <v>8800.1858535099291</v>
      </c>
      <c r="AL109" s="385"/>
      <c r="AM109" s="480">
        <f t="shared" si="128"/>
        <v>49688.854270428004</v>
      </c>
      <c r="AN109" s="385"/>
      <c r="AO109" s="480">
        <f t="shared" si="129"/>
        <v>10383.146113744944</v>
      </c>
      <c r="AP109" s="385"/>
      <c r="AQ109" s="480">
        <f t="shared" si="130"/>
        <v>86740.856293895107</v>
      </c>
      <c r="AR109" s="385"/>
      <c r="AS109" s="480">
        <f t="shared" si="131"/>
        <v>0</v>
      </c>
      <c r="AT109" s="385"/>
      <c r="AU109" s="480">
        <f t="shared" si="132"/>
        <v>0</v>
      </c>
      <c r="AV109" s="385"/>
      <c r="AW109" s="480">
        <f t="shared" si="133"/>
        <v>10973.402481968171</v>
      </c>
      <c r="AX109" s="385"/>
      <c r="AY109" s="480">
        <f t="shared" si="134"/>
        <v>55323.119603467894</v>
      </c>
      <c r="BA109" s="175"/>
      <c r="BB109" s="145"/>
      <c r="BC109" s="145"/>
      <c r="BD109" s="145"/>
    </row>
    <row r="110" spans="1:56">
      <c r="A110" s="146"/>
      <c r="B110" s="146"/>
      <c r="D110" s="488">
        <v>675.6</v>
      </c>
      <c r="F110" s="216" t="s">
        <v>673</v>
      </c>
      <c r="G110" s="139"/>
      <c r="H110" s="261">
        <v>7</v>
      </c>
      <c r="I110" s="216"/>
      <c r="J110" s="389">
        <v>222000</v>
      </c>
      <c r="K110" s="385"/>
      <c r="L110" s="549">
        <f t="shared" si="117"/>
        <v>104162.4</v>
      </c>
      <c r="M110" s="385"/>
      <c r="N110" s="549">
        <f t="shared" si="118"/>
        <v>63225.599999999999</v>
      </c>
      <c r="O110" s="385"/>
      <c r="P110" s="549">
        <f t="shared" si="119"/>
        <v>7459.2000000000007</v>
      </c>
      <c r="Q110" s="385"/>
      <c r="R110" s="549">
        <f t="shared" si="120"/>
        <v>18892.2</v>
      </c>
      <c r="S110" s="385"/>
      <c r="T110" s="549">
        <f t="shared" si="121"/>
        <v>1332</v>
      </c>
      <c r="U110" s="385"/>
      <c r="V110" s="549">
        <f t="shared" si="122"/>
        <v>12165.6</v>
      </c>
      <c r="W110" s="385"/>
      <c r="X110" s="549">
        <f t="shared" si="123"/>
        <v>14763</v>
      </c>
      <c r="Y110" s="385"/>
      <c r="Z110" s="478"/>
      <c r="AC110" s="216" t="s">
        <v>673</v>
      </c>
      <c r="AE110" s="239">
        <f t="shared" si="124"/>
        <v>7</v>
      </c>
      <c r="AG110" s="389">
        <f t="shared" si="125"/>
        <v>222000</v>
      </c>
      <c r="AH110" s="385"/>
      <c r="AI110" s="549">
        <f t="shared" si="126"/>
        <v>86335.799999999988</v>
      </c>
      <c r="AJ110" s="385"/>
      <c r="AK110" s="549">
        <f t="shared" si="127"/>
        <v>16450.2</v>
      </c>
      <c r="AL110" s="385"/>
      <c r="AM110" s="549">
        <f t="shared" si="128"/>
        <v>92285.400000000009</v>
      </c>
      <c r="AN110" s="385"/>
      <c r="AO110" s="549">
        <f t="shared" si="129"/>
        <v>0</v>
      </c>
      <c r="AP110" s="385"/>
      <c r="AQ110" s="549">
        <f t="shared" si="130"/>
        <v>0</v>
      </c>
      <c r="AR110" s="385"/>
      <c r="AS110" s="549">
        <f t="shared" si="131"/>
        <v>0</v>
      </c>
      <c r="AT110" s="385"/>
      <c r="AU110" s="549">
        <f t="shared" si="132"/>
        <v>0</v>
      </c>
      <c r="AV110" s="385"/>
      <c r="AW110" s="549">
        <f t="shared" si="133"/>
        <v>12165.6</v>
      </c>
      <c r="AX110" s="385"/>
      <c r="AY110" s="549">
        <f t="shared" si="134"/>
        <v>14763</v>
      </c>
      <c r="BA110" s="175"/>
      <c r="BB110" s="145"/>
      <c r="BC110" s="145"/>
      <c r="BD110" s="145"/>
    </row>
    <row r="111" spans="1:56">
      <c r="A111" s="146"/>
      <c r="B111" s="146"/>
      <c r="F111" s="216"/>
      <c r="G111" s="139"/>
      <c r="H111" s="261"/>
      <c r="I111" s="216"/>
      <c r="J111" s="312"/>
      <c r="K111" s="385"/>
      <c r="L111" s="386"/>
      <c r="M111" s="385"/>
      <c r="N111" s="386"/>
      <c r="O111" s="385"/>
      <c r="P111" s="386"/>
      <c r="Q111" s="385"/>
      <c r="R111" s="386"/>
      <c r="S111" s="385"/>
      <c r="T111" s="386"/>
      <c r="U111" s="385"/>
      <c r="V111" s="386"/>
      <c r="W111" s="385"/>
      <c r="X111" s="386"/>
      <c r="Y111" s="385"/>
      <c r="Z111" s="175"/>
      <c r="AC111" s="216"/>
      <c r="AE111" s="239"/>
      <c r="AG111" s="312"/>
      <c r="AH111" s="385"/>
      <c r="AI111" s="386"/>
      <c r="AJ111" s="385"/>
      <c r="AK111" s="386"/>
      <c r="AL111" s="385"/>
      <c r="AM111" s="386"/>
      <c r="AN111" s="385"/>
      <c r="AO111" s="386"/>
      <c r="AP111" s="385"/>
      <c r="AQ111" s="386"/>
      <c r="AR111" s="385"/>
      <c r="AS111" s="386"/>
      <c r="AT111" s="385"/>
      <c r="AU111" s="386"/>
      <c r="AV111" s="385"/>
      <c r="AW111" s="386"/>
      <c r="AX111" s="385"/>
      <c r="AY111" s="386"/>
      <c r="BA111" s="175"/>
      <c r="BB111" s="145"/>
      <c r="BC111" s="145"/>
      <c r="BD111" s="145"/>
    </row>
    <row r="112" spans="1:56">
      <c r="A112" s="146"/>
      <c r="B112" s="146"/>
      <c r="F112" s="216" t="s">
        <v>94</v>
      </c>
      <c r="G112" s="139"/>
      <c r="H112" s="261"/>
      <c r="I112" s="216"/>
      <c r="J112" s="389">
        <f>SUM(J100:J111)</f>
        <v>1658750.7333589545</v>
      </c>
      <c r="K112" s="216"/>
      <c r="L112" s="389">
        <f>SUM(L100:L111)</f>
        <v>863705.82430900051</v>
      </c>
      <c r="M112" s="216"/>
      <c r="N112" s="389">
        <f>SUM(N100:N111)</f>
        <v>282356.36127227853</v>
      </c>
      <c r="O112" s="216"/>
      <c r="P112" s="389">
        <f>SUM(P100:P111)</f>
        <v>25723.120480712339</v>
      </c>
      <c r="Q112" s="216"/>
      <c r="R112" s="389">
        <f>SUM(R100:R111)</f>
        <v>72183.6157145873</v>
      </c>
      <c r="S112" s="216"/>
      <c r="T112" s="389">
        <f>SUM(T100:T111)</f>
        <v>4977.6407383970891</v>
      </c>
      <c r="U112" s="216"/>
      <c r="V112" s="389">
        <f>SUM(V100:V111)</f>
        <v>67813.234508501584</v>
      </c>
      <c r="W112" s="216"/>
      <c r="X112" s="389">
        <f>SUM(X100:X111)</f>
        <v>341990.93633547722</v>
      </c>
      <c r="Y112" s="216"/>
      <c r="Z112" s="175"/>
      <c r="AC112" s="216" t="s">
        <v>94</v>
      </c>
      <c r="AD112" s="139"/>
      <c r="AE112" s="261"/>
      <c r="AF112" s="216"/>
      <c r="AG112" s="389">
        <f>SUM(AG100:AG111)</f>
        <v>1658750.7333589545</v>
      </c>
      <c r="AH112" s="216"/>
      <c r="AI112" s="389">
        <f>SUM(AI100:AI111)</f>
        <v>286828.17914588423</v>
      </c>
      <c r="AJ112" s="216"/>
      <c r="AK112" s="389">
        <f>SUM(AK100:AK111)</f>
        <v>54419.615521884247</v>
      </c>
      <c r="AL112" s="216"/>
      <c r="AM112" s="389">
        <f>SUM(AM100:AM111)</f>
        <v>307163.52072943829</v>
      </c>
      <c r="AN112" s="216"/>
      <c r="AO112" s="389">
        <f>SUM(AO100:AO111)</f>
        <v>64212.235014014259</v>
      </c>
      <c r="AP112" s="216"/>
      <c r="AQ112" s="389">
        <f>SUM(AQ100:AQ111)</f>
        <v>536323.01210375468</v>
      </c>
      <c r="AR112" s="216"/>
      <c r="AS112" s="389">
        <f>SUM(AS100:AS111)</f>
        <v>0</v>
      </c>
      <c r="AT112" s="216"/>
      <c r="AU112" s="389">
        <f>SUM(AU100:AU111)</f>
        <v>0</v>
      </c>
      <c r="AV112" s="216"/>
      <c r="AW112" s="389">
        <f>SUM(AW100:AW111)</f>
        <v>67813.234508501584</v>
      </c>
      <c r="AX112" s="216"/>
      <c r="AY112" s="389">
        <f>SUM(AY100:AY111)</f>
        <v>341990.93633547722</v>
      </c>
      <c r="BA112" s="175"/>
      <c r="BB112" s="145"/>
      <c r="BC112" s="145"/>
      <c r="BD112" s="145"/>
    </row>
    <row r="113" spans="1:56">
      <c r="A113" s="146"/>
      <c r="B113" s="146"/>
      <c r="F113" s="216"/>
      <c r="G113" s="139"/>
      <c r="H113" s="261"/>
      <c r="I113" s="216"/>
      <c r="J113" s="312"/>
      <c r="K113" s="216"/>
      <c r="L113" s="312"/>
      <c r="M113" s="216"/>
      <c r="N113" s="312"/>
      <c r="O113" s="216"/>
      <c r="P113" s="312"/>
      <c r="Q113" s="216"/>
      <c r="R113" s="312"/>
      <c r="S113" s="216"/>
      <c r="T113" s="312"/>
      <c r="U113" s="216"/>
      <c r="V113" s="312"/>
      <c r="W113" s="216"/>
      <c r="X113" s="312"/>
      <c r="Y113" s="216"/>
      <c r="Z113" s="175"/>
      <c r="AC113" s="216"/>
      <c r="AD113" s="139"/>
      <c r="AE113" s="261"/>
      <c r="AF113" s="216"/>
      <c r="AG113" s="312"/>
      <c r="AH113" s="216"/>
      <c r="AI113" s="312"/>
      <c r="AJ113" s="216"/>
      <c r="AK113" s="312"/>
      <c r="AL113" s="216"/>
      <c r="AM113" s="312"/>
      <c r="AN113" s="216"/>
      <c r="AO113" s="312"/>
      <c r="AP113" s="216"/>
      <c r="AQ113" s="312"/>
      <c r="AR113" s="216"/>
      <c r="AS113" s="312"/>
      <c r="AT113" s="216"/>
      <c r="AU113" s="312"/>
      <c r="AV113" s="216"/>
      <c r="AW113" s="312"/>
      <c r="AX113" s="216"/>
      <c r="AY113" s="312"/>
      <c r="BA113" s="175"/>
      <c r="BB113" s="145"/>
      <c r="BC113" s="145"/>
      <c r="BD113" s="145"/>
    </row>
    <row r="114" spans="1:56">
      <c r="A114" s="146"/>
      <c r="B114" s="146"/>
      <c r="F114" s="216" t="s">
        <v>98</v>
      </c>
      <c r="G114" s="139"/>
      <c r="H114" s="261"/>
      <c r="I114" s="216"/>
      <c r="J114" s="312">
        <f>J112+J96</f>
        <v>4097220.6074468466</v>
      </c>
      <c r="K114" s="216"/>
      <c r="L114" s="312">
        <f>L112+L96</f>
        <v>2702517.0025863759</v>
      </c>
      <c r="M114" s="216"/>
      <c r="N114" s="312">
        <f>N112+N96</f>
        <v>678612.18529732223</v>
      </c>
      <c r="O114" s="216"/>
      <c r="P114" s="312">
        <f>P112+P96</f>
        <v>50362.999021757314</v>
      </c>
      <c r="Q114" s="216"/>
      <c r="R114" s="312">
        <f>R112+R96</f>
        <v>160467.62906885007</v>
      </c>
      <c r="S114" s="216"/>
      <c r="T114" s="312">
        <f>T112+T96</f>
        <v>12566.636799295788</v>
      </c>
      <c r="U114" s="216"/>
      <c r="V114" s="312">
        <f>V112+V96</f>
        <v>117578.82948379307</v>
      </c>
      <c r="W114" s="216"/>
      <c r="X114" s="312">
        <f>X112+X96</f>
        <v>375115.3251894525</v>
      </c>
      <c r="Y114" s="216"/>
      <c r="Z114" s="175"/>
      <c r="AC114" s="216" t="s">
        <v>98</v>
      </c>
      <c r="AD114" s="139"/>
      <c r="AE114" s="261"/>
      <c r="AF114" s="216"/>
      <c r="AG114" s="312">
        <f>AG112+AG96</f>
        <v>4097220.6074468466</v>
      </c>
      <c r="AH114" s="216"/>
      <c r="AI114" s="312">
        <f>AI112+AI96</f>
        <v>480336.64639991382</v>
      </c>
      <c r="AJ114" s="216"/>
      <c r="AK114" s="312">
        <f>AK112+AK96</f>
        <v>91246.084321126138</v>
      </c>
      <c r="AL114" s="216"/>
      <c r="AM114" s="312">
        <f>AM112+AM96</f>
        <v>513742.89459008147</v>
      </c>
      <c r="AN114" s="216"/>
      <c r="AO114" s="312">
        <f>AO112+AO96</f>
        <v>1981867.7407337723</v>
      </c>
      <c r="AP114" s="216"/>
      <c r="AQ114" s="312">
        <f>AQ112+AQ96</f>
        <v>537333.08672870765</v>
      </c>
      <c r="AR114" s="216"/>
      <c r="AS114" s="312">
        <f>AS112+AS96</f>
        <v>0</v>
      </c>
      <c r="AT114" s="216"/>
      <c r="AU114" s="312">
        <f>AU112+AU96</f>
        <v>0</v>
      </c>
      <c r="AV114" s="216"/>
      <c r="AW114" s="312">
        <f>AW112+AW96</f>
        <v>117578.82948379307</v>
      </c>
      <c r="AX114" s="216"/>
      <c r="AY114" s="312">
        <f>AY112+AY96</f>
        <v>375115.3251894525</v>
      </c>
      <c r="BA114" s="175"/>
      <c r="BB114" s="145"/>
      <c r="BC114" s="145"/>
      <c r="BD114" s="145"/>
    </row>
    <row r="115" spans="1:56">
      <c r="A115" s="146"/>
      <c r="B115" s="146"/>
      <c r="F115" s="216"/>
      <c r="G115" s="139"/>
      <c r="H115" s="261"/>
      <c r="I115" s="216"/>
      <c r="J115" s="312"/>
      <c r="K115" s="385"/>
      <c r="L115" s="386"/>
      <c r="M115" s="387"/>
      <c r="N115" s="386"/>
      <c r="O115" s="387"/>
      <c r="P115" s="386"/>
      <c r="Q115" s="387"/>
      <c r="R115" s="386"/>
      <c r="S115" s="387"/>
      <c r="T115" s="386"/>
      <c r="U115" s="387"/>
      <c r="V115" s="386"/>
      <c r="W115" s="387"/>
      <c r="X115" s="386"/>
      <c r="Z115" s="175"/>
      <c r="AC115" s="216"/>
      <c r="AE115" s="239"/>
      <c r="AG115" s="312"/>
      <c r="AH115" s="385"/>
      <c r="AI115" s="386"/>
      <c r="AJ115" s="387"/>
      <c r="AK115" s="386"/>
      <c r="AL115" s="387"/>
      <c r="AM115" s="386"/>
      <c r="AN115" s="387"/>
      <c r="AO115" s="386"/>
      <c r="AP115" s="387"/>
      <c r="AQ115" s="386"/>
      <c r="AR115" s="387"/>
      <c r="AS115" s="386"/>
      <c r="AT115" s="387"/>
      <c r="AU115" s="386"/>
      <c r="AV115" s="387"/>
      <c r="AW115" s="386"/>
      <c r="AX115" s="387"/>
      <c r="AY115" s="386"/>
      <c r="BA115" s="175"/>
      <c r="BB115" s="145"/>
      <c r="BC115" s="145"/>
      <c r="BD115" s="145"/>
    </row>
    <row r="116" spans="1:56">
      <c r="A116" s="146"/>
      <c r="B116" s="146"/>
      <c r="F116" s="216" t="s">
        <v>428</v>
      </c>
      <c r="G116" s="139"/>
      <c r="H116" s="261"/>
      <c r="I116" s="216"/>
      <c r="J116" s="312"/>
      <c r="K116" s="385"/>
      <c r="L116" s="386"/>
      <c r="M116" s="387"/>
      <c r="N116" s="386"/>
      <c r="O116" s="387"/>
      <c r="P116" s="386"/>
      <c r="Q116" s="387"/>
      <c r="R116" s="386"/>
      <c r="S116" s="387"/>
      <c r="T116" s="386"/>
      <c r="U116" s="387"/>
      <c r="V116" s="386"/>
      <c r="W116" s="387"/>
      <c r="X116" s="386"/>
      <c r="Z116" s="175"/>
      <c r="AC116" s="216" t="s">
        <v>428</v>
      </c>
      <c r="AE116" s="239"/>
      <c r="AG116" s="312"/>
      <c r="AH116" s="385"/>
      <c r="AI116" s="386"/>
      <c r="AJ116" s="387"/>
      <c r="AK116" s="386"/>
      <c r="AL116" s="387"/>
      <c r="AM116" s="386"/>
      <c r="AN116" s="387"/>
      <c r="AO116" s="386"/>
      <c r="AP116" s="387"/>
      <c r="AQ116" s="386"/>
      <c r="AR116" s="387"/>
      <c r="AS116" s="386"/>
      <c r="AT116" s="387"/>
      <c r="AU116" s="386"/>
      <c r="AV116" s="387"/>
      <c r="AW116" s="386"/>
      <c r="AX116" s="387"/>
      <c r="AY116" s="386"/>
      <c r="BA116" s="175"/>
      <c r="BB116" s="145"/>
      <c r="BC116" s="145"/>
      <c r="BD116" s="145"/>
    </row>
    <row r="117" spans="1:56">
      <c r="A117" s="146"/>
      <c r="B117" s="146"/>
      <c r="D117" s="488">
        <v>601.70000000000005</v>
      </c>
      <c r="F117" s="216" t="s">
        <v>708</v>
      </c>
      <c r="G117" s="139"/>
      <c r="H117" s="261">
        <v>14</v>
      </c>
      <c r="I117" s="216"/>
      <c r="J117" s="312">
        <v>392971.01629239856</v>
      </c>
      <c r="K117" s="385"/>
      <c r="L117" s="260">
        <f t="shared" ref="L117:L130" si="135">(VLOOKUP($H117,Factors,L$382))*$J117</f>
        <v>356778.38569186867</v>
      </c>
      <c r="M117" s="212"/>
      <c r="N117" s="260">
        <f t="shared" ref="N117:N130" si="136">(VLOOKUP($H117,Factors,N$382))*$J117</f>
        <v>28451.101579569658</v>
      </c>
      <c r="O117" s="212"/>
      <c r="P117" s="260">
        <f t="shared" ref="P117:P130" si="137">(VLOOKUP($H117,Factors,P$382))*$J117</f>
        <v>157.18840651695945</v>
      </c>
      <c r="Q117" s="212"/>
      <c r="R117" s="260">
        <f t="shared" ref="R117:R130" si="138">(VLOOKUP($H117,Factors,R$382))*$J117</f>
        <v>2436.4203010128708</v>
      </c>
      <c r="S117" s="212"/>
      <c r="T117" s="260">
        <f t="shared" ref="T117:T130" si="139">(VLOOKUP($H117,Factors,T$382))*$J117</f>
        <v>78.594203258479723</v>
      </c>
      <c r="U117" s="212"/>
      <c r="V117" s="260">
        <f t="shared" ref="V117:V130" si="140">(VLOOKUP($H117,Factors,V$382))*$J117</f>
        <v>5069.3261101719418</v>
      </c>
      <c r="W117" s="212"/>
      <c r="X117" s="260">
        <f t="shared" ref="X117:X130" si="141">(VLOOKUP($H117,Factors,X$382))*$J117</f>
        <v>0</v>
      </c>
      <c r="Y117" s="212"/>
      <c r="Z117" s="212"/>
      <c r="AC117" s="216" t="s">
        <v>708</v>
      </c>
      <c r="AE117" s="239">
        <f t="shared" ref="AE117:AE130" si="142">+H117</f>
        <v>14</v>
      </c>
      <c r="AG117" s="312">
        <f t="shared" ref="AG117:AG130" si="143">+J117</f>
        <v>392971.01629239856</v>
      </c>
      <c r="AH117" s="385"/>
      <c r="AI117" s="260">
        <f t="shared" ref="AI117:AI130" si="144">(VLOOKUP($AE117,func,AI$382))*$AG117</f>
        <v>0</v>
      </c>
      <c r="AJ117" s="212"/>
      <c r="AK117" s="260">
        <f t="shared" ref="AK117:AK130" si="145">(VLOOKUP($AE117,func,AK$382))*$AG117</f>
        <v>0</v>
      </c>
      <c r="AL117" s="212"/>
      <c r="AM117" s="260">
        <f t="shared" ref="AM117:AM130" si="146">(VLOOKUP($AE117,func,AM$382))*$AG117</f>
        <v>0</v>
      </c>
      <c r="AN117" s="212"/>
      <c r="AO117" s="260">
        <f t="shared" ref="AO117:AO130" si="147">(VLOOKUP($AE117,func,AO$382))*$AG117</f>
        <v>0</v>
      </c>
      <c r="AP117" s="212"/>
      <c r="AQ117" s="260">
        <f t="shared" ref="AQ117:AQ130" si="148">(VLOOKUP($AE117,func,AQ$382))*$AG117</f>
        <v>0</v>
      </c>
      <c r="AR117" s="212"/>
      <c r="AS117" s="260">
        <f t="shared" ref="AS117:AS130" si="149">(VLOOKUP($AE117,func,AS$382))*$AG117</f>
        <v>392971.01629239856</v>
      </c>
      <c r="AT117" s="212"/>
      <c r="AU117" s="260">
        <f t="shared" ref="AU117:AU130" si="150">(VLOOKUP($AE117,func,AU$382))*$AG117</f>
        <v>0</v>
      </c>
      <c r="AV117" s="212"/>
      <c r="AW117" s="260">
        <f t="shared" ref="AW117:AW130" si="151">(VLOOKUP($AE117,func,AW$382))*$AG117</f>
        <v>0</v>
      </c>
      <c r="AX117" s="212"/>
      <c r="AY117" s="260">
        <f t="shared" ref="AY117:AY130" si="152">(VLOOKUP($AE117,func,AY$382))*$AG117</f>
        <v>0</v>
      </c>
      <c r="BA117" s="175"/>
      <c r="BB117" s="145"/>
      <c r="BC117" s="145"/>
      <c r="BD117" s="145"/>
    </row>
    <row r="118" spans="1:56">
      <c r="A118" s="146"/>
      <c r="B118" s="146"/>
      <c r="D118" s="488">
        <v>636.70000000000005</v>
      </c>
      <c r="F118" s="216" t="s">
        <v>640</v>
      </c>
      <c r="G118" s="139"/>
      <c r="H118" s="261">
        <v>13</v>
      </c>
      <c r="I118" s="216"/>
      <c r="J118" s="312">
        <v>105527.67534722156</v>
      </c>
      <c r="K118" s="385"/>
      <c r="L118" s="260">
        <f t="shared" si="135"/>
        <v>94932.696742360509</v>
      </c>
      <c r="M118" s="212"/>
      <c r="N118" s="260">
        <f t="shared" si="136"/>
        <v>7566.3343223957863</v>
      </c>
      <c r="O118" s="212"/>
      <c r="P118" s="260">
        <f t="shared" si="137"/>
        <v>42.21107013888863</v>
      </c>
      <c r="Q118" s="212"/>
      <c r="R118" s="260">
        <f t="shared" si="138"/>
        <v>654.27158715277369</v>
      </c>
      <c r="S118" s="212"/>
      <c r="T118" s="260">
        <f t="shared" si="139"/>
        <v>21.105535069444315</v>
      </c>
      <c r="U118" s="212"/>
      <c r="V118" s="260">
        <f t="shared" si="140"/>
        <v>2279.397787499986</v>
      </c>
      <c r="W118" s="212"/>
      <c r="X118" s="260">
        <f t="shared" si="141"/>
        <v>31.658302604166465</v>
      </c>
      <c r="Y118" s="212"/>
      <c r="Z118" s="212"/>
      <c r="AC118" s="216" t="s">
        <v>640</v>
      </c>
      <c r="AE118" s="239">
        <f t="shared" si="142"/>
        <v>13</v>
      </c>
      <c r="AG118" s="312">
        <f t="shared" si="143"/>
        <v>105527.67534722156</v>
      </c>
      <c r="AH118" s="385"/>
      <c r="AI118" s="260">
        <f t="shared" si="144"/>
        <v>0</v>
      </c>
      <c r="AJ118" s="212"/>
      <c r="AK118" s="260">
        <f t="shared" si="145"/>
        <v>0</v>
      </c>
      <c r="AL118" s="212"/>
      <c r="AM118" s="260">
        <f t="shared" si="146"/>
        <v>0</v>
      </c>
      <c r="AN118" s="212"/>
      <c r="AO118" s="260">
        <f t="shared" si="147"/>
        <v>0</v>
      </c>
      <c r="AP118" s="212"/>
      <c r="AQ118" s="260">
        <f t="shared" si="148"/>
        <v>0</v>
      </c>
      <c r="AR118" s="212"/>
      <c r="AS118" s="260">
        <f t="shared" si="149"/>
        <v>103216.61925711742</v>
      </c>
      <c r="AT118" s="212"/>
      <c r="AU118" s="260">
        <f t="shared" si="150"/>
        <v>0</v>
      </c>
      <c r="AV118" s="212"/>
      <c r="AW118" s="260">
        <f t="shared" si="151"/>
        <v>2279.397787499986</v>
      </c>
      <c r="AX118" s="212"/>
      <c r="AY118" s="260">
        <f t="shared" si="152"/>
        <v>31.658302604166465</v>
      </c>
      <c r="BA118" s="175"/>
      <c r="BB118" s="145"/>
      <c r="BC118" s="145"/>
      <c r="BD118" s="145"/>
    </row>
    <row r="119" spans="1:56">
      <c r="A119" s="146"/>
      <c r="B119" s="146"/>
      <c r="D119" s="488">
        <v>601.70000000000005</v>
      </c>
      <c r="F119" s="216" t="s">
        <v>709</v>
      </c>
      <c r="G119" s="139"/>
      <c r="H119" s="261">
        <v>13</v>
      </c>
      <c r="I119" s="216"/>
      <c r="J119" s="312">
        <v>159109.96234558008</v>
      </c>
      <c r="K119" s="385"/>
      <c r="L119" s="260">
        <f t="shared" si="135"/>
        <v>143135.32212608383</v>
      </c>
      <c r="M119" s="212"/>
      <c r="N119" s="260">
        <f t="shared" si="136"/>
        <v>11408.184300178091</v>
      </c>
      <c r="O119" s="212"/>
      <c r="P119" s="260">
        <f t="shared" si="137"/>
        <v>63.64398493823203</v>
      </c>
      <c r="Q119" s="212"/>
      <c r="R119" s="260">
        <f t="shared" si="138"/>
        <v>986.48176654259646</v>
      </c>
      <c r="S119" s="212"/>
      <c r="T119" s="260">
        <f t="shared" si="139"/>
        <v>31.821992469116015</v>
      </c>
      <c r="U119" s="212"/>
      <c r="V119" s="260">
        <f t="shared" si="140"/>
        <v>3436.7751866645299</v>
      </c>
      <c r="W119" s="212"/>
      <c r="X119" s="260">
        <f t="shared" si="141"/>
        <v>47.732988703674017</v>
      </c>
      <c r="Y119" s="212"/>
      <c r="Z119" s="212"/>
      <c r="AC119" s="216" t="s">
        <v>709</v>
      </c>
      <c r="AE119" s="239">
        <f t="shared" si="142"/>
        <v>13</v>
      </c>
      <c r="AG119" s="312">
        <f t="shared" si="143"/>
        <v>159109.96234558008</v>
      </c>
      <c r="AH119" s="385"/>
      <c r="AI119" s="260">
        <f t="shared" si="144"/>
        <v>0</v>
      </c>
      <c r="AJ119" s="212"/>
      <c r="AK119" s="260">
        <f t="shared" si="145"/>
        <v>0</v>
      </c>
      <c r="AL119" s="212"/>
      <c r="AM119" s="260">
        <f t="shared" si="146"/>
        <v>0</v>
      </c>
      <c r="AN119" s="212"/>
      <c r="AO119" s="260">
        <f t="shared" si="147"/>
        <v>0</v>
      </c>
      <c r="AP119" s="212"/>
      <c r="AQ119" s="260">
        <f t="shared" si="148"/>
        <v>0</v>
      </c>
      <c r="AR119" s="212"/>
      <c r="AS119" s="260">
        <f t="shared" si="149"/>
        <v>155625.45417021189</v>
      </c>
      <c r="AT119" s="212"/>
      <c r="AU119" s="260">
        <f t="shared" si="150"/>
        <v>0</v>
      </c>
      <c r="AV119" s="212"/>
      <c r="AW119" s="260">
        <f t="shared" si="151"/>
        <v>3436.7751866645299</v>
      </c>
      <c r="AX119" s="212"/>
      <c r="AY119" s="260">
        <f t="shared" si="152"/>
        <v>47.732988703674017</v>
      </c>
      <c r="BA119" s="175"/>
      <c r="BB119" s="145"/>
      <c r="BC119" s="145"/>
      <c r="BD119" s="145"/>
    </row>
    <row r="120" spans="1:56">
      <c r="A120" s="146"/>
      <c r="B120" s="146"/>
      <c r="D120" s="488">
        <v>670.7</v>
      </c>
      <c r="F120" s="216" t="s">
        <v>585</v>
      </c>
      <c r="G120" s="139"/>
      <c r="H120" s="261">
        <v>20</v>
      </c>
      <c r="I120" s="216"/>
      <c r="J120" s="312">
        <v>552734.51937874407</v>
      </c>
      <c r="K120" s="386"/>
      <c r="L120" s="260">
        <f t="shared" si="135"/>
        <v>453518.67315025954</v>
      </c>
      <c r="M120" s="212"/>
      <c r="N120" s="260">
        <f t="shared" si="136"/>
        <v>86281.858475021945</v>
      </c>
      <c r="O120" s="212"/>
      <c r="P120" s="260">
        <f t="shared" si="137"/>
        <v>0</v>
      </c>
      <c r="Q120" s="212"/>
      <c r="R120" s="260">
        <f t="shared" si="138"/>
        <v>0</v>
      </c>
      <c r="S120" s="212"/>
      <c r="T120" s="260">
        <f t="shared" si="139"/>
        <v>0</v>
      </c>
      <c r="U120" s="212"/>
      <c r="V120" s="260">
        <f t="shared" si="140"/>
        <v>12933.987753462612</v>
      </c>
      <c r="W120" s="212"/>
      <c r="X120" s="260">
        <f t="shared" si="141"/>
        <v>0</v>
      </c>
      <c r="Y120" s="212"/>
      <c r="Z120" s="212"/>
      <c r="AC120" s="216" t="s">
        <v>585</v>
      </c>
      <c r="AE120" s="239">
        <f t="shared" si="142"/>
        <v>20</v>
      </c>
      <c r="AG120" s="312">
        <f t="shared" si="143"/>
        <v>552734.51937874407</v>
      </c>
      <c r="AH120" s="386"/>
      <c r="AI120" s="260">
        <f t="shared" si="144"/>
        <v>0</v>
      </c>
      <c r="AJ120" s="212"/>
      <c r="AK120" s="260">
        <f t="shared" si="145"/>
        <v>0</v>
      </c>
      <c r="AL120" s="212"/>
      <c r="AM120" s="260">
        <f t="shared" si="146"/>
        <v>0</v>
      </c>
      <c r="AN120" s="212"/>
      <c r="AO120" s="260">
        <f t="shared" si="147"/>
        <v>0</v>
      </c>
      <c r="AP120" s="212"/>
      <c r="AQ120" s="260">
        <f t="shared" si="148"/>
        <v>0</v>
      </c>
      <c r="AR120" s="212"/>
      <c r="AS120" s="260">
        <f t="shared" si="149"/>
        <v>0</v>
      </c>
      <c r="AT120" s="212"/>
      <c r="AU120" s="260">
        <f t="shared" si="150"/>
        <v>552734.51937874407</v>
      </c>
      <c r="AV120" s="212"/>
      <c r="AW120" s="260">
        <f t="shared" si="151"/>
        <v>0</v>
      </c>
      <c r="AX120" s="212"/>
      <c r="AY120" s="260">
        <f t="shared" si="152"/>
        <v>0</v>
      </c>
      <c r="BA120" s="175"/>
      <c r="BB120" s="145"/>
      <c r="BC120" s="145"/>
      <c r="BD120" s="145"/>
    </row>
    <row r="121" spans="1:56">
      <c r="A121" s="146"/>
      <c r="B121" s="146"/>
      <c r="D121" s="488">
        <v>650.70000000000005</v>
      </c>
      <c r="F121" s="216" t="s">
        <v>655</v>
      </c>
      <c r="G121" s="139"/>
      <c r="H121" s="261">
        <v>14</v>
      </c>
      <c r="I121" s="216"/>
      <c r="J121" s="312">
        <v>18.267477558470137</v>
      </c>
      <c r="K121" s="386"/>
      <c r="L121" s="260">
        <f t="shared" si="135"/>
        <v>16.585042875335038</v>
      </c>
      <c r="M121" s="212"/>
      <c r="N121" s="260">
        <f t="shared" si="136"/>
        <v>1.322565375233238</v>
      </c>
      <c r="O121" s="212"/>
      <c r="P121" s="260">
        <f t="shared" si="137"/>
        <v>7.306991023388055E-3</v>
      </c>
      <c r="Q121" s="212"/>
      <c r="R121" s="260">
        <f t="shared" si="138"/>
        <v>0.11325836086251485</v>
      </c>
      <c r="S121" s="212"/>
      <c r="T121" s="260">
        <f t="shared" si="139"/>
        <v>3.6534955116940275E-3</v>
      </c>
      <c r="U121" s="212"/>
      <c r="V121" s="260">
        <f t="shared" si="140"/>
        <v>0.23565046050426477</v>
      </c>
      <c r="W121" s="212"/>
      <c r="X121" s="260">
        <f t="shared" si="141"/>
        <v>0</v>
      </c>
      <c r="Y121" s="212"/>
      <c r="Z121" s="212"/>
      <c r="AC121" s="216" t="s">
        <v>655</v>
      </c>
      <c r="AE121" s="239">
        <f t="shared" si="142"/>
        <v>14</v>
      </c>
      <c r="AG121" s="312">
        <f t="shared" si="143"/>
        <v>18.267477558470137</v>
      </c>
      <c r="AH121" s="386"/>
      <c r="AI121" s="260">
        <f t="shared" si="144"/>
        <v>0</v>
      </c>
      <c r="AJ121" s="212"/>
      <c r="AK121" s="260">
        <f t="shared" si="145"/>
        <v>0</v>
      </c>
      <c r="AL121" s="212"/>
      <c r="AM121" s="260">
        <f t="shared" si="146"/>
        <v>0</v>
      </c>
      <c r="AN121" s="212"/>
      <c r="AO121" s="260">
        <f t="shared" si="147"/>
        <v>0</v>
      </c>
      <c r="AP121" s="212"/>
      <c r="AQ121" s="260">
        <f t="shared" si="148"/>
        <v>0</v>
      </c>
      <c r="AR121" s="212"/>
      <c r="AS121" s="260">
        <f t="shared" si="149"/>
        <v>18.267477558470137</v>
      </c>
      <c r="AT121" s="212"/>
      <c r="AU121" s="260">
        <f t="shared" si="150"/>
        <v>0</v>
      </c>
      <c r="AV121" s="212"/>
      <c r="AW121" s="260">
        <f t="shared" si="151"/>
        <v>0</v>
      </c>
      <c r="AX121" s="212"/>
      <c r="AY121" s="260">
        <f t="shared" si="152"/>
        <v>0</v>
      </c>
      <c r="BA121" s="175"/>
      <c r="BB121" s="145"/>
      <c r="BC121" s="145"/>
      <c r="BD121" s="145"/>
    </row>
    <row r="122" spans="1:56">
      <c r="A122" s="146"/>
      <c r="B122" s="146"/>
      <c r="D122" s="488">
        <v>675.7</v>
      </c>
      <c r="F122" s="216" t="s">
        <v>691</v>
      </c>
      <c r="G122" s="139"/>
      <c r="H122" s="261">
        <v>13</v>
      </c>
      <c r="I122" s="216"/>
      <c r="J122" s="312">
        <v>100583.56179016765</v>
      </c>
      <c r="K122" s="386"/>
      <c r="L122" s="260">
        <f t="shared" si="135"/>
        <v>90484.97218643481</v>
      </c>
      <c r="M122" s="212"/>
      <c r="N122" s="260">
        <f t="shared" si="136"/>
        <v>7211.8413803550202</v>
      </c>
      <c r="O122" s="212"/>
      <c r="P122" s="260">
        <f t="shared" si="137"/>
        <v>40.233424716067063</v>
      </c>
      <c r="Q122" s="212"/>
      <c r="R122" s="260">
        <f t="shared" si="138"/>
        <v>623.61808309903938</v>
      </c>
      <c r="S122" s="212"/>
      <c r="T122" s="260">
        <f t="shared" si="139"/>
        <v>20.116712358033531</v>
      </c>
      <c r="U122" s="212"/>
      <c r="V122" s="260">
        <f t="shared" si="140"/>
        <v>2172.6049346676214</v>
      </c>
      <c r="W122" s="212"/>
      <c r="X122" s="260">
        <f t="shared" si="141"/>
        <v>30.17506853705029</v>
      </c>
      <c r="Y122" s="212"/>
      <c r="Z122" s="212"/>
      <c r="AC122" s="216" t="s">
        <v>691</v>
      </c>
      <c r="AE122" s="239">
        <f t="shared" si="142"/>
        <v>13</v>
      </c>
      <c r="AG122" s="312">
        <f t="shared" si="143"/>
        <v>100583.56179016765</v>
      </c>
      <c r="AH122" s="386"/>
      <c r="AI122" s="260">
        <f t="shared" si="144"/>
        <v>0</v>
      </c>
      <c r="AJ122" s="212"/>
      <c r="AK122" s="260">
        <f t="shared" si="145"/>
        <v>0</v>
      </c>
      <c r="AL122" s="212"/>
      <c r="AM122" s="260">
        <f t="shared" si="146"/>
        <v>0</v>
      </c>
      <c r="AN122" s="212"/>
      <c r="AO122" s="260">
        <f t="shared" si="147"/>
        <v>0</v>
      </c>
      <c r="AP122" s="212"/>
      <c r="AQ122" s="260">
        <f t="shared" si="148"/>
        <v>0</v>
      </c>
      <c r="AR122" s="212"/>
      <c r="AS122" s="260">
        <f t="shared" si="149"/>
        <v>98380.78178696298</v>
      </c>
      <c r="AT122" s="212"/>
      <c r="AU122" s="260">
        <f t="shared" si="150"/>
        <v>0</v>
      </c>
      <c r="AV122" s="212"/>
      <c r="AW122" s="260">
        <f t="shared" si="151"/>
        <v>2172.6049346676214</v>
      </c>
      <c r="AX122" s="212"/>
      <c r="AY122" s="260">
        <f t="shared" si="152"/>
        <v>30.17506853705029</v>
      </c>
      <c r="BA122" s="175"/>
      <c r="BB122" s="145"/>
      <c r="BC122" s="145"/>
      <c r="BD122" s="145"/>
    </row>
    <row r="123" spans="1:56">
      <c r="A123" s="146"/>
      <c r="B123" s="146"/>
      <c r="C123" s="312"/>
      <c r="D123" s="488">
        <v>675.7</v>
      </c>
      <c r="F123" s="216" t="s">
        <v>656</v>
      </c>
      <c r="G123" s="139"/>
      <c r="H123" s="261">
        <v>13</v>
      </c>
      <c r="I123" s="216"/>
      <c r="J123" s="312">
        <v>191064</v>
      </c>
      <c r="K123" s="385"/>
      <c r="L123" s="260">
        <f t="shared" si="135"/>
        <v>171881.17439999999</v>
      </c>
      <c r="M123" s="212"/>
      <c r="N123" s="260">
        <f t="shared" si="136"/>
        <v>13699.2888</v>
      </c>
      <c r="O123" s="212"/>
      <c r="P123" s="260">
        <f t="shared" si="137"/>
        <v>76.425600000000003</v>
      </c>
      <c r="Q123" s="212"/>
      <c r="R123" s="260">
        <f t="shared" si="138"/>
        <v>1184.5968</v>
      </c>
      <c r="S123" s="212"/>
      <c r="T123" s="260">
        <f t="shared" si="139"/>
        <v>38.212800000000001</v>
      </c>
      <c r="U123" s="212"/>
      <c r="V123" s="260">
        <f t="shared" si="140"/>
        <v>4126.9823999999999</v>
      </c>
      <c r="W123" s="212"/>
      <c r="X123" s="260">
        <f t="shared" si="141"/>
        <v>57.319199999999995</v>
      </c>
      <c r="Y123" s="212"/>
      <c r="Z123" s="212"/>
      <c r="AC123" s="216" t="s">
        <v>656</v>
      </c>
      <c r="AE123" s="239">
        <f t="shared" si="142"/>
        <v>13</v>
      </c>
      <c r="AG123" s="312">
        <f t="shared" si="143"/>
        <v>191064</v>
      </c>
      <c r="AH123" s="385"/>
      <c r="AI123" s="260">
        <f t="shared" si="144"/>
        <v>0</v>
      </c>
      <c r="AJ123" s="212"/>
      <c r="AK123" s="260">
        <f t="shared" si="145"/>
        <v>0</v>
      </c>
      <c r="AL123" s="212"/>
      <c r="AM123" s="260">
        <f t="shared" si="146"/>
        <v>0</v>
      </c>
      <c r="AN123" s="212"/>
      <c r="AO123" s="260">
        <f t="shared" si="147"/>
        <v>0</v>
      </c>
      <c r="AP123" s="212"/>
      <c r="AQ123" s="260">
        <f t="shared" si="148"/>
        <v>0</v>
      </c>
      <c r="AR123" s="212"/>
      <c r="AS123" s="260">
        <f t="shared" si="149"/>
        <v>186879.69840000002</v>
      </c>
      <c r="AT123" s="212"/>
      <c r="AU123" s="260">
        <f t="shared" si="150"/>
        <v>0</v>
      </c>
      <c r="AV123" s="212"/>
      <c r="AW123" s="260">
        <f t="shared" si="151"/>
        <v>4126.9823999999999</v>
      </c>
      <c r="AX123" s="212"/>
      <c r="AY123" s="260">
        <f t="shared" si="152"/>
        <v>57.319199999999995</v>
      </c>
      <c r="BA123" s="175"/>
      <c r="BB123" s="145"/>
      <c r="BC123" s="145"/>
      <c r="BD123" s="145"/>
    </row>
    <row r="124" spans="1:56">
      <c r="A124" s="146"/>
      <c r="B124" s="146"/>
      <c r="C124" s="312"/>
      <c r="D124" s="488">
        <v>675.7</v>
      </c>
      <c r="F124" s="216" t="s">
        <v>657</v>
      </c>
      <c r="G124" s="139"/>
      <c r="H124" s="261">
        <v>13</v>
      </c>
      <c r="I124" s="216"/>
      <c r="J124" s="312">
        <v>50000</v>
      </c>
      <c r="K124" s="385"/>
      <c r="L124" s="260">
        <f t="shared" si="135"/>
        <v>44980</v>
      </c>
      <c r="M124" s="212"/>
      <c r="N124" s="260">
        <f t="shared" si="136"/>
        <v>3585</v>
      </c>
      <c r="O124" s="212"/>
      <c r="P124" s="260">
        <f t="shared" si="137"/>
        <v>20</v>
      </c>
      <c r="Q124" s="212"/>
      <c r="R124" s="260">
        <f t="shared" si="138"/>
        <v>310</v>
      </c>
      <c r="S124" s="212"/>
      <c r="T124" s="260">
        <f t="shared" si="139"/>
        <v>10</v>
      </c>
      <c r="U124" s="212"/>
      <c r="V124" s="260">
        <f t="shared" si="140"/>
        <v>1080</v>
      </c>
      <c r="W124" s="212"/>
      <c r="X124" s="260">
        <f t="shared" si="141"/>
        <v>14.999999999999998</v>
      </c>
      <c r="Y124" s="212"/>
      <c r="Z124" s="212"/>
      <c r="AC124" s="216" t="s">
        <v>657</v>
      </c>
      <c r="AE124" s="239">
        <f t="shared" si="142"/>
        <v>13</v>
      </c>
      <c r="AG124" s="312">
        <f t="shared" si="143"/>
        <v>50000</v>
      </c>
      <c r="AH124" s="385"/>
      <c r="AI124" s="260">
        <f t="shared" si="144"/>
        <v>0</v>
      </c>
      <c r="AJ124" s="212"/>
      <c r="AK124" s="260">
        <f t="shared" si="145"/>
        <v>0</v>
      </c>
      <c r="AL124" s="212"/>
      <c r="AM124" s="260">
        <f t="shared" si="146"/>
        <v>0</v>
      </c>
      <c r="AN124" s="212"/>
      <c r="AO124" s="260">
        <f t="shared" si="147"/>
        <v>0</v>
      </c>
      <c r="AP124" s="212"/>
      <c r="AQ124" s="260">
        <f t="shared" si="148"/>
        <v>0</v>
      </c>
      <c r="AR124" s="212"/>
      <c r="AS124" s="260">
        <f t="shared" si="149"/>
        <v>48905.000000000007</v>
      </c>
      <c r="AT124" s="212"/>
      <c r="AU124" s="260">
        <f t="shared" si="150"/>
        <v>0</v>
      </c>
      <c r="AV124" s="212"/>
      <c r="AW124" s="260">
        <f t="shared" si="151"/>
        <v>1080</v>
      </c>
      <c r="AX124" s="212"/>
      <c r="AY124" s="260">
        <f t="shared" si="152"/>
        <v>14.999999999999998</v>
      </c>
      <c r="BA124" s="175"/>
      <c r="BB124" s="145"/>
      <c r="BC124" s="145"/>
      <c r="BD124" s="145"/>
    </row>
    <row r="125" spans="1:56">
      <c r="A125" s="146"/>
      <c r="B125" s="146"/>
      <c r="C125" s="312"/>
      <c r="D125" s="488">
        <v>675.7</v>
      </c>
      <c r="F125" s="216" t="s">
        <v>662</v>
      </c>
      <c r="G125" s="139"/>
      <c r="H125" s="261">
        <v>13</v>
      </c>
      <c r="I125" s="216"/>
      <c r="J125" s="312">
        <v>600</v>
      </c>
      <c r="K125" s="385"/>
      <c r="L125" s="260">
        <f t="shared" si="135"/>
        <v>539.76</v>
      </c>
      <c r="M125" s="212"/>
      <c r="N125" s="260">
        <f t="shared" si="136"/>
        <v>43.02</v>
      </c>
      <c r="O125" s="212"/>
      <c r="P125" s="260">
        <f t="shared" si="137"/>
        <v>0.24000000000000002</v>
      </c>
      <c r="Q125" s="212"/>
      <c r="R125" s="260">
        <f t="shared" si="138"/>
        <v>3.7199999999999998</v>
      </c>
      <c r="S125" s="212"/>
      <c r="T125" s="260">
        <f t="shared" si="139"/>
        <v>0.12000000000000001</v>
      </c>
      <c r="U125" s="212"/>
      <c r="V125" s="260">
        <f t="shared" si="140"/>
        <v>12.96</v>
      </c>
      <c r="W125" s="212"/>
      <c r="X125" s="260">
        <f t="shared" si="141"/>
        <v>0.18</v>
      </c>
      <c r="Y125" s="212"/>
      <c r="Z125" s="212"/>
      <c r="AC125" s="216" t="s">
        <v>662</v>
      </c>
      <c r="AE125" s="239">
        <f t="shared" si="142"/>
        <v>13</v>
      </c>
      <c r="AG125" s="312">
        <f t="shared" si="143"/>
        <v>600</v>
      </c>
      <c r="AH125" s="385"/>
      <c r="AI125" s="260">
        <f t="shared" si="144"/>
        <v>0</v>
      </c>
      <c r="AJ125" s="212"/>
      <c r="AK125" s="260">
        <f t="shared" si="145"/>
        <v>0</v>
      </c>
      <c r="AL125" s="212"/>
      <c r="AM125" s="260">
        <f t="shared" si="146"/>
        <v>0</v>
      </c>
      <c r="AN125" s="212"/>
      <c r="AO125" s="260">
        <f t="shared" si="147"/>
        <v>0</v>
      </c>
      <c r="AP125" s="212"/>
      <c r="AQ125" s="260">
        <f t="shared" si="148"/>
        <v>0</v>
      </c>
      <c r="AR125" s="212"/>
      <c r="AS125" s="260">
        <f t="shared" si="149"/>
        <v>586.86</v>
      </c>
      <c r="AT125" s="212"/>
      <c r="AU125" s="260">
        <f t="shared" si="150"/>
        <v>0</v>
      </c>
      <c r="AV125" s="212"/>
      <c r="AW125" s="260">
        <f t="shared" si="151"/>
        <v>12.96</v>
      </c>
      <c r="AX125" s="212"/>
      <c r="AY125" s="260">
        <f t="shared" si="152"/>
        <v>0.18</v>
      </c>
      <c r="BA125" s="175"/>
      <c r="BB125" s="145"/>
      <c r="BC125" s="145"/>
      <c r="BD125" s="145"/>
    </row>
    <row r="126" spans="1:56">
      <c r="A126" s="146"/>
      <c r="B126" s="146"/>
      <c r="C126" s="312"/>
      <c r="D126" s="488">
        <v>675.7</v>
      </c>
      <c r="F126" s="216" t="s">
        <v>658</v>
      </c>
      <c r="G126" s="139"/>
      <c r="H126" s="261">
        <v>13</v>
      </c>
      <c r="I126" s="216"/>
      <c r="J126" s="312">
        <v>129563.81359041663</v>
      </c>
      <c r="K126" s="385"/>
      <c r="L126" s="260">
        <f t="shared" si="135"/>
        <v>116555.60670593879</v>
      </c>
      <c r="M126" s="212"/>
      <c r="N126" s="260">
        <f t="shared" si="136"/>
        <v>9289.7254344328721</v>
      </c>
      <c r="O126" s="212"/>
      <c r="P126" s="260">
        <f t="shared" si="137"/>
        <v>51.82552543616665</v>
      </c>
      <c r="Q126" s="212"/>
      <c r="R126" s="260">
        <f t="shared" si="138"/>
        <v>803.295644260583</v>
      </c>
      <c r="S126" s="212"/>
      <c r="T126" s="260">
        <f t="shared" si="139"/>
        <v>25.912762718083325</v>
      </c>
      <c r="U126" s="212"/>
      <c r="V126" s="260">
        <f t="shared" si="140"/>
        <v>2798.5783735529994</v>
      </c>
      <c r="W126" s="212"/>
      <c r="X126" s="260">
        <f t="shared" si="141"/>
        <v>38.869144077124986</v>
      </c>
      <c r="Y126" s="212"/>
      <c r="Z126" s="212"/>
      <c r="AC126" s="216" t="s">
        <v>658</v>
      </c>
      <c r="AE126" s="239">
        <f t="shared" si="142"/>
        <v>13</v>
      </c>
      <c r="AG126" s="312">
        <f t="shared" si="143"/>
        <v>129563.81359041663</v>
      </c>
      <c r="AH126" s="385"/>
      <c r="AI126" s="260">
        <f t="shared" si="144"/>
        <v>0</v>
      </c>
      <c r="AJ126" s="212"/>
      <c r="AK126" s="260">
        <f t="shared" si="145"/>
        <v>0</v>
      </c>
      <c r="AL126" s="212"/>
      <c r="AM126" s="260">
        <f t="shared" si="146"/>
        <v>0</v>
      </c>
      <c r="AN126" s="212"/>
      <c r="AO126" s="260">
        <f t="shared" si="147"/>
        <v>0</v>
      </c>
      <c r="AP126" s="212"/>
      <c r="AQ126" s="260">
        <f t="shared" si="148"/>
        <v>0</v>
      </c>
      <c r="AR126" s="212"/>
      <c r="AS126" s="260">
        <f t="shared" si="149"/>
        <v>126726.36607278651</v>
      </c>
      <c r="AT126" s="212"/>
      <c r="AU126" s="260">
        <f t="shared" si="150"/>
        <v>0</v>
      </c>
      <c r="AV126" s="212"/>
      <c r="AW126" s="260">
        <f t="shared" si="151"/>
        <v>2798.5783735529994</v>
      </c>
      <c r="AX126" s="212"/>
      <c r="AY126" s="260">
        <f t="shared" si="152"/>
        <v>38.869144077124986</v>
      </c>
      <c r="BA126" s="175"/>
      <c r="BB126" s="145"/>
      <c r="BC126" s="145"/>
      <c r="BD126" s="145"/>
    </row>
    <row r="127" spans="1:56">
      <c r="A127" s="146"/>
      <c r="B127" s="146"/>
      <c r="C127" s="312"/>
      <c r="D127" s="488">
        <v>675.7</v>
      </c>
      <c r="F127" s="216" t="s">
        <v>659</v>
      </c>
      <c r="G127" s="139"/>
      <c r="H127" s="261">
        <v>13</v>
      </c>
      <c r="I127" s="216"/>
      <c r="J127" s="312">
        <v>206328</v>
      </c>
      <c r="K127" s="385"/>
      <c r="L127" s="260">
        <f t="shared" si="135"/>
        <v>185612.66879999998</v>
      </c>
      <c r="M127" s="212"/>
      <c r="N127" s="260">
        <f t="shared" si="136"/>
        <v>14793.7176</v>
      </c>
      <c r="O127" s="212"/>
      <c r="P127" s="260">
        <f t="shared" si="137"/>
        <v>82.531199999999998</v>
      </c>
      <c r="Q127" s="212"/>
      <c r="R127" s="260">
        <f t="shared" si="138"/>
        <v>1279.2336</v>
      </c>
      <c r="S127" s="212"/>
      <c r="T127" s="260">
        <f t="shared" si="139"/>
        <v>41.265599999999999</v>
      </c>
      <c r="U127" s="212"/>
      <c r="V127" s="260">
        <f t="shared" si="140"/>
        <v>4456.6848</v>
      </c>
      <c r="W127" s="212"/>
      <c r="X127" s="260">
        <f t="shared" si="141"/>
        <v>61.898399999999995</v>
      </c>
      <c r="Y127" s="212"/>
      <c r="Z127" s="212"/>
      <c r="AC127" s="216" t="s">
        <v>659</v>
      </c>
      <c r="AE127" s="239">
        <f t="shared" si="142"/>
        <v>13</v>
      </c>
      <c r="AG127" s="312">
        <f t="shared" si="143"/>
        <v>206328</v>
      </c>
      <c r="AH127" s="385"/>
      <c r="AI127" s="260">
        <f t="shared" si="144"/>
        <v>0</v>
      </c>
      <c r="AJ127" s="212"/>
      <c r="AK127" s="260">
        <f t="shared" si="145"/>
        <v>0</v>
      </c>
      <c r="AL127" s="212"/>
      <c r="AM127" s="260">
        <f t="shared" si="146"/>
        <v>0</v>
      </c>
      <c r="AN127" s="212"/>
      <c r="AO127" s="260">
        <f t="shared" si="147"/>
        <v>0</v>
      </c>
      <c r="AP127" s="212"/>
      <c r="AQ127" s="260">
        <f t="shared" si="148"/>
        <v>0</v>
      </c>
      <c r="AR127" s="212"/>
      <c r="AS127" s="260">
        <f t="shared" si="149"/>
        <v>201809.41680000001</v>
      </c>
      <c r="AT127" s="212"/>
      <c r="AU127" s="260">
        <f t="shared" si="150"/>
        <v>0</v>
      </c>
      <c r="AV127" s="212"/>
      <c r="AW127" s="260">
        <f t="shared" si="151"/>
        <v>4456.6848</v>
      </c>
      <c r="AX127" s="212"/>
      <c r="AY127" s="260">
        <f t="shared" si="152"/>
        <v>61.898399999999995</v>
      </c>
      <c r="BA127" s="175"/>
      <c r="BB127" s="145"/>
      <c r="BC127" s="145"/>
      <c r="BD127" s="145"/>
    </row>
    <row r="128" spans="1:56">
      <c r="A128" s="146"/>
      <c r="B128" s="146"/>
      <c r="D128" s="488">
        <v>675.7</v>
      </c>
      <c r="F128" s="216" t="s">
        <v>660</v>
      </c>
      <c r="G128" s="139"/>
      <c r="H128" s="261">
        <v>13</v>
      </c>
      <c r="I128" s="216"/>
      <c r="J128" s="312">
        <v>616376.50399999984</v>
      </c>
      <c r="K128" s="385"/>
      <c r="L128" s="260">
        <f t="shared" si="135"/>
        <v>554492.30299839983</v>
      </c>
      <c r="M128" s="212"/>
      <c r="N128" s="260">
        <f t="shared" si="136"/>
        <v>44194.195336799989</v>
      </c>
      <c r="O128" s="212"/>
      <c r="P128" s="260">
        <f t="shared" si="137"/>
        <v>246.55060159999994</v>
      </c>
      <c r="Q128" s="212"/>
      <c r="R128" s="260">
        <f t="shared" si="138"/>
        <v>3821.534324799999</v>
      </c>
      <c r="S128" s="212"/>
      <c r="T128" s="260">
        <f t="shared" si="139"/>
        <v>123.27530079999997</v>
      </c>
      <c r="U128" s="212"/>
      <c r="V128" s="260">
        <f t="shared" si="140"/>
        <v>13313.732486399997</v>
      </c>
      <c r="W128" s="212"/>
      <c r="X128" s="260">
        <f t="shared" si="141"/>
        <v>184.91295119999992</v>
      </c>
      <c r="Y128" s="212"/>
      <c r="Z128" s="212"/>
      <c r="AC128" s="216" t="s">
        <v>660</v>
      </c>
      <c r="AE128" s="239">
        <f t="shared" si="142"/>
        <v>13</v>
      </c>
      <c r="AG128" s="312">
        <f t="shared" si="143"/>
        <v>616376.50399999984</v>
      </c>
      <c r="AH128" s="385"/>
      <c r="AI128" s="260">
        <f t="shared" si="144"/>
        <v>0</v>
      </c>
      <c r="AJ128" s="212"/>
      <c r="AK128" s="260">
        <f t="shared" si="145"/>
        <v>0</v>
      </c>
      <c r="AL128" s="212"/>
      <c r="AM128" s="260">
        <f t="shared" si="146"/>
        <v>0</v>
      </c>
      <c r="AN128" s="212"/>
      <c r="AO128" s="260">
        <f t="shared" si="147"/>
        <v>0</v>
      </c>
      <c r="AP128" s="212"/>
      <c r="AQ128" s="260">
        <f t="shared" si="148"/>
        <v>0</v>
      </c>
      <c r="AR128" s="212"/>
      <c r="AS128" s="260">
        <f t="shared" si="149"/>
        <v>602877.85856239987</v>
      </c>
      <c r="AT128" s="212"/>
      <c r="AU128" s="260">
        <f t="shared" si="150"/>
        <v>0</v>
      </c>
      <c r="AV128" s="212"/>
      <c r="AW128" s="260">
        <f t="shared" si="151"/>
        <v>13313.732486399997</v>
      </c>
      <c r="AX128" s="212"/>
      <c r="AY128" s="260">
        <f t="shared" si="152"/>
        <v>184.91295119999992</v>
      </c>
      <c r="BA128" s="175"/>
      <c r="BB128" s="145"/>
      <c r="BC128" s="145"/>
      <c r="BD128" s="145"/>
    </row>
    <row r="129" spans="1:56">
      <c r="A129" s="146"/>
      <c r="B129" s="146"/>
      <c r="D129" s="488">
        <v>675.7</v>
      </c>
      <c r="F129" s="216" t="s">
        <v>695</v>
      </c>
      <c r="G129" s="139"/>
      <c r="H129" s="261">
        <v>13</v>
      </c>
      <c r="I129" s="216"/>
      <c r="J129" s="312">
        <v>2677.7164338753196</v>
      </c>
      <c r="K129" s="385"/>
      <c r="L129" s="260">
        <f t="shared" si="135"/>
        <v>2408.8737039142375</v>
      </c>
      <c r="M129" s="212"/>
      <c r="N129" s="260">
        <f t="shared" si="136"/>
        <v>191.99226830886042</v>
      </c>
      <c r="O129" s="212"/>
      <c r="P129" s="260">
        <f t="shared" si="137"/>
        <v>1.0710865735501278</v>
      </c>
      <c r="Q129" s="212"/>
      <c r="R129" s="260">
        <f t="shared" si="138"/>
        <v>16.601841890026982</v>
      </c>
      <c r="S129" s="212"/>
      <c r="T129" s="260">
        <f t="shared" si="139"/>
        <v>0.53554328677506391</v>
      </c>
      <c r="U129" s="212"/>
      <c r="V129" s="260">
        <f t="shared" si="140"/>
        <v>57.838674971706908</v>
      </c>
      <c r="W129" s="212"/>
      <c r="X129" s="260">
        <f t="shared" si="141"/>
        <v>0.80331493016259581</v>
      </c>
      <c r="Y129" s="212"/>
      <c r="Z129" s="212"/>
      <c r="AC129" s="216" t="s">
        <v>695</v>
      </c>
      <c r="AE129" s="239">
        <f t="shared" si="142"/>
        <v>13</v>
      </c>
      <c r="AG129" s="312">
        <f t="shared" si="143"/>
        <v>2677.7164338753196</v>
      </c>
      <c r="AH129" s="385"/>
      <c r="AI129" s="260">
        <f t="shared" si="144"/>
        <v>0</v>
      </c>
      <c r="AJ129" s="212"/>
      <c r="AK129" s="260">
        <f t="shared" si="145"/>
        <v>0</v>
      </c>
      <c r="AL129" s="212"/>
      <c r="AM129" s="260">
        <f t="shared" si="146"/>
        <v>0</v>
      </c>
      <c r="AN129" s="212"/>
      <c r="AO129" s="260">
        <f t="shared" si="147"/>
        <v>0</v>
      </c>
      <c r="AP129" s="212"/>
      <c r="AQ129" s="260">
        <f t="shared" si="148"/>
        <v>0</v>
      </c>
      <c r="AR129" s="212"/>
      <c r="AS129" s="260">
        <f t="shared" si="149"/>
        <v>2619.0744439734503</v>
      </c>
      <c r="AT129" s="212"/>
      <c r="AU129" s="260">
        <f t="shared" si="150"/>
        <v>0</v>
      </c>
      <c r="AV129" s="212"/>
      <c r="AW129" s="260">
        <f t="shared" si="151"/>
        <v>57.838674971706908</v>
      </c>
      <c r="AX129" s="212"/>
      <c r="AY129" s="260">
        <f t="shared" si="152"/>
        <v>0.80331493016259581</v>
      </c>
      <c r="BA129" s="175"/>
      <c r="BB129" s="145"/>
      <c r="BC129" s="145"/>
      <c r="BD129" s="145"/>
    </row>
    <row r="130" spans="1:56">
      <c r="A130" s="146"/>
      <c r="B130" s="146"/>
      <c r="D130" s="488">
        <v>675.7</v>
      </c>
      <c r="F130" s="216" t="s">
        <v>711</v>
      </c>
      <c r="G130" s="139"/>
      <c r="H130" s="261">
        <v>13</v>
      </c>
      <c r="I130" s="216"/>
      <c r="J130" s="389">
        <v>600</v>
      </c>
      <c r="K130" s="385"/>
      <c r="L130" s="549">
        <f t="shared" si="135"/>
        <v>539.76</v>
      </c>
      <c r="M130" s="385"/>
      <c r="N130" s="549">
        <f t="shared" si="136"/>
        <v>43.02</v>
      </c>
      <c r="O130" s="385"/>
      <c r="P130" s="549">
        <f t="shared" si="137"/>
        <v>0.24000000000000002</v>
      </c>
      <c r="Q130" s="385"/>
      <c r="R130" s="549">
        <f t="shared" si="138"/>
        <v>3.7199999999999998</v>
      </c>
      <c r="S130" s="385"/>
      <c r="T130" s="549">
        <f t="shared" si="139"/>
        <v>0.12000000000000001</v>
      </c>
      <c r="U130" s="385"/>
      <c r="V130" s="549">
        <f t="shared" si="140"/>
        <v>12.96</v>
      </c>
      <c r="W130" s="385"/>
      <c r="X130" s="549">
        <f t="shared" si="141"/>
        <v>0.18</v>
      </c>
      <c r="Y130" s="212"/>
      <c r="Z130" s="212"/>
      <c r="AC130" s="216" t="s">
        <v>711</v>
      </c>
      <c r="AE130" s="239">
        <f t="shared" si="142"/>
        <v>13</v>
      </c>
      <c r="AG130" s="389">
        <f t="shared" si="143"/>
        <v>600</v>
      </c>
      <c r="AH130" s="385"/>
      <c r="AI130" s="549">
        <f t="shared" si="144"/>
        <v>0</v>
      </c>
      <c r="AJ130" s="385"/>
      <c r="AK130" s="549">
        <f t="shared" si="145"/>
        <v>0</v>
      </c>
      <c r="AL130" s="385"/>
      <c r="AM130" s="549">
        <f t="shared" si="146"/>
        <v>0</v>
      </c>
      <c r="AN130" s="385"/>
      <c r="AO130" s="549">
        <f t="shared" si="147"/>
        <v>0</v>
      </c>
      <c r="AP130" s="385"/>
      <c r="AQ130" s="549">
        <f t="shared" si="148"/>
        <v>0</v>
      </c>
      <c r="AR130" s="385"/>
      <c r="AS130" s="549">
        <f t="shared" si="149"/>
        <v>586.86</v>
      </c>
      <c r="AT130" s="385"/>
      <c r="AU130" s="549">
        <f t="shared" si="150"/>
        <v>0</v>
      </c>
      <c r="AV130" s="385"/>
      <c r="AW130" s="549">
        <f t="shared" si="151"/>
        <v>12.96</v>
      </c>
      <c r="AX130" s="385"/>
      <c r="AY130" s="549">
        <f t="shared" si="152"/>
        <v>0.18</v>
      </c>
      <c r="BA130" s="175"/>
      <c r="BB130" s="145"/>
      <c r="BC130" s="145"/>
      <c r="BD130" s="145"/>
    </row>
    <row r="131" spans="1:56">
      <c r="A131" s="146"/>
      <c r="B131" s="146"/>
      <c r="F131" s="216"/>
      <c r="G131" s="139"/>
      <c r="H131" s="261"/>
      <c r="I131" s="216"/>
      <c r="J131" s="312"/>
      <c r="K131" s="216"/>
      <c r="L131" s="312"/>
      <c r="M131" s="216"/>
      <c r="N131" s="312"/>
      <c r="O131" s="216"/>
      <c r="P131" s="312"/>
      <c r="Q131" s="216"/>
      <c r="R131" s="312"/>
      <c r="S131" s="216"/>
      <c r="T131" s="312"/>
      <c r="U131" s="216"/>
      <c r="V131" s="312"/>
      <c r="W131" s="216"/>
      <c r="X131" s="312"/>
      <c r="Z131" s="175"/>
      <c r="AC131" s="216"/>
      <c r="AG131" s="312"/>
      <c r="AH131" s="216"/>
      <c r="AI131" s="312"/>
      <c r="AJ131" s="216"/>
      <c r="AK131" s="312"/>
      <c r="AL131" s="216"/>
      <c r="AM131" s="312"/>
      <c r="AN131" s="216"/>
      <c r="AO131" s="312"/>
      <c r="AP131" s="216"/>
      <c r="AQ131" s="312"/>
      <c r="AR131" s="216"/>
      <c r="AS131" s="312"/>
      <c r="AT131" s="216"/>
      <c r="AU131" s="312"/>
      <c r="AV131" s="216"/>
      <c r="AW131" s="312"/>
      <c r="AX131" s="216"/>
      <c r="AY131" s="312"/>
      <c r="BA131" s="175"/>
      <c r="BB131" s="145"/>
      <c r="BC131" s="145"/>
      <c r="BD131" s="145"/>
    </row>
    <row r="132" spans="1:56">
      <c r="A132" s="146"/>
      <c r="B132" s="146"/>
      <c r="F132" s="216" t="s">
        <v>99</v>
      </c>
      <c r="G132" s="139"/>
      <c r="H132" s="261"/>
      <c r="I132" s="216"/>
      <c r="J132" s="312">
        <f>SUM(J117:J131)</f>
        <v>2508155.036655962</v>
      </c>
      <c r="K132" s="216"/>
      <c r="L132" s="312">
        <f>SUM(L117:L131)</f>
        <v>2215876.7815481354</v>
      </c>
      <c r="M132" s="216"/>
      <c r="N132" s="312">
        <f>SUM(N117:N131)</f>
        <v>226760.60206243742</v>
      </c>
      <c r="O132" s="216"/>
      <c r="P132" s="312">
        <f>SUM(P117:P131)</f>
        <v>782.16820691088719</v>
      </c>
      <c r="Q132" s="216"/>
      <c r="R132" s="312">
        <f>SUM(R117:R131)</f>
        <v>12123.607207118752</v>
      </c>
      <c r="S132" s="216"/>
      <c r="T132" s="312">
        <f>SUM(T117:T131)</f>
        <v>391.0841034554436</v>
      </c>
      <c r="U132" s="216"/>
      <c r="V132" s="312">
        <f>SUM(V117:V131)</f>
        <v>51752.064157851906</v>
      </c>
      <c r="W132" s="216"/>
      <c r="X132" s="312">
        <f>SUM(X117:X131)</f>
        <v>468.7293700521783</v>
      </c>
      <c r="Z132" s="175"/>
      <c r="AC132" s="216" t="s">
        <v>99</v>
      </c>
      <c r="AD132" s="139"/>
      <c r="AE132" s="261"/>
      <c r="AF132" s="216"/>
      <c r="AG132" s="312">
        <f>SUM(AG117:AG131)</f>
        <v>2508155.036655962</v>
      </c>
      <c r="AH132" s="216"/>
      <c r="AI132" s="312">
        <f>SUM(AI117:AI131)</f>
        <v>0</v>
      </c>
      <c r="AJ132" s="216"/>
      <c r="AK132" s="312">
        <f>SUM(AK117:AK131)</f>
        <v>0</v>
      </c>
      <c r="AL132" s="216"/>
      <c r="AM132" s="312">
        <f>SUM(AM117:AM131)</f>
        <v>0</v>
      </c>
      <c r="AN132" s="216"/>
      <c r="AO132" s="312">
        <f>SUM(AO117:AO131)</f>
        <v>0</v>
      </c>
      <c r="AP132" s="216"/>
      <c r="AQ132" s="312">
        <f>SUM(AQ117:AQ131)</f>
        <v>0</v>
      </c>
      <c r="AR132" s="216"/>
      <c r="AS132" s="312">
        <f>SUM(AS117:AS131)</f>
        <v>1921203.2732634093</v>
      </c>
      <c r="AT132" s="216"/>
      <c r="AU132" s="312">
        <f>SUM(AU117:AU131)</f>
        <v>552734.51937874407</v>
      </c>
      <c r="AV132" s="216"/>
      <c r="AW132" s="312">
        <f t="shared" ref="AW132" si="153">SUM(AW117:AW131)</f>
        <v>33748.51464375684</v>
      </c>
      <c r="AX132" s="216"/>
      <c r="AY132" s="312">
        <f t="shared" ref="AY132" si="154">SUM(AY117:AY131)</f>
        <v>468.7293700521783</v>
      </c>
      <c r="BA132" s="175"/>
      <c r="BB132" s="145"/>
      <c r="BC132" s="145"/>
      <c r="BD132" s="145"/>
    </row>
    <row r="133" spans="1:56">
      <c r="A133" s="146"/>
      <c r="B133" s="146"/>
      <c r="F133" s="216" t="s">
        <v>100</v>
      </c>
      <c r="G133" s="139"/>
      <c r="H133" s="261"/>
      <c r="I133" s="216"/>
      <c r="J133" s="312"/>
      <c r="K133" s="386"/>
      <c r="L133" s="386"/>
      <c r="M133" s="387"/>
      <c r="N133" s="386"/>
      <c r="O133" s="387"/>
      <c r="P133" s="386"/>
      <c r="Q133" s="387"/>
      <c r="R133" s="386"/>
      <c r="S133" s="387"/>
      <c r="T133" s="386"/>
      <c r="U133" s="387"/>
      <c r="V133" s="386"/>
      <c r="W133" s="387"/>
      <c r="X133" s="386"/>
      <c r="Z133" s="175"/>
      <c r="AC133" s="216" t="s">
        <v>100</v>
      </c>
      <c r="AD133" s="139"/>
      <c r="AE133" s="261"/>
      <c r="AF133" s="216"/>
      <c r="AG133" s="312"/>
      <c r="AH133" s="386"/>
      <c r="AI133" s="386"/>
      <c r="AJ133" s="387"/>
      <c r="AK133" s="386"/>
      <c r="AL133" s="387"/>
      <c r="AM133" s="386"/>
      <c r="AN133" s="387"/>
      <c r="AO133" s="386"/>
      <c r="AP133" s="387"/>
      <c r="AQ133" s="386"/>
      <c r="AR133" s="387"/>
      <c r="AS133" s="386"/>
      <c r="AT133" s="387"/>
      <c r="AU133" s="386"/>
      <c r="AV133" s="387"/>
      <c r="AW133" s="386"/>
      <c r="AX133" s="387"/>
      <c r="AY133" s="386"/>
      <c r="BA133" s="175"/>
      <c r="BB133" s="145"/>
      <c r="BC133" s="145"/>
      <c r="BD133" s="145"/>
    </row>
    <row r="134" spans="1:56">
      <c r="A134" s="146"/>
      <c r="B134" s="146"/>
      <c r="F134" s="216"/>
      <c r="G134" s="139"/>
      <c r="H134" s="261"/>
      <c r="I134" s="216"/>
      <c r="J134" s="312"/>
      <c r="K134" s="386"/>
      <c r="L134" s="386"/>
      <c r="M134" s="387"/>
      <c r="N134" s="386"/>
      <c r="O134" s="387"/>
      <c r="P134" s="386"/>
      <c r="Q134" s="387"/>
      <c r="R134" s="386"/>
      <c r="S134" s="387"/>
      <c r="T134" s="386"/>
      <c r="U134" s="387"/>
      <c r="V134" s="386"/>
      <c r="W134" s="387"/>
      <c r="X134" s="386"/>
      <c r="Z134" s="175"/>
      <c r="AC134" s="216"/>
      <c r="AE134" s="239"/>
      <c r="AG134" s="312"/>
      <c r="AH134" s="386"/>
      <c r="AI134" s="386"/>
      <c r="AJ134" s="387"/>
      <c r="AK134" s="386"/>
      <c r="AL134" s="387"/>
      <c r="AM134" s="386"/>
      <c r="AN134" s="387"/>
      <c r="AO134" s="386"/>
      <c r="AP134" s="387"/>
      <c r="AQ134" s="386"/>
      <c r="AR134" s="387"/>
      <c r="AS134" s="386"/>
      <c r="AT134" s="387"/>
      <c r="AU134" s="386"/>
      <c r="AV134" s="386"/>
      <c r="AW134" s="386"/>
      <c r="AX134" s="386"/>
      <c r="AY134" s="386"/>
      <c r="BA134" s="175"/>
      <c r="BB134" s="145"/>
      <c r="BC134" s="145"/>
      <c r="BD134" s="145"/>
    </row>
    <row r="135" spans="1:56">
      <c r="A135" s="146"/>
      <c r="B135" s="146"/>
      <c r="F135" s="216" t="s">
        <v>427</v>
      </c>
      <c r="G135" s="139"/>
      <c r="H135" s="261"/>
      <c r="I135" s="216"/>
      <c r="J135" s="312"/>
      <c r="K135" s="385"/>
      <c r="L135" s="386"/>
      <c r="M135" s="387"/>
      <c r="N135" s="386"/>
      <c r="O135" s="387"/>
      <c r="P135" s="386"/>
      <c r="Q135" s="387"/>
      <c r="R135" s="386"/>
      <c r="S135" s="387"/>
      <c r="T135" s="386"/>
      <c r="U135" s="387"/>
      <c r="V135" s="386"/>
      <c r="W135" s="387"/>
      <c r="X135" s="386"/>
      <c r="Z135" s="175"/>
      <c r="AC135" s="216" t="s">
        <v>427</v>
      </c>
      <c r="AE135" s="239"/>
      <c r="AG135" s="312"/>
      <c r="AH135" s="385"/>
      <c r="AI135" s="386"/>
      <c r="AJ135" s="387"/>
      <c r="AK135" s="386"/>
      <c r="AL135" s="387"/>
      <c r="AM135" s="386"/>
      <c r="AN135" s="387"/>
      <c r="AO135" s="386"/>
      <c r="AP135" s="387"/>
      <c r="AQ135" s="386"/>
      <c r="AR135" s="387"/>
      <c r="AS135" s="386"/>
      <c r="AT135" s="387"/>
      <c r="AU135" s="386"/>
      <c r="AV135" s="386"/>
      <c r="AW135" s="386"/>
      <c r="AX135" s="386"/>
      <c r="AY135" s="386"/>
      <c r="BA135" s="175"/>
      <c r="BB135" s="145"/>
      <c r="BC135" s="145"/>
      <c r="BD135" s="145"/>
    </row>
    <row r="136" spans="1:56">
      <c r="A136" s="146"/>
      <c r="B136" s="146"/>
      <c r="F136" s="216" t="s">
        <v>91</v>
      </c>
      <c r="G136" s="139"/>
      <c r="H136" s="261"/>
      <c r="I136" s="216"/>
      <c r="J136" s="312"/>
      <c r="K136" s="385"/>
      <c r="L136" s="386"/>
      <c r="M136" s="387"/>
      <c r="N136" s="386"/>
      <c r="O136" s="387"/>
      <c r="P136" s="386"/>
      <c r="Q136" s="387"/>
      <c r="R136" s="386"/>
      <c r="S136" s="387"/>
      <c r="T136" s="386"/>
      <c r="U136" s="387"/>
      <c r="V136" s="386"/>
      <c r="W136" s="387"/>
      <c r="X136" s="386"/>
      <c r="Z136" s="175"/>
      <c r="AC136" s="216" t="s">
        <v>91</v>
      </c>
      <c r="AG136" s="312"/>
      <c r="AH136" s="385"/>
      <c r="AI136" s="386"/>
      <c r="AJ136" s="387"/>
      <c r="AK136" s="386"/>
      <c r="AL136" s="387"/>
      <c r="AM136" s="386"/>
      <c r="AN136" s="387"/>
      <c r="AO136" s="386"/>
      <c r="AP136" s="387"/>
      <c r="AQ136" s="386"/>
      <c r="AR136" s="387"/>
      <c r="AS136" s="386"/>
      <c r="AT136" s="387"/>
      <c r="AU136" s="386"/>
      <c r="AV136" s="387"/>
      <c r="AW136" s="386"/>
      <c r="AX136" s="387"/>
      <c r="AY136" s="386"/>
      <c r="BA136" s="175"/>
      <c r="BB136" s="145"/>
      <c r="BC136" s="145"/>
      <c r="BD136" s="145"/>
    </row>
    <row r="137" spans="1:56">
      <c r="A137" s="146"/>
      <c r="B137" s="146"/>
      <c r="D137" s="488">
        <v>601.79999999999995</v>
      </c>
      <c r="F137" s="216" t="s">
        <v>586</v>
      </c>
      <c r="G137" s="139"/>
      <c r="H137" s="261">
        <v>15</v>
      </c>
      <c r="I137" s="216"/>
      <c r="J137" s="312">
        <v>525312.88732979575</v>
      </c>
      <c r="K137" s="385"/>
      <c r="L137" s="260">
        <f>(VLOOKUP($H137,Factors,L$382))*$J137</f>
        <v>341610.97063056618</v>
      </c>
      <c r="M137" s="212"/>
      <c r="N137" s="260">
        <f>(VLOOKUP($H137,Factors,N$382))*$J137</f>
        <v>108161.92350120495</v>
      </c>
      <c r="O137" s="212"/>
      <c r="P137" s="260">
        <f>(VLOOKUP($H137,Factors,P$382))*$J137</f>
        <v>10821.445478993792</v>
      </c>
      <c r="Q137" s="212"/>
      <c r="R137" s="260">
        <f>(VLOOKUP($H137,Factors,R$382))*$J137</f>
        <v>30310.553598929215</v>
      </c>
      <c r="S137" s="212"/>
      <c r="T137" s="260">
        <f>(VLOOKUP($H137,Factors,T$382))*$J137</f>
        <v>7301.8491338841604</v>
      </c>
      <c r="U137" s="212"/>
      <c r="V137" s="260">
        <f>(VLOOKUP($H137,Factors,V$382))*$J137</f>
        <v>8562.6000634756692</v>
      </c>
      <c r="W137" s="212"/>
      <c r="X137" s="260">
        <f>(VLOOKUP($H137,Factors,X$382))*$J137</f>
        <v>18543.544922741788</v>
      </c>
      <c r="Y137" s="212"/>
      <c r="Z137" s="175"/>
      <c r="AC137" s="216" t="s">
        <v>586</v>
      </c>
      <c r="AE137" s="239">
        <f t="shared" ref="AE137:AE166" si="155">+H137</f>
        <v>15</v>
      </c>
      <c r="AG137" s="312">
        <f t="shared" ref="AG137:AG166" si="156">+J137</f>
        <v>525312.88732979575</v>
      </c>
      <c r="AH137" s="385"/>
      <c r="AI137" s="260">
        <f>(VLOOKUP($AE137,func,AI$382))*$AG137</f>
        <v>154389.45758622696</v>
      </c>
      <c r="AJ137" s="212"/>
      <c r="AK137" s="260">
        <f>(VLOOKUP($AE137,func,AK$382))*$AG137</f>
        <v>79637.433719197041</v>
      </c>
      <c r="AL137" s="212"/>
      <c r="AM137" s="260">
        <f>(VLOOKUP($AE137,func,AM$382))*$AG137</f>
        <v>25004.893436898281</v>
      </c>
      <c r="AN137" s="212"/>
      <c r="AO137" s="260">
        <f>(VLOOKUP($AE137,func,AO$382))*$AG137</f>
        <v>95291.757761624947</v>
      </c>
      <c r="AP137" s="212"/>
      <c r="AQ137" s="260">
        <f>(VLOOKUP($AE137,func,AQ$382))*$AG137</f>
        <v>25845.394056625952</v>
      </c>
      <c r="AR137" s="212"/>
      <c r="AS137" s="260">
        <f>(VLOOKUP($AE137,func,AS$382))*$AG137</f>
        <v>92350.005592578105</v>
      </c>
      <c r="AT137" s="212"/>
      <c r="AU137" s="260">
        <f>(VLOOKUP($AE137,func,AU$382))*$AG137</f>
        <v>26580.832098887666</v>
      </c>
      <c r="AV137" s="262"/>
      <c r="AW137" s="262">
        <f>(VLOOKUP($AE137,func,AW$382))*$AG137</f>
        <v>7669.5681550150184</v>
      </c>
      <c r="AX137" s="262"/>
      <c r="AY137" s="262">
        <f>(VLOOKUP($AE137,func,AY$382))*$AG137</f>
        <v>18543.544922741788</v>
      </c>
      <c r="BA137" s="175"/>
      <c r="BB137" s="145"/>
      <c r="BC137" s="145"/>
      <c r="BD137" s="145"/>
    </row>
    <row r="138" spans="1:56" ht="12.75" customHeight="1">
      <c r="A138" s="146"/>
      <c r="B138" s="146"/>
      <c r="D138" s="488">
        <v>620.79999999999995</v>
      </c>
      <c r="F138" s="216" t="s">
        <v>645</v>
      </c>
      <c r="G138" s="139"/>
      <c r="H138" s="261">
        <v>15</v>
      </c>
      <c r="I138" s="216"/>
      <c r="J138" s="312">
        <v>107862.79822351568</v>
      </c>
      <c r="K138" s="385"/>
      <c r="L138" s="260">
        <f>(VLOOKUP($H138,Factors,L$382))*$J138</f>
        <v>70143.177684752241</v>
      </c>
      <c r="M138" s="212"/>
      <c r="N138" s="260">
        <f>(VLOOKUP($H138,Factors,N$382))*$J138</f>
        <v>22208.950154221879</v>
      </c>
      <c r="O138" s="212"/>
      <c r="P138" s="260">
        <f>(VLOOKUP($H138,Factors,P$382))*$J138</f>
        <v>2221.973643404423</v>
      </c>
      <c r="Q138" s="212"/>
      <c r="R138" s="260">
        <f>(VLOOKUP($H138,Factors,R$382))*$J138</f>
        <v>6223.6834574968552</v>
      </c>
      <c r="S138" s="212"/>
      <c r="T138" s="260">
        <f>(VLOOKUP($H138,Factors,T$382))*$J138</f>
        <v>1499.2928953068679</v>
      </c>
      <c r="U138" s="212"/>
      <c r="V138" s="260">
        <f>(VLOOKUP($H138,Factors,V$382))*$J138</f>
        <v>1758.1636110433055</v>
      </c>
      <c r="W138" s="212"/>
      <c r="X138" s="260">
        <f>(VLOOKUP($H138,Factors,X$382))*$J138</f>
        <v>3807.5567772901031</v>
      </c>
      <c r="Y138" s="212"/>
      <c r="Z138" s="175"/>
      <c r="AC138" s="216" t="s">
        <v>645</v>
      </c>
      <c r="AE138" s="239">
        <f t="shared" si="155"/>
        <v>15</v>
      </c>
      <c r="AG138" s="312">
        <f t="shared" si="156"/>
        <v>107862.79822351568</v>
      </c>
      <c r="AH138" s="385"/>
      <c r="AI138" s="260">
        <f>(VLOOKUP($AE138,func,AI$382))*$AG138</f>
        <v>31700.876397891258</v>
      </c>
      <c r="AJ138" s="212"/>
      <c r="AK138" s="260">
        <f>(VLOOKUP($AE138,func,AK$382))*$AG138</f>
        <v>16352.000210684979</v>
      </c>
      <c r="AL138" s="212"/>
      <c r="AM138" s="260">
        <f>(VLOOKUP($AE138,func,AM$382))*$AG138</f>
        <v>5134.2691954393467</v>
      </c>
      <c r="AN138" s="212"/>
      <c r="AO138" s="260">
        <f>(VLOOKUP($AE138,func,AO$382))*$AG138</f>
        <v>19566.311597745746</v>
      </c>
      <c r="AP138" s="212"/>
      <c r="AQ138" s="260">
        <f>(VLOOKUP($AE138,func,AQ$382))*$AG138</f>
        <v>5306.8496725969717</v>
      </c>
      <c r="AR138" s="212"/>
      <c r="AS138" s="260">
        <f>(VLOOKUP($AE138,func,AS$382))*$AG138</f>
        <v>18962.279927694057</v>
      </c>
      <c r="AT138" s="212"/>
      <c r="AU138" s="260">
        <f>(VLOOKUP($AE138,func,AU$382))*$AG138</f>
        <v>5457.857590109893</v>
      </c>
      <c r="AV138" s="262"/>
      <c r="AW138" s="262">
        <f>(VLOOKUP($AE138,func,AW$382))*$AG138</f>
        <v>1574.796854063329</v>
      </c>
      <c r="AX138" s="262"/>
      <c r="AY138" s="262">
        <f>(VLOOKUP($AE138,func,AY$382))*$AG138</f>
        <v>3807.5567772901031</v>
      </c>
      <c r="BA138" s="175"/>
      <c r="BB138" s="145"/>
      <c r="BC138" s="145"/>
      <c r="BD138" s="145"/>
    </row>
    <row r="139" spans="1:56">
      <c r="A139" s="146"/>
      <c r="B139" s="387"/>
      <c r="F139" s="216" t="s">
        <v>734</v>
      </c>
      <c r="G139" s="139"/>
      <c r="H139" s="261"/>
      <c r="I139" s="216"/>
      <c r="J139" s="312"/>
      <c r="K139" s="385"/>
      <c r="L139" s="260"/>
      <c r="M139" s="212"/>
      <c r="N139" s="260"/>
      <c r="O139" s="212"/>
      <c r="P139" s="260"/>
      <c r="Q139" s="212"/>
      <c r="R139" s="260"/>
      <c r="S139" s="212"/>
      <c r="T139" s="260"/>
      <c r="U139" s="212"/>
      <c r="V139" s="260"/>
      <c r="W139" s="212"/>
      <c r="X139" s="260"/>
      <c r="Y139" s="212"/>
      <c r="Z139" s="175"/>
      <c r="AC139" s="216" t="s">
        <v>587</v>
      </c>
      <c r="AG139" s="312"/>
      <c r="AH139" s="385"/>
      <c r="AI139" s="260"/>
      <c r="AJ139" s="212"/>
      <c r="AK139" s="260"/>
      <c r="AL139" s="212"/>
      <c r="AM139" s="260"/>
      <c r="AN139" s="212"/>
      <c r="AO139" s="260"/>
      <c r="AP139" s="212"/>
      <c r="AQ139" s="260"/>
      <c r="AR139" s="212"/>
      <c r="AS139" s="260"/>
      <c r="AT139" s="212"/>
      <c r="AU139" s="260"/>
      <c r="AV139" s="387"/>
      <c r="AW139" s="386"/>
      <c r="AX139" s="387"/>
      <c r="AY139" s="386"/>
      <c r="BA139" s="175"/>
      <c r="BB139" s="145"/>
      <c r="BC139" s="145"/>
      <c r="BD139" s="145"/>
    </row>
    <row r="140" spans="1:56">
      <c r="A140" s="146"/>
      <c r="B140" s="510"/>
      <c r="F140" s="216" t="s">
        <v>101</v>
      </c>
      <c r="G140" s="139"/>
      <c r="H140" s="261">
        <v>13</v>
      </c>
      <c r="I140" s="216"/>
      <c r="J140" s="312">
        <v>2665084.3751970222</v>
      </c>
      <c r="K140" s="385"/>
      <c r="L140" s="260">
        <f t="shared" ref="L140:L158" si="157">(VLOOKUP($H140,Factors,L$382))*$J140</f>
        <v>2397509.903927241</v>
      </c>
      <c r="M140" s="212"/>
      <c r="N140" s="260">
        <f t="shared" ref="N140:N158" si="158">(VLOOKUP($H140,Factors,N$382))*$J140</f>
        <v>191086.5497016265</v>
      </c>
      <c r="O140" s="212"/>
      <c r="P140" s="260">
        <f t="shared" ref="P140:P158" si="159">(VLOOKUP($H140,Factors,P$382))*$J140</f>
        <v>1066.0337500788089</v>
      </c>
      <c r="Q140" s="212"/>
      <c r="R140" s="260">
        <f t="shared" ref="R140:R158" si="160">(VLOOKUP($H140,Factors,R$382))*$J140</f>
        <v>16523.523126221538</v>
      </c>
      <c r="S140" s="212"/>
      <c r="T140" s="260">
        <f t="shared" ref="T140:T158" si="161">(VLOOKUP($H140,Factors,T$382))*$J140</f>
        <v>533.01687503940445</v>
      </c>
      <c r="U140" s="212"/>
      <c r="V140" s="260">
        <f t="shared" ref="V140:V158" si="162">(VLOOKUP($H140,Factors,V$382))*$J140</f>
        <v>57565.822504255681</v>
      </c>
      <c r="W140" s="212"/>
      <c r="X140" s="260">
        <f t="shared" ref="X140:X158" si="163">(VLOOKUP($H140,Factors,X$382))*$J140</f>
        <v>799.52531255910662</v>
      </c>
      <c r="Y140" s="212"/>
      <c r="Z140" s="175"/>
      <c r="AC140" s="216" t="s">
        <v>101</v>
      </c>
      <c r="AE140" s="239">
        <f t="shared" si="155"/>
        <v>13</v>
      </c>
      <c r="AG140" s="312">
        <f t="shared" si="156"/>
        <v>2665084.3751970222</v>
      </c>
      <c r="AH140" s="385"/>
      <c r="AI140" s="260">
        <f t="shared" ref="AI140:AI158" si="164">(VLOOKUP($AE140,func,AI$382))*$AG140</f>
        <v>0</v>
      </c>
      <c r="AJ140" s="212"/>
      <c r="AK140" s="260">
        <f t="shared" ref="AK140:AK158" si="165">(VLOOKUP($AE140,func,AK$382))*$AG140</f>
        <v>0</v>
      </c>
      <c r="AL140" s="212"/>
      <c r="AM140" s="260">
        <f t="shared" ref="AM140:AM158" si="166">(VLOOKUP($AE140,func,AM$382))*$AG140</f>
        <v>0</v>
      </c>
      <c r="AN140" s="212"/>
      <c r="AO140" s="260">
        <f t="shared" ref="AO140:AO158" si="167">(VLOOKUP($AE140,func,AO$382))*$AG140</f>
        <v>0</v>
      </c>
      <c r="AP140" s="212"/>
      <c r="AQ140" s="260">
        <f t="shared" ref="AQ140:AQ158" si="168">(VLOOKUP($AE140,func,AQ$382))*$AG140</f>
        <v>0</v>
      </c>
      <c r="AR140" s="212"/>
      <c r="AS140" s="260">
        <f t="shared" ref="AS140:AS158" si="169">(VLOOKUP($AE140,func,AS$382))*$AG140</f>
        <v>2606719.0273802076</v>
      </c>
      <c r="AT140" s="212"/>
      <c r="AU140" s="260">
        <f t="shared" ref="AU140:AU158" si="170">(VLOOKUP($AE140,func,AU$382))*$AG140</f>
        <v>0</v>
      </c>
      <c r="AV140" s="262"/>
      <c r="AW140" s="262">
        <f t="shared" ref="AW140:AW158" si="171">(VLOOKUP($AE140,func,AW$382))*$AG140</f>
        <v>57565.822504255681</v>
      </c>
      <c r="AX140" s="262"/>
      <c r="AY140" s="262">
        <f t="shared" ref="AY140:AY158" si="172">(VLOOKUP($AE140,func,AY$382))*$AG140</f>
        <v>799.52531255910662</v>
      </c>
      <c r="BA140" s="175"/>
      <c r="BB140" s="145"/>
      <c r="BC140" s="145"/>
      <c r="BD140" s="145"/>
    </row>
    <row r="141" spans="1:56">
      <c r="A141" s="146"/>
      <c r="B141" s="511"/>
      <c r="F141" s="216" t="s">
        <v>465</v>
      </c>
      <c r="G141" s="139"/>
      <c r="H141" s="261">
        <v>16</v>
      </c>
      <c r="I141" s="216"/>
      <c r="J141" s="312">
        <v>228631.78071709239</v>
      </c>
      <c r="K141" s="385"/>
      <c r="L141" s="260">
        <f t="shared" si="157"/>
        <v>143512.16875611889</v>
      </c>
      <c r="M141" s="212"/>
      <c r="N141" s="260">
        <f t="shared" si="158"/>
        <v>49796.001840182718</v>
      </c>
      <c r="O141" s="212"/>
      <c r="P141" s="260">
        <f t="shared" si="159"/>
        <v>5189.9414222779978</v>
      </c>
      <c r="Q141" s="212"/>
      <c r="R141" s="260">
        <f t="shared" si="160"/>
        <v>14609.570787822204</v>
      </c>
      <c r="S141" s="212"/>
      <c r="T141" s="260">
        <f t="shared" si="161"/>
        <v>3566.6557791866412</v>
      </c>
      <c r="U141" s="212"/>
      <c r="V141" s="260">
        <f t="shared" si="162"/>
        <v>3223.7081081110027</v>
      </c>
      <c r="W141" s="212"/>
      <c r="X141" s="260">
        <f t="shared" si="163"/>
        <v>8733.7340233929281</v>
      </c>
      <c r="Y141" s="212"/>
      <c r="Z141" s="175"/>
      <c r="AC141" s="216" t="s">
        <v>465</v>
      </c>
      <c r="AE141" s="239">
        <f t="shared" si="155"/>
        <v>16</v>
      </c>
      <c r="AG141" s="312">
        <f t="shared" si="156"/>
        <v>228631.78071709239</v>
      </c>
      <c r="AH141" s="385"/>
      <c r="AI141" s="260">
        <f t="shared" si="164"/>
        <v>71241.66287144598</v>
      </c>
      <c r="AJ141" s="212"/>
      <c r="AK141" s="260">
        <f t="shared" si="165"/>
        <v>41679.573624725941</v>
      </c>
      <c r="AL141" s="212"/>
      <c r="AM141" s="260">
        <f t="shared" si="166"/>
        <v>10471.335556842832</v>
      </c>
      <c r="AN141" s="212"/>
      <c r="AO141" s="260">
        <f t="shared" si="167"/>
        <v>58712.641288149323</v>
      </c>
      <c r="AP141" s="212"/>
      <c r="AQ141" s="260">
        <f t="shared" si="168"/>
        <v>12551.884761368372</v>
      </c>
      <c r="AR141" s="212"/>
      <c r="AS141" s="260">
        <f t="shared" si="169"/>
        <v>21308.481962833011</v>
      </c>
      <c r="AT141" s="212"/>
      <c r="AU141" s="260">
        <f t="shared" si="170"/>
        <v>891.6639447966603</v>
      </c>
      <c r="AV141" s="262"/>
      <c r="AW141" s="262">
        <f t="shared" si="171"/>
        <v>3040.8026835373284</v>
      </c>
      <c r="AX141" s="262"/>
      <c r="AY141" s="262">
        <f t="shared" si="172"/>
        <v>8733.7340233929281</v>
      </c>
      <c r="BA141" s="175"/>
      <c r="BB141" s="145"/>
      <c r="BC141" s="145"/>
      <c r="BD141" s="145"/>
    </row>
    <row r="142" spans="1:56">
      <c r="A142" s="146"/>
      <c r="B142" s="146"/>
      <c r="F142" s="216" t="s">
        <v>102</v>
      </c>
      <c r="G142" s="139"/>
      <c r="H142" s="261">
        <v>1</v>
      </c>
      <c r="I142" s="216"/>
      <c r="J142" s="312">
        <v>156714.74041733041</v>
      </c>
      <c r="K142" s="385"/>
      <c r="L142" s="260">
        <f t="shared" si="157"/>
        <v>77573.796506578554</v>
      </c>
      <c r="M142" s="212"/>
      <c r="N142" s="260">
        <f t="shared" si="158"/>
        <v>48738.284269789758</v>
      </c>
      <c r="O142" s="212"/>
      <c r="P142" s="260">
        <f t="shared" si="159"/>
        <v>6754.4053119869404</v>
      </c>
      <c r="Q142" s="212"/>
      <c r="R142" s="260">
        <f t="shared" si="160"/>
        <v>17332.650290156744</v>
      </c>
      <c r="S142" s="212"/>
      <c r="T142" s="260">
        <f t="shared" si="161"/>
        <v>5406.6585443978993</v>
      </c>
      <c r="U142" s="212"/>
      <c r="V142" s="260">
        <f t="shared" si="162"/>
        <v>407.45832508505907</v>
      </c>
      <c r="W142" s="212"/>
      <c r="X142" s="260">
        <f t="shared" si="163"/>
        <v>501.48716933545734</v>
      </c>
      <c r="Y142" s="212"/>
      <c r="Z142" s="175"/>
      <c r="AC142" s="216" t="s">
        <v>102</v>
      </c>
      <c r="AE142" s="239">
        <f t="shared" si="155"/>
        <v>1</v>
      </c>
      <c r="AG142" s="312">
        <f t="shared" si="156"/>
        <v>156714.74041733041</v>
      </c>
      <c r="AH142" s="385"/>
      <c r="AI142" s="260">
        <f t="shared" si="164"/>
        <v>155805.7949229099</v>
      </c>
      <c r="AJ142" s="212"/>
      <c r="AK142" s="260">
        <f t="shared" si="165"/>
        <v>0</v>
      </c>
      <c r="AL142" s="212"/>
      <c r="AM142" s="260">
        <f t="shared" si="166"/>
        <v>0</v>
      </c>
      <c r="AN142" s="212"/>
      <c r="AO142" s="260">
        <f t="shared" si="167"/>
        <v>0</v>
      </c>
      <c r="AP142" s="212"/>
      <c r="AQ142" s="260">
        <f t="shared" si="168"/>
        <v>0</v>
      </c>
      <c r="AR142" s="212"/>
      <c r="AS142" s="260">
        <f t="shared" si="169"/>
        <v>0</v>
      </c>
      <c r="AT142" s="212"/>
      <c r="AU142" s="260">
        <f t="shared" si="170"/>
        <v>0</v>
      </c>
      <c r="AV142" s="262"/>
      <c r="AW142" s="262">
        <f t="shared" si="171"/>
        <v>407.45832508505907</v>
      </c>
      <c r="AX142" s="262"/>
      <c r="AY142" s="262">
        <f t="shared" si="172"/>
        <v>501.48716933545734</v>
      </c>
      <c r="BA142" s="175"/>
      <c r="BB142" s="145"/>
      <c r="BC142" s="145"/>
      <c r="BD142" s="145"/>
    </row>
    <row r="143" spans="1:56">
      <c r="A143" s="512"/>
      <c r="B143" s="512"/>
      <c r="F143" s="216" t="s">
        <v>103</v>
      </c>
      <c r="G143" s="139"/>
      <c r="H143" s="261">
        <v>15</v>
      </c>
      <c r="I143" s="216"/>
      <c r="J143" s="312">
        <v>6273802.3659743182</v>
      </c>
      <c r="K143" s="385"/>
      <c r="L143" s="260">
        <f t="shared" si="157"/>
        <v>4079853.6785930991</v>
      </c>
      <c r="M143" s="212"/>
      <c r="N143" s="260">
        <f t="shared" si="158"/>
        <v>1291775.9071541121</v>
      </c>
      <c r="O143" s="212"/>
      <c r="P143" s="260">
        <f t="shared" si="159"/>
        <v>129240.32873907096</v>
      </c>
      <c r="Q143" s="212"/>
      <c r="R143" s="260">
        <f t="shared" si="160"/>
        <v>361998.39651671814</v>
      </c>
      <c r="S143" s="212"/>
      <c r="T143" s="260">
        <f t="shared" si="161"/>
        <v>87205.852887043016</v>
      </c>
      <c r="U143" s="212"/>
      <c r="V143" s="260">
        <f t="shared" si="162"/>
        <v>102262.97856538137</v>
      </c>
      <c r="W143" s="212"/>
      <c r="X143" s="260">
        <f t="shared" si="163"/>
        <v>221465.22351889341</v>
      </c>
      <c r="Y143" s="212"/>
      <c r="Z143" s="175"/>
      <c r="AC143" s="216" t="s">
        <v>103</v>
      </c>
      <c r="AE143" s="239">
        <f t="shared" si="155"/>
        <v>15</v>
      </c>
      <c r="AG143" s="312">
        <f t="shared" si="156"/>
        <v>6273802.3659743182</v>
      </c>
      <c r="AH143" s="385"/>
      <c r="AI143" s="260">
        <f t="shared" si="164"/>
        <v>1843870.515359852</v>
      </c>
      <c r="AJ143" s="212"/>
      <c r="AK143" s="260">
        <f t="shared" si="165"/>
        <v>951108.43868170667</v>
      </c>
      <c r="AL143" s="212"/>
      <c r="AM143" s="260">
        <f t="shared" si="166"/>
        <v>298632.99262037757</v>
      </c>
      <c r="AN143" s="212"/>
      <c r="AO143" s="260">
        <f t="shared" si="167"/>
        <v>1138067.7491877414</v>
      </c>
      <c r="AP143" s="212"/>
      <c r="AQ143" s="260">
        <f t="shared" si="168"/>
        <v>308671.07640593644</v>
      </c>
      <c r="AR143" s="212"/>
      <c r="AS143" s="260">
        <f t="shared" si="169"/>
        <v>1102934.4559382852</v>
      </c>
      <c r="AT143" s="212"/>
      <c r="AU143" s="260">
        <f t="shared" si="170"/>
        <v>317454.3997183005</v>
      </c>
      <c r="AV143" s="262"/>
      <c r="AW143" s="262">
        <f t="shared" si="171"/>
        <v>91597.514543225043</v>
      </c>
      <c r="AX143" s="262"/>
      <c r="AY143" s="262">
        <f t="shared" si="172"/>
        <v>221465.22351889341</v>
      </c>
      <c r="BA143" s="175"/>
      <c r="BB143" s="145"/>
      <c r="BC143" s="145"/>
      <c r="BD143" s="145"/>
    </row>
    <row r="144" spans="1:56">
      <c r="A144" s="512"/>
      <c r="B144" s="512"/>
      <c r="D144" s="488" t="s">
        <v>648</v>
      </c>
      <c r="F144" s="216" t="s">
        <v>640</v>
      </c>
      <c r="G144" s="139"/>
      <c r="H144" s="261">
        <v>15</v>
      </c>
      <c r="I144" s="216"/>
      <c r="J144" s="312">
        <v>497230.02427255083</v>
      </c>
      <c r="K144" s="385"/>
      <c r="L144" s="260">
        <f t="shared" si="157"/>
        <v>323348.6847844398</v>
      </c>
      <c r="M144" s="212"/>
      <c r="N144" s="260">
        <f t="shared" si="158"/>
        <v>102379.66199771821</v>
      </c>
      <c r="O144" s="212"/>
      <c r="P144" s="260">
        <f t="shared" si="159"/>
        <v>10242.938500014547</v>
      </c>
      <c r="Q144" s="212"/>
      <c r="R144" s="260">
        <f t="shared" si="160"/>
        <v>28690.172400526182</v>
      </c>
      <c r="S144" s="212"/>
      <c r="T144" s="260">
        <f t="shared" si="161"/>
        <v>6911.4973373884559</v>
      </c>
      <c r="U144" s="212"/>
      <c r="V144" s="260">
        <f t="shared" si="162"/>
        <v>8104.8493956425782</v>
      </c>
      <c r="W144" s="212"/>
      <c r="X144" s="260">
        <f t="shared" si="163"/>
        <v>17552.219856821044</v>
      </c>
      <c r="Y144" s="212"/>
      <c r="Z144" s="175"/>
      <c r="AC144" s="216" t="s">
        <v>640</v>
      </c>
      <c r="AE144" s="239">
        <f t="shared" si="155"/>
        <v>15</v>
      </c>
      <c r="AG144" s="312">
        <f t="shared" si="156"/>
        <v>497230.02427255083</v>
      </c>
      <c r="AH144" s="385"/>
      <c r="AI144" s="260">
        <f t="shared" si="164"/>
        <v>146135.90413370269</v>
      </c>
      <c r="AJ144" s="212"/>
      <c r="AK144" s="260">
        <f t="shared" si="165"/>
        <v>75380.071679718705</v>
      </c>
      <c r="AL144" s="212"/>
      <c r="AM144" s="260">
        <f t="shared" si="166"/>
        <v>23668.149155373419</v>
      </c>
      <c r="AN144" s="212"/>
      <c r="AO144" s="260">
        <f t="shared" si="167"/>
        <v>90197.526403040727</v>
      </c>
      <c r="AP144" s="212"/>
      <c r="AQ144" s="260">
        <f t="shared" si="168"/>
        <v>24463.717194209501</v>
      </c>
      <c r="AR144" s="212"/>
      <c r="AS144" s="260">
        <f t="shared" si="169"/>
        <v>87413.038267114447</v>
      </c>
      <c r="AT144" s="212"/>
      <c r="AU144" s="260">
        <f t="shared" si="170"/>
        <v>25159.839228191071</v>
      </c>
      <c r="AV144" s="262"/>
      <c r="AW144" s="262">
        <f t="shared" si="171"/>
        <v>7259.5583543792418</v>
      </c>
      <c r="AX144" s="262"/>
      <c r="AY144" s="262">
        <f t="shared" si="172"/>
        <v>17552.219856821044</v>
      </c>
      <c r="BA144" s="175"/>
      <c r="BB144" s="145"/>
      <c r="BC144" s="145"/>
      <c r="BD144" s="145"/>
    </row>
    <row r="145" spans="1:56">
      <c r="A145" s="512"/>
      <c r="B145" s="512"/>
      <c r="D145" s="488">
        <v>642.79999999999995</v>
      </c>
      <c r="F145" s="216" t="s">
        <v>582</v>
      </c>
      <c r="G145" s="139"/>
      <c r="H145" s="261">
        <v>15</v>
      </c>
      <c r="I145" s="216"/>
      <c r="J145" s="312">
        <v>32110.811188811178</v>
      </c>
      <c r="K145" s="385"/>
      <c r="L145" s="260">
        <f t="shared" si="157"/>
        <v>20881.66051608391</v>
      </c>
      <c r="M145" s="212"/>
      <c r="N145" s="260">
        <f t="shared" si="158"/>
        <v>6611.6160237762215</v>
      </c>
      <c r="O145" s="212"/>
      <c r="P145" s="260">
        <f t="shared" si="159"/>
        <v>661.48271048951028</v>
      </c>
      <c r="Q145" s="212"/>
      <c r="R145" s="260">
        <f t="shared" si="160"/>
        <v>1852.7938055944051</v>
      </c>
      <c r="S145" s="212"/>
      <c r="T145" s="260">
        <f t="shared" si="161"/>
        <v>446.34027552447537</v>
      </c>
      <c r="U145" s="212"/>
      <c r="V145" s="260">
        <f t="shared" si="162"/>
        <v>523.40622237762216</v>
      </c>
      <c r="W145" s="212"/>
      <c r="X145" s="260">
        <f t="shared" si="163"/>
        <v>1133.5116349650345</v>
      </c>
      <c r="Y145" s="212"/>
      <c r="Z145" s="175"/>
      <c r="AC145" s="216" t="s">
        <v>582</v>
      </c>
      <c r="AE145" s="239">
        <f t="shared" si="155"/>
        <v>15</v>
      </c>
      <c r="AG145" s="312">
        <f t="shared" si="156"/>
        <v>32110.811188811178</v>
      </c>
      <c r="AH145" s="385"/>
      <c r="AI145" s="260">
        <f t="shared" si="164"/>
        <v>9437.3674083916048</v>
      </c>
      <c r="AJ145" s="212"/>
      <c r="AK145" s="260">
        <f t="shared" si="165"/>
        <v>4867.9989762237747</v>
      </c>
      <c r="AL145" s="212"/>
      <c r="AM145" s="260">
        <f t="shared" si="166"/>
        <v>1528.4746125874121</v>
      </c>
      <c r="AN145" s="212"/>
      <c r="AO145" s="260">
        <f t="shared" si="167"/>
        <v>5824.9011496503481</v>
      </c>
      <c r="AP145" s="212"/>
      <c r="AQ145" s="260">
        <f t="shared" si="168"/>
        <v>1579.8519104895099</v>
      </c>
      <c r="AR145" s="212"/>
      <c r="AS145" s="260">
        <f t="shared" si="169"/>
        <v>5645.0806069930059</v>
      </c>
      <c r="AT145" s="212"/>
      <c r="AU145" s="260">
        <f t="shared" si="170"/>
        <v>1624.8070461538455</v>
      </c>
      <c r="AV145" s="262"/>
      <c r="AW145" s="262">
        <f t="shared" si="171"/>
        <v>468.81784335664321</v>
      </c>
      <c r="AX145" s="262"/>
      <c r="AY145" s="262">
        <f t="shared" si="172"/>
        <v>1133.5116349650345</v>
      </c>
      <c r="BA145" s="175"/>
      <c r="BB145" s="145"/>
      <c r="BC145" s="145"/>
      <c r="BD145" s="145"/>
    </row>
    <row r="146" spans="1:56">
      <c r="A146" s="512"/>
      <c r="B146" s="512"/>
      <c r="D146" s="488">
        <v>650.79999999999995</v>
      </c>
      <c r="F146" s="216" t="s">
        <v>655</v>
      </c>
      <c r="G146" s="139"/>
      <c r="H146" s="261">
        <v>15</v>
      </c>
      <c r="I146" s="216"/>
      <c r="J146" s="312">
        <v>477994.35732931894</v>
      </c>
      <c r="K146" s="385"/>
      <c r="L146" s="260">
        <f t="shared" si="157"/>
        <v>310839.73057125608</v>
      </c>
      <c r="M146" s="212"/>
      <c r="N146" s="260">
        <f t="shared" si="158"/>
        <v>98419.038174106769</v>
      </c>
      <c r="O146" s="212"/>
      <c r="P146" s="260">
        <f t="shared" si="159"/>
        <v>9846.6837609839695</v>
      </c>
      <c r="Q146" s="212"/>
      <c r="R146" s="260">
        <f t="shared" si="160"/>
        <v>27580.274417901703</v>
      </c>
      <c r="S146" s="212"/>
      <c r="T146" s="260">
        <f t="shared" si="161"/>
        <v>6644.121566877533</v>
      </c>
      <c r="U146" s="212"/>
      <c r="V146" s="260">
        <f t="shared" si="162"/>
        <v>7791.3080244678977</v>
      </c>
      <c r="W146" s="212"/>
      <c r="X146" s="260">
        <f t="shared" si="163"/>
        <v>16873.200813724958</v>
      </c>
      <c r="Y146" s="212"/>
      <c r="Z146" s="175"/>
      <c r="AC146" s="216" t="s">
        <v>655</v>
      </c>
      <c r="AE146" s="239">
        <f t="shared" si="155"/>
        <v>15</v>
      </c>
      <c r="AG146" s="312">
        <f t="shared" si="156"/>
        <v>477994.35732931894</v>
      </c>
      <c r="AH146" s="385"/>
      <c r="AI146" s="260">
        <f t="shared" si="164"/>
        <v>140482.54161908684</v>
      </c>
      <c r="AJ146" s="212"/>
      <c r="AK146" s="260">
        <f t="shared" si="165"/>
        <v>72463.944571124754</v>
      </c>
      <c r="AL146" s="212"/>
      <c r="AM146" s="260">
        <f t="shared" si="166"/>
        <v>22752.531408875584</v>
      </c>
      <c r="AN146" s="212"/>
      <c r="AO146" s="260">
        <f t="shared" si="167"/>
        <v>86708.17641953846</v>
      </c>
      <c r="AP146" s="212"/>
      <c r="AQ146" s="260">
        <f t="shared" si="168"/>
        <v>23517.322380602491</v>
      </c>
      <c r="AR146" s="212"/>
      <c r="AS146" s="260">
        <f t="shared" si="169"/>
        <v>84031.408018494272</v>
      </c>
      <c r="AT146" s="212"/>
      <c r="AU146" s="260">
        <f t="shared" si="170"/>
        <v>24186.514480863538</v>
      </c>
      <c r="AV146" s="262"/>
      <c r="AW146" s="262">
        <f t="shared" si="171"/>
        <v>6978.7176170080565</v>
      </c>
      <c r="AX146" s="262"/>
      <c r="AY146" s="262">
        <f t="shared" si="172"/>
        <v>16873.200813724958</v>
      </c>
      <c r="BA146" s="175"/>
      <c r="BB146" s="145"/>
      <c r="BC146" s="145"/>
      <c r="BD146" s="145"/>
    </row>
    <row r="147" spans="1:56">
      <c r="A147" s="512"/>
      <c r="B147" s="512"/>
      <c r="D147" s="488" t="s">
        <v>643</v>
      </c>
      <c r="F147" s="216" t="s">
        <v>642</v>
      </c>
      <c r="G147" s="139"/>
      <c r="H147" s="261">
        <v>15</v>
      </c>
      <c r="I147" s="216"/>
      <c r="J147" s="312">
        <v>531886.84116666659</v>
      </c>
      <c r="K147" s="385"/>
      <c r="L147" s="260">
        <f t="shared" si="157"/>
        <v>345886.01281068329</v>
      </c>
      <c r="M147" s="212"/>
      <c r="N147" s="260">
        <f t="shared" si="158"/>
        <v>109515.50059621665</v>
      </c>
      <c r="O147" s="212"/>
      <c r="P147" s="260">
        <f t="shared" si="159"/>
        <v>10956.868928033333</v>
      </c>
      <c r="Q147" s="212"/>
      <c r="R147" s="260">
        <f t="shared" si="160"/>
        <v>30689.870735316665</v>
      </c>
      <c r="S147" s="212"/>
      <c r="T147" s="260">
        <f t="shared" si="161"/>
        <v>7393.2270922166654</v>
      </c>
      <c r="U147" s="212"/>
      <c r="V147" s="260">
        <f t="shared" si="162"/>
        <v>8669.755511016665</v>
      </c>
      <c r="W147" s="212"/>
      <c r="X147" s="260">
        <f t="shared" si="163"/>
        <v>18775.605493183331</v>
      </c>
      <c r="Y147" s="212"/>
      <c r="Z147" s="175"/>
      <c r="AC147" s="216" t="s">
        <v>642</v>
      </c>
      <c r="AE147" s="239">
        <f t="shared" si="155"/>
        <v>15</v>
      </c>
      <c r="AG147" s="312">
        <f t="shared" si="156"/>
        <v>531886.84116666659</v>
      </c>
      <c r="AH147" s="385"/>
      <c r="AI147" s="260">
        <f t="shared" si="164"/>
        <v>156321.54261888331</v>
      </c>
      <c r="AJ147" s="212"/>
      <c r="AK147" s="260">
        <f t="shared" si="165"/>
        <v>80634.045120866664</v>
      </c>
      <c r="AL147" s="212"/>
      <c r="AM147" s="260">
        <f t="shared" si="166"/>
        <v>25317.813639533331</v>
      </c>
      <c r="AN147" s="212"/>
      <c r="AO147" s="260">
        <f t="shared" si="167"/>
        <v>96484.272987633318</v>
      </c>
      <c r="AP147" s="212"/>
      <c r="AQ147" s="260">
        <f t="shared" si="168"/>
        <v>26168.832585399996</v>
      </c>
      <c r="AR147" s="212"/>
      <c r="AS147" s="260">
        <f t="shared" si="169"/>
        <v>93505.706677099995</v>
      </c>
      <c r="AT147" s="212"/>
      <c r="AU147" s="260">
        <f t="shared" si="170"/>
        <v>26913.47416303333</v>
      </c>
      <c r="AV147" s="262"/>
      <c r="AW147" s="262">
        <f t="shared" si="171"/>
        <v>7765.5478810333325</v>
      </c>
      <c r="AX147" s="262"/>
      <c r="AY147" s="262">
        <f t="shared" si="172"/>
        <v>18775.605493183331</v>
      </c>
      <c r="BA147" s="175"/>
      <c r="BB147" s="145"/>
      <c r="BC147" s="145"/>
      <c r="BD147" s="145"/>
    </row>
    <row r="148" spans="1:56">
      <c r="A148" s="496"/>
      <c r="B148" s="496"/>
      <c r="D148" s="488">
        <v>658.8</v>
      </c>
      <c r="F148" s="216" t="s">
        <v>588</v>
      </c>
      <c r="G148" s="139"/>
      <c r="H148" s="261">
        <v>16</v>
      </c>
      <c r="I148" s="216"/>
      <c r="J148" s="312">
        <v>138239.40401666667</v>
      </c>
      <c r="K148" s="385"/>
      <c r="L148" s="260">
        <f t="shared" si="157"/>
        <v>86772.873901261672</v>
      </c>
      <c r="M148" s="212"/>
      <c r="N148" s="260">
        <f t="shared" si="158"/>
        <v>30108.542194829999</v>
      </c>
      <c r="O148" s="212"/>
      <c r="P148" s="260">
        <f t="shared" si="159"/>
        <v>3138.0344711783337</v>
      </c>
      <c r="Q148" s="212"/>
      <c r="R148" s="260">
        <f t="shared" si="160"/>
        <v>8833.4979166649991</v>
      </c>
      <c r="S148" s="212"/>
      <c r="T148" s="260">
        <f t="shared" si="161"/>
        <v>2156.5347026599998</v>
      </c>
      <c r="U148" s="212"/>
      <c r="V148" s="260">
        <f t="shared" si="162"/>
        <v>1949.1755966349999</v>
      </c>
      <c r="W148" s="212"/>
      <c r="X148" s="260">
        <f t="shared" si="163"/>
        <v>5280.7452334366662</v>
      </c>
      <c r="Y148" s="212"/>
      <c r="Z148" s="175"/>
      <c r="AC148" s="216" t="s">
        <v>588</v>
      </c>
      <c r="AE148" s="239">
        <f t="shared" si="155"/>
        <v>16</v>
      </c>
      <c r="AG148" s="312">
        <f t="shared" si="156"/>
        <v>138239.40401666667</v>
      </c>
      <c r="AH148" s="385"/>
      <c r="AI148" s="260">
        <f t="shared" si="164"/>
        <v>43075.39829159333</v>
      </c>
      <c r="AJ148" s="212"/>
      <c r="AK148" s="260">
        <f t="shared" si="165"/>
        <v>25201.043352238332</v>
      </c>
      <c r="AL148" s="212"/>
      <c r="AM148" s="260">
        <f t="shared" si="166"/>
        <v>6331.3647039633333</v>
      </c>
      <c r="AN148" s="212"/>
      <c r="AO148" s="260">
        <f t="shared" si="167"/>
        <v>35499.878951479994</v>
      </c>
      <c r="AP148" s="212"/>
      <c r="AQ148" s="260">
        <f t="shared" si="168"/>
        <v>7589.3432805149996</v>
      </c>
      <c r="AR148" s="212"/>
      <c r="AS148" s="260">
        <f t="shared" si="169"/>
        <v>12883.912454353334</v>
      </c>
      <c r="AT148" s="212"/>
      <c r="AU148" s="260">
        <f t="shared" si="170"/>
        <v>539.13367566499994</v>
      </c>
      <c r="AV148" s="262"/>
      <c r="AW148" s="262">
        <f t="shared" si="171"/>
        <v>1838.5840734216665</v>
      </c>
      <c r="AX148" s="262"/>
      <c r="AY148" s="262">
        <f t="shared" si="172"/>
        <v>5280.7452334366662</v>
      </c>
      <c r="BA148" s="175"/>
      <c r="BB148" s="145"/>
      <c r="BC148" s="145"/>
      <c r="BD148" s="145"/>
    </row>
    <row r="149" spans="1:56">
      <c r="A149" s="551"/>
      <c r="B149" s="552"/>
      <c r="D149" s="488">
        <v>604.79999999999995</v>
      </c>
      <c r="F149" s="216" t="s">
        <v>589</v>
      </c>
      <c r="G149" s="139"/>
      <c r="H149" s="261">
        <v>16</v>
      </c>
      <c r="I149" s="216"/>
      <c r="J149" s="312">
        <v>3496182.3738500383</v>
      </c>
      <c r="K149" s="385"/>
      <c r="L149" s="260">
        <f t="shared" si="157"/>
        <v>2194553.6760656689</v>
      </c>
      <c r="M149" s="212"/>
      <c r="N149" s="260">
        <f t="shared" si="158"/>
        <v>761468.52102453832</v>
      </c>
      <c r="O149" s="212"/>
      <c r="P149" s="260">
        <f t="shared" si="159"/>
        <v>79363.339886395872</v>
      </c>
      <c r="Q149" s="212"/>
      <c r="R149" s="260">
        <f t="shared" si="160"/>
        <v>223406.05368901743</v>
      </c>
      <c r="S149" s="212"/>
      <c r="T149" s="260">
        <f t="shared" si="161"/>
        <v>54540.445032060597</v>
      </c>
      <c r="U149" s="212"/>
      <c r="V149" s="260">
        <f t="shared" si="162"/>
        <v>49296.171471285539</v>
      </c>
      <c r="W149" s="212"/>
      <c r="X149" s="260">
        <f t="shared" si="163"/>
        <v>133554.16668107145</v>
      </c>
      <c r="Y149" s="212"/>
      <c r="Z149" s="175"/>
      <c r="AC149" s="216" t="s">
        <v>589</v>
      </c>
      <c r="AE149" s="239">
        <f t="shared" si="155"/>
        <v>16</v>
      </c>
      <c r="AG149" s="312">
        <f t="shared" si="156"/>
        <v>3496182.3738500383</v>
      </c>
      <c r="AH149" s="385"/>
      <c r="AI149" s="260">
        <f t="shared" si="164"/>
        <v>1089410.427691672</v>
      </c>
      <c r="AJ149" s="212"/>
      <c r="AK149" s="260">
        <f t="shared" si="165"/>
        <v>637354.04675286193</v>
      </c>
      <c r="AL149" s="212"/>
      <c r="AM149" s="260">
        <f t="shared" si="166"/>
        <v>160125.15272233175</v>
      </c>
      <c r="AN149" s="212"/>
      <c r="AO149" s="260">
        <f t="shared" si="167"/>
        <v>897819.63360468973</v>
      </c>
      <c r="AP149" s="212"/>
      <c r="AQ149" s="260">
        <f t="shared" si="168"/>
        <v>191940.41232436709</v>
      </c>
      <c r="AR149" s="212"/>
      <c r="AS149" s="260">
        <f t="shared" si="169"/>
        <v>325844.1972428236</v>
      </c>
      <c r="AT149" s="212"/>
      <c r="AU149" s="260">
        <f t="shared" si="170"/>
        <v>13635.111258015149</v>
      </c>
      <c r="AV149" s="262"/>
      <c r="AW149" s="262">
        <f t="shared" si="171"/>
        <v>46499.225572205505</v>
      </c>
      <c r="AX149" s="262"/>
      <c r="AY149" s="262">
        <f t="shared" si="172"/>
        <v>133554.16668107145</v>
      </c>
      <c r="BA149" s="175"/>
      <c r="BB149" s="145"/>
      <c r="BC149" s="145"/>
      <c r="BD149" s="145"/>
    </row>
    <row r="150" spans="1:56">
      <c r="A150" s="496"/>
      <c r="B150" s="496"/>
      <c r="D150" s="488" t="s">
        <v>641</v>
      </c>
      <c r="F150" s="216" t="s">
        <v>590</v>
      </c>
      <c r="G150" s="139"/>
      <c r="H150" s="261">
        <v>19</v>
      </c>
      <c r="I150" s="216"/>
      <c r="J150" s="312">
        <v>274995.38</v>
      </c>
      <c r="K150" s="385"/>
      <c r="L150" s="260">
        <f t="shared" ca="1" si="157"/>
        <v>156829.86521400002</v>
      </c>
      <c r="M150" s="212"/>
      <c r="N150" s="260">
        <f t="shared" ca="1" si="158"/>
        <v>66631.380573999995</v>
      </c>
      <c r="O150" s="212"/>
      <c r="P150" s="260">
        <f t="shared" ca="1" si="159"/>
        <v>7617.372026</v>
      </c>
      <c r="Q150" s="212"/>
      <c r="R150" s="260">
        <f t="shared" ca="1" si="160"/>
        <v>20487.15581</v>
      </c>
      <c r="S150" s="212"/>
      <c r="T150" s="260">
        <f t="shared" ca="1" si="161"/>
        <v>5114.914068</v>
      </c>
      <c r="U150" s="212"/>
      <c r="V150" s="260">
        <f t="shared" ca="1" si="162"/>
        <v>6462.3914299999997</v>
      </c>
      <c r="W150" s="212"/>
      <c r="X150" s="260">
        <f t="shared" ca="1" si="163"/>
        <v>11852.300878</v>
      </c>
      <c r="Y150" s="212"/>
      <c r="Z150" s="175"/>
      <c r="AC150" s="216" t="s">
        <v>590</v>
      </c>
      <c r="AE150" s="239">
        <f t="shared" si="155"/>
        <v>19</v>
      </c>
      <c r="AG150" s="312">
        <f t="shared" si="156"/>
        <v>274995.38</v>
      </c>
      <c r="AH150" s="385"/>
      <c r="AI150" s="260">
        <f t="shared" ca="1" si="164"/>
        <v>113160.59887</v>
      </c>
      <c r="AJ150" s="212"/>
      <c r="AK150" s="260">
        <f t="shared" ca="1" si="165"/>
        <v>51314.137907999997</v>
      </c>
      <c r="AL150" s="212"/>
      <c r="AM150" s="260">
        <f t="shared" ca="1" si="166"/>
        <v>22274.625780000002</v>
      </c>
      <c r="AN150" s="212"/>
      <c r="AO150" s="260">
        <f t="shared" ca="1" si="167"/>
        <v>32751.949757999999</v>
      </c>
      <c r="AP150" s="212"/>
      <c r="AQ150" s="260">
        <f t="shared" ca="1" si="168"/>
        <v>9404.841996000001</v>
      </c>
      <c r="AR150" s="212"/>
      <c r="AS150" s="260">
        <f t="shared" ca="1" si="169"/>
        <v>24199.593440000001</v>
      </c>
      <c r="AT150" s="212"/>
      <c r="AU150" s="260">
        <f t="shared" ca="1" si="170"/>
        <v>3849.93532</v>
      </c>
      <c r="AV150" s="262"/>
      <c r="AW150" s="262">
        <f t="shared" ca="1" si="171"/>
        <v>6269.8946640000004</v>
      </c>
      <c r="AX150" s="262"/>
      <c r="AY150" s="262">
        <f t="shared" ca="1" si="172"/>
        <v>11769.802264</v>
      </c>
      <c r="BA150" s="175"/>
      <c r="BB150" s="145"/>
      <c r="BC150" s="145"/>
      <c r="BD150" s="145"/>
    </row>
    <row r="151" spans="1:56">
      <c r="A151" s="496"/>
      <c r="B151" s="496"/>
      <c r="D151" s="488">
        <v>675.8</v>
      </c>
      <c r="F151" s="216" t="s">
        <v>676</v>
      </c>
      <c r="G151" s="139"/>
      <c r="H151" s="261">
        <v>15</v>
      </c>
      <c r="I151" s="216"/>
      <c r="J151" s="312">
        <v>84548.512810501546</v>
      </c>
      <c r="K151" s="385"/>
      <c r="L151" s="260">
        <f t="shared" si="157"/>
        <v>54981.897880669152</v>
      </c>
      <c r="M151" s="212"/>
      <c r="N151" s="260">
        <f t="shared" si="158"/>
        <v>17408.538787682268</v>
      </c>
      <c r="O151" s="212"/>
      <c r="P151" s="260">
        <f t="shared" si="159"/>
        <v>1741.699363896332</v>
      </c>
      <c r="Q151" s="212"/>
      <c r="R151" s="260">
        <f t="shared" si="160"/>
        <v>4878.4491891659391</v>
      </c>
      <c r="S151" s="212"/>
      <c r="T151" s="260">
        <f t="shared" si="161"/>
        <v>1175.2243280659713</v>
      </c>
      <c r="U151" s="212"/>
      <c r="V151" s="260">
        <f t="shared" si="162"/>
        <v>1378.1407588111751</v>
      </c>
      <c r="W151" s="212"/>
      <c r="X151" s="260">
        <f t="shared" si="163"/>
        <v>2984.5625022107042</v>
      </c>
      <c r="Y151" s="212"/>
      <c r="Z151" s="175"/>
      <c r="AC151" s="216" t="s">
        <v>676</v>
      </c>
      <c r="AE151" s="239">
        <f t="shared" si="155"/>
        <v>15</v>
      </c>
      <c r="AG151" s="312">
        <f t="shared" si="156"/>
        <v>84548.512810501546</v>
      </c>
      <c r="AH151" s="385"/>
      <c r="AI151" s="260">
        <f t="shared" si="164"/>
        <v>24848.807915006404</v>
      </c>
      <c r="AJ151" s="212"/>
      <c r="AK151" s="260">
        <f t="shared" si="165"/>
        <v>12817.554542072035</v>
      </c>
      <c r="AL151" s="212"/>
      <c r="AM151" s="260">
        <f t="shared" si="166"/>
        <v>4024.5092097798738</v>
      </c>
      <c r="AN151" s="212"/>
      <c r="AO151" s="260">
        <f t="shared" si="167"/>
        <v>15337.10022382498</v>
      </c>
      <c r="AP151" s="212"/>
      <c r="AQ151" s="260">
        <f t="shared" si="168"/>
        <v>4159.7868302766765</v>
      </c>
      <c r="AR151" s="212"/>
      <c r="AS151" s="260">
        <f t="shared" si="169"/>
        <v>14863.628552086173</v>
      </c>
      <c r="AT151" s="212"/>
      <c r="AU151" s="260">
        <f t="shared" si="170"/>
        <v>4278.1547482113783</v>
      </c>
      <c r="AV151" s="262"/>
      <c r="AW151" s="262">
        <f t="shared" si="171"/>
        <v>1234.4082870333225</v>
      </c>
      <c r="AX151" s="262"/>
      <c r="AY151" s="262">
        <f t="shared" si="172"/>
        <v>2984.5625022107042</v>
      </c>
      <c r="BA151" s="175"/>
      <c r="BB151" s="145"/>
      <c r="BC151" s="145"/>
      <c r="BD151" s="145"/>
    </row>
    <row r="152" spans="1:56">
      <c r="A152" s="496"/>
      <c r="B152" s="496"/>
      <c r="D152" s="488">
        <v>675.8</v>
      </c>
      <c r="F152" s="216" t="s">
        <v>678</v>
      </c>
      <c r="G152" s="139"/>
      <c r="H152" s="261">
        <v>15</v>
      </c>
      <c r="I152" s="216"/>
      <c r="J152" s="312">
        <v>25290.279228393742</v>
      </c>
      <c r="K152" s="385"/>
      <c r="L152" s="260">
        <f t="shared" si="157"/>
        <v>16446.268582224449</v>
      </c>
      <c r="M152" s="212"/>
      <c r="N152" s="260">
        <f t="shared" si="158"/>
        <v>5207.2684931262711</v>
      </c>
      <c r="O152" s="212"/>
      <c r="P152" s="260">
        <f t="shared" si="159"/>
        <v>520.97975210491109</v>
      </c>
      <c r="Q152" s="212"/>
      <c r="R152" s="260">
        <f t="shared" si="160"/>
        <v>1459.2491114783188</v>
      </c>
      <c r="S152" s="212"/>
      <c r="T152" s="260">
        <f t="shared" si="161"/>
        <v>351.53488127467301</v>
      </c>
      <c r="U152" s="212"/>
      <c r="V152" s="260">
        <f t="shared" si="162"/>
        <v>412.23155142281797</v>
      </c>
      <c r="W152" s="212"/>
      <c r="X152" s="260">
        <f t="shared" si="163"/>
        <v>892.74685676229899</v>
      </c>
      <c r="Y152" s="212"/>
      <c r="Z152" s="175"/>
      <c r="AC152" s="216" t="s">
        <v>678</v>
      </c>
      <c r="AE152" s="239">
        <f t="shared" si="155"/>
        <v>15</v>
      </c>
      <c r="AG152" s="312">
        <f t="shared" si="156"/>
        <v>25290.279228393742</v>
      </c>
      <c r="AH152" s="385"/>
      <c r="AI152" s="260">
        <f t="shared" si="164"/>
        <v>7432.8130652249201</v>
      </c>
      <c r="AJ152" s="212"/>
      <c r="AK152" s="260">
        <f t="shared" si="165"/>
        <v>3834.0063310244914</v>
      </c>
      <c r="AL152" s="212"/>
      <c r="AM152" s="260">
        <f t="shared" si="166"/>
        <v>1203.8172912715422</v>
      </c>
      <c r="AN152" s="212"/>
      <c r="AO152" s="260">
        <f t="shared" si="167"/>
        <v>4587.6566520306251</v>
      </c>
      <c r="AP152" s="212"/>
      <c r="AQ152" s="260">
        <f t="shared" si="168"/>
        <v>1244.281738036972</v>
      </c>
      <c r="AR152" s="212"/>
      <c r="AS152" s="260">
        <f t="shared" si="169"/>
        <v>4446.0310883516204</v>
      </c>
      <c r="AT152" s="212"/>
      <c r="AU152" s="260">
        <f t="shared" si="170"/>
        <v>1279.6881289567234</v>
      </c>
      <c r="AV152" s="262"/>
      <c r="AW152" s="262">
        <f t="shared" si="171"/>
        <v>369.23807673454866</v>
      </c>
      <c r="AX152" s="262"/>
      <c r="AY152" s="262">
        <f t="shared" si="172"/>
        <v>892.74685676229899</v>
      </c>
      <c r="BA152" s="175"/>
      <c r="BB152" s="145"/>
      <c r="BC152" s="145"/>
      <c r="BD152" s="145"/>
    </row>
    <row r="153" spans="1:56">
      <c r="A153" s="496"/>
      <c r="B153" s="496"/>
      <c r="D153" s="488">
        <v>675.8</v>
      </c>
      <c r="F153" s="216" t="s">
        <v>681</v>
      </c>
      <c r="G153" s="139"/>
      <c r="H153" s="261">
        <v>15</v>
      </c>
      <c r="I153" s="216"/>
      <c r="J153" s="312">
        <v>77838.550062797745</v>
      </c>
      <c r="K153" s="385"/>
      <c r="L153" s="260">
        <f t="shared" si="157"/>
        <v>50618.409105837374</v>
      </c>
      <c r="M153" s="212"/>
      <c r="N153" s="260">
        <f t="shared" si="158"/>
        <v>16026.957457930055</v>
      </c>
      <c r="O153" s="212"/>
      <c r="P153" s="260">
        <f t="shared" si="159"/>
        <v>1603.4741312936335</v>
      </c>
      <c r="Q153" s="212"/>
      <c r="R153" s="260">
        <f t="shared" si="160"/>
        <v>4491.2843386234299</v>
      </c>
      <c r="S153" s="212"/>
      <c r="T153" s="260">
        <f t="shared" si="161"/>
        <v>1081.9558458728886</v>
      </c>
      <c r="U153" s="212"/>
      <c r="V153" s="260">
        <f t="shared" si="162"/>
        <v>1268.7683660236032</v>
      </c>
      <c r="W153" s="212"/>
      <c r="X153" s="260">
        <f t="shared" si="163"/>
        <v>2747.7008172167602</v>
      </c>
      <c r="Y153" s="212"/>
      <c r="Z153" s="175"/>
      <c r="AC153" s="216" t="s">
        <v>681</v>
      </c>
      <c r="AE153" s="239">
        <f t="shared" si="155"/>
        <v>15</v>
      </c>
      <c r="AG153" s="312">
        <f t="shared" si="156"/>
        <v>77838.550062797745</v>
      </c>
      <c r="AH153" s="385"/>
      <c r="AI153" s="260">
        <f t="shared" si="164"/>
        <v>22876.749863456258</v>
      </c>
      <c r="AJ153" s="212"/>
      <c r="AK153" s="260">
        <f t="shared" si="165"/>
        <v>11800.324189520139</v>
      </c>
      <c r="AL153" s="212"/>
      <c r="AM153" s="260">
        <f t="shared" si="166"/>
        <v>3705.1149829891729</v>
      </c>
      <c r="AN153" s="212"/>
      <c r="AO153" s="260">
        <f t="shared" si="167"/>
        <v>14119.912981391511</v>
      </c>
      <c r="AP153" s="212"/>
      <c r="AQ153" s="260">
        <f t="shared" si="168"/>
        <v>3829.6566630896491</v>
      </c>
      <c r="AR153" s="212"/>
      <c r="AS153" s="260">
        <f t="shared" si="169"/>
        <v>13684.017101039844</v>
      </c>
      <c r="AT153" s="212"/>
      <c r="AU153" s="260">
        <f t="shared" si="170"/>
        <v>3938.6306331775659</v>
      </c>
      <c r="AV153" s="262"/>
      <c r="AW153" s="262">
        <f t="shared" si="171"/>
        <v>1136.442830916847</v>
      </c>
      <c r="AX153" s="262"/>
      <c r="AY153" s="262">
        <f t="shared" si="172"/>
        <v>2747.7008172167602</v>
      </c>
      <c r="BA153" s="175"/>
      <c r="BB153" s="145"/>
      <c r="BC153" s="145"/>
      <c r="BD153" s="145"/>
    </row>
    <row r="154" spans="1:56">
      <c r="A154" s="496"/>
      <c r="B154" s="496"/>
      <c r="D154" s="488">
        <v>675.8</v>
      </c>
      <c r="F154" s="216" t="s">
        <v>682</v>
      </c>
      <c r="G154" s="139"/>
      <c r="H154" s="261">
        <v>15</v>
      </c>
      <c r="I154" s="216"/>
      <c r="J154" s="312">
        <v>92915</v>
      </c>
      <c r="K154" s="385"/>
      <c r="L154" s="260">
        <f t="shared" si="157"/>
        <v>60422.624499999998</v>
      </c>
      <c r="M154" s="212"/>
      <c r="N154" s="260">
        <f t="shared" si="158"/>
        <v>19131.198499999999</v>
      </c>
      <c r="O154" s="212"/>
      <c r="P154" s="260">
        <f t="shared" si="159"/>
        <v>1914.049</v>
      </c>
      <c r="Q154" s="212"/>
      <c r="R154" s="260">
        <f t="shared" si="160"/>
        <v>5361.1954999999998</v>
      </c>
      <c r="S154" s="212"/>
      <c r="T154" s="260">
        <f t="shared" si="161"/>
        <v>1291.5184999999999</v>
      </c>
      <c r="U154" s="212"/>
      <c r="V154" s="260">
        <f t="shared" si="162"/>
        <v>1514.5144999999998</v>
      </c>
      <c r="W154" s="212"/>
      <c r="X154" s="260">
        <f t="shared" si="163"/>
        <v>3279.8995</v>
      </c>
      <c r="Y154" s="212"/>
      <c r="Z154" s="175"/>
      <c r="AC154" s="216" t="s">
        <v>682</v>
      </c>
      <c r="AE154" s="239">
        <f t="shared" si="155"/>
        <v>15</v>
      </c>
      <c r="AG154" s="312">
        <f t="shared" si="156"/>
        <v>92915</v>
      </c>
      <c r="AH154" s="385"/>
      <c r="AI154" s="260">
        <f t="shared" si="164"/>
        <v>27307.718499999999</v>
      </c>
      <c r="AJ154" s="212"/>
      <c r="AK154" s="260">
        <f t="shared" si="165"/>
        <v>14085.914000000001</v>
      </c>
      <c r="AL154" s="212"/>
      <c r="AM154" s="260">
        <f t="shared" si="166"/>
        <v>4422.7539999999999</v>
      </c>
      <c r="AN154" s="212"/>
      <c r="AO154" s="260">
        <f t="shared" si="167"/>
        <v>16854.780999999999</v>
      </c>
      <c r="AP154" s="212"/>
      <c r="AQ154" s="260">
        <f t="shared" si="168"/>
        <v>4571.4179999999997</v>
      </c>
      <c r="AR154" s="212"/>
      <c r="AS154" s="260">
        <f t="shared" si="169"/>
        <v>16334.457</v>
      </c>
      <c r="AT154" s="212"/>
      <c r="AU154" s="260">
        <f t="shared" si="170"/>
        <v>4701.4989999999998</v>
      </c>
      <c r="AV154" s="262"/>
      <c r="AW154" s="262">
        <f t="shared" si="171"/>
        <v>1356.559</v>
      </c>
      <c r="AX154" s="262"/>
      <c r="AY154" s="262">
        <f t="shared" si="172"/>
        <v>3279.8995</v>
      </c>
      <c r="BA154" s="175"/>
      <c r="BB154" s="145"/>
      <c r="BC154" s="145"/>
      <c r="BD154" s="145"/>
    </row>
    <row r="155" spans="1:56">
      <c r="A155" s="496"/>
      <c r="B155" s="496"/>
      <c r="D155" s="488">
        <v>675.8</v>
      </c>
      <c r="F155" s="216" t="s">
        <v>689</v>
      </c>
      <c r="G155" s="139"/>
      <c r="H155" s="261">
        <v>15</v>
      </c>
      <c r="I155" s="216"/>
      <c r="J155" s="312">
        <v>31261.551400145287</v>
      </c>
      <c r="K155" s="385"/>
      <c r="L155" s="260">
        <f t="shared" si="157"/>
        <v>20329.386875514479</v>
      </c>
      <c r="M155" s="212"/>
      <c r="N155" s="260">
        <f t="shared" si="158"/>
        <v>6436.7534332899149</v>
      </c>
      <c r="O155" s="212"/>
      <c r="P155" s="260">
        <f t="shared" si="159"/>
        <v>643.98795884299295</v>
      </c>
      <c r="Q155" s="212"/>
      <c r="R155" s="260">
        <f t="shared" si="160"/>
        <v>1803.7915157883831</v>
      </c>
      <c r="S155" s="212"/>
      <c r="T155" s="260">
        <f t="shared" si="161"/>
        <v>434.53556446201947</v>
      </c>
      <c r="U155" s="212"/>
      <c r="V155" s="260">
        <f t="shared" si="162"/>
        <v>509.56328782236812</v>
      </c>
      <c r="W155" s="212"/>
      <c r="X155" s="260">
        <f t="shared" si="163"/>
        <v>1103.5327644251286</v>
      </c>
      <c r="Y155" s="212"/>
      <c r="Z155" s="175"/>
      <c r="AC155" s="216" t="s">
        <v>689</v>
      </c>
      <c r="AE155" s="239">
        <f t="shared" si="155"/>
        <v>15</v>
      </c>
      <c r="AG155" s="312">
        <f t="shared" si="156"/>
        <v>31261.551400145287</v>
      </c>
      <c r="AH155" s="385"/>
      <c r="AI155" s="260">
        <f t="shared" si="164"/>
        <v>9187.7699565026996</v>
      </c>
      <c r="AJ155" s="212"/>
      <c r="AK155" s="260">
        <f t="shared" si="165"/>
        <v>4739.2511922620261</v>
      </c>
      <c r="AL155" s="212"/>
      <c r="AM155" s="260">
        <f t="shared" si="166"/>
        <v>1488.0498466469157</v>
      </c>
      <c r="AN155" s="212"/>
      <c r="AO155" s="260">
        <f t="shared" si="167"/>
        <v>5670.8454239863549</v>
      </c>
      <c r="AP155" s="212"/>
      <c r="AQ155" s="260">
        <f t="shared" si="168"/>
        <v>1538.068328887148</v>
      </c>
      <c r="AR155" s="212"/>
      <c r="AS155" s="260">
        <f t="shared" si="169"/>
        <v>5495.7807361455416</v>
      </c>
      <c r="AT155" s="212"/>
      <c r="AU155" s="260">
        <f t="shared" si="170"/>
        <v>1581.8345008473514</v>
      </c>
      <c r="AV155" s="262"/>
      <c r="AW155" s="262">
        <f t="shared" si="171"/>
        <v>456.41865044212119</v>
      </c>
      <c r="AX155" s="262"/>
      <c r="AY155" s="262">
        <f t="shared" si="172"/>
        <v>1103.5327644251286</v>
      </c>
      <c r="BA155" s="175"/>
      <c r="BB155" s="145"/>
      <c r="BC155" s="145"/>
      <c r="BD155" s="145"/>
    </row>
    <row r="156" spans="1:56">
      <c r="A156" s="496"/>
      <c r="B156" s="496"/>
      <c r="D156" s="488">
        <v>675.8</v>
      </c>
      <c r="F156" s="216" t="s">
        <v>692</v>
      </c>
      <c r="G156" s="139"/>
      <c r="H156" s="261">
        <v>15</v>
      </c>
      <c r="I156" s="216"/>
      <c r="J156" s="312">
        <v>44389.906171242423</v>
      </c>
      <c r="K156" s="385"/>
      <c r="L156" s="260">
        <f t="shared" si="157"/>
        <v>28866.755983158946</v>
      </c>
      <c r="M156" s="212"/>
      <c r="N156" s="260">
        <f t="shared" si="158"/>
        <v>9139.8816806588147</v>
      </c>
      <c r="O156" s="212"/>
      <c r="P156" s="260">
        <f t="shared" si="159"/>
        <v>914.43206712759388</v>
      </c>
      <c r="Q156" s="212"/>
      <c r="R156" s="260">
        <f t="shared" si="160"/>
        <v>2561.2975860806878</v>
      </c>
      <c r="S156" s="212"/>
      <c r="T156" s="260">
        <f t="shared" si="161"/>
        <v>617.01969578026967</v>
      </c>
      <c r="U156" s="212"/>
      <c r="V156" s="260">
        <f t="shared" si="162"/>
        <v>723.55547059125138</v>
      </c>
      <c r="W156" s="212"/>
      <c r="X156" s="260">
        <f t="shared" si="163"/>
        <v>1566.9636878448575</v>
      </c>
      <c r="Y156" s="212"/>
      <c r="Z156" s="175"/>
      <c r="AC156" s="216" t="s">
        <v>692</v>
      </c>
      <c r="AE156" s="239">
        <f t="shared" si="155"/>
        <v>15</v>
      </c>
      <c r="AG156" s="312">
        <f t="shared" si="156"/>
        <v>44389.906171242423</v>
      </c>
      <c r="AH156" s="385"/>
      <c r="AI156" s="260">
        <f t="shared" si="164"/>
        <v>13046.193423728148</v>
      </c>
      <c r="AJ156" s="212"/>
      <c r="AK156" s="260">
        <f t="shared" si="165"/>
        <v>6729.509775560352</v>
      </c>
      <c r="AL156" s="212"/>
      <c r="AM156" s="260">
        <f t="shared" si="166"/>
        <v>2112.9595337511396</v>
      </c>
      <c r="AN156" s="212"/>
      <c r="AO156" s="260">
        <f t="shared" si="167"/>
        <v>8052.3289794633756</v>
      </c>
      <c r="AP156" s="212"/>
      <c r="AQ156" s="260">
        <f t="shared" si="168"/>
        <v>2183.9833836251273</v>
      </c>
      <c r="AR156" s="212"/>
      <c r="AS156" s="260">
        <f t="shared" si="169"/>
        <v>7803.7455049044183</v>
      </c>
      <c r="AT156" s="212"/>
      <c r="AU156" s="260">
        <f t="shared" si="170"/>
        <v>2246.1292522648664</v>
      </c>
      <c r="AV156" s="262"/>
      <c r="AW156" s="262">
        <f t="shared" si="171"/>
        <v>648.09263010013933</v>
      </c>
      <c r="AX156" s="262"/>
      <c r="AY156" s="262">
        <f t="shared" si="172"/>
        <v>1566.9636878448575</v>
      </c>
      <c r="BA156" s="175"/>
      <c r="BB156" s="145"/>
      <c r="BC156" s="145"/>
      <c r="BD156" s="145"/>
    </row>
    <row r="157" spans="1:56">
      <c r="A157" s="496"/>
      <c r="B157" s="496"/>
      <c r="D157" s="488">
        <v>675.8</v>
      </c>
      <c r="F157" s="216" t="s">
        <v>696</v>
      </c>
      <c r="G157" s="139"/>
      <c r="H157" s="261">
        <v>15</v>
      </c>
      <c r="I157" s="216"/>
      <c r="J157" s="312">
        <v>83573.359334323992</v>
      </c>
      <c r="K157" s="385"/>
      <c r="L157" s="260">
        <f t="shared" si="157"/>
        <v>54347.755575110888</v>
      </c>
      <c r="M157" s="212"/>
      <c r="N157" s="260">
        <f t="shared" si="158"/>
        <v>17207.754686937311</v>
      </c>
      <c r="O157" s="212"/>
      <c r="P157" s="260">
        <f t="shared" si="159"/>
        <v>1721.6112022870743</v>
      </c>
      <c r="Q157" s="212"/>
      <c r="R157" s="260">
        <f t="shared" si="160"/>
        <v>4822.1828335904947</v>
      </c>
      <c r="S157" s="212"/>
      <c r="T157" s="260">
        <f t="shared" si="161"/>
        <v>1161.6696947471034</v>
      </c>
      <c r="U157" s="212"/>
      <c r="V157" s="260">
        <f t="shared" si="162"/>
        <v>1362.2457571494811</v>
      </c>
      <c r="W157" s="212"/>
      <c r="X157" s="260">
        <f t="shared" si="163"/>
        <v>2950.1395845016368</v>
      </c>
      <c r="Y157" s="212"/>
      <c r="Z157" s="175"/>
      <c r="AC157" s="216" t="s">
        <v>696</v>
      </c>
      <c r="AE157" s="239">
        <f t="shared" si="155"/>
        <v>15</v>
      </c>
      <c r="AG157" s="312">
        <f t="shared" si="156"/>
        <v>83573.359334323992</v>
      </c>
      <c r="AH157" s="385"/>
      <c r="AI157" s="260">
        <f t="shared" si="164"/>
        <v>24562.210308357822</v>
      </c>
      <c r="AJ157" s="212"/>
      <c r="AK157" s="260">
        <f t="shared" si="165"/>
        <v>12669.721275083519</v>
      </c>
      <c r="AL157" s="212"/>
      <c r="AM157" s="260">
        <f t="shared" si="166"/>
        <v>3978.0919043138224</v>
      </c>
      <c r="AN157" s="212"/>
      <c r="AO157" s="260">
        <f t="shared" si="167"/>
        <v>15160.207383246372</v>
      </c>
      <c r="AP157" s="212"/>
      <c r="AQ157" s="260">
        <f t="shared" si="168"/>
        <v>4111.8092792487405</v>
      </c>
      <c r="AR157" s="212"/>
      <c r="AS157" s="260">
        <f t="shared" si="169"/>
        <v>14692.196570974158</v>
      </c>
      <c r="AT157" s="212"/>
      <c r="AU157" s="260">
        <f t="shared" si="170"/>
        <v>4228.8119823167935</v>
      </c>
      <c r="AV157" s="262"/>
      <c r="AW157" s="262">
        <f t="shared" si="171"/>
        <v>1220.1710462811302</v>
      </c>
      <c r="AX157" s="262"/>
      <c r="AY157" s="262">
        <f t="shared" si="172"/>
        <v>2950.1395845016368</v>
      </c>
      <c r="BA157" s="175"/>
      <c r="BB157" s="145"/>
      <c r="BC157" s="145"/>
      <c r="BD157" s="145"/>
    </row>
    <row r="158" spans="1:56">
      <c r="A158" s="496"/>
      <c r="B158" s="496"/>
      <c r="D158" s="488">
        <v>675.8</v>
      </c>
      <c r="F158" s="216" t="s">
        <v>766</v>
      </c>
      <c r="G158" s="139"/>
      <c r="H158" s="261">
        <v>15</v>
      </c>
      <c r="I158" s="216"/>
      <c r="J158" s="312">
        <v>23465.699610666637</v>
      </c>
      <c r="K158" s="385"/>
      <c r="L158" s="260">
        <f t="shared" si="157"/>
        <v>15259.744456816514</v>
      </c>
      <c r="M158" s="212"/>
      <c r="N158" s="260">
        <f t="shared" si="158"/>
        <v>4831.5875498362602</v>
      </c>
      <c r="O158" s="212"/>
      <c r="P158" s="260">
        <f t="shared" si="159"/>
        <v>483.39341197973272</v>
      </c>
      <c r="Q158" s="212"/>
      <c r="R158" s="260">
        <f t="shared" si="160"/>
        <v>1353.970867535465</v>
      </c>
      <c r="S158" s="212"/>
      <c r="T158" s="260">
        <f t="shared" si="161"/>
        <v>326.17322458826624</v>
      </c>
      <c r="U158" s="212"/>
      <c r="V158" s="260">
        <f t="shared" si="162"/>
        <v>382.49090365386616</v>
      </c>
      <c r="W158" s="212"/>
      <c r="X158" s="260">
        <f t="shared" si="163"/>
        <v>828.3391962565322</v>
      </c>
      <c r="Y158" s="212"/>
      <c r="Z158" s="175"/>
      <c r="AC158" s="216" t="s">
        <v>766</v>
      </c>
      <c r="AE158" s="239">
        <f t="shared" si="155"/>
        <v>15</v>
      </c>
      <c r="AG158" s="312">
        <f t="shared" ref="AG158" si="173">+J158</f>
        <v>23465.699610666637</v>
      </c>
      <c r="AH158" s="385"/>
      <c r="AI158" s="260">
        <f t="shared" si="164"/>
        <v>6896.5691155749246</v>
      </c>
      <c r="AJ158" s="212"/>
      <c r="AK158" s="260">
        <f t="shared" si="165"/>
        <v>3557.4000609770624</v>
      </c>
      <c r="AL158" s="212"/>
      <c r="AM158" s="260">
        <f t="shared" si="166"/>
        <v>1116.9673014677321</v>
      </c>
      <c r="AN158" s="212"/>
      <c r="AO158" s="260">
        <f t="shared" si="167"/>
        <v>4256.6779093749283</v>
      </c>
      <c r="AP158" s="212"/>
      <c r="AQ158" s="260">
        <f t="shared" si="168"/>
        <v>1154.5124208447985</v>
      </c>
      <c r="AR158" s="212"/>
      <c r="AS158" s="260">
        <f t="shared" si="169"/>
        <v>4125.2699915551948</v>
      </c>
      <c r="AT158" s="212"/>
      <c r="AU158" s="260">
        <f t="shared" si="170"/>
        <v>1187.3644002997319</v>
      </c>
      <c r="AV158" s="262"/>
      <c r="AW158" s="262">
        <f t="shared" si="171"/>
        <v>342.59921431573292</v>
      </c>
      <c r="AX158" s="262"/>
      <c r="AY158" s="262">
        <f t="shared" si="172"/>
        <v>828.3391962565322</v>
      </c>
      <c r="BA158" s="175"/>
      <c r="BB158" s="145"/>
      <c r="BC158" s="145"/>
      <c r="BD158" s="145"/>
    </row>
    <row r="159" spans="1:56">
      <c r="A159" s="496"/>
      <c r="B159" s="496"/>
      <c r="D159" s="488">
        <v>675.8</v>
      </c>
      <c r="F159" s="216" t="s">
        <v>653</v>
      </c>
      <c r="G159" s="139"/>
      <c r="H159" s="261" t="s">
        <v>712</v>
      </c>
      <c r="I159" s="216"/>
      <c r="J159" s="312">
        <v>62000</v>
      </c>
      <c r="K159" s="385"/>
      <c r="L159" s="260">
        <f>+J159</f>
        <v>62000</v>
      </c>
      <c r="M159" s="212"/>
      <c r="N159" s="260">
        <v>0</v>
      </c>
      <c r="O159" s="212"/>
      <c r="P159" s="260">
        <v>0</v>
      </c>
      <c r="Q159" s="212"/>
      <c r="R159" s="260">
        <v>0</v>
      </c>
      <c r="S159" s="212"/>
      <c r="T159" s="260">
        <v>0</v>
      </c>
      <c r="U159" s="212"/>
      <c r="V159" s="260">
        <v>0</v>
      </c>
      <c r="W159" s="212"/>
      <c r="X159" s="260">
        <v>0</v>
      </c>
      <c r="Y159" s="212"/>
      <c r="Z159" s="175"/>
      <c r="AC159" s="216" t="s">
        <v>653</v>
      </c>
      <c r="AE159" s="497" t="str">
        <f t="shared" si="155"/>
        <v>DA</v>
      </c>
      <c r="AG159" s="312">
        <f t="shared" si="156"/>
        <v>62000</v>
      </c>
      <c r="AH159" s="385"/>
      <c r="AI159" s="260">
        <v>0</v>
      </c>
      <c r="AJ159" s="212"/>
      <c r="AK159" s="260">
        <v>0</v>
      </c>
      <c r="AL159" s="212"/>
      <c r="AM159" s="260">
        <v>0</v>
      </c>
      <c r="AN159" s="212"/>
      <c r="AO159" s="260">
        <v>0</v>
      </c>
      <c r="AP159" s="212"/>
      <c r="AQ159" s="260">
        <v>0</v>
      </c>
      <c r="AR159" s="212"/>
      <c r="AS159" s="260">
        <f>+AG159</f>
        <v>62000</v>
      </c>
      <c r="AT159" s="212"/>
      <c r="AU159" s="260">
        <v>0</v>
      </c>
      <c r="AV159" s="262"/>
      <c r="AW159" s="262">
        <v>0</v>
      </c>
      <c r="AX159" s="262"/>
      <c r="AY159" s="262">
        <v>0</v>
      </c>
      <c r="BA159" s="175"/>
      <c r="BB159" s="145"/>
      <c r="BC159" s="145"/>
      <c r="BD159" s="145"/>
    </row>
    <row r="160" spans="1:56">
      <c r="A160" s="496"/>
      <c r="B160" s="496"/>
      <c r="D160" s="488">
        <v>675.8</v>
      </c>
      <c r="F160" s="216" t="s">
        <v>591</v>
      </c>
      <c r="G160" s="139"/>
      <c r="H160" s="261">
        <v>15</v>
      </c>
      <c r="I160" s="216"/>
      <c r="J160" s="312">
        <v>718101.7269995996</v>
      </c>
      <c r="K160" s="385"/>
      <c r="L160" s="260">
        <f t="shared" ref="L160:L166" si="174">(VLOOKUP($H160,Factors,L$382))*$J160</f>
        <v>466981.55306783959</v>
      </c>
      <c r="M160" s="212"/>
      <c r="N160" s="260">
        <f t="shared" ref="N160:N166" si="175">(VLOOKUP($H160,Factors,N$382))*$J160</f>
        <v>147857.14558921754</v>
      </c>
      <c r="O160" s="212"/>
      <c r="P160" s="260">
        <f t="shared" ref="P160:P166" si="176">(VLOOKUP($H160,Factors,P$382))*$J160</f>
        <v>14792.895576191751</v>
      </c>
      <c r="Q160" s="212"/>
      <c r="R160" s="260">
        <f t="shared" ref="R160:R166" si="177">(VLOOKUP($H160,Factors,R$382))*$J160</f>
        <v>41434.469647876896</v>
      </c>
      <c r="S160" s="212"/>
      <c r="T160" s="260">
        <f t="shared" ref="T160:T166" si="178">(VLOOKUP($H160,Factors,T$382))*$J160</f>
        <v>9981.6140052944338</v>
      </c>
      <c r="U160" s="212"/>
      <c r="V160" s="260">
        <f t="shared" ref="V160:V166" si="179">(VLOOKUP($H160,Factors,V$382))*$J160</f>
        <v>11705.058150093473</v>
      </c>
      <c r="W160" s="212"/>
      <c r="X160" s="260">
        <f t="shared" ref="X160:X166" si="180">(VLOOKUP($H160,Factors,X$382))*$J160</f>
        <v>25348.990963085864</v>
      </c>
      <c r="Y160" s="212"/>
      <c r="Z160" s="175"/>
      <c r="AC160" s="216" t="s">
        <v>591</v>
      </c>
      <c r="AE160" s="239">
        <f t="shared" si="155"/>
        <v>15</v>
      </c>
      <c r="AG160" s="312">
        <f t="shared" si="156"/>
        <v>718101.7269995996</v>
      </c>
      <c r="AH160" s="385"/>
      <c r="AI160" s="260">
        <f t="shared" ref="AI160:AI166" si="181">(VLOOKUP($AE160,func,AI$382))*$AG160</f>
        <v>211050.09756518231</v>
      </c>
      <c r="AJ160" s="212"/>
      <c r="AK160" s="260">
        <f t="shared" ref="AK160:AK166" si="182">(VLOOKUP($AE160,func,AK$382))*$AG160</f>
        <v>108864.2218131393</v>
      </c>
      <c r="AL160" s="212"/>
      <c r="AM160" s="260">
        <f t="shared" ref="AM160:AM166" si="183">(VLOOKUP($AE160,func,AM$382))*$AG160</f>
        <v>34181.642205180942</v>
      </c>
      <c r="AN160" s="212"/>
      <c r="AO160" s="260">
        <f t="shared" ref="AO160:AO166" si="184">(VLOOKUP($AE160,func,AO$382))*$AG160</f>
        <v>130263.65327772737</v>
      </c>
      <c r="AP160" s="212"/>
      <c r="AQ160" s="260">
        <f t="shared" ref="AQ160:AQ166" si="185">(VLOOKUP($AE160,func,AQ$382))*$AG160</f>
        <v>35330.604968380299</v>
      </c>
      <c r="AR160" s="212"/>
      <c r="AS160" s="260">
        <f t="shared" ref="AS160:AS166" si="186">(VLOOKUP($AE160,func,AS$382))*$AG160</f>
        <v>126242.28360652961</v>
      </c>
      <c r="AT160" s="212"/>
      <c r="AU160" s="260">
        <f t="shared" ref="AU160:AU166" si="187">(VLOOKUP($AE160,func,AU$382))*$AG160</f>
        <v>36335.947386179738</v>
      </c>
      <c r="AV160" s="262"/>
      <c r="AW160" s="262">
        <f t="shared" ref="AW160:AW166" si="188">(VLOOKUP($AE160,func,AW$382))*$AG160</f>
        <v>10484.285214194155</v>
      </c>
      <c r="AX160" s="262"/>
      <c r="AY160" s="262">
        <f t="shared" ref="AY160:AY166" si="189">(VLOOKUP($AE160,func,AY$382))*$AG160</f>
        <v>25348.990963085864</v>
      </c>
      <c r="BA160" s="175"/>
      <c r="BB160" s="145"/>
      <c r="BC160" s="145"/>
      <c r="BD160" s="145"/>
    </row>
    <row r="161" spans="1:56">
      <c r="A161" s="496"/>
      <c r="B161" s="496"/>
      <c r="D161" s="488">
        <v>675.8</v>
      </c>
      <c r="F161" s="216" t="s">
        <v>652</v>
      </c>
      <c r="G161" s="139"/>
      <c r="H161" s="261">
        <v>16</v>
      </c>
      <c r="I161" s="216"/>
      <c r="J161" s="312">
        <v>6000</v>
      </c>
      <c r="K161" s="385"/>
      <c r="L161" s="260">
        <f t="shared" si="174"/>
        <v>3766.2000000000003</v>
      </c>
      <c r="M161" s="212"/>
      <c r="N161" s="260">
        <f t="shared" si="175"/>
        <v>1306.8</v>
      </c>
      <c r="O161" s="212"/>
      <c r="P161" s="260">
        <f t="shared" si="176"/>
        <v>136.20000000000002</v>
      </c>
      <c r="Q161" s="212"/>
      <c r="R161" s="260">
        <f t="shared" si="177"/>
        <v>383.4</v>
      </c>
      <c r="S161" s="212"/>
      <c r="T161" s="260">
        <f t="shared" si="178"/>
        <v>93.6</v>
      </c>
      <c r="U161" s="212"/>
      <c r="V161" s="260">
        <f t="shared" si="179"/>
        <v>84.6</v>
      </c>
      <c r="W161" s="212"/>
      <c r="X161" s="260">
        <f t="shared" si="180"/>
        <v>229.2</v>
      </c>
      <c r="Y161" s="212"/>
      <c r="Z161" s="175"/>
      <c r="AC161" s="216" t="s">
        <v>652</v>
      </c>
      <c r="AE161" s="239">
        <f t="shared" si="155"/>
        <v>16</v>
      </c>
      <c r="AG161" s="312">
        <f t="shared" si="156"/>
        <v>6000</v>
      </c>
      <c r="AH161" s="385"/>
      <c r="AI161" s="260">
        <f t="shared" si="181"/>
        <v>1869.6</v>
      </c>
      <c r="AJ161" s="212"/>
      <c r="AK161" s="260">
        <f t="shared" si="182"/>
        <v>1093.8</v>
      </c>
      <c r="AL161" s="212"/>
      <c r="AM161" s="260">
        <f t="shared" si="183"/>
        <v>274.8</v>
      </c>
      <c r="AN161" s="212"/>
      <c r="AO161" s="260">
        <f t="shared" si="184"/>
        <v>1540.7999999999997</v>
      </c>
      <c r="AP161" s="212"/>
      <c r="AQ161" s="260">
        <f t="shared" si="185"/>
        <v>329.4</v>
      </c>
      <c r="AR161" s="212"/>
      <c r="AS161" s="260">
        <f t="shared" si="186"/>
        <v>559.20000000000005</v>
      </c>
      <c r="AT161" s="212"/>
      <c r="AU161" s="260">
        <f t="shared" si="187"/>
        <v>23.4</v>
      </c>
      <c r="AV161" s="262"/>
      <c r="AW161" s="262">
        <f t="shared" si="188"/>
        <v>79.8</v>
      </c>
      <c r="AX161" s="262"/>
      <c r="AY161" s="262">
        <f t="shared" si="189"/>
        <v>229.2</v>
      </c>
      <c r="BA161" s="175"/>
      <c r="BB161" s="145"/>
      <c r="BC161" s="145"/>
      <c r="BD161" s="145"/>
    </row>
    <row r="162" spans="1:56">
      <c r="A162" s="496"/>
      <c r="B162" s="496"/>
      <c r="D162" s="488">
        <v>675.8</v>
      </c>
      <c r="F162" s="216" t="s">
        <v>661</v>
      </c>
      <c r="G162" s="139"/>
      <c r="H162" s="261">
        <v>16</v>
      </c>
      <c r="I162" s="216"/>
      <c r="J162" s="312">
        <v>190707</v>
      </c>
      <c r="K162" s="385"/>
      <c r="L162" s="260">
        <f t="shared" si="174"/>
        <v>119706.78390000001</v>
      </c>
      <c r="M162" s="212"/>
      <c r="N162" s="260">
        <f t="shared" si="175"/>
        <v>41535.984599999996</v>
      </c>
      <c r="O162" s="212"/>
      <c r="P162" s="260">
        <f t="shared" si="176"/>
        <v>4329.0489000000007</v>
      </c>
      <c r="Q162" s="212"/>
      <c r="R162" s="260">
        <f t="shared" si="177"/>
        <v>12186.177299999999</v>
      </c>
      <c r="S162" s="212"/>
      <c r="T162" s="260">
        <f t="shared" si="178"/>
        <v>2975.0291999999999</v>
      </c>
      <c r="U162" s="212"/>
      <c r="V162" s="260">
        <f t="shared" si="179"/>
        <v>2688.9686999999999</v>
      </c>
      <c r="W162" s="212"/>
      <c r="X162" s="260">
        <f t="shared" si="180"/>
        <v>7285.0073999999995</v>
      </c>
      <c r="Y162" s="212"/>
      <c r="Z162" s="175"/>
      <c r="AC162" s="216" t="s">
        <v>661</v>
      </c>
      <c r="AE162" s="239">
        <f t="shared" si="155"/>
        <v>16</v>
      </c>
      <c r="AG162" s="312">
        <f t="shared" si="156"/>
        <v>190707</v>
      </c>
      <c r="AH162" s="385"/>
      <c r="AI162" s="260">
        <f t="shared" si="181"/>
        <v>59424.301199999994</v>
      </c>
      <c r="AJ162" s="212"/>
      <c r="AK162" s="260">
        <f t="shared" si="182"/>
        <v>34765.886099999996</v>
      </c>
      <c r="AL162" s="212"/>
      <c r="AM162" s="260">
        <f t="shared" si="183"/>
        <v>8734.3806000000004</v>
      </c>
      <c r="AN162" s="212"/>
      <c r="AO162" s="260">
        <f t="shared" si="184"/>
        <v>48973.557599999993</v>
      </c>
      <c r="AP162" s="212"/>
      <c r="AQ162" s="260">
        <f t="shared" si="185"/>
        <v>10469.8143</v>
      </c>
      <c r="AR162" s="212"/>
      <c r="AS162" s="260">
        <f t="shared" si="186"/>
        <v>17773.892400000001</v>
      </c>
      <c r="AT162" s="212"/>
      <c r="AU162" s="260">
        <f t="shared" si="187"/>
        <v>743.75729999999999</v>
      </c>
      <c r="AV162" s="262"/>
      <c r="AW162" s="262">
        <f t="shared" si="188"/>
        <v>2536.4031</v>
      </c>
      <c r="AX162" s="262"/>
      <c r="AY162" s="262">
        <f t="shared" si="189"/>
        <v>7285.0073999999995</v>
      </c>
      <c r="BA162" s="175"/>
      <c r="BB162" s="145"/>
      <c r="BC162" s="145"/>
      <c r="BD162" s="145"/>
    </row>
    <row r="163" spans="1:56">
      <c r="A163" s="496"/>
      <c r="B163" s="496"/>
      <c r="D163" s="488">
        <v>675.8</v>
      </c>
      <c r="F163" s="216" t="s">
        <v>663</v>
      </c>
      <c r="G163" s="139"/>
      <c r="H163" s="261">
        <v>15</v>
      </c>
      <c r="I163" s="216"/>
      <c r="J163" s="312">
        <v>188519.62000000002</v>
      </c>
      <c r="K163" s="385"/>
      <c r="L163" s="260">
        <f t="shared" si="174"/>
        <v>122594.30888600001</v>
      </c>
      <c r="M163" s="212"/>
      <c r="N163" s="260">
        <f t="shared" si="175"/>
        <v>38816.189758000008</v>
      </c>
      <c r="O163" s="212"/>
      <c r="P163" s="260">
        <f t="shared" si="176"/>
        <v>3883.5041720000004</v>
      </c>
      <c r="Q163" s="212"/>
      <c r="R163" s="260">
        <f t="shared" si="177"/>
        <v>10877.582074000002</v>
      </c>
      <c r="S163" s="212"/>
      <c r="T163" s="260">
        <f t="shared" si="178"/>
        <v>2620.4227180000003</v>
      </c>
      <c r="U163" s="212"/>
      <c r="V163" s="260">
        <f t="shared" si="179"/>
        <v>3072.8698060000002</v>
      </c>
      <c r="W163" s="212"/>
      <c r="X163" s="260">
        <f t="shared" si="180"/>
        <v>6654.7425860000003</v>
      </c>
      <c r="Y163" s="212"/>
      <c r="Z163" s="175"/>
      <c r="AC163" s="216" t="s">
        <v>663</v>
      </c>
      <c r="AE163" s="239">
        <f t="shared" si="155"/>
        <v>15</v>
      </c>
      <c r="AG163" s="312">
        <f t="shared" si="156"/>
        <v>188519.62000000002</v>
      </c>
      <c r="AH163" s="385"/>
      <c r="AI163" s="260">
        <f t="shared" si="181"/>
        <v>55405.916318000003</v>
      </c>
      <c r="AJ163" s="212"/>
      <c r="AK163" s="260">
        <f t="shared" si="182"/>
        <v>28579.574392000006</v>
      </c>
      <c r="AL163" s="212"/>
      <c r="AM163" s="260">
        <f t="shared" si="183"/>
        <v>8973.5339120000026</v>
      </c>
      <c r="AN163" s="212"/>
      <c r="AO163" s="260">
        <f t="shared" si="184"/>
        <v>34197.459068000004</v>
      </c>
      <c r="AP163" s="212"/>
      <c r="AQ163" s="260">
        <f t="shared" si="185"/>
        <v>9275.1653040000019</v>
      </c>
      <c r="AR163" s="212"/>
      <c r="AS163" s="260">
        <f t="shared" si="186"/>
        <v>33141.749196000004</v>
      </c>
      <c r="AT163" s="212"/>
      <c r="AU163" s="260">
        <f t="shared" si="187"/>
        <v>9539.0927720000018</v>
      </c>
      <c r="AV163" s="262"/>
      <c r="AW163" s="262">
        <f t="shared" si="188"/>
        <v>2752.3864520000002</v>
      </c>
      <c r="AX163" s="262"/>
      <c r="AY163" s="262">
        <f t="shared" si="189"/>
        <v>6654.7425860000003</v>
      </c>
      <c r="BA163" s="175"/>
      <c r="BB163" s="145"/>
      <c r="BC163" s="145"/>
      <c r="BD163" s="145"/>
    </row>
    <row r="164" spans="1:56" ht="12" customHeight="1">
      <c r="A164" s="496"/>
      <c r="B164" s="496"/>
      <c r="D164" s="488">
        <v>675.8</v>
      </c>
      <c r="F164" s="216" t="s">
        <v>662</v>
      </c>
      <c r="G164" s="139"/>
      <c r="H164" s="261">
        <v>15</v>
      </c>
      <c r="I164" s="216"/>
      <c r="J164" s="313">
        <v>122144.72738030486</v>
      </c>
      <c r="K164" s="385"/>
      <c r="L164" s="260">
        <f t="shared" si="174"/>
        <v>79430.716215412249</v>
      </c>
      <c r="M164" s="212"/>
      <c r="N164" s="260">
        <f t="shared" si="175"/>
        <v>25149.599367604769</v>
      </c>
      <c r="O164" s="212"/>
      <c r="P164" s="260">
        <f t="shared" si="176"/>
        <v>2516.1813840342802</v>
      </c>
      <c r="Q164" s="212"/>
      <c r="R164" s="260">
        <f t="shared" si="177"/>
        <v>7047.7507698435902</v>
      </c>
      <c r="S164" s="212"/>
      <c r="T164" s="260">
        <f t="shared" si="178"/>
        <v>1697.8117105862375</v>
      </c>
      <c r="U164" s="212"/>
      <c r="V164" s="260">
        <f t="shared" si="179"/>
        <v>1990.959056298969</v>
      </c>
      <c r="W164" s="212"/>
      <c r="X164" s="260">
        <f t="shared" si="180"/>
        <v>4311.7088765247609</v>
      </c>
      <c r="Y164" s="478"/>
      <c r="Z164" s="175"/>
      <c r="AA164" s="146"/>
      <c r="AB164" s="146"/>
      <c r="AC164" s="216" t="s">
        <v>662</v>
      </c>
      <c r="AD164" s="146"/>
      <c r="AE164" s="494">
        <f t="shared" si="155"/>
        <v>15</v>
      </c>
      <c r="AF164" s="146"/>
      <c r="AG164" s="313">
        <f t="shared" si="156"/>
        <v>122144.72738030486</v>
      </c>
      <c r="AH164" s="385"/>
      <c r="AI164" s="260">
        <f t="shared" si="181"/>
        <v>35898.335377071598</v>
      </c>
      <c r="AJ164" s="212"/>
      <c r="AK164" s="260">
        <f t="shared" si="182"/>
        <v>18517.14067085422</v>
      </c>
      <c r="AL164" s="212"/>
      <c r="AM164" s="260">
        <f t="shared" si="183"/>
        <v>5814.089023302512</v>
      </c>
      <c r="AN164" s="212"/>
      <c r="AO164" s="260">
        <f t="shared" si="184"/>
        <v>22157.053546787301</v>
      </c>
      <c r="AP164" s="212"/>
      <c r="AQ164" s="260">
        <f t="shared" si="185"/>
        <v>6009.5205871109993</v>
      </c>
      <c r="AR164" s="212"/>
      <c r="AS164" s="260">
        <f t="shared" si="186"/>
        <v>21473.043073457597</v>
      </c>
      <c r="AT164" s="212"/>
      <c r="AU164" s="260">
        <f t="shared" si="187"/>
        <v>6180.5232054434255</v>
      </c>
      <c r="AV164" s="262"/>
      <c r="AW164" s="262">
        <f t="shared" si="188"/>
        <v>1783.3130197524511</v>
      </c>
      <c r="AX164" s="262"/>
      <c r="AY164" s="262">
        <f t="shared" si="189"/>
        <v>4311.7088765247609</v>
      </c>
      <c r="BA164" s="175"/>
      <c r="BB164" s="145"/>
      <c r="BC164" s="145"/>
      <c r="BD164" s="145"/>
    </row>
    <row r="165" spans="1:56" ht="12" customHeight="1">
      <c r="A165" s="496"/>
      <c r="B165" s="496"/>
      <c r="D165" s="488">
        <v>675.8</v>
      </c>
      <c r="F165" s="216" t="s">
        <v>686</v>
      </c>
      <c r="G165" s="139"/>
      <c r="H165" s="261">
        <v>15</v>
      </c>
      <c r="I165" s="216"/>
      <c r="J165" s="313">
        <v>3217.9160238561744</v>
      </c>
      <c r="K165" s="385"/>
      <c r="L165" s="260">
        <f t="shared" si="174"/>
        <v>2092.6107903136703</v>
      </c>
      <c r="M165" s="212"/>
      <c r="N165" s="260">
        <f t="shared" si="175"/>
        <v>662.56890931198632</v>
      </c>
      <c r="O165" s="212"/>
      <c r="P165" s="260">
        <f t="shared" si="176"/>
        <v>66.289070091437196</v>
      </c>
      <c r="Q165" s="212"/>
      <c r="R165" s="260">
        <f t="shared" si="177"/>
        <v>185.67375457650127</v>
      </c>
      <c r="S165" s="212"/>
      <c r="T165" s="260">
        <f t="shared" si="178"/>
        <v>44.729032731600824</v>
      </c>
      <c r="U165" s="212"/>
      <c r="V165" s="260">
        <f t="shared" si="179"/>
        <v>52.452031188855635</v>
      </c>
      <c r="W165" s="212"/>
      <c r="X165" s="260">
        <f t="shared" si="180"/>
        <v>113.59243564212295</v>
      </c>
      <c r="Y165" s="478"/>
      <c r="Z165" s="175"/>
      <c r="AA165" s="146"/>
      <c r="AB165" s="146"/>
      <c r="AC165" s="216" t="s">
        <v>686</v>
      </c>
      <c r="AD165" s="146"/>
      <c r="AE165" s="494">
        <f t="shared" si="155"/>
        <v>15</v>
      </c>
      <c r="AF165" s="146"/>
      <c r="AG165" s="313">
        <f t="shared" si="156"/>
        <v>3217.9160238561744</v>
      </c>
      <c r="AH165" s="385"/>
      <c r="AI165" s="260">
        <f t="shared" si="181"/>
        <v>945.74551941132961</v>
      </c>
      <c r="AJ165" s="212"/>
      <c r="AK165" s="260">
        <f t="shared" si="182"/>
        <v>487.83606921659606</v>
      </c>
      <c r="AL165" s="212"/>
      <c r="AM165" s="260">
        <f t="shared" si="183"/>
        <v>153.17280273555392</v>
      </c>
      <c r="AN165" s="212"/>
      <c r="AO165" s="260">
        <f t="shared" si="184"/>
        <v>583.72996672751003</v>
      </c>
      <c r="AP165" s="212"/>
      <c r="AQ165" s="260">
        <f t="shared" si="185"/>
        <v>158.32146837372377</v>
      </c>
      <c r="AR165" s="212"/>
      <c r="AS165" s="260">
        <f t="shared" si="186"/>
        <v>565.70963699391552</v>
      </c>
      <c r="AT165" s="212"/>
      <c r="AU165" s="260">
        <f t="shared" si="187"/>
        <v>162.82655080712243</v>
      </c>
      <c r="AV165" s="262"/>
      <c r="AW165" s="262">
        <f t="shared" si="188"/>
        <v>46.981573948300145</v>
      </c>
      <c r="AX165" s="262"/>
      <c r="AY165" s="262">
        <f t="shared" si="189"/>
        <v>113.59243564212295</v>
      </c>
      <c r="BA165" s="175"/>
      <c r="BB165" s="145"/>
      <c r="BC165" s="145"/>
      <c r="BD165" s="145"/>
    </row>
    <row r="166" spans="1:56" ht="12" customHeight="1">
      <c r="A166" s="496"/>
      <c r="B166" s="496"/>
      <c r="D166" s="488">
        <v>675.8</v>
      </c>
      <c r="F166" s="216" t="s">
        <v>670</v>
      </c>
      <c r="G166" s="139"/>
      <c r="H166" s="261">
        <v>15</v>
      </c>
      <c r="I166" s="216"/>
      <c r="J166" s="389">
        <v>76321.570833333331</v>
      </c>
      <c r="K166" s="385"/>
      <c r="L166" s="549">
        <f t="shared" si="174"/>
        <v>49631.917512916662</v>
      </c>
      <c r="M166" s="385"/>
      <c r="N166" s="549">
        <f t="shared" si="175"/>
        <v>15714.611434583332</v>
      </c>
      <c r="O166" s="385"/>
      <c r="P166" s="549">
        <f t="shared" si="176"/>
        <v>1572.2243591666665</v>
      </c>
      <c r="Q166" s="385"/>
      <c r="R166" s="549">
        <f t="shared" si="177"/>
        <v>4403.7546370833334</v>
      </c>
      <c r="S166" s="385"/>
      <c r="T166" s="549">
        <f t="shared" si="178"/>
        <v>1060.8698345833332</v>
      </c>
      <c r="U166" s="385"/>
      <c r="V166" s="549">
        <f t="shared" si="179"/>
        <v>1244.0416045833331</v>
      </c>
      <c r="W166" s="385"/>
      <c r="X166" s="549">
        <f t="shared" si="180"/>
        <v>2694.1514504166666</v>
      </c>
      <c r="Y166" s="478"/>
      <c r="Z166" s="175"/>
      <c r="AA166" s="146"/>
      <c r="AB166" s="146"/>
      <c r="AC166" s="216" t="s">
        <v>670</v>
      </c>
      <c r="AD166" s="146"/>
      <c r="AE166" s="494">
        <f t="shared" si="155"/>
        <v>15</v>
      </c>
      <c r="AF166" s="146"/>
      <c r="AG166" s="389">
        <f t="shared" si="156"/>
        <v>76321.570833333331</v>
      </c>
      <c r="AH166" s="385"/>
      <c r="AI166" s="549">
        <f t="shared" si="181"/>
        <v>22430.909667916665</v>
      </c>
      <c r="AJ166" s="385"/>
      <c r="AK166" s="549">
        <f t="shared" si="182"/>
        <v>11570.350138333333</v>
      </c>
      <c r="AL166" s="385"/>
      <c r="AM166" s="549">
        <f t="shared" si="183"/>
        <v>3632.9067716666668</v>
      </c>
      <c r="AN166" s="385"/>
      <c r="AO166" s="549">
        <f t="shared" si="184"/>
        <v>13844.732949166666</v>
      </c>
      <c r="AP166" s="385"/>
      <c r="AQ166" s="549">
        <f t="shared" si="185"/>
        <v>3755.0212849999998</v>
      </c>
      <c r="AR166" s="385"/>
      <c r="AS166" s="549">
        <f t="shared" si="186"/>
        <v>13417.332152500001</v>
      </c>
      <c r="AT166" s="385"/>
      <c r="AU166" s="549">
        <f t="shared" si="187"/>
        <v>3861.8714841666665</v>
      </c>
      <c r="AV166" s="385"/>
      <c r="AW166" s="549">
        <f t="shared" si="188"/>
        <v>1114.2949341666667</v>
      </c>
      <c r="AX166" s="385"/>
      <c r="AY166" s="549">
        <f t="shared" si="189"/>
        <v>2694.1514504166666</v>
      </c>
      <c r="BA166" s="175"/>
      <c r="BB166" s="145"/>
      <c r="BC166" s="145"/>
      <c r="BD166" s="145"/>
    </row>
    <row r="167" spans="1:56" ht="12" customHeight="1">
      <c r="A167" s="496"/>
      <c r="B167" s="496"/>
      <c r="F167" s="216"/>
      <c r="G167" s="139"/>
      <c r="H167" s="261"/>
      <c r="I167" s="216"/>
      <c r="J167" s="313"/>
      <c r="K167" s="385"/>
      <c r="L167" s="480"/>
      <c r="M167" s="385"/>
      <c r="N167" s="480"/>
      <c r="O167" s="385"/>
      <c r="P167" s="480"/>
      <c r="Q167" s="385"/>
      <c r="R167" s="480"/>
      <c r="S167" s="385"/>
      <c r="T167" s="480"/>
      <c r="U167" s="385"/>
      <c r="V167" s="480"/>
      <c r="W167" s="385"/>
      <c r="X167" s="480"/>
      <c r="Y167" s="478"/>
      <c r="Z167" s="175"/>
      <c r="AA167" s="146"/>
      <c r="AB167" s="146"/>
      <c r="AC167" s="216"/>
      <c r="AD167" s="146"/>
      <c r="AE167" s="494"/>
      <c r="AF167" s="146"/>
      <c r="AG167" s="313"/>
      <c r="AH167" s="385"/>
      <c r="AI167" s="480"/>
      <c r="AJ167" s="385"/>
      <c r="AK167" s="480"/>
      <c r="AL167" s="385"/>
      <c r="AM167" s="480"/>
      <c r="AN167" s="385"/>
      <c r="AO167" s="480"/>
      <c r="AP167" s="385"/>
      <c r="AQ167" s="480"/>
      <c r="AR167" s="385"/>
      <c r="AS167" s="480"/>
      <c r="AT167" s="385"/>
      <c r="AU167" s="480"/>
      <c r="AV167" s="385"/>
      <c r="AW167" s="480"/>
      <c r="AX167" s="385"/>
      <c r="AY167" s="480"/>
      <c r="BA167" s="175"/>
      <c r="BB167" s="145"/>
      <c r="BC167" s="145"/>
      <c r="BD167" s="145"/>
    </row>
    <row r="168" spans="1:56">
      <c r="A168" s="551"/>
      <c r="B168" s="552"/>
      <c r="F168" s="216"/>
      <c r="G168" s="139"/>
      <c r="H168" s="261"/>
      <c r="I168" s="216"/>
      <c r="J168" s="312"/>
      <c r="K168" s="216"/>
      <c r="L168" s="312"/>
      <c r="M168" s="216"/>
      <c r="N168" s="312"/>
      <c r="O168" s="216"/>
      <c r="P168" s="312"/>
      <c r="Q168" s="216"/>
      <c r="R168" s="312"/>
      <c r="S168" s="216"/>
      <c r="T168" s="312"/>
      <c r="U168" s="216"/>
      <c r="V168" s="312"/>
      <c r="W168" s="216"/>
      <c r="X168" s="312"/>
      <c r="Z168" s="175"/>
      <c r="AC168" s="216"/>
      <c r="AE168" s="239"/>
      <c r="AG168" s="312"/>
      <c r="AH168" s="216"/>
      <c r="AI168" s="312"/>
      <c r="AJ168" s="216"/>
      <c r="AK168" s="312"/>
      <c r="AL168" s="216"/>
      <c r="AM168" s="312"/>
      <c r="AN168" s="216"/>
      <c r="AO168" s="312"/>
      <c r="AP168" s="216"/>
      <c r="AQ168" s="312"/>
      <c r="AR168" s="216"/>
      <c r="AS168" s="312"/>
      <c r="AT168" s="216"/>
      <c r="AU168" s="312"/>
      <c r="AV168" s="216"/>
      <c r="AW168" s="312"/>
      <c r="AX168" s="216"/>
      <c r="AY168" s="312"/>
      <c r="BA168" s="175"/>
      <c r="BB168" s="145"/>
      <c r="BC168" s="145"/>
      <c r="BD168" s="145"/>
    </row>
    <row r="169" spans="1:56">
      <c r="A169" s="496"/>
      <c r="B169" s="496"/>
      <c r="F169" s="216" t="s">
        <v>104</v>
      </c>
      <c r="G169" s="139"/>
      <c r="H169" s="261"/>
      <c r="I169" s="216"/>
      <c r="J169" s="389">
        <f>SUM(J137:J168)</f>
        <v>17236343.559538294</v>
      </c>
      <c r="K169" s="216"/>
      <c r="L169" s="389">
        <f ca="1">SUM(L137:L168)</f>
        <v>11756793.133293564</v>
      </c>
      <c r="M169" s="216"/>
      <c r="N169" s="389">
        <f ca="1">SUM(N137:N168)</f>
        <v>3253334.7174545024</v>
      </c>
      <c r="O169" s="216"/>
      <c r="P169" s="389">
        <f ca="1">SUM(P137:P168)</f>
        <v>313960.81897792494</v>
      </c>
      <c r="Q169" s="216"/>
      <c r="R169" s="389">
        <f ca="1">SUM(R137:R168)</f>
        <v>891788.4256780094</v>
      </c>
      <c r="S169" s="216"/>
      <c r="T169" s="389">
        <f ca="1">SUM(T137:T168)</f>
        <v>213634.11442557257</v>
      </c>
      <c r="U169" s="216"/>
      <c r="V169" s="389">
        <f ca="1">SUM(V137:V168)</f>
        <v>284968.2487724165</v>
      </c>
      <c r="W169" s="216"/>
      <c r="X169" s="389">
        <f ca="1">SUM(X137:X168)</f>
        <v>521864.10093630257</v>
      </c>
      <c r="Z169" s="175"/>
      <c r="AC169" s="216" t="s">
        <v>104</v>
      </c>
      <c r="AD169" s="139"/>
      <c r="AE169" s="261"/>
      <c r="AF169" s="216"/>
      <c r="AG169" s="389">
        <f>SUM(AG137:AG168)</f>
        <v>17236343.559538294</v>
      </c>
      <c r="AH169" s="216"/>
      <c r="AI169" s="389">
        <f ca="1">SUM(AI137:AI168)</f>
        <v>4478215.8255670881</v>
      </c>
      <c r="AJ169" s="216"/>
      <c r="AK169" s="389">
        <f ca="1">SUM(AK137:AK168)</f>
        <v>2310105.2251473921</v>
      </c>
      <c r="AL169" s="216"/>
      <c r="AM169" s="389">
        <f ca="1">SUM(AM137:AM168)</f>
        <v>685058.392217329</v>
      </c>
      <c r="AN169" s="216"/>
      <c r="AO169" s="389">
        <f ca="1">SUM(AO137:AO168)</f>
        <v>2892525.2960710195</v>
      </c>
      <c r="AP169" s="216"/>
      <c r="AQ169" s="389">
        <f ca="1">SUM(AQ137:AQ168)</f>
        <v>725160.89112498553</v>
      </c>
      <c r="AR169" s="216"/>
      <c r="AS169" s="389">
        <f ca="1">SUM(AS137:AS168)</f>
        <v>4832415.5241190149</v>
      </c>
      <c r="AT169" s="216"/>
      <c r="AU169" s="389">
        <f ca="1">SUM(AU137:AU168)</f>
        <v>526583.09986868803</v>
      </c>
      <c r="AV169" s="216"/>
      <c r="AW169" s="389">
        <f ca="1">SUM(AW137:AW168)</f>
        <v>264497.70310047123</v>
      </c>
      <c r="AX169" s="216"/>
      <c r="AY169" s="389">
        <f ca="1">SUM(AY137:AY168)</f>
        <v>521781.60232230258</v>
      </c>
      <c r="BA169" s="175"/>
      <c r="BB169" s="145"/>
      <c r="BC169" s="145"/>
      <c r="BD169" s="145"/>
    </row>
    <row r="170" spans="1:56">
      <c r="A170" s="496"/>
      <c r="B170" s="496"/>
      <c r="F170" s="216" t="s">
        <v>105</v>
      </c>
      <c r="G170" s="139"/>
      <c r="H170" s="261"/>
      <c r="I170" s="216"/>
      <c r="J170" s="312"/>
      <c r="K170" s="385"/>
      <c r="L170" s="386"/>
      <c r="M170" s="387"/>
      <c r="N170" s="386"/>
      <c r="O170" s="387"/>
      <c r="P170" s="386"/>
      <c r="Q170" s="387"/>
      <c r="R170" s="386"/>
      <c r="S170" s="387"/>
      <c r="T170" s="386"/>
      <c r="U170" s="387"/>
      <c r="V170" s="386"/>
      <c r="W170" s="387"/>
      <c r="X170" s="386"/>
      <c r="Z170" s="175"/>
      <c r="AC170" s="216" t="s">
        <v>105</v>
      </c>
      <c r="AD170" s="139"/>
      <c r="AE170" s="261"/>
      <c r="AF170" s="216"/>
      <c r="AG170" s="312"/>
      <c r="AH170" s="385"/>
      <c r="AI170" s="386"/>
      <c r="AJ170" s="387"/>
      <c r="AK170" s="386"/>
      <c r="AL170" s="387"/>
      <c r="AM170" s="386"/>
      <c r="AN170" s="387"/>
      <c r="AO170" s="386"/>
      <c r="AP170" s="387"/>
      <c r="AQ170" s="386"/>
      <c r="AR170" s="387"/>
      <c r="AS170" s="386"/>
      <c r="AT170" s="387"/>
      <c r="AU170" s="386"/>
      <c r="AV170" s="387"/>
      <c r="AW170" s="386"/>
      <c r="AX170" s="387"/>
      <c r="AY170" s="386"/>
      <c r="BA170" s="175"/>
      <c r="BB170" s="145"/>
      <c r="BC170" s="145"/>
      <c r="BD170" s="145"/>
    </row>
    <row r="171" spans="1:56">
      <c r="A171" s="496"/>
      <c r="B171" s="496"/>
      <c r="F171" s="216"/>
      <c r="G171" s="139"/>
      <c r="H171" s="261"/>
      <c r="I171" s="216"/>
      <c r="J171" s="312"/>
      <c r="K171" s="385"/>
      <c r="L171" s="386"/>
      <c r="M171" s="387"/>
      <c r="N171" s="386"/>
      <c r="O171" s="387"/>
      <c r="P171" s="386"/>
      <c r="Q171" s="387"/>
      <c r="R171" s="386"/>
      <c r="S171" s="387"/>
      <c r="T171" s="386"/>
      <c r="U171" s="387"/>
      <c r="V171" s="386"/>
      <c r="W171" s="387"/>
      <c r="X171" s="386"/>
      <c r="Z171" s="175"/>
      <c r="AC171" s="216"/>
      <c r="AD171" s="139"/>
      <c r="AE171" s="261"/>
      <c r="AF171" s="216"/>
      <c r="AG171" s="312"/>
      <c r="AH171" s="385"/>
      <c r="AI171" s="386"/>
      <c r="AJ171" s="387"/>
      <c r="AK171" s="386"/>
      <c r="AL171" s="387"/>
      <c r="AM171" s="386"/>
      <c r="AN171" s="387"/>
      <c r="AO171" s="386"/>
      <c r="AP171" s="387"/>
      <c r="AQ171" s="386"/>
      <c r="AR171" s="387"/>
      <c r="AS171" s="386"/>
      <c r="AT171" s="387"/>
      <c r="AU171" s="386"/>
      <c r="AV171" s="387"/>
      <c r="AW171" s="386"/>
      <c r="AX171" s="387"/>
      <c r="AY171" s="386"/>
      <c r="BA171" s="175"/>
      <c r="BB171" s="145"/>
      <c r="BC171" s="145"/>
      <c r="BD171" s="145"/>
    </row>
    <row r="172" spans="1:56">
      <c r="A172" s="514"/>
      <c r="B172" s="515"/>
      <c r="F172" s="216" t="s">
        <v>106</v>
      </c>
      <c r="G172" s="139"/>
      <c r="H172" s="261"/>
      <c r="I172" s="216"/>
      <c r="J172" s="312"/>
      <c r="K172" s="216"/>
      <c r="L172" s="312"/>
      <c r="M172" s="216"/>
      <c r="N172" s="312"/>
      <c r="O172" s="216"/>
      <c r="P172" s="312"/>
      <c r="Q172" s="216"/>
      <c r="R172" s="312"/>
      <c r="S172" s="216"/>
      <c r="T172" s="312"/>
      <c r="U172" s="216"/>
      <c r="V172" s="312"/>
      <c r="W172" s="216"/>
      <c r="X172" s="312"/>
      <c r="Z172" s="175"/>
      <c r="AC172" s="216" t="s">
        <v>106</v>
      </c>
      <c r="AD172" s="139"/>
      <c r="AE172" s="261"/>
      <c r="AF172" s="216"/>
      <c r="AG172" s="312"/>
      <c r="AH172" s="216"/>
      <c r="AI172" s="312"/>
      <c r="AJ172" s="216"/>
      <c r="AK172" s="312"/>
      <c r="AL172" s="216"/>
      <c r="AM172" s="312"/>
      <c r="AN172" s="216"/>
      <c r="AO172" s="312"/>
      <c r="AP172" s="216"/>
      <c r="AQ172" s="312"/>
      <c r="AR172" s="216"/>
      <c r="AS172" s="312"/>
      <c r="AT172" s="216"/>
      <c r="AU172" s="312"/>
      <c r="AV172" s="216"/>
      <c r="AW172" s="312"/>
      <c r="AX172" s="216"/>
      <c r="AY172" s="312"/>
      <c r="BA172" s="175"/>
      <c r="BB172" s="145"/>
      <c r="BC172" s="145"/>
      <c r="BD172" s="145"/>
    </row>
    <row r="173" spans="1:56">
      <c r="A173" s="514"/>
      <c r="B173" s="515"/>
      <c r="F173" s="216" t="s">
        <v>105</v>
      </c>
      <c r="G173" s="139"/>
      <c r="H173" s="261"/>
      <c r="I173" s="216"/>
      <c r="J173" s="389">
        <f>J29+J40+J75+J114+J132+J169</f>
        <v>33963110.528954171</v>
      </c>
      <c r="K173" s="216"/>
      <c r="L173" s="389">
        <f ca="1">L29+L40+L75+L114+L132+L169</f>
        <v>21733297.828000203</v>
      </c>
      <c r="M173" s="216"/>
      <c r="N173" s="389">
        <f ca="1">N29+N40+N75+N114+N132+N169</f>
        <v>7307386.0771020912</v>
      </c>
      <c r="O173" s="216"/>
      <c r="P173" s="389">
        <f ca="1">P29+P40+P75+P114+P132+P169</f>
        <v>789250.17960936797</v>
      </c>
      <c r="Q173" s="216"/>
      <c r="R173" s="389">
        <f ca="1">R29+R40+R75+R114+R132+R169</f>
        <v>2163484.5201696185</v>
      </c>
      <c r="S173" s="216"/>
      <c r="T173" s="389">
        <f ca="1">T29+T40+T75+T114+T132+T169</f>
        <v>565808.20086405321</v>
      </c>
      <c r="U173" s="216"/>
      <c r="V173" s="389">
        <f ca="1">V29+V40+V75+V114+V132+V169</f>
        <v>477799.9070641367</v>
      </c>
      <c r="W173" s="216"/>
      <c r="X173" s="389">
        <f ca="1">X29+X40+X75+X114+X132+X169</f>
        <v>926083.81614469457</v>
      </c>
      <c r="Z173" s="175"/>
      <c r="AC173" s="216" t="s">
        <v>105</v>
      </c>
      <c r="AD173" s="139"/>
      <c r="AE173" s="261"/>
      <c r="AF173" s="216"/>
      <c r="AG173" s="389">
        <f>AG29+AG40+AG75+AG114+AG132+AG169</f>
        <v>33963110.528954171</v>
      </c>
      <c r="AH173" s="216"/>
      <c r="AI173" s="389">
        <f ca="1">AI29+AI40+AI75+AI114+AI132+AI169</f>
        <v>13456852.370803837</v>
      </c>
      <c r="AJ173" s="216"/>
      <c r="AK173" s="389">
        <f ca="1">AK29+AK40+AK75+AK114+AK132+AK169</f>
        <v>3966288.9541965416</v>
      </c>
      <c r="AL173" s="216"/>
      <c r="AM173" s="389">
        <f ca="1">AM29+AM40+AM75+AM114+AM132+AM169</f>
        <v>1204817.9443186526</v>
      </c>
      <c r="AN173" s="216"/>
      <c r="AO173" s="389">
        <f ca="1">AO29+AO40+AO75+AO114+AO132+AO169</f>
        <v>4874393.0368047915</v>
      </c>
      <c r="AP173" s="216"/>
      <c r="AQ173" s="389">
        <f ca="1">AQ29+AQ40+AQ75+AQ114+AQ132+AQ169</f>
        <v>1262493.9778536931</v>
      </c>
      <c r="AR173" s="216"/>
      <c r="AS173" s="389">
        <f ca="1">AS29+AS40+AS75+AS114+AS132+AS169</f>
        <v>6753618.7973824237</v>
      </c>
      <c r="AT173" s="216"/>
      <c r="AU173" s="389">
        <f ca="1">AU29+AU40+AU75+AU114+AU132+AU169</f>
        <v>1079317.6192474321</v>
      </c>
      <c r="AV173" s="216"/>
      <c r="AW173" s="389">
        <f ca="1">AW29+AW40+AW75+AW114+AW132+AW169</f>
        <v>439327.98906996998</v>
      </c>
      <c r="AX173" s="216"/>
      <c r="AY173" s="389">
        <f ca="1">AY29+AY40+AY75+AY114+AY132+AY169</f>
        <v>925999.83927682228</v>
      </c>
      <c r="BA173" s="175"/>
      <c r="BB173" s="145"/>
      <c r="BC173" s="145"/>
      <c r="BD173" s="145"/>
    </row>
    <row r="174" spans="1:56">
      <c r="A174" s="514"/>
      <c r="B174" s="515"/>
      <c r="C174" s="478"/>
      <c r="D174" s="489"/>
      <c r="E174" s="478"/>
      <c r="F174" s="385"/>
      <c r="G174" s="200"/>
      <c r="H174" s="547"/>
      <c r="I174" s="216"/>
      <c r="J174" s="386"/>
      <c r="K174" s="385"/>
      <c r="L174" s="386"/>
      <c r="M174" s="387"/>
      <c r="N174" s="386"/>
      <c r="O174" s="387"/>
      <c r="P174" s="386"/>
      <c r="Q174" s="387"/>
      <c r="R174" s="386"/>
      <c r="S174" s="387"/>
      <c r="T174" s="386"/>
      <c r="U174" s="387"/>
      <c r="V174" s="386"/>
      <c r="W174" s="387"/>
      <c r="X174" s="386"/>
      <c r="Z174" s="175"/>
      <c r="AC174" s="385"/>
      <c r="AD174" s="200"/>
      <c r="AE174" s="547"/>
      <c r="AF174" s="216"/>
      <c r="AG174" s="386"/>
      <c r="AH174" s="385"/>
      <c r="AI174" s="386"/>
      <c r="AJ174" s="387"/>
      <c r="AK174" s="386"/>
      <c r="AL174" s="387"/>
      <c r="AM174" s="386"/>
      <c r="AN174" s="387"/>
      <c r="AO174" s="386"/>
      <c r="AP174" s="387"/>
      <c r="AQ174" s="386"/>
      <c r="AR174" s="387"/>
      <c r="AS174" s="386"/>
      <c r="AT174" s="387"/>
      <c r="AU174" s="386"/>
      <c r="AV174" s="387"/>
      <c r="AW174" s="386"/>
      <c r="AX174" s="387"/>
      <c r="AY174" s="386"/>
      <c r="BA174" s="175"/>
      <c r="BB174" s="145"/>
      <c r="BC174" s="145"/>
      <c r="BD174" s="145"/>
    </row>
    <row r="175" spans="1:56">
      <c r="A175" s="551"/>
      <c r="B175" s="552"/>
      <c r="F175" s="390" t="s">
        <v>107</v>
      </c>
      <c r="G175" s="139"/>
      <c r="H175" s="261"/>
      <c r="I175" s="216"/>
      <c r="J175" s="386"/>
      <c r="K175" s="385"/>
      <c r="L175" s="386"/>
      <c r="M175" s="387"/>
      <c r="N175" s="386"/>
      <c r="O175" s="387"/>
      <c r="P175" s="386"/>
      <c r="Q175" s="387"/>
      <c r="R175" s="386"/>
      <c r="S175" s="387"/>
      <c r="T175" s="386"/>
      <c r="U175" s="387"/>
      <c r="V175" s="386"/>
      <c r="W175" s="387"/>
      <c r="X175" s="386"/>
      <c r="Z175" s="175"/>
      <c r="AC175" s="390" t="s">
        <v>107</v>
      </c>
      <c r="AE175" s="239"/>
      <c r="AG175" s="386"/>
      <c r="AH175" s="385"/>
      <c r="AI175" s="386"/>
      <c r="AJ175" s="387"/>
      <c r="AK175" s="386"/>
      <c r="AL175" s="387"/>
      <c r="AM175" s="386"/>
      <c r="AN175" s="387"/>
      <c r="AO175" s="386"/>
      <c r="AP175" s="387"/>
      <c r="AQ175" s="386"/>
      <c r="AR175" s="387"/>
      <c r="AS175" s="386"/>
      <c r="AT175" s="387"/>
      <c r="AU175" s="386"/>
      <c r="AV175" s="387"/>
      <c r="AW175" s="386"/>
      <c r="AX175" s="387"/>
      <c r="AY175" s="386"/>
      <c r="BA175" s="175"/>
      <c r="BB175" s="145"/>
      <c r="BC175" s="145"/>
      <c r="BD175" s="145"/>
    </row>
    <row r="176" spans="1:56">
      <c r="A176" s="496"/>
      <c r="B176" s="496"/>
      <c r="F176" s="216" t="s">
        <v>426</v>
      </c>
      <c r="G176" s="139"/>
      <c r="H176" s="261"/>
      <c r="I176" s="216"/>
      <c r="J176" s="386"/>
      <c r="K176" s="385"/>
      <c r="L176" s="386"/>
      <c r="M176" s="387"/>
      <c r="N176" s="386"/>
      <c r="O176" s="387"/>
      <c r="P176" s="386"/>
      <c r="Q176" s="387"/>
      <c r="R176" s="386"/>
      <c r="S176" s="387"/>
      <c r="T176" s="386"/>
      <c r="U176" s="387"/>
      <c r="V176" s="386"/>
      <c r="W176" s="387"/>
      <c r="X176" s="386"/>
      <c r="Z176" s="175"/>
      <c r="AC176" s="216" t="s">
        <v>426</v>
      </c>
      <c r="AE176" s="239"/>
      <c r="AG176" s="386"/>
      <c r="AH176" s="385"/>
      <c r="AI176" s="386"/>
      <c r="AJ176" s="387"/>
      <c r="AK176" s="386"/>
      <c r="AL176" s="387"/>
      <c r="AM176" s="386"/>
      <c r="AN176" s="387"/>
      <c r="AO176" s="386"/>
      <c r="AP176" s="387"/>
      <c r="AQ176" s="386"/>
      <c r="AR176" s="387"/>
      <c r="AS176" s="386"/>
      <c r="AT176" s="387"/>
      <c r="AU176" s="386"/>
      <c r="AV176" s="387"/>
      <c r="AW176" s="386"/>
      <c r="AX176" s="387"/>
      <c r="AY176" s="386"/>
      <c r="BA176" s="175"/>
      <c r="BB176" s="145"/>
      <c r="BC176" s="145"/>
      <c r="BD176" s="145"/>
    </row>
    <row r="177" spans="1:56">
      <c r="A177" s="496"/>
      <c r="B177" s="496"/>
      <c r="F177" s="216" t="s">
        <v>592</v>
      </c>
      <c r="G177" s="139"/>
      <c r="H177" s="261">
        <v>17</v>
      </c>
      <c r="I177" s="216"/>
      <c r="J177" s="313">
        <v>83793.627315831764</v>
      </c>
      <c r="K177" s="385"/>
      <c r="L177" s="260">
        <f t="shared" ref="L177:L197" si="190">(VLOOKUP($H177,Factors,L$382))*$J177</f>
        <v>43648.100468816767</v>
      </c>
      <c r="M177" s="212"/>
      <c r="N177" s="260">
        <f t="shared" ref="N177:N197" si="191">(VLOOKUP($H177,Factors,N$382))*$J177</f>
        <v>21886.895454895257</v>
      </c>
      <c r="O177" s="212"/>
      <c r="P177" s="260">
        <f t="shared" ref="P177:P197" si="192">(VLOOKUP($H177,Factors,P$382))*$J177</f>
        <v>2597.6024467907846</v>
      </c>
      <c r="Q177" s="212"/>
      <c r="R177" s="260">
        <f t="shared" ref="R177:R197" si="193">(VLOOKUP($H177,Factors,R$382))*$J177</f>
        <v>6904.5948908245373</v>
      </c>
      <c r="S177" s="212"/>
      <c r="T177" s="260">
        <f t="shared" ref="T177:T197" si="194">(VLOOKUP($H177,Factors,T$382))*$J177</f>
        <v>1675.8725463166354</v>
      </c>
      <c r="U177" s="212"/>
      <c r="V177" s="260">
        <f t="shared" ref="V177:V197" si="195">(VLOOKUP($H177,Factors,V$382))*$J177</f>
        <v>2463.5326430854539</v>
      </c>
      <c r="W177" s="212"/>
      <c r="X177" s="260">
        <f t="shared" ref="X177:X197" si="196">(VLOOKUP($H177,Factors,X$382))*$J177</f>
        <v>4617.0288651023302</v>
      </c>
      <c r="Y177" s="212"/>
      <c r="Z177" s="175"/>
      <c r="AC177" s="216" t="s">
        <v>592</v>
      </c>
      <c r="AE177" s="239">
        <f t="shared" ref="AE177:AE234" si="197">+H177</f>
        <v>17</v>
      </c>
      <c r="AG177" s="312">
        <f t="shared" ref="AG177:AG234" si="198">+J177</f>
        <v>83793.627315831764</v>
      </c>
      <c r="AH177" s="385"/>
      <c r="AI177" s="260">
        <f t="shared" ref="AI177:AI197" si="199">(VLOOKUP($AE177,func,AI$382))*$AG177</f>
        <v>36098.294647660325</v>
      </c>
      <c r="AJ177" s="212"/>
      <c r="AK177" s="260">
        <f t="shared" ref="AK177:AK197" si="200">(VLOOKUP($AE177,func,AK$382))*$AG177</f>
        <v>19389.845360883468</v>
      </c>
      <c r="AL177" s="212"/>
      <c r="AM177" s="260">
        <f t="shared" ref="AM177:AM197" si="201">(VLOOKUP($AE177,func,AM$382))*$AG177</f>
        <v>9183.7815538151608</v>
      </c>
      <c r="AN177" s="212"/>
      <c r="AO177" s="260">
        <f t="shared" ref="AO177:AO197" si="202">(VLOOKUP($AE177,func,AO$382))*$AG177</f>
        <v>8479.9150843621737</v>
      </c>
      <c r="AP177" s="212"/>
      <c r="AQ177" s="260">
        <f t="shared" ref="AQ177:AQ197" si="203">(VLOOKUP($AE177,func,AQ$382))*$AG177</f>
        <v>1860.2185264114653</v>
      </c>
      <c r="AR177" s="212"/>
      <c r="AS177" s="260">
        <f t="shared" ref="AS177:AS197" si="204">(VLOOKUP($AE177,func,AS$382))*$AG177</f>
        <v>1525.0440171481382</v>
      </c>
      <c r="AT177" s="212"/>
      <c r="AU177" s="260">
        <f t="shared" ref="AU177:AU197" si="205">(VLOOKUP($AE177,func,AU$382))*$AG177</f>
        <v>268.13960741066165</v>
      </c>
      <c r="AV177" s="212"/>
      <c r="AW177" s="260">
        <f t="shared" ref="AW177:AW197" si="206">(VLOOKUP($AE177,func,AW$382))*$AG177</f>
        <v>2413.2564666959547</v>
      </c>
      <c r="AX177" s="212"/>
      <c r="AY177" s="260">
        <f t="shared" ref="AY177:AY197" si="207">(VLOOKUP($AE177,func,AY$382))*$AG177</f>
        <v>4575.1320514444142</v>
      </c>
      <c r="BA177" s="175"/>
      <c r="BB177" s="145"/>
      <c r="BC177" s="145"/>
      <c r="BD177" s="145"/>
    </row>
    <row r="178" spans="1:56">
      <c r="A178" s="496"/>
      <c r="B178" s="496"/>
      <c r="F178" s="216" t="s">
        <v>593</v>
      </c>
      <c r="G178" s="139"/>
      <c r="H178" s="261">
        <v>2</v>
      </c>
      <c r="I178" s="216"/>
      <c r="J178" s="313">
        <v>0</v>
      </c>
      <c r="K178" s="385"/>
      <c r="L178" s="260">
        <f t="shared" si="190"/>
        <v>0</v>
      </c>
      <c r="M178" s="212"/>
      <c r="N178" s="260">
        <f t="shared" si="191"/>
        <v>0</v>
      </c>
      <c r="O178" s="212"/>
      <c r="P178" s="260">
        <f t="shared" si="192"/>
        <v>0</v>
      </c>
      <c r="Q178" s="212"/>
      <c r="R178" s="260">
        <f t="shared" si="193"/>
        <v>0</v>
      </c>
      <c r="S178" s="212"/>
      <c r="T178" s="260">
        <f t="shared" si="194"/>
        <v>0</v>
      </c>
      <c r="U178" s="212"/>
      <c r="V178" s="260">
        <f t="shared" si="195"/>
        <v>0</v>
      </c>
      <c r="W178" s="212"/>
      <c r="X178" s="260">
        <f t="shared" si="196"/>
        <v>0</v>
      </c>
      <c r="Y178" s="212"/>
      <c r="Z178" s="175"/>
      <c r="AC178" s="216" t="s">
        <v>593</v>
      </c>
      <c r="AE178" s="239">
        <f t="shared" si="197"/>
        <v>2</v>
      </c>
      <c r="AG178" s="312">
        <f t="shared" ref="AG178:AG197" si="208">+J178</f>
        <v>0</v>
      </c>
      <c r="AH178" s="385"/>
      <c r="AI178" s="260">
        <f t="shared" si="199"/>
        <v>0</v>
      </c>
      <c r="AJ178" s="212"/>
      <c r="AK178" s="260">
        <f t="shared" si="200"/>
        <v>0</v>
      </c>
      <c r="AL178" s="212"/>
      <c r="AM178" s="260">
        <f t="shared" si="201"/>
        <v>0</v>
      </c>
      <c r="AN178" s="212"/>
      <c r="AO178" s="260">
        <f t="shared" si="202"/>
        <v>0</v>
      </c>
      <c r="AP178" s="212"/>
      <c r="AQ178" s="260">
        <f t="shared" si="203"/>
        <v>0</v>
      </c>
      <c r="AR178" s="212"/>
      <c r="AS178" s="260">
        <f t="shared" si="204"/>
        <v>0</v>
      </c>
      <c r="AT178" s="212"/>
      <c r="AU178" s="260">
        <f t="shared" si="205"/>
        <v>0</v>
      </c>
      <c r="AV178" s="212"/>
      <c r="AW178" s="260">
        <f t="shared" si="206"/>
        <v>0</v>
      </c>
      <c r="AX178" s="212"/>
      <c r="AY178" s="260">
        <f t="shared" si="207"/>
        <v>0</v>
      </c>
      <c r="BA178" s="175"/>
      <c r="BB178" s="145"/>
      <c r="BC178" s="145"/>
      <c r="BD178" s="145"/>
    </row>
    <row r="179" spans="1:56">
      <c r="A179" s="496"/>
      <c r="B179" s="496"/>
      <c r="F179" s="216" t="s">
        <v>594</v>
      </c>
      <c r="G179" s="139"/>
      <c r="H179" s="261">
        <v>2</v>
      </c>
      <c r="I179" s="216"/>
      <c r="J179" s="313">
        <v>213624.48387272106</v>
      </c>
      <c r="K179" s="385"/>
      <c r="L179" s="260">
        <f t="shared" si="190"/>
        <v>108371.70066863138</v>
      </c>
      <c r="M179" s="212"/>
      <c r="N179" s="260">
        <f t="shared" si="191"/>
        <v>66522.664277965334</v>
      </c>
      <c r="O179" s="212"/>
      <c r="P179" s="260">
        <f t="shared" si="192"/>
        <v>8566.3418032961144</v>
      </c>
      <c r="Q179" s="212"/>
      <c r="R179" s="260">
        <f t="shared" si="193"/>
        <v>22558.745496959345</v>
      </c>
      <c r="S179" s="212"/>
      <c r="T179" s="260">
        <f t="shared" si="194"/>
        <v>6857.3459323143452</v>
      </c>
      <c r="U179" s="212"/>
      <c r="V179" s="260">
        <f t="shared" si="195"/>
        <v>341.7991741963537</v>
      </c>
      <c r="W179" s="212"/>
      <c r="X179" s="260">
        <f t="shared" si="196"/>
        <v>405.88651935817001</v>
      </c>
      <c r="Y179" s="212"/>
      <c r="Z179" s="175"/>
      <c r="AC179" s="216" t="s">
        <v>594</v>
      </c>
      <c r="AE179" s="239">
        <f t="shared" si="197"/>
        <v>2</v>
      </c>
      <c r="AG179" s="312">
        <f t="shared" si="208"/>
        <v>213624.48387272106</v>
      </c>
      <c r="AH179" s="385"/>
      <c r="AI179" s="260">
        <f t="shared" si="199"/>
        <v>128730.1139817017</v>
      </c>
      <c r="AJ179" s="212"/>
      <c r="AK179" s="260">
        <f t="shared" si="200"/>
        <v>84146.684197464812</v>
      </c>
      <c r="AL179" s="212"/>
      <c r="AM179" s="260">
        <f t="shared" si="201"/>
        <v>0</v>
      </c>
      <c r="AN179" s="212"/>
      <c r="AO179" s="260">
        <f t="shared" si="202"/>
        <v>0</v>
      </c>
      <c r="AP179" s="212"/>
      <c r="AQ179" s="260">
        <f t="shared" si="203"/>
        <v>0</v>
      </c>
      <c r="AR179" s="212"/>
      <c r="AS179" s="260">
        <f t="shared" si="204"/>
        <v>0</v>
      </c>
      <c r="AT179" s="212"/>
      <c r="AU179" s="260">
        <f t="shared" si="205"/>
        <v>0</v>
      </c>
      <c r="AV179" s="212"/>
      <c r="AW179" s="260">
        <f t="shared" si="206"/>
        <v>341.7991741963537</v>
      </c>
      <c r="AX179" s="212"/>
      <c r="AY179" s="260">
        <f t="shared" si="207"/>
        <v>405.88651935817001</v>
      </c>
      <c r="BA179" s="175"/>
      <c r="BB179" s="145"/>
      <c r="BC179" s="145"/>
      <c r="BD179" s="145"/>
    </row>
    <row r="180" spans="1:56">
      <c r="A180" s="496"/>
      <c r="B180" s="496"/>
      <c r="F180" s="216" t="s">
        <v>595</v>
      </c>
      <c r="G180" s="139"/>
      <c r="H180" s="261">
        <v>1</v>
      </c>
      <c r="I180" s="216"/>
      <c r="J180" s="313">
        <v>13126.161958388893</v>
      </c>
      <c r="K180" s="385"/>
      <c r="L180" s="260">
        <f t="shared" si="190"/>
        <v>6497.4501694025021</v>
      </c>
      <c r="M180" s="212"/>
      <c r="N180" s="260">
        <f t="shared" si="191"/>
        <v>4082.2363690589459</v>
      </c>
      <c r="O180" s="212"/>
      <c r="P180" s="260">
        <f t="shared" si="192"/>
        <v>565.73758040656128</v>
      </c>
      <c r="Q180" s="212"/>
      <c r="R180" s="260">
        <f t="shared" si="193"/>
        <v>1451.7535125978116</v>
      </c>
      <c r="S180" s="212"/>
      <c r="T180" s="260">
        <f t="shared" si="194"/>
        <v>452.85258756441687</v>
      </c>
      <c r="U180" s="212"/>
      <c r="V180" s="260">
        <f t="shared" si="195"/>
        <v>34.128021091811121</v>
      </c>
      <c r="W180" s="212"/>
      <c r="X180" s="260">
        <f t="shared" si="196"/>
        <v>42.003718266844459</v>
      </c>
      <c r="Y180" s="212"/>
      <c r="Z180" s="175"/>
      <c r="AC180" s="216" t="s">
        <v>595</v>
      </c>
      <c r="AE180" s="239">
        <f t="shared" si="197"/>
        <v>1</v>
      </c>
      <c r="AG180" s="312">
        <f t="shared" si="208"/>
        <v>13126.161958388893</v>
      </c>
      <c r="AH180" s="385"/>
      <c r="AI180" s="260">
        <f t="shared" si="199"/>
        <v>13050.030219030237</v>
      </c>
      <c r="AJ180" s="212"/>
      <c r="AK180" s="260">
        <f t="shared" si="200"/>
        <v>0</v>
      </c>
      <c r="AL180" s="212"/>
      <c r="AM180" s="260">
        <f t="shared" si="201"/>
        <v>0</v>
      </c>
      <c r="AN180" s="212"/>
      <c r="AO180" s="260">
        <f t="shared" si="202"/>
        <v>0</v>
      </c>
      <c r="AP180" s="212"/>
      <c r="AQ180" s="260">
        <f t="shared" si="203"/>
        <v>0</v>
      </c>
      <c r="AR180" s="212"/>
      <c r="AS180" s="260">
        <f t="shared" si="204"/>
        <v>0</v>
      </c>
      <c r="AT180" s="212"/>
      <c r="AU180" s="260">
        <f t="shared" si="205"/>
        <v>0</v>
      </c>
      <c r="AV180" s="212"/>
      <c r="AW180" s="260">
        <f t="shared" si="206"/>
        <v>34.128021091811121</v>
      </c>
      <c r="AX180" s="212"/>
      <c r="AY180" s="260">
        <f t="shared" si="207"/>
        <v>42.003718266844459</v>
      </c>
      <c r="BA180" s="175"/>
      <c r="BB180" s="145"/>
      <c r="BC180" s="145"/>
      <c r="BD180" s="145"/>
    </row>
    <row r="181" spans="1:56">
      <c r="A181" s="496"/>
      <c r="B181" s="496"/>
      <c r="F181" s="216" t="s">
        <v>596</v>
      </c>
      <c r="G181" s="139"/>
      <c r="H181" s="261">
        <v>2</v>
      </c>
      <c r="I181" s="216"/>
      <c r="J181" s="313">
        <v>152573.77367025934</v>
      </c>
      <c r="K181" s="385"/>
      <c r="L181" s="260">
        <f t="shared" si="190"/>
        <v>77400.675382922564</v>
      </c>
      <c r="M181" s="212"/>
      <c r="N181" s="260">
        <f t="shared" si="191"/>
        <v>47511.473120918759</v>
      </c>
      <c r="O181" s="212"/>
      <c r="P181" s="260">
        <f t="shared" si="192"/>
        <v>6118.2083241773998</v>
      </c>
      <c r="Q181" s="212"/>
      <c r="R181" s="260">
        <f t="shared" si="193"/>
        <v>16111.790499579387</v>
      </c>
      <c r="S181" s="212"/>
      <c r="T181" s="260">
        <f t="shared" si="194"/>
        <v>4897.6181348153241</v>
      </c>
      <c r="U181" s="212"/>
      <c r="V181" s="260">
        <f t="shared" si="195"/>
        <v>244.11803787241496</v>
      </c>
      <c r="W181" s="212"/>
      <c r="X181" s="260">
        <f t="shared" si="196"/>
        <v>289.89016997349273</v>
      </c>
      <c r="Y181" s="212"/>
      <c r="Z181" s="175"/>
      <c r="AC181" s="216" t="s">
        <v>596</v>
      </c>
      <c r="AE181" s="239">
        <f t="shared" si="197"/>
        <v>2</v>
      </c>
      <c r="AG181" s="312">
        <f t="shared" si="208"/>
        <v>152573.77367025934</v>
      </c>
      <c r="AH181" s="385"/>
      <c r="AI181" s="260">
        <f t="shared" si="199"/>
        <v>91940.956013698262</v>
      </c>
      <c r="AJ181" s="212"/>
      <c r="AK181" s="260">
        <f t="shared" si="200"/>
        <v>60098.809448715147</v>
      </c>
      <c r="AL181" s="212"/>
      <c r="AM181" s="260">
        <f t="shared" si="201"/>
        <v>0</v>
      </c>
      <c r="AN181" s="212"/>
      <c r="AO181" s="260">
        <f t="shared" si="202"/>
        <v>0</v>
      </c>
      <c r="AP181" s="212"/>
      <c r="AQ181" s="260">
        <f t="shared" si="203"/>
        <v>0</v>
      </c>
      <c r="AR181" s="212"/>
      <c r="AS181" s="260">
        <f t="shared" si="204"/>
        <v>0</v>
      </c>
      <c r="AT181" s="212"/>
      <c r="AU181" s="260">
        <f t="shared" si="205"/>
        <v>0</v>
      </c>
      <c r="AV181" s="212"/>
      <c r="AW181" s="260">
        <f t="shared" si="206"/>
        <v>244.11803787241496</v>
      </c>
      <c r="AX181" s="212"/>
      <c r="AY181" s="260">
        <f t="shared" si="207"/>
        <v>289.89016997349273</v>
      </c>
      <c r="BA181" s="175"/>
      <c r="BB181" s="145"/>
      <c r="BC181" s="145"/>
      <c r="BD181" s="145"/>
    </row>
    <row r="182" spans="1:56">
      <c r="A182" s="496"/>
      <c r="B182" s="496"/>
      <c r="F182" s="216" t="s">
        <v>715</v>
      </c>
      <c r="G182" s="139"/>
      <c r="H182" s="261">
        <v>2</v>
      </c>
      <c r="I182" s="216"/>
      <c r="J182" s="313">
        <v>358262.7426461248</v>
      </c>
      <c r="K182" s="385"/>
      <c r="L182" s="260">
        <f t="shared" si="190"/>
        <v>181746.68934437909</v>
      </c>
      <c r="M182" s="212"/>
      <c r="N182" s="260">
        <f t="shared" si="191"/>
        <v>111563.01806000326</v>
      </c>
      <c r="O182" s="212"/>
      <c r="P182" s="260">
        <f t="shared" si="192"/>
        <v>14366.335980109605</v>
      </c>
      <c r="Q182" s="212"/>
      <c r="R182" s="260">
        <f t="shared" si="193"/>
        <v>37832.545623430779</v>
      </c>
      <c r="S182" s="212"/>
      <c r="T182" s="260">
        <f t="shared" si="194"/>
        <v>11500.234038940605</v>
      </c>
      <c r="U182" s="212"/>
      <c r="V182" s="260">
        <f t="shared" si="195"/>
        <v>573.22038823379967</v>
      </c>
      <c r="W182" s="212"/>
      <c r="X182" s="260">
        <f t="shared" si="196"/>
        <v>680.69921102763715</v>
      </c>
      <c r="Y182" s="212"/>
      <c r="Z182" s="175"/>
      <c r="AC182" s="216" t="s">
        <v>715</v>
      </c>
      <c r="AE182" s="239">
        <f t="shared" si="197"/>
        <v>2</v>
      </c>
      <c r="AG182" s="312">
        <f t="shared" si="208"/>
        <v>358262.7426461248</v>
      </c>
      <c r="AH182" s="385"/>
      <c r="AI182" s="260">
        <f t="shared" si="199"/>
        <v>215889.12871855477</v>
      </c>
      <c r="AJ182" s="212"/>
      <c r="AK182" s="260">
        <f t="shared" si="200"/>
        <v>141119.69432830854</v>
      </c>
      <c r="AL182" s="212"/>
      <c r="AM182" s="260">
        <f t="shared" si="201"/>
        <v>0</v>
      </c>
      <c r="AN182" s="212"/>
      <c r="AO182" s="260">
        <f t="shared" si="202"/>
        <v>0</v>
      </c>
      <c r="AP182" s="212"/>
      <c r="AQ182" s="260">
        <f t="shared" si="203"/>
        <v>0</v>
      </c>
      <c r="AR182" s="212"/>
      <c r="AS182" s="260">
        <f t="shared" si="204"/>
        <v>0</v>
      </c>
      <c r="AT182" s="212"/>
      <c r="AU182" s="260">
        <f t="shared" si="205"/>
        <v>0</v>
      </c>
      <c r="AV182" s="212"/>
      <c r="AW182" s="260">
        <f t="shared" si="206"/>
        <v>573.22038823379967</v>
      </c>
      <c r="AX182" s="212"/>
      <c r="AY182" s="260">
        <f t="shared" si="207"/>
        <v>680.69921102763715</v>
      </c>
      <c r="BA182" s="175"/>
      <c r="BB182" s="145"/>
      <c r="BC182" s="145"/>
      <c r="BD182" s="145"/>
    </row>
    <row r="183" spans="1:56">
      <c r="A183" s="496"/>
      <c r="B183" s="496"/>
      <c r="F183" s="216" t="s">
        <v>597</v>
      </c>
      <c r="G183" s="139"/>
      <c r="H183" s="261">
        <v>2</v>
      </c>
      <c r="I183" s="216"/>
      <c r="J183" s="313">
        <v>0</v>
      </c>
      <c r="K183" s="385"/>
      <c r="L183" s="260">
        <f t="shared" si="190"/>
        <v>0</v>
      </c>
      <c r="M183" s="212"/>
      <c r="N183" s="260">
        <f t="shared" si="191"/>
        <v>0</v>
      </c>
      <c r="O183" s="212"/>
      <c r="P183" s="260">
        <f t="shared" si="192"/>
        <v>0</v>
      </c>
      <c r="Q183" s="212"/>
      <c r="R183" s="260">
        <f t="shared" si="193"/>
        <v>0</v>
      </c>
      <c r="S183" s="212"/>
      <c r="T183" s="260">
        <f t="shared" si="194"/>
        <v>0</v>
      </c>
      <c r="U183" s="212"/>
      <c r="V183" s="260">
        <f t="shared" si="195"/>
        <v>0</v>
      </c>
      <c r="W183" s="212"/>
      <c r="X183" s="260">
        <f t="shared" si="196"/>
        <v>0</v>
      </c>
      <c r="Y183" s="212"/>
      <c r="Z183" s="175"/>
      <c r="AC183" s="216" t="s">
        <v>597</v>
      </c>
      <c r="AE183" s="239">
        <f t="shared" si="197"/>
        <v>2</v>
      </c>
      <c r="AG183" s="312">
        <f t="shared" si="208"/>
        <v>0</v>
      </c>
      <c r="AH183" s="385"/>
      <c r="AI183" s="260">
        <f t="shared" si="199"/>
        <v>0</v>
      </c>
      <c r="AJ183" s="212"/>
      <c r="AK183" s="260">
        <f t="shared" si="200"/>
        <v>0</v>
      </c>
      <c r="AL183" s="212"/>
      <c r="AM183" s="260">
        <f t="shared" si="201"/>
        <v>0</v>
      </c>
      <c r="AN183" s="212"/>
      <c r="AO183" s="260">
        <f t="shared" si="202"/>
        <v>0</v>
      </c>
      <c r="AP183" s="212"/>
      <c r="AQ183" s="260">
        <f t="shared" si="203"/>
        <v>0</v>
      </c>
      <c r="AR183" s="212"/>
      <c r="AS183" s="260">
        <f t="shared" si="204"/>
        <v>0</v>
      </c>
      <c r="AT183" s="212"/>
      <c r="AU183" s="260">
        <f t="shared" si="205"/>
        <v>0</v>
      </c>
      <c r="AV183" s="212"/>
      <c r="AW183" s="260">
        <f t="shared" si="206"/>
        <v>0</v>
      </c>
      <c r="AX183" s="212"/>
      <c r="AY183" s="260">
        <f t="shared" si="207"/>
        <v>0</v>
      </c>
      <c r="BA183" s="175"/>
      <c r="BB183" s="145"/>
      <c r="BC183" s="145"/>
      <c r="BD183" s="145"/>
    </row>
    <row r="184" spans="1:56">
      <c r="A184" s="496"/>
      <c r="B184" s="496"/>
      <c r="F184" s="216" t="s">
        <v>598</v>
      </c>
      <c r="G184" s="139"/>
      <c r="H184" s="261">
        <v>2</v>
      </c>
      <c r="I184" s="216"/>
      <c r="J184" s="313">
        <v>613409.71535250032</v>
      </c>
      <c r="K184" s="385"/>
      <c r="L184" s="260">
        <f t="shared" si="190"/>
        <v>311182.74859832338</v>
      </c>
      <c r="M184" s="212"/>
      <c r="N184" s="260">
        <f t="shared" si="191"/>
        <v>191015.78536076861</v>
      </c>
      <c r="O184" s="212"/>
      <c r="P184" s="260">
        <f t="shared" si="192"/>
        <v>24597.729585635265</v>
      </c>
      <c r="Q184" s="212"/>
      <c r="R184" s="260">
        <f t="shared" si="193"/>
        <v>64776.065941224035</v>
      </c>
      <c r="S184" s="212"/>
      <c r="T184" s="260">
        <f t="shared" si="194"/>
        <v>19690.451862815258</v>
      </c>
      <c r="U184" s="212"/>
      <c r="V184" s="260">
        <f t="shared" si="195"/>
        <v>981.45554456400055</v>
      </c>
      <c r="W184" s="212"/>
      <c r="X184" s="260">
        <f t="shared" si="196"/>
        <v>1165.4784591697505</v>
      </c>
      <c r="Y184" s="212"/>
      <c r="Z184" s="175"/>
      <c r="AC184" s="216" t="s">
        <v>598</v>
      </c>
      <c r="AE184" s="239">
        <f t="shared" si="197"/>
        <v>2</v>
      </c>
      <c r="AG184" s="312">
        <f t="shared" si="208"/>
        <v>613409.71535250032</v>
      </c>
      <c r="AH184" s="385"/>
      <c r="AI184" s="260">
        <f t="shared" si="199"/>
        <v>369640.69447141665</v>
      </c>
      <c r="AJ184" s="212"/>
      <c r="AK184" s="260">
        <f t="shared" si="200"/>
        <v>241622.08687734985</v>
      </c>
      <c r="AL184" s="212"/>
      <c r="AM184" s="260">
        <f t="shared" si="201"/>
        <v>0</v>
      </c>
      <c r="AN184" s="212"/>
      <c r="AO184" s="260">
        <f t="shared" si="202"/>
        <v>0</v>
      </c>
      <c r="AP184" s="212"/>
      <c r="AQ184" s="260">
        <f t="shared" si="203"/>
        <v>0</v>
      </c>
      <c r="AR184" s="212"/>
      <c r="AS184" s="260">
        <f t="shared" si="204"/>
        <v>0</v>
      </c>
      <c r="AT184" s="212"/>
      <c r="AU184" s="260">
        <f t="shared" si="205"/>
        <v>0</v>
      </c>
      <c r="AV184" s="212"/>
      <c r="AW184" s="260">
        <f t="shared" si="206"/>
        <v>981.45554456400055</v>
      </c>
      <c r="AX184" s="212"/>
      <c r="AY184" s="260">
        <f t="shared" si="207"/>
        <v>1165.4784591697505</v>
      </c>
      <c r="BA184" s="175"/>
      <c r="BB184" s="145"/>
      <c r="BC184" s="145"/>
      <c r="BD184" s="145"/>
    </row>
    <row r="185" spans="1:56">
      <c r="A185" s="496"/>
      <c r="B185" s="496"/>
      <c r="F185" s="216" t="s">
        <v>599</v>
      </c>
      <c r="G185" s="139"/>
      <c r="H185" s="261">
        <v>6</v>
      </c>
      <c r="I185" s="216"/>
      <c r="J185" s="313">
        <v>273718.47979229147</v>
      </c>
      <c r="K185" s="385"/>
      <c r="L185" s="260">
        <f t="shared" si="190"/>
        <v>132589.23161138597</v>
      </c>
      <c r="M185" s="212"/>
      <c r="N185" s="260">
        <f t="shared" si="191"/>
        <v>81048.0418664975</v>
      </c>
      <c r="O185" s="212"/>
      <c r="P185" s="260">
        <f t="shared" si="192"/>
        <v>10154.955600294013</v>
      </c>
      <c r="Q185" s="212"/>
      <c r="R185" s="260">
        <f t="shared" si="193"/>
        <v>26441.205147935354</v>
      </c>
      <c r="S185" s="212"/>
      <c r="T185" s="260">
        <f t="shared" si="194"/>
        <v>6240.7813392642456</v>
      </c>
      <c r="U185" s="212"/>
      <c r="V185" s="260">
        <f t="shared" si="195"/>
        <v>7773.6048261010783</v>
      </c>
      <c r="W185" s="212"/>
      <c r="X185" s="260">
        <f t="shared" si="196"/>
        <v>9470.6594008132852</v>
      </c>
      <c r="Y185" s="212"/>
      <c r="Z185" s="175"/>
      <c r="AC185" s="216" t="s">
        <v>599</v>
      </c>
      <c r="AE185" s="239">
        <f t="shared" si="197"/>
        <v>6</v>
      </c>
      <c r="AG185" s="312">
        <f t="shared" si="208"/>
        <v>273718.47979229147</v>
      </c>
      <c r="AH185" s="385"/>
      <c r="AI185" s="260">
        <f t="shared" si="199"/>
        <v>142156.08663473747</v>
      </c>
      <c r="AJ185" s="212"/>
      <c r="AK185" s="260">
        <f t="shared" si="200"/>
        <v>76613.8024938624</v>
      </c>
      <c r="AL185" s="212"/>
      <c r="AM185" s="260">
        <f t="shared" si="201"/>
        <v>37699.946941100578</v>
      </c>
      <c r="AN185" s="212"/>
      <c r="AO185" s="260">
        <f t="shared" si="202"/>
        <v>0</v>
      </c>
      <c r="AP185" s="212"/>
      <c r="AQ185" s="260">
        <f t="shared" si="203"/>
        <v>0</v>
      </c>
      <c r="AR185" s="212"/>
      <c r="AS185" s="260">
        <f t="shared" si="204"/>
        <v>0</v>
      </c>
      <c r="AT185" s="212"/>
      <c r="AU185" s="260">
        <f t="shared" si="205"/>
        <v>0</v>
      </c>
      <c r="AV185" s="212"/>
      <c r="AW185" s="260">
        <f t="shared" si="206"/>
        <v>7787.2469551339245</v>
      </c>
      <c r="AX185" s="212"/>
      <c r="AY185" s="260">
        <f t="shared" si="207"/>
        <v>9461.396767457114</v>
      </c>
      <c r="BA185" s="175"/>
      <c r="BB185" s="145"/>
      <c r="BC185" s="145"/>
      <c r="BD185" s="145"/>
    </row>
    <row r="186" spans="1:56">
      <c r="A186" s="551"/>
      <c r="B186" s="552"/>
      <c r="F186" s="216" t="s">
        <v>713</v>
      </c>
      <c r="G186" s="139"/>
      <c r="H186" s="261">
        <v>6</v>
      </c>
      <c r="I186" s="216"/>
      <c r="J186" s="313">
        <v>98899.601632499893</v>
      </c>
      <c r="K186" s="385"/>
      <c r="L186" s="260">
        <f t="shared" si="190"/>
        <v>47906.967030782944</v>
      </c>
      <c r="M186" s="212"/>
      <c r="N186" s="260">
        <f t="shared" si="191"/>
        <v>29284.172043383216</v>
      </c>
      <c r="O186" s="212"/>
      <c r="P186" s="260">
        <f t="shared" si="192"/>
        <v>3669.1752205657463</v>
      </c>
      <c r="Q186" s="212"/>
      <c r="R186" s="260">
        <f t="shared" si="193"/>
        <v>9553.7015176994882</v>
      </c>
      <c r="S186" s="212"/>
      <c r="T186" s="260">
        <f t="shared" si="194"/>
        <v>2254.9109172209978</v>
      </c>
      <c r="U186" s="212"/>
      <c r="V186" s="260">
        <f t="shared" si="195"/>
        <v>2808.748686362997</v>
      </c>
      <c r="W186" s="212"/>
      <c r="X186" s="260">
        <f t="shared" si="196"/>
        <v>3421.9262164844963</v>
      </c>
      <c r="Y186" s="212"/>
      <c r="Z186" s="175"/>
      <c r="AC186" s="216" t="s">
        <v>713</v>
      </c>
      <c r="AE186" s="239">
        <f t="shared" si="197"/>
        <v>6</v>
      </c>
      <c r="AG186" s="312">
        <f t="shared" si="208"/>
        <v>98899.601632499893</v>
      </c>
      <c r="AH186" s="385"/>
      <c r="AI186" s="260">
        <f t="shared" si="199"/>
        <v>51363.650523265169</v>
      </c>
      <c r="AJ186" s="212"/>
      <c r="AK186" s="260">
        <f t="shared" si="200"/>
        <v>27681.998496936725</v>
      </c>
      <c r="AL186" s="212"/>
      <c r="AM186" s="260">
        <f t="shared" si="201"/>
        <v>13621.69531582439</v>
      </c>
      <c r="AN186" s="212"/>
      <c r="AO186" s="260">
        <f t="shared" si="202"/>
        <v>0</v>
      </c>
      <c r="AP186" s="212"/>
      <c r="AQ186" s="260">
        <f t="shared" si="203"/>
        <v>0</v>
      </c>
      <c r="AR186" s="212"/>
      <c r="AS186" s="260">
        <f t="shared" si="204"/>
        <v>0</v>
      </c>
      <c r="AT186" s="212"/>
      <c r="AU186" s="260">
        <f t="shared" si="205"/>
        <v>0</v>
      </c>
      <c r="AV186" s="212"/>
      <c r="AW186" s="260">
        <f t="shared" si="206"/>
        <v>2813.6778425083603</v>
      </c>
      <c r="AX186" s="212"/>
      <c r="AY186" s="260">
        <f t="shared" si="207"/>
        <v>3418.5794539652525</v>
      </c>
      <c r="BA186" s="175"/>
      <c r="BB186" s="145"/>
      <c r="BC186" s="145"/>
      <c r="BD186" s="145"/>
    </row>
    <row r="187" spans="1:56">
      <c r="A187" s="496"/>
      <c r="B187" s="496"/>
      <c r="F187" s="216" t="s">
        <v>600</v>
      </c>
      <c r="G187" s="139"/>
      <c r="H187" s="261">
        <v>6</v>
      </c>
      <c r="I187" s="216"/>
      <c r="J187" s="313">
        <v>0</v>
      </c>
      <c r="K187" s="385"/>
      <c r="L187" s="260">
        <f t="shared" si="190"/>
        <v>0</v>
      </c>
      <c r="M187" s="212"/>
      <c r="N187" s="260">
        <f t="shared" si="191"/>
        <v>0</v>
      </c>
      <c r="O187" s="212"/>
      <c r="P187" s="260">
        <f t="shared" si="192"/>
        <v>0</v>
      </c>
      <c r="Q187" s="212"/>
      <c r="R187" s="260">
        <f t="shared" si="193"/>
        <v>0</v>
      </c>
      <c r="S187" s="212"/>
      <c r="T187" s="260">
        <f t="shared" si="194"/>
        <v>0</v>
      </c>
      <c r="U187" s="212"/>
      <c r="V187" s="260">
        <f t="shared" si="195"/>
        <v>0</v>
      </c>
      <c r="W187" s="212"/>
      <c r="X187" s="260">
        <f t="shared" si="196"/>
        <v>0</v>
      </c>
      <c r="Y187" s="212"/>
      <c r="Z187" s="175"/>
      <c r="AC187" s="216" t="s">
        <v>600</v>
      </c>
      <c r="AE187" s="239">
        <f t="shared" si="197"/>
        <v>6</v>
      </c>
      <c r="AG187" s="312">
        <f t="shared" si="208"/>
        <v>0</v>
      </c>
      <c r="AH187" s="385"/>
      <c r="AI187" s="260">
        <f t="shared" si="199"/>
        <v>0</v>
      </c>
      <c r="AJ187" s="212"/>
      <c r="AK187" s="260">
        <f t="shared" si="200"/>
        <v>0</v>
      </c>
      <c r="AL187" s="212"/>
      <c r="AM187" s="260">
        <f t="shared" si="201"/>
        <v>0</v>
      </c>
      <c r="AN187" s="212"/>
      <c r="AO187" s="260">
        <f t="shared" si="202"/>
        <v>0</v>
      </c>
      <c r="AP187" s="212"/>
      <c r="AQ187" s="260">
        <f t="shared" si="203"/>
        <v>0</v>
      </c>
      <c r="AR187" s="212"/>
      <c r="AS187" s="260">
        <f t="shared" si="204"/>
        <v>0</v>
      </c>
      <c r="AT187" s="212"/>
      <c r="AU187" s="260">
        <f t="shared" si="205"/>
        <v>0</v>
      </c>
      <c r="AV187" s="212"/>
      <c r="AW187" s="260">
        <f t="shared" si="206"/>
        <v>0</v>
      </c>
      <c r="AX187" s="212"/>
      <c r="AY187" s="260">
        <f t="shared" si="207"/>
        <v>0</v>
      </c>
      <c r="BA187" s="175"/>
      <c r="BB187" s="145"/>
      <c r="BC187" s="145"/>
      <c r="BD187" s="145"/>
    </row>
    <row r="188" spans="1:56">
      <c r="A188" s="496"/>
      <c r="B188" s="496"/>
      <c r="F188" s="216" t="s">
        <v>601</v>
      </c>
      <c r="G188" s="139"/>
      <c r="H188" s="261">
        <v>6</v>
      </c>
      <c r="I188" s="216"/>
      <c r="J188" s="313">
        <v>268295.18248365237</v>
      </c>
      <c r="K188" s="385"/>
      <c r="L188" s="260">
        <f t="shared" si="190"/>
        <v>129962.1863950812</v>
      </c>
      <c r="M188" s="212"/>
      <c r="N188" s="260">
        <f t="shared" si="191"/>
        <v>79442.203533409454</v>
      </c>
      <c r="O188" s="212"/>
      <c r="P188" s="260">
        <f t="shared" si="192"/>
        <v>9953.7512701435026</v>
      </c>
      <c r="Q188" s="212"/>
      <c r="R188" s="260">
        <f t="shared" si="193"/>
        <v>25917.314627920816</v>
      </c>
      <c r="S188" s="212"/>
      <c r="T188" s="260">
        <f t="shared" si="194"/>
        <v>6117.1301606272746</v>
      </c>
      <c r="U188" s="212"/>
      <c r="V188" s="260">
        <f t="shared" si="195"/>
        <v>7619.5831825357282</v>
      </c>
      <c r="W188" s="212"/>
      <c r="X188" s="260">
        <f t="shared" si="196"/>
        <v>9283.0133139343725</v>
      </c>
      <c r="Y188" s="212"/>
      <c r="Z188" s="175"/>
      <c r="AC188" s="216" t="s">
        <v>601</v>
      </c>
      <c r="AE188" s="239">
        <f t="shared" si="197"/>
        <v>6</v>
      </c>
      <c r="AG188" s="312">
        <f t="shared" si="208"/>
        <v>268295.18248365237</v>
      </c>
      <c r="AH188" s="385"/>
      <c r="AI188" s="260">
        <f t="shared" si="199"/>
        <v>139339.48936794762</v>
      </c>
      <c r="AJ188" s="212"/>
      <c r="AK188" s="260">
        <f t="shared" si="200"/>
        <v>75095.821577174313</v>
      </c>
      <c r="AL188" s="212"/>
      <c r="AM188" s="260">
        <f t="shared" si="201"/>
        <v>36952.982319140603</v>
      </c>
      <c r="AN188" s="212"/>
      <c r="AO188" s="260">
        <f t="shared" si="202"/>
        <v>0</v>
      </c>
      <c r="AP188" s="212"/>
      <c r="AQ188" s="260">
        <f t="shared" si="203"/>
        <v>0</v>
      </c>
      <c r="AR188" s="212"/>
      <c r="AS188" s="260">
        <f t="shared" si="204"/>
        <v>0</v>
      </c>
      <c r="AT188" s="212"/>
      <c r="AU188" s="260">
        <f t="shared" si="205"/>
        <v>0</v>
      </c>
      <c r="AV188" s="212"/>
      <c r="AW188" s="260">
        <f t="shared" si="206"/>
        <v>7632.9550144307123</v>
      </c>
      <c r="AX188" s="212"/>
      <c r="AY188" s="260">
        <f t="shared" si="207"/>
        <v>9273.9342049591251</v>
      </c>
      <c r="BA188" s="175"/>
      <c r="BB188" s="145"/>
      <c r="BC188" s="145"/>
      <c r="BD188" s="145"/>
    </row>
    <row r="189" spans="1:56">
      <c r="A189" s="496"/>
      <c r="B189" s="496"/>
      <c r="F189" s="216" t="s">
        <v>602</v>
      </c>
      <c r="G189" s="139"/>
      <c r="H189" s="261">
        <v>6</v>
      </c>
      <c r="I189" s="216"/>
      <c r="J189" s="313">
        <v>15792.378229777771</v>
      </c>
      <c r="K189" s="385"/>
      <c r="L189" s="260">
        <f t="shared" si="190"/>
        <v>7649.8280145043509</v>
      </c>
      <c r="M189" s="212"/>
      <c r="N189" s="260">
        <f t="shared" si="191"/>
        <v>4676.1231938371975</v>
      </c>
      <c r="O189" s="212"/>
      <c r="P189" s="260">
        <f t="shared" si="192"/>
        <v>585.89723232475535</v>
      </c>
      <c r="Q189" s="212"/>
      <c r="R189" s="260">
        <f t="shared" si="193"/>
        <v>1525.5437369965325</v>
      </c>
      <c r="S189" s="212"/>
      <c r="T189" s="260">
        <f t="shared" si="194"/>
        <v>360.0662236389332</v>
      </c>
      <c r="U189" s="212"/>
      <c r="V189" s="260">
        <f t="shared" si="195"/>
        <v>448.50354172568871</v>
      </c>
      <c r="W189" s="212"/>
      <c r="X189" s="260">
        <f t="shared" si="196"/>
        <v>546.41628675031086</v>
      </c>
      <c r="Y189" s="212"/>
      <c r="Z189" s="175"/>
      <c r="AC189" s="216" t="s">
        <v>602</v>
      </c>
      <c r="AE189" s="239">
        <f t="shared" si="197"/>
        <v>6</v>
      </c>
      <c r="AG189" s="312">
        <f t="shared" si="208"/>
        <v>15792.378229777771</v>
      </c>
      <c r="AH189" s="385"/>
      <c r="AI189" s="260">
        <f t="shared" si="199"/>
        <v>8201.7943746597357</v>
      </c>
      <c r="AJ189" s="212"/>
      <c r="AK189" s="260">
        <f t="shared" si="200"/>
        <v>4420.2866665147985</v>
      </c>
      <c r="AL189" s="212"/>
      <c r="AM189" s="260">
        <f t="shared" si="201"/>
        <v>2175.1246820755605</v>
      </c>
      <c r="AN189" s="212"/>
      <c r="AO189" s="260">
        <f t="shared" si="202"/>
        <v>0</v>
      </c>
      <c r="AP189" s="212"/>
      <c r="AQ189" s="260">
        <f t="shared" si="203"/>
        <v>0</v>
      </c>
      <c r="AR189" s="212"/>
      <c r="AS189" s="260">
        <f t="shared" si="204"/>
        <v>0</v>
      </c>
      <c r="AT189" s="212"/>
      <c r="AU189" s="260">
        <f t="shared" si="205"/>
        <v>0</v>
      </c>
      <c r="AV189" s="212"/>
      <c r="AW189" s="260">
        <f t="shared" si="206"/>
        <v>449.29063385666075</v>
      </c>
      <c r="AX189" s="212"/>
      <c r="AY189" s="260">
        <f t="shared" si="207"/>
        <v>545.88187267101512</v>
      </c>
      <c r="BA189" s="175"/>
      <c r="BB189" s="145"/>
      <c r="BC189" s="145"/>
      <c r="BD189" s="145"/>
    </row>
    <row r="190" spans="1:56">
      <c r="A190" s="496"/>
      <c r="B190" s="496"/>
      <c r="F190" s="216" t="s">
        <v>714</v>
      </c>
      <c r="G190" s="139"/>
      <c r="H190" s="261">
        <v>6</v>
      </c>
      <c r="I190" s="216"/>
      <c r="J190" s="313">
        <v>176.19566399999999</v>
      </c>
      <c r="K190" s="385"/>
      <c r="L190" s="260">
        <f t="shared" si="190"/>
        <v>85.349179641599989</v>
      </c>
      <c r="M190" s="212"/>
      <c r="N190" s="260">
        <f t="shared" si="191"/>
        <v>52.171536110399991</v>
      </c>
      <c r="O190" s="212"/>
      <c r="P190" s="260">
        <f t="shared" si="192"/>
        <v>6.5368591344000002</v>
      </c>
      <c r="Q190" s="212"/>
      <c r="R190" s="260">
        <f t="shared" si="193"/>
        <v>17.020501142399997</v>
      </c>
      <c r="S190" s="212"/>
      <c r="T190" s="260">
        <f t="shared" si="194"/>
        <v>4.0172611392000004</v>
      </c>
      <c r="U190" s="212"/>
      <c r="V190" s="260">
        <f t="shared" si="195"/>
        <v>5.0039568576000004</v>
      </c>
      <c r="W190" s="212"/>
      <c r="X190" s="260">
        <f t="shared" si="196"/>
        <v>6.0963699743999999</v>
      </c>
      <c r="Y190" s="212"/>
      <c r="Z190" s="175"/>
      <c r="AC190" s="216" t="s">
        <v>714</v>
      </c>
      <c r="AE190" s="239">
        <f t="shared" si="197"/>
        <v>6</v>
      </c>
      <c r="AG190" s="312">
        <f t="shared" si="208"/>
        <v>176.19566399999999</v>
      </c>
      <c r="AH190" s="385"/>
      <c r="AI190" s="260">
        <f t="shared" si="199"/>
        <v>91.507471820156155</v>
      </c>
      <c r="AJ190" s="212"/>
      <c r="AK190" s="260">
        <f t="shared" si="200"/>
        <v>49.317166353600008</v>
      </c>
      <c r="AL190" s="212"/>
      <c r="AM190" s="260">
        <f t="shared" si="201"/>
        <v>24.267879863619839</v>
      </c>
      <c r="AN190" s="212"/>
      <c r="AO190" s="260">
        <f t="shared" si="202"/>
        <v>0</v>
      </c>
      <c r="AP190" s="212"/>
      <c r="AQ190" s="260">
        <f t="shared" si="203"/>
        <v>0</v>
      </c>
      <c r="AR190" s="212"/>
      <c r="AS190" s="260">
        <f t="shared" si="204"/>
        <v>0</v>
      </c>
      <c r="AT190" s="212"/>
      <c r="AU190" s="260">
        <f t="shared" si="205"/>
        <v>0</v>
      </c>
      <c r="AV190" s="212"/>
      <c r="AW190" s="260">
        <f t="shared" si="206"/>
        <v>5.0127384494937592</v>
      </c>
      <c r="AX190" s="212"/>
      <c r="AY190" s="260">
        <f t="shared" si="207"/>
        <v>6.0904075131302395</v>
      </c>
      <c r="BA190" s="175"/>
      <c r="BB190" s="145"/>
      <c r="BC190" s="145"/>
      <c r="BD190" s="145"/>
    </row>
    <row r="191" spans="1:56">
      <c r="A191" s="496"/>
      <c r="B191" s="496"/>
      <c r="F191" s="216" t="s">
        <v>603</v>
      </c>
      <c r="G191" s="139"/>
      <c r="H191" s="261">
        <v>6</v>
      </c>
      <c r="I191" s="216"/>
      <c r="J191" s="313">
        <v>0</v>
      </c>
      <c r="K191" s="385"/>
      <c r="L191" s="260">
        <f t="shared" si="190"/>
        <v>0</v>
      </c>
      <c r="M191" s="212"/>
      <c r="N191" s="260">
        <f t="shared" si="191"/>
        <v>0</v>
      </c>
      <c r="O191" s="212"/>
      <c r="P191" s="260">
        <f t="shared" si="192"/>
        <v>0</v>
      </c>
      <c r="Q191" s="212"/>
      <c r="R191" s="260">
        <f t="shared" si="193"/>
        <v>0</v>
      </c>
      <c r="S191" s="212"/>
      <c r="T191" s="260">
        <f t="shared" si="194"/>
        <v>0</v>
      </c>
      <c r="U191" s="212"/>
      <c r="V191" s="260">
        <f t="shared" si="195"/>
        <v>0</v>
      </c>
      <c r="W191" s="212"/>
      <c r="X191" s="260">
        <f t="shared" si="196"/>
        <v>0</v>
      </c>
      <c r="Y191" s="212"/>
      <c r="Z191" s="175"/>
      <c r="AC191" s="216" t="s">
        <v>603</v>
      </c>
      <c r="AE191" s="239">
        <f t="shared" si="197"/>
        <v>6</v>
      </c>
      <c r="AG191" s="312">
        <f t="shared" si="208"/>
        <v>0</v>
      </c>
      <c r="AH191" s="385"/>
      <c r="AI191" s="260">
        <f t="shared" si="199"/>
        <v>0</v>
      </c>
      <c r="AJ191" s="212"/>
      <c r="AK191" s="260">
        <f t="shared" si="200"/>
        <v>0</v>
      </c>
      <c r="AL191" s="212"/>
      <c r="AM191" s="260">
        <f t="shared" si="201"/>
        <v>0</v>
      </c>
      <c r="AN191" s="212"/>
      <c r="AO191" s="260">
        <f t="shared" si="202"/>
        <v>0</v>
      </c>
      <c r="AP191" s="212"/>
      <c r="AQ191" s="260">
        <f t="shared" si="203"/>
        <v>0</v>
      </c>
      <c r="AR191" s="212"/>
      <c r="AS191" s="260">
        <f t="shared" si="204"/>
        <v>0</v>
      </c>
      <c r="AT191" s="212"/>
      <c r="AU191" s="260">
        <f t="shared" si="205"/>
        <v>0</v>
      </c>
      <c r="AV191" s="212"/>
      <c r="AW191" s="260">
        <f t="shared" si="206"/>
        <v>0</v>
      </c>
      <c r="AX191" s="212"/>
      <c r="AY191" s="260">
        <f t="shared" si="207"/>
        <v>0</v>
      </c>
      <c r="BA191" s="175"/>
      <c r="BB191" s="145"/>
      <c r="BC191" s="145"/>
      <c r="BD191" s="145"/>
    </row>
    <row r="192" spans="1:56">
      <c r="A192" s="496"/>
      <c r="B192" s="496"/>
      <c r="F192" s="216" t="s">
        <v>604</v>
      </c>
      <c r="G192" s="139"/>
      <c r="H192" s="261">
        <v>2</v>
      </c>
      <c r="I192" s="216"/>
      <c r="J192" s="313">
        <v>778889.33026684693</v>
      </c>
      <c r="K192" s="385"/>
      <c r="L192" s="260">
        <f t="shared" si="190"/>
        <v>395130.55724437145</v>
      </c>
      <c r="M192" s="212"/>
      <c r="N192" s="260">
        <f t="shared" si="191"/>
        <v>242546.13744509613</v>
      </c>
      <c r="O192" s="212"/>
      <c r="P192" s="260">
        <f t="shared" si="192"/>
        <v>31233.462143700566</v>
      </c>
      <c r="Q192" s="212"/>
      <c r="R192" s="260">
        <f t="shared" si="193"/>
        <v>82250.713276179042</v>
      </c>
      <c r="S192" s="212"/>
      <c r="T192" s="260">
        <f t="shared" si="194"/>
        <v>25002.347501565782</v>
      </c>
      <c r="U192" s="212"/>
      <c r="V192" s="260">
        <f t="shared" si="195"/>
        <v>1246.2229284269551</v>
      </c>
      <c r="W192" s="212"/>
      <c r="X192" s="260">
        <f t="shared" si="196"/>
        <v>1479.8897275070092</v>
      </c>
      <c r="Y192" s="212"/>
      <c r="Z192" s="175"/>
      <c r="AC192" s="216" t="s">
        <v>604</v>
      </c>
      <c r="AE192" s="239">
        <f t="shared" si="197"/>
        <v>2</v>
      </c>
      <c r="AG192" s="312">
        <f t="shared" si="208"/>
        <v>778889.33026684693</v>
      </c>
      <c r="AH192" s="385"/>
      <c r="AI192" s="260">
        <f t="shared" si="199"/>
        <v>469358.71041880187</v>
      </c>
      <c r="AJ192" s="212"/>
      <c r="AK192" s="260">
        <f t="shared" si="200"/>
        <v>306804.50719211099</v>
      </c>
      <c r="AL192" s="212"/>
      <c r="AM192" s="260">
        <f t="shared" si="201"/>
        <v>0</v>
      </c>
      <c r="AN192" s="212"/>
      <c r="AO192" s="260">
        <f t="shared" si="202"/>
        <v>0</v>
      </c>
      <c r="AP192" s="212"/>
      <c r="AQ192" s="260">
        <f t="shared" si="203"/>
        <v>0</v>
      </c>
      <c r="AR192" s="212"/>
      <c r="AS192" s="260">
        <f t="shared" si="204"/>
        <v>0</v>
      </c>
      <c r="AT192" s="212"/>
      <c r="AU192" s="260">
        <f t="shared" si="205"/>
        <v>0</v>
      </c>
      <c r="AV192" s="212"/>
      <c r="AW192" s="260">
        <f t="shared" si="206"/>
        <v>1246.2229284269551</v>
      </c>
      <c r="AX192" s="212"/>
      <c r="AY192" s="260">
        <f t="shared" si="207"/>
        <v>1479.8897275070092</v>
      </c>
      <c r="BA192" s="175"/>
      <c r="BB192" s="145"/>
      <c r="BC192" s="145"/>
      <c r="BD192" s="145"/>
    </row>
    <row r="193" spans="1:56">
      <c r="A193" s="496"/>
      <c r="B193" s="496"/>
      <c r="F193" s="216" t="s">
        <v>746</v>
      </c>
      <c r="G193" s="139"/>
      <c r="H193" s="261">
        <v>2</v>
      </c>
      <c r="I193" s="216"/>
      <c r="J193" s="313">
        <v>1366270.3271317128</v>
      </c>
      <c r="K193" s="385"/>
      <c r="L193" s="260">
        <f t="shared" si="190"/>
        <v>693108.93695391784</v>
      </c>
      <c r="M193" s="212"/>
      <c r="N193" s="260">
        <f t="shared" si="191"/>
        <v>425456.57986881537</v>
      </c>
      <c r="O193" s="212"/>
      <c r="P193" s="260">
        <f t="shared" si="192"/>
        <v>54787.440117981692</v>
      </c>
      <c r="Q193" s="212"/>
      <c r="R193" s="260">
        <f t="shared" si="193"/>
        <v>144278.14654510887</v>
      </c>
      <c r="S193" s="212"/>
      <c r="T193" s="260">
        <f t="shared" si="194"/>
        <v>43857.277500927979</v>
      </c>
      <c r="U193" s="212"/>
      <c r="V193" s="260">
        <f t="shared" si="195"/>
        <v>2186.0325234107404</v>
      </c>
      <c r="W193" s="212"/>
      <c r="X193" s="260">
        <f t="shared" si="196"/>
        <v>2595.9136215502544</v>
      </c>
      <c r="Y193" s="212"/>
      <c r="Z193" s="175"/>
      <c r="AC193" s="216" t="s">
        <v>605</v>
      </c>
      <c r="AE193" s="239">
        <f t="shared" si="197"/>
        <v>2</v>
      </c>
      <c r="AG193" s="312">
        <f t="shared" si="208"/>
        <v>1366270.3271317128</v>
      </c>
      <c r="AH193" s="385"/>
      <c r="AI193" s="260">
        <f t="shared" si="199"/>
        <v>823314.49912956997</v>
      </c>
      <c r="AJ193" s="212"/>
      <c r="AK193" s="260">
        <f t="shared" si="200"/>
        <v>538173.88185718167</v>
      </c>
      <c r="AL193" s="212"/>
      <c r="AM193" s="260">
        <f t="shared" si="201"/>
        <v>0</v>
      </c>
      <c r="AN193" s="212"/>
      <c r="AO193" s="260">
        <f t="shared" si="202"/>
        <v>0</v>
      </c>
      <c r="AP193" s="212"/>
      <c r="AQ193" s="260">
        <f t="shared" si="203"/>
        <v>0</v>
      </c>
      <c r="AR193" s="212"/>
      <c r="AS193" s="260">
        <f t="shared" si="204"/>
        <v>0</v>
      </c>
      <c r="AT193" s="212"/>
      <c r="AU193" s="260">
        <f t="shared" si="205"/>
        <v>0</v>
      </c>
      <c r="AV193" s="212"/>
      <c r="AW193" s="260">
        <f t="shared" si="206"/>
        <v>2186.0325234107404</v>
      </c>
      <c r="AX193" s="212"/>
      <c r="AY193" s="260">
        <f t="shared" si="207"/>
        <v>2595.9136215502544</v>
      </c>
      <c r="BA193" s="175"/>
      <c r="BB193" s="145"/>
      <c r="BC193" s="145"/>
      <c r="BD193" s="145"/>
    </row>
    <row r="194" spans="1:56">
      <c r="A194" s="496"/>
      <c r="B194" s="496"/>
      <c r="F194" s="216" t="s">
        <v>773</v>
      </c>
      <c r="G194" s="139"/>
      <c r="H194" s="261">
        <v>2</v>
      </c>
      <c r="I194" s="216"/>
      <c r="J194" s="313">
        <v>123485.146976</v>
      </c>
      <c r="K194" s="385"/>
      <c r="L194" s="260">
        <f t="shared" si="190"/>
        <v>62644.015060924801</v>
      </c>
      <c r="M194" s="212"/>
      <c r="N194" s="260">
        <f t="shared" si="191"/>
        <v>38453.274768326402</v>
      </c>
      <c r="O194" s="212"/>
      <c r="P194" s="260">
        <f t="shared" si="192"/>
        <v>4951.7543937376004</v>
      </c>
      <c r="Q194" s="212"/>
      <c r="R194" s="260">
        <f t="shared" si="193"/>
        <v>13040.0315206656</v>
      </c>
      <c r="S194" s="212"/>
      <c r="T194" s="260">
        <f t="shared" si="194"/>
        <v>3963.8732179295998</v>
      </c>
      <c r="U194" s="212"/>
      <c r="V194" s="260">
        <f t="shared" si="195"/>
        <v>197.57623516160001</v>
      </c>
      <c r="W194" s="212"/>
      <c r="X194" s="260">
        <f t="shared" si="196"/>
        <v>234.6217792544</v>
      </c>
      <c r="Y194" s="212"/>
      <c r="Z194" s="175"/>
      <c r="AC194" s="216" t="s">
        <v>606</v>
      </c>
      <c r="AE194" s="239">
        <f t="shared" si="197"/>
        <v>2</v>
      </c>
      <c r="AG194" s="312">
        <f t="shared" si="208"/>
        <v>123485.146976</v>
      </c>
      <c r="AH194" s="385"/>
      <c r="AI194" s="260">
        <f t="shared" si="199"/>
        <v>74412.149567737593</v>
      </c>
      <c r="AJ194" s="212"/>
      <c r="AK194" s="260">
        <f t="shared" si="200"/>
        <v>48640.799393846399</v>
      </c>
      <c r="AL194" s="212"/>
      <c r="AM194" s="260">
        <f t="shared" si="201"/>
        <v>0</v>
      </c>
      <c r="AN194" s="212"/>
      <c r="AO194" s="260">
        <f t="shared" si="202"/>
        <v>0</v>
      </c>
      <c r="AP194" s="212"/>
      <c r="AQ194" s="260">
        <f t="shared" si="203"/>
        <v>0</v>
      </c>
      <c r="AR194" s="212"/>
      <c r="AS194" s="260">
        <f t="shared" si="204"/>
        <v>0</v>
      </c>
      <c r="AT194" s="212"/>
      <c r="AU194" s="260">
        <f t="shared" si="205"/>
        <v>0</v>
      </c>
      <c r="AV194" s="212"/>
      <c r="AW194" s="260">
        <f t="shared" si="206"/>
        <v>197.57623516160001</v>
      </c>
      <c r="AX194" s="212"/>
      <c r="AY194" s="260">
        <f t="shared" si="207"/>
        <v>234.6217792544</v>
      </c>
      <c r="BA194" s="175"/>
      <c r="BB194" s="145"/>
      <c r="BC194" s="145"/>
      <c r="BD194" s="145"/>
    </row>
    <row r="195" spans="1:56">
      <c r="A195" s="551"/>
      <c r="B195" s="552"/>
      <c r="F195" s="216" t="s">
        <v>607</v>
      </c>
      <c r="G195" s="139"/>
      <c r="H195" s="261">
        <v>7</v>
      </c>
      <c r="I195" s="216"/>
      <c r="J195" s="313">
        <v>23938.515964749997</v>
      </c>
      <c r="K195" s="385"/>
      <c r="L195" s="260">
        <f t="shared" si="190"/>
        <v>11231.951690660697</v>
      </c>
      <c r="M195" s="212"/>
      <c r="N195" s="260">
        <f t="shared" si="191"/>
        <v>6817.6893467607988</v>
      </c>
      <c r="O195" s="212"/>
      <c r="P195" s="260">
        <f t="shared" si="192"/>
        <v>804.33413641560003</v>
      </c>
      <c r="Q195" s="212"/>
      <c r="R195" s="260">
        <f t="shared" si="193"/>
        <v>2037.1677086002246</v>
      </c>
      <c r="S195" s="212"/>
      <c r="T195" s="260">
        <f t="shared" si="194"/>
        <v>143.63109578849998</v>
      </c>
      <c r="U195" s="212"/>
      <c r="V195" s="260">
        <f t="shared" si="195"/>
        <v>1311.8306748682999</v>
      </c>
      <c r="W195" s="212"/>
      <c r="X195" s="260">
        <f t="shared" si="196"/>
        <v>1591.9113116558749</v>
      </c>
      <c r="Y195" s="212"/>
      <c r="Z195" s="175"/>
      <c r="AC195" s="216" t="s">
        <v>607</v>
      </c>
      <c r="AE195" s="239">
        <f t="shared" si="197"/>
        <v>7</v>
      </c>
      <c r="AG195" s="312">
        <f t="shared" si="208"/>
        <v>23938.515964749997</v>
      </c>
      <c r="AH195" s="385"/>
      <c r="AI195" s="260">
        <f t="shared" si="199"/>
        <v>9309.6888586912737</v>
      </c>
      <c r="AJ195" s="212"/>
      <c r="AK195" s="260">
        <f t="shared" si="200"/>
        <v>1773.8440329879747</v>
      </c>
      <c r="AL195" s="212"/>
      <c r="AM195" s="260">
        <f t="shared" si="201"/>
        <v>9951.2410865465736</v>
      </c>
      <c r="AN195" s="212"/>
      <c r="AO195" s="260">
        <f t="shared" si="202"/>
        <v>0</v>
      </c>
      <c r="AP195" s="212"/>
      <c r="AQ195" s="260">
        <f t="shared" si="203"/>
        <v>0</v>
      </c>
      <c r="AR195" s="212"/>
      <c r="AS195" s="260">
        <f t="shared" si="204"/>
        <v>0</v>
      </c>
      <c r="AT195" s="212"/>
      <c r="AU195" s="260">
        <f t="shared" si="205"/>
        <v>0</v>
      </c>
      <c r="AV195" s="212"/>
      <c r="AW195" s="260">
        <f t="shared" si="206"/>
        <v>1311.8306748682999</v>
      </c>
      <c r="AX195" s="212"/>
      <c r="AY195" s="260">
        <f t="shared" si="207"/>
        <v>1591.9113116558749</v>
      </c>
      <c r="BA195" s="175"/>
      <c r="BB195" s="145"/>
      <c r="BC195" s="145"/>
      <c r="BD195" s="145"/>
    </row>
    <row r="196" spans="1:56">
      <c r="A196" s="551"/>
      <c r="B196" s="552"/>
      <c r="F196" s="216" t="s">
        <v>716</v>
      </c>
      <c r="G196" s="139"/>
      <c r="H196" s="261">
        <v>7</v>
      </c>
      <c r="I196" s="216"/>
      <c r="J196" s="313">
        <v>6699.2057064562505</v>
      </c>
      <c r="K196" s="385"/>
      <c r="L196" s="260">
        <f t="shared" si="190"/>
        <v>3143.2673174692723</v>
      </c>
      <c r="M196" s="212"/>
      <c r="N196" s="260">
        <f t="shared" si="191"/>
        <v>1907.9337851987402</v>
      </c>
      <c r="O196" s="212"/>
      <c r="P196" s="260">
        <f t="shared" si="192"/>
        <v>225.09331173693005</v>
      </c>
      <c r="Q196" s="212"/>
      <c r="R196" s="260">
        <f t="shared" si="193"/>
        <v>570.10240561942692</v>
      </c>
      <c r="S196" s="212"/>
      <c r="T196" s="260">
        <f t="shared" si="194"/>
        <v>40.195234238737505</v>
      </c>
      <c r="U196" s="212"/>
      <c r="V196" s="260">
        <f t="shared" si="195"/>
        <v>367.11647271380252</v>
      </c>
      <c r="W196" s="212"/>
      <c r="X196" s="260">
        <f t="shared" si="196"/>
        <v>445.49717947934067</v>
      </c>
      <c r="Y196" s="212"/>
      <c r="Z196" s="175"/>
      <c r="AC196" s="216" t="s">
        <v>716</v>
      </c>
      <c r="AE196" s="239">
        <f t="shared" si="197"/>
        <v>7</v>
      </c>
      <c r="AG196" s="312">
        <f t="shared" si="208"/>
        <v>6699.2057064562505</v>
      </c>
      <c r="AH196" s="385"/>
      <c r="AI196" s="260">
        <f t="shared" si="199"/>
        <v>2605.3210992408358</v>
      </c>
      <c r="AJ196" s="212"/>
      <c r="AK196" s="260">
        <f t="shared" si="200"/>
        <v>496.41114284840813</v>
      </c>
      <c r="AL196" s="212"/>
      <c r="AM196" s="260">
        <f t="shared" si="201"/>
        <v>2784.8598121738632</v>
      </c>
      <c r="AN196" s="212"/>
      <c r="AO196" s="260">
        <f t="shared" si="202"/>
        <v>0</v>
      </c>
      <c r="AP196" s="212"/>
      <c r="AQ196" s="260">
        <f t="shared" si="203"/>
        <v>0</v>
      </c>
      <c r="AR196" s="212"/>
      <c r="AS196" s="260">
        <f t="shared" si="204"/>
        <v>0</v>
      </c>
      <c r="AT196" s="212"/>
      <c r="AU196" s="260">
        <f t="shared" si="205"/>
        <v>0</v>
      </c>
      <c r="AV196" s="212"/>
      <c r="AW196" s="260">
        <f t="shared" si="206"/>
        <v>367.11647271380252</v>
      </c>
      <c r="AX196" s="212"/>
      <c r="AY196" s="260">
        <f t="shared" si="207"/>
        <v>445.49717947934067</v>
      </c>
      <c r="BA196" s="175"/>
      <c r="BB196" s="145"/>
      <c r="BC196" s="145"/>
      <c r="BD196" s="145"/>
    </row>
    <row r="197" spans="1:56">
      <c r="A197" s="496"/>
      <c r="B197" s="496"/>
      <c r="F197" s="216" t="s">
        <v>608</v>
      </c>
      <c r="G197" s="139"/>
      <c r="H197" s="261">
        <v>5</v>
      </c>
      <c r="I197" s="216"/>
      <c r="J197" s="313">
        <v>365931.07352953678</v>
      </c>
      <c r="K197" s="385"/>
      <c r="L197" s="260">
        <f t="shared" si="190"/>
        <v>154349.72681475864</v>
      </c>
      <c r="M197" s="212"/>
      <c r="N197" s="260">
        <f t="shared" si="191"/>
        <v>93422.203072090735</v>
      </c>
      <c r="O197" s="212"/>
      <c r="P197" s="260">
        <f t="shared" si="192"/>
        <v>10721.780454415428</v>
      </c>
      <c r="Q197" s="212"/>
      <c r="R197" s="260">
        <f t="shared" si="193"/>
        <v>26895.933904420952</v>
      </c>
      <c r="S197" s="212"/>
      <c r="T197" s="260">
        <f t="shared" si="194"/>
        <v>7611.3663294143644</v>
      </c>
      <c r="U197" s="212"/>
      <c r="V197" s="260">
        <f t="shared" si="195"/>
        <v>32970.389725011264</v>
      </c>
      <c r="W197" s="212"/>
      <c r="X197" s="260">
        <f t="shared" si="196"/>
        <v>39959.673229425418</v>
      </c>
      <c r="Y197" s="212"/>
      <c r="Z197" s="175"/>
      <c r="AC197" s="216" t="s">
        <v>608</v>
      </c>
      <c r="AE197" s="239">
        <f t="shared" si="197"/>
        <v>5</v>
      </c>
      <c r="AG197" s="312">
        <f t="shared" si="208"/>
        <v>365931.07352953678</v>
      </c>
      <c r="AH197" s="385"/>
      <c r="AI197" s="260">
        <f t="shared" si="199"/>
        <v>116805.19867062813</v>
      </c>
      <c r="AJ197" s="212"/>
      <c r="AK197" s="260">
        <f t="shared" si="200"/>
        <v>0</v>
      </c>
      <c r="AL197" s="212"/>
      <c r="AM197" s="260">
        <f t="shared" si="201"/>
        <v>176195.81190447195</v>
      </c>
      <c r="AN197" s="212"/>
      <c r="AO197" s="260">
        <f t="shared" si="202"/>
        <v>0</v>
      </c>
      <c r="AP197" s="212"/>
      <c r="AQ197" s="260">
        <f t="shared" si="203"/>
        <v>0</v>
      </c>
      <c r="AR197" s="212"/>
      <c r="AS197" s="260">
        <f t="shared" si="204"/>
        <v>0</v>
      </c>
      <c r="AT197" s="212"/>
      <c r="AU197" s="260">
        <f t="shared" si="205"/>
        <v>0</v>
      </c>
      <c r="AV197" s="212"/>
      <c r="AW197" s="260">
        <f t="shared" si="206"/>
        <v>32970.389725011264</v>
      </c>
      <c r="AX197" s="212"/>
      <c r="AY197" s="260">
        <f t="shared" si="207"/>
        <v>39959.673229425418</v>
      </c>
      <c r="BA197" s="175"/>
      <c r="BB197" s="145"/>
      <c r="BC197" s="145"/>
      <c r="BD197" s="145"/>
    </row>
    <row r="198" spans="1:56">
      <c r="A198" s="496"/>
      <c r="B198" s="553"/>
      <c r="F198" s="216" t="s">
        <v>609</v>
      </c>
      <c r="G198" s="139"/>
      <c r="H198" s="261"/>
      <c r="I198" s="216"/>
      <c r="J198" s="313"/>
      <c r="K198" s="386"/>
      <c r="L198" s="260"/>
      <c r="M198" s="212"/>
      <c r="N198" s="260"/>
      <c r="O198" s="212"/>
      <c r="P198" s="260"/>
      <c r="Q198" s="212"/>
      <c r="R198" s="260"/>
      <c r="S198" s="212"/>
      <c r="T198" s="260"/>
      <c r="U198" s="212"/>
      <c r="V198" s="260"/>
      <c r="W198" s="212"/>
      <c r="X198" s="260"/>
      <c r="Y198" s="212"/>
      <c r="Z198" s="175"/>
      <c r="AC198" s="216" t="s">
        <v>609</v>
      </c>
      <c r="AE198" s="239"/>
      <c r="AG198" s="312"/>
      <c r="AH198" s="385"/>
      <c r="AI198" s="260"/>
      <c r="AJ198" s="212"/>
      <c r="AK198" s="260"/>
      <c r="AL198" s="212"/>
      <c r="AM198" s="260"/>
      <c r="AN198" s="212"/>
      <c r="AO198" s="260"/>
      <c r="AP198" s="212"/>
      <c r="AQ198" s="260"/>
      <c r="AR198" s="212"/>
      <c r="AS198" s="260"/>
      <c r="AT198" s="212"/>
      <c r="AU198" s="260"/>
      <c r="AV198" s="212"/>
      <c r="AW198" s="260"/>
      <c r="AX198" s="212"/>
      <c r="AY198" s="260"/>
      <c r="BA198" s="175"/>
      <c r="BB198" s="145"/>
      <c r="BC198" s="145"/>
      <c r="BD198" s="145"/>
    </row>
    <row r="199" spans="1:56">
      <c r="B199" s="312"/>
      <c r="F199" s="529" t="s">
        <v>750</v>
      </c>
      <c r="G199" s="139"/>
      <c r="H199" s="261">
        <v>4</v>
      </c>
      <c r="I199" s="216"/>
      <c r="J199" s="313">
        <v>467982.16765085317</v>
      </c>
      <c r="K199" s="385"/>
      <c r="L199" s="260">
        <f t="shared" ref="L199:L234" si="209">(VLOOKUP($H199,Factors,L$382))*$J199</f>
        <v>220138.81166296132</v>
      </c>
      <c r="M199" s="212"/>
      <c r="N199" s="260">
        <f t="shared" ref="N199:N234" si="210">(VLOOKUP($H199,Factors,N$382))*$J199</f>
        <v>133234.52313019789</v>
      </c>
      <c r="O199" s="212"/>
      <c r="P199" s="260">
        <f t="shared" ref="P199:P234" si="211">(VLOOKUP($H199,Factors,P$382))*$J199</f>
        <v>15349.815098947982</v>
      </c>
      <c r="Q199" s="212"/>
      <c r="R199" s="260">
        <f t="shared" ref="R199:R234" si="212">(VLOOKUP($H199,Factors,R$382))*$J199</f>
        <v>38421.335964135047</v>
      </c>
      <c r="S199" s="212"/>
      <c r="T199" s="260">
        <f t="shared" ref="T199:T234" si="213">(VLOOKUP($H199,Factors,T$382))*$J199</f>
        <v>0</v>
      </c>
      <c r="U199" s="212"/>
      <c r="V199" s="260">
        <f t="shared" ref="V199:V234" si="214">(VLOOKUP($H199,Factors,V$382))*$J199</f>
        <v>27470.553241105077</v>
      </c>
      <c r="W199" s="212"/>
      <c r="X199" s="260">
        <f t="shared" ref="X199:X234" si="215">(VLOOKUP($H199,Factors,X$382))*$J199</f>
        <v>33367.128553505834</v>
      </c>
      <c r="Y199" s="212"/>
      <c r="Z199" s="175"/>
      <c r="AC199" s="529" t="s">
        <v>750</v>
      </c>
      <c r="AE199" s="239">
        <f t="shared" si="197"/>
        <v>4</v>
      </c>
      <c r="AG199" s="312">
        <f t="shared" si="198"/>
        <v>467982.16765085317</v>
      </c>
      <c r="AH199" s="385"/>
      <c r="AI199" s="260">
        <f t="shared" ref="AI199:AI234" si="216">(VLOOKUP($AE199,func,AI$382))*$AG199</f>
        <v>162249.41752455081</v>
      </c>
      <c r="AJ199" s="212"/>
      <c r="AK199" s="260">
        <f t="shared" ref="AK199:AK234" si="217">(VLOOKUP($AE199,func,AK$382))*$AG199</f>
        <v>0</v>
      </c>
      <c r="AL199" s="212"/>
      <c r="AM199" s="260">
        <f t="shared" ref="AM199:AM234" si="218">(VLOOKUP($AE199,func,AM$382))*$AG199</f>
        <v>244895.06833169147</v>
      </c>
      <c r="AN199" s="212"/>
      <c r="AO199" s="260">
        <f t="shared" ref="AO199:AO234" si="219">(VLOOKUP($AE199,func,AO$382))*$AG199</f>
        <v>0</v>
      </c>
      <c r="AP199" s="212"/>
      <c r="AQ199" s="260">
        <f t="shared" ref="AQ199:AQ234" si="220">(VLOOKUP($AE199,func,AQ$382))*$AG199</f>
        <v>0</v>
      </c>
      <c r="AR199" s="212"/>
      <c r="AS199" s="260">
        <f t="shared" ref="AS199:AS234" si="221">(VLOOKUP($AE199,func,AS$382))*$AG199</f>
        <v>0</v>
      </c>
      <c r="AT199" s="212"/>
      <c r="AU199" s="260">
        <f t="shared" ref="AU199:AU234" si="222">(VLOOKUP($AE199,func,AU$382))*$AG199</f>
        <v>0</v>
      </c>
      <c r="AV199" s="212"/>
      <c r="AW199" s="260">
        <f t="shared" ref="AW199:AW234" si="223">(VLOOKUP($AE199,func,AW$382))*$AG199</f>
        <v>27470.553241105077</v>
      </c>
      <c r="AX199" s="212"/>
      <c r="AY199" s="260">
        <f t="shared" ref="AY199:AY234" si="224">(VLOOKUP($AE199,func,AY$382))*$AG199</f>
        <v>33367.128553505834</v>
      </c>
      <c r="BA199" s="175"/>
      <c r="BB199" s="145"/>
      <c r="BC199" s="145"/>
      <c r="BD199" s="145"/>
    </row>
    <row r="200" spans="1:56">
      <c r="A200" s="496"/>
      <c r="B200" s="496"/>
      <c r="F200" s="216" t="s">
        <v>753</v>
      </c>
      <c r="G200" s="139"/>
      <c r="H200" s="261">
        <v>4</v>
      </c>
      <c r="I200" s="216"/>
      <c r="J200" s="313">
        <v>203023.49325333335</v>
      </c>
      <c r="K200" s="385"/>
      <c r="L200" s="260">
        <f t="shared" si="209"/>
        <v>95502.251226368011</v>
      </c>
      <c r="M200" s="212"/>
      <c r="N200" s="260">
        <f t="shared" si="210"/>
        <v>57800.788529224003</v>
      </c>
      <c r="O200" s="212"/>
      <c r="P200" s="260">
        <f t="shared" si="211"/>
        <v>6659.1705787093333</v>
      </c>
      <c r="Q200" s="212"/>
      <c r="R200" s="260">
        <f t="shared" si="212"/>
        <v>16668.228796098669</v>
      </c>
      <c r="S200" s="212"/>
      <c r="T200" s="260">
        <f t="shared" si="213"/>
        <v>0</v>
      </c>
      <c r="U200" s="212"/>
      <c r="V200" s="260">
        <f t="shared" si="214"/>
        <v>11917.479053970666</v>
      </c>
      <c r="W200" s="212"/>
      <c r="X200" s="260">
        <f t="shared" si="215"/>
        <v>14475.575068962668</v>
      </c>
      <c r="Y200" s="212"/>
      <c r="Z200" s="175"/>
      <c r="AC200" s="216" t="s">
        <v>753</v>
      </c>
      <c r="AE200" s="239">
        <f t="shared" ref="AE200:AE233" si="225">+H200</f>
        <v>4</v>
      </c>
      <c r="AG200" s="312">
        <f t="shared" ref="AG200:AG203" si="226">+J200</f>
        <v>203023.49325333335</v>
      </c>
      <c r="AH200" s="385"/>
      <c r="AI200" s="260">
        <f t="shared" si="216"/>
        <v>70388.245110930671</v>
      </c>
      <c r="AJ200" s="212"/>
      <c r="AK200" s="260">
        <f t="shared" si="217"/>
        <v>0</v>
      </c>
      <c r="AL200" s="212"/>
      <c r="AM200" s="260">
        <f t="shared" si="218"/>
        <v>106242.19401946935</v>
      </c>
      <c r="AN200" s="212"/>
      <c r="AO200" s="260">
        <f t="shared" si="219"/>
        <v>0</v>
      </c>
      <c r="AP200" s="212"/>
      <c r="AQ200" s="260">
        <f t="shared" si="220"/>
        <v>0</v>
      </c>
      <c r="AR200" s="212"/>
      <c r="AS200" s="260">
        <f t="shared" si="221"/>
        <v>0</v>
      </c>
      <c r="AT200" s="212"/>
      <c r="AU200" s="260">
        <f t="shared" si="222"/>
        <v>0</v>
      </c>
      <c r="AV200" s="212"/>
      <c r="AW200" s="260">
        <f t="shared" si="223"/>
        <v>11917.479053970666</v>
      </c>
      <c r="AX200" s="212"/>
      <c r="AY200" s="260">
        <f t="shared" si="224"/>
        <v>14475.575068962668</v>
      </c>
      <c r="BA200" s="175"/>
      <c r="BB200" s="145"/>
      <c r="BC200" s="145"/>
      <c r="BD200" s="145"/>
    </row>
    <row r="201" spans="1:56">
      <c r="A201" s="496"/>
      <c r="B201" s="496"/>
      <c r="F201" s="216" t="s">
        <v>751</v>
      </c>
      <c r="G201" s="139"/>
      <c r="H201" s="261">
        <v>4</v>
      </c>
      <c r="I201" s="216"/>
      <c r="J201" s="313">
        <v>650991.30666327651</v>
      </c>
      <c r="K201" s="385"/>
      <c r="L201" s="260">
        <f t="shared" si="209"/>
        <v>306226.31065440527</v>
      </c>
      <c r="M201" s="212"/>
      <c r="N201" s="260">
        <f t="shared" si="210"/>
        <v>185337.22500703484</v>
      </c>
      <c r="O201" s="212"/>
      <c r="P201" s="260">
        <f t="shared" si="211"/>
        <v>21352.514858555467</v>
      </c>
      <c r="Q201" s="212"/>
      <c r="R201" s="260">
        <f t="shared" si="212"/>
        <v>53446.386277055004</v>
      </c>
      <c r="S201" s="212"/>
      <c r="T201" s="260">
        <f t="shared" si="213"/>
        <v>0</v>
      </c>
      <c r="U201" s="212"/>
      <c r="V201" s="260">
        <f t="shared" si="214"/>
        <v>38213.189701134332</v>
      </c>
      <c r="W201" s="212"/>
      <c r="X201" s="260">
        <f t="shared" si="215"/>
        <v>46415.680165091617</v>
      </c>
      <c r="Y201" s="212"/>
      <c r="Z201" s="175"/>
      <c r="AC201" s="216" t="s">
        <v>751</v>
      </c>
      <c r="AE201" s="239">
        <f t="shared" si="225"/>
        <v>4</v>
      </c>
      <c r="AG201" s="312">
        <f t="shared" si="226"/>
        <v>650991.30666327651</v>
      </c>
      <c r="AH201" s="385"/>
      <c r="AI201" s="260">
        <f t="shared" si="216"/>
        <v>225698.68602015797</v>
      </c>
      <c r="AJ201" s="212"/>
      <c r="AK201" s="260">
        <f t="shared" si="217"/>
        <v>0</v>
      </c>
      <c r="AL201" s="212"/>
      <c r="AM201" s="260">
        <f t="shared" si="218"/>
        <v>340663.75077689259</v>
      </c>
      <c r="AN201" s="212"/>
      <c r="AO201" s="260">
        <f t="shared" si="219"/>
        <v>0</v>
      </c>
      <c r="AP201" s="212"/>
      <c r="AQ201" s="260">
        <f t="shared" si="220"/>
        <v>0</v>
      </c>
      <c r="AR201" s="212"/>
      <c r="AS201" s="260">
        <f t="shared" si="221"/>
        <v>0</v>
      </c>
      <c r="AT201" s="212"/>
      <c r="AU201" s="260">
        <f t="shared" si="222"/>
        <v>0</v>
      </c>
      <c r="AV201" s="212"/>
      <c r="AW201" s="260">
        <f t="shared" si="223"/>
        <v>38213.189701134332</v>
      </c>
      <c r="AX201" s="212"/>
      <c r="AY201" s="260">
        <f t="shared" si="224"/>
        <v>46415.680165091617</v>
      </c>
      <c r="BA201" s="175"/>
      <c r="BB201" s="145"/>
      <c r="BC201" s="145"/>
      <c r="BD201" s="145"/>
    </row>
    <row r="202" spans="1:56">
      <c r="A202" s="496"/>
      <c r="B202" s="496"/>
      <c r="F202" s="216" t="s">
        <v>752</v>
      </c>
      <c r="G202" s="139"/>
      <c r="H202" s="261">
        <v>3</v>
      </c>
      <c r="I202" s="216"/>
      <c r="J202" s="313">
        <v>820812.14513800002</v>
      </c>
      <c r="K202" s="385"/>
      <c r="L202" s="260">
        <f t="shared" si="209"/>
        <v>381185.16020208719</v>
      </c>
      <c r="M202" s="212"/>
      <c r="N202" s="260">
        <f t="shared" si="210"/>
        <v>233931.46136433</v>
      </c>
      <c r="O202" s="212"/>
      <c r="P202" s="260">
        <f t="shared" si="211"/>
        <v>30123.805726564602</v>
      </c>
      <c r="Q202" s="212"/>
      <c r="R202" s="260">
        <f t="shared" si="212"/>
        <v>79290.45322033079</v>
      </c>
      <c r="S202" s="212"/>
      <c r="T202" s="260">
        <f t="shared" si="213"/>
        <v>24131.877067057201</v>
      </c>
      <c r="U202" s="212"/>
      <c r="V202" s="260">
        <f t="shared" si="214"/>
        <v>32586.2421619786</v>
      </c>
      <c r="W202" s="212"/>
      <c r="X202" s="260">
        <f t="shared" si="215"/>
        <v>39563.145395651598</v>
      </c>
      <c r="Y202" s="212"/>
      <c r="Z202" s="175"/>
      <c r="AC202" s="216" t="s">
        <v>752</v>
      </c>
      <c r="AE202" s="239">
        <f t="shared" si="225"/>
        <v>3</v>
      </c>
      <c r="AG202" s="312">
        <f t="shared" si="226"/>
        <v>820812.14513800002</v>
      </c>
      <c r="AH202" s="385"/>
      <c r="AI202" s="260">
        <f t="shared" si="216"/>
        <v>455304.49690804858</v>
      </c>
      <c r="AJ202" s="212"/>
      <c r="AK202" s="260">
        <f t="shared" si="217"/>
        <v>295984.85953676281</v>
      </c>
      <c r="AL202" s="212"/>
      <c r="AM202" s="260">
        <f t="shared" si="218"/>
        <v>0</v>
      </c>
      <c r="AN202" s="212"/>
      <c r="AO202" s="260">
        <f t="shared" si="219"/>
        <v>0</v>
      </c>
      <c r="AP202" s="212"/>
      <c r="AQ202" s="260">
        <f t="shared" si="220"/>
        <v>0</v>
      </c>
      <c r="AR202" s="212"/>
      <c r="AS202" s="260">
        <f t="shared" si="221"/>
        <v>0</v>
      </c>
      <c r="AT202" s="212"/>
      <c r="AU202" s="260">
        <f t="shared" si="222"/>
        <v>0</v>
      </c>
      <c r="AV202" s="212"/>
      <c r="AW202" s="260">
        <f t="shared" si="223"/>
        <v>31437.105158785402</v>
      </c>
      <c r="AX202" s="212"/>
      <c r="AY202" s="260">
        <f t="shared" si="224"/>
        <v>38085.683534403201</v>
      </c>
      <c r="BA202" s="175"/>
      <c r="BB202" s="145"/>
      <c r="BC202" s="145"/>
      <c r="BD202" s="145"/>
    </row>
    <row r="203" spans="1:56">
      <c r="A203" s="496"/>
      <c r="B203" s="496"/>
      <c r="F203" s="216" t="s">
        <v>754</v>
      </c>
      <c r="G203" s="139"/>
      <c r="H203" s="261">
        <v>3</v>
      </c>
      <c r="I203" s="216"/>
      <c r="J203" s="313">
        <v>1492613.0282496666</v>
      </c>
      <c r="K203" s="385"/>
      <c r="L203" s="260">
        <f t="shared" si="209"/>
        <v>693169.49031914514</v>
      </c>
      <c r="M203" s="212"/>
      <c r="N203" s="260">
        <f t="shared" si="210"/>
        <v>425394.71305115492</v>
      </c>
      <c r="O203" s="212"/>
      <c r="P203" s="260">
        <f t="shared" si="211"/>
        <v>54778.898136762771</v>
      </c>
      <c r="Q203" s="212"/>
      <c r="R203" s="260">
        <f t="shared" si="212"/>
        <v>144186.41852891777</v>
      </c>
      <c r="S203" s="212"/>
      <c r="T203" s="260">
        <f t="shared" si="213"/>
        <v>43882.823030540196</v>
      </c>
      <c r="U203" s="212"/>
      <c r="V203" s="260">
        <f t="shared" si="214"/>
        <v>59256.737221511765</v>
      </c>
      <c r="W203" s="212"/>
      <c r="X203" s="260">
        <f t="shared" si="215"/>
        <v>71943.947961633923</v>
      </c>
      <c r="Y203" s="212"/>
      <c r="Z203" s="175"/>
      <c r="AC203" s="216" t="s">
        <v>754</v>
      </c>
      <c r="AE203" s="239">
        <f t="shared" si="225"/>
        <v>3</v>
      </c>
      <c r="AG203" s="312">
        <f t="shared" si="226"/>
        <v>1492613.0282496666</v>
      </c>
      <c r="AH203" s="385"/>
      <c r="AI203" s="260">
        <f t="shared" si="216"/>
        <v>827952.44677009003</v>
      </c>
      <c r="AJ203" s="212"/>
      <c r="AK203" s="260">
        <f t="shared" si="217"/>
        <v>538236.25798682973</v>
      </c>
      <c r="AL203" s="212"/>
      <c r="AM203" s="260">
        <f t="shared" si="218"/>
        <v>0</v>
      </c>
      <c r="AN203" s="212"/>
      <c r="AO203" s="260">
        <f t="shared" si="219"/>
        <v>0</v>
      </c>
      <c r="AP203" s="212"/>
      <c r="AQ203" s="260">
        <f t="shared" si="220"/>
        <v>0</v>
      </c>
      <c r="AR203" s="212"/>
      <c r="AS203" s="260">
        <f t="shared" si="221"/>
        <v>0</v>
      </c>
      <c r="AT203" s="212"/>
      <c r="AU203" s="260">
        <f t="shared" si="222"/>
        <v>0</v>
      </c>
      <c r="AV203" s="212"/>
      <c r="AW203" s="260">
        <f t="shared" si="223"/>
        <v>57167.07898196223</v>
      </c>
      <c r="AX203" s="212"/>
      <c r="AY203" s="260">
        <f t="shared" si="224"/>
        <v>69257.244510784527</v>
      </c>
      <c r="BA203" s="175"/>
      <c r="BB203" s="145"/>
      <c r="BC203" s="145"/>
      <c r="BD203" s="145"/>
    </row>
    <row r="204" spans="1:56">
      <c r="A204" s="496"/>
      <c r="B204" s="496"/>
      <c r="F204" s="216" t="s">
        <v>610</v>
      </c>
      <c r="G204" s="139"/>
      <c r="H204" s="261">
        <v>10</v>
      </c>
      <c r="I204" s="216"/>
      <c r="J204" s="313">
        <v>869641.23344091547</v>
      </c>
      <c r="K204" s="385"/>
      <c r="L204" s="260">
        <f t="shared" si="209"/>
        <v>716584.37635531439</v>
      </c>
      <c r="M204" s="212"/>
      <c r="N204" s="260">
        <f t="shared" si="210"/>
        <v>98443.387625511634</v>
      </c>
      <c r="O204" s="212"/>
      <c r="P204" s="260">
        <f t="shared" si="211"/>
        <v>1043.5694801290986</v>
      </c>
      <c r="Q204" s="212"/>
      <c r="R204" s="260">
        <f t="shared" si="212"/>
        <v>12174.977268172817</v>
      </c>
      <c r="S204" s="212"/>
      <c r="T204" s="260">
        <f t="shared" si="213"/>
        <v>521.78474006454928</v>
      </c>
      <c r="U204" s="212"/>
      <c r="V204" s="260">
        <f t="shared" si="214"/>
        <v>40873.13797172303</v>
      </c>
      <c r="W204" s="212"/>
      <c r="X204" s="260">
        <f t="shared" si="215"/>
        <v>0</v>
      </c>
      <c r="Y204" s="212"/>
      <c r="Z204" s="175"/>
      <c r="AC204" s="216" t="s">
        <v>610</v>
      </c>
      <c r="AE204" s="239">
        <f t="shared" si="225"/>
        <v>10</v>
      </c>
      <c r="AG204" s="312">
        <f t="shared" ref="AG204:AG233" si="227">+J204</f>
        <v>869641.23344091547</v>
      </c>
      <c r="AH204" s="385"/>
      <c r="AI204" s="260">
        <f t="shared" si="216"/>
        <v>0</v>
      </c>
      <c r="AJ204" s="212"/>
      <c r="AK204" s="260">
        <f t="shared" si="217"/>
        <v>0</v>
      </c>
      <c r="AL204" s="212"/>
      <c r="AM204" s="260">
        <f t="shared" si="218"/>
        <v>0</v>
      </c>
      <c r="AN204" s="212"/>
      <c r="AO204" s="260">
        <f t="shared" si="219"/>
        <v>0</v>
      </c>
      <c r="AP204" s="212"/>
      <c r="AQ204" s="260">
        <f t="shared" si="220"/>
        <v>828768.09546919237</v>
      </c>
      <c r="AR204" s="212"/>
      <c r="AS204" s="260">
        <f t="shared" si="221"/>
        <v>0</v>
      </c>
      <c r="AT204" s="212"/>
      <c r="AU204" s="260">
        <f t="shared" si="222"/>
        <v>0</v>
      </c>
      <c r="AV204" s="212"/>
      <c r="AW204" s="260">
        <f t="shared" si="223"/>
        <v>40873.13797172303</v>
      </c>
      <c r="AX204" s="212"/>
      <c r="AY204" s="260">
        <f t="shared" si="224"/>
        <v>0</v>
      </c>
      <c r="BA204" s="175"/>
      <c r="BB204" s="145"/>
      <c r="BC204" s="145"/>
      <c r="BD204" s="145"/>
    </row>
    <row r="205" spans="1:56">
      <c r="A205" s="496"/>
      <c r="B205" s="496"/>
      <c r="F205" s="216" t="s">
        <v>611</v>
      </c>
      <c r="G205" s="139"/>
      <c r="H205" s="261">
        <v>9</v>
      </c>
      <c r="I205" s="216"/>
      <c r="J205" s="313">
        <v>695560.54340201023</v>
      </c>
      <c r="K205" s="385"/>
      <c r="L205" s="260">
        <f t="shared" si="209"/>
        <v>575228.56939346239</v>
      </c>
      <c r="M205" s="212"/>
      <c r="N205" s="260">
        <f t="shared" si="210"/>
        <v>91257.543294343748</v>
      </c>
      <c r="O205" s="212"/>
      <c r="P205" s="260">
        <f t="shared" si="211"/>
        <v>2851.7982279482421</v>
      </c>
      <c r="Q205" s="212"/>
      <c r="R205" s="260">
        <f t="shared" si="212"/>
        <v>16484.784878627641</v>
      </c>
      <c r="S205" s="212"/>
      <c r="T205" s="260">
        <f t="shared" si="213"/>
        <v>1669.3453041648245</v>
      </c>
      <c r="U205" s="212"/>
      <c r="V205" s="260">
        <f t="shared" si="214"/>
        <v>8068.5023034633177</v>
      </c>
      <c r="W205" s="212"/>
      <c r="X205" s="260">
        <f t="shared" si="215"/>
        <v>0</v>
      </c>
      <c r="Y205" s="212"/>
      <c r="Z205" s="175"/>
      <c r="AC205" s="216" t="s">
        <v>611</v>
      </c>
      <c r="AE205" s="239">
        <f t="shared" si="225"/>
        <v>9</v>
      </c>
      <c r="AG205" s="312">
        <f t="shared" si="227"/>
        <v>695560.54340201023</v>
      </c>
      <c r="AH205" s="385"/>
      <c r="AI205" s="260">
        <f t="shared" si="216"/>
        <v>0</v>
      </c>
      <c r="AJ205" s="212"/>
      <c r="AK205" s="260">
        <f t="shared" si="217"/>
        <v>0</v>
      </c>
      <c r="AL205" s="212"/>
      <c r="AM205" s="260">
        <f t="shared" si="218"/>
        <v>0</v>
      </c>
      <c r="AN205" s="212"/>
      <c r="AO205" s="260">
        <f t="shared" si="219"/>
        <v>687492.04109854682</v>
      </c>
      <c r="AP205" s="212"/>
      <c r="AQ205" s="260">
        <f t="shared" si="220"/>
        <v>0</v>
      </c>
      <c r="AR205" s="212"/>
      <c r="AS205" s="260">
        <f t="shared" si="221"/>
        <v>0</v>
      </c>
      <c r="AT205" s="212"/>
      <c r="AU205" s="260">
        <f t="shared" si="222"/>
        <v>0</v>
      </c>
      <c r="AV205" s="212"/>
      <c r="AW205" s="260">
        <f t="shared" si="223"/>
        <v>8068.5023034633177</v>
      </c>
      <c r="AX205" s="212"/>
      <c r="AY205" s="260">
        <f t="shared" si="224"/>
        <v>0</v>
      </c>
      <c r="BA205" s="175"/>
      <c r="BB205" s="145"/>
      <c r="BC205" s="145"/>
      <c r="BD205" s="145"/>
    </row>
    <row r="206" spans="1:56">
      <c r="A206" s="496"/>
      <c r="B206" s="496"/>
      <c r="F206" s="216" t="s">
        <v>612</v>
      </c>
      <c r="G206" s="139"/>
      <c r="H206" s="261">
        <v>9</v>
      </c>
      <c r="I206" s="216"/>
      <c r="J206" s="313">
        <v>526441.07862508914</v>
      </c>
      <c r="K206" s="385"/>
      <c r="L206" s="260">
        <f t="shared" si="209"/>
        <v>435366.77202294872</v>
      </c>
      <c r="M206" s="212"/>
      <c r="N206" s="260">
        <f t="shared" si="210"/>
        <v>69069.0695156117</v>
      </c>
      <c r="O206" s="212"/>
      <c r="P206" s="260">
        <f t="shared" si="211"/>
        <v>2158.4084223628656</v>
      </c>
      <c r="Q206" s="212"/>
      <c r="R206" s="260">
        <f t="shared" si="212"/>
        <v>12476.653563414611</v>
      </c>
      <c r="S206" s="212"/>
      <c r="T206" s="260">
        <f t="shared" si="213"/>
        <v>1263.4585887002138</v>
      </c>
      <c r="U206" s="212"/>
      <c r="V206" s="260">
        <f t="shared" si="214"/>
        <v>6106.7165120510335</v>
      </c>
      <c r="W206" s="212"/>
      <c r="X206" s="260">
        <f t="shared" si="215"/>
        <v>0</v>
      </c>
      <c r="Y206" s="212"/>
      <c r="Z206" s="175"/>
      <c r="AC206" s="216" t="s">
        <v>612</v>
      </c>
      <c r="AE206" s="239">
        <f t="shared" si="225"/>
        <v>9</v>
      </c>
      <c r="AG206" s="312">
        <f t="shared" si="227"/>
        <v>526441.07862508914</v>
      </c>
      <c r="AH206" s="385"/>
      <c r="AI206" s="260">
        <f t="shared" si="216"/>
        <v>0</v>
      </c>
      <c r="AJ206" s="212"/>
      <c r="AK206" s="260">
        <f t="shared" si="217"/>
        <v>0</v>
      </c>
      <c r="AL206" s="212"/>
      <c r="AM206" s="260">
        <f t="shared" si="218"/>
        <v>0</v>
      </c>
      <c r="AN206" s="212"/>
      <c r="AO206" s="260">
        <f t="shared" si="219"/>
        <v>520334.36211303808</v>
      </c>
      <c r="AP206" s="212"/>
      <c r="AQ206" s="260">
        <f t="shared" si="220"/>
        <v>0</v>
      </c>
      <c r="AR206" s="212"/>
      <c r="AS206" s="260">
        <f t="shared" si="221"/>
        <v>0</v>
      </c>
      <c r="AT206" s="212"/>
      <c r="AU206" s="260">
        <f t="shared" si="222"/>
        <v>0</v>
      </c>
      <c r="AV206" s="212"/>
      <c r="AW206" s="260">
        <f t="shared" si="223"/>
        <v>6106.7165120510335</v>
      </c>
      <c r="AX206" s="212"/>
      <c r="AY206" s="260">
        <f t="shared" si="224"/>
        <v>0</v>
      </c>
      <c r="BA206" s="175"/>
      <c r="BB206" s="145"/>
      <c r="BC206" s="145"/>
      <c r="BD206" s="145"/>
    </row>
    <row r="207" spans="1:56">
      <c r="A207" s="496"/>
      <c r="B207" s="496"/>
      <c r="F207" s="216" t="s">
        <v>613</v>
      </c>
      <c r="G207" s="139"/>
      <c r="H207" s="261">
        <v>8</v>
      </c>
      <c r="I207" s="216"/>
      <c r="J207" s="313">
        <v>163916.5153919931</v>
      </c>
      <c r="K207" s="385"/>
      <c r="L207" s="260">
        <f t="shared" si="209"/>
        <v>0</v>
      </c>
      <c r="M207" s="212"/>
      <c r="N207" s="260">
        <f t="shared" si="210"/>
        <v>0</v>
      </c>
      <c r="O207" s="212"/>
      <c r="P207" s="260">
        <f t="shared" si="211"/>
        <v>0</v>
      </c>
      <c r="Q207" s="212"/>
      <c r="R207" s="260">
        <f t="shared" si="212"/>
        <v>0</v>
      </c>
      <c r="S207" s="212"/>
      <c r="T207" s="260">
        <f t="shared" si="213"/>
        <v>0</v>
      </c>
      <c r="U207" s="212"/>
      <c r="V207" s="260">
        <f t="shared" si="214"/>
        <v>0</v>
      </c>
      <c r="W207" s="212"/>
      <c r="X207" s="260">
        <f t="shared" si="215"/>
        <v>163916.5153919931</v>
      </c>
      <c r="Y207" s="212"/>
      <c r="Z207" s="175"/>
      <c r="AC207" s="216" t="s">
        <v>613</v>
      </c>
      <c r="AE207" s="239">
        <f t="shared" si="225"/>
        <v>8</v>
      </c>
      <c r="AG207" s="312">
        <f t="shared" si="227"/>
        <v>163916.5153919931</v>
      </c>
      <c r="AH207" s="385"/>
      <c r="AI207" s="260">
        <f t="shared" si="216"/>
        <v>0</v>
      </c>
      <c r="AJ207" s="212"/>
      <c r="AK207" s="260">
        <f t="shared" si="217"/>
        <v>0</v>
      </c>
      <c r="AL207" s="212"/>
      <c r="AM207" s="260">
        <f t="shared" si="218"/>
        <v>0</v>
      </c>
      <c r="AN207" s="212"/>
      <c r="AO207" s="260">
        <f t="shared" si="219"/>
        <v>0</v>
      </c>
      <c r="AP207" s="212"/>
      <c r="AQ207" s="260">
        <f t="shared" si="220"/>
        <v>0</v>
      </c>
      <c r="AR207" s="212"/>
      <c r="AS207" s="260">
        <f t="shared" si="221"/>
        <v>0</v>
      </c>
      <c r="AT207" s="212"/>
      <c r="AU207" s="260">
        <f t="shared" si="222"/>
        <v>0</v>
      </c>
      <c r="AV207" s="212"/>
      <c r="AW207" s="260">
        <f t="shared" si="223"/>
        <v>0</v>
      </c>
      <c r="AX207" s="212"/>
      <c r="AY207" s="260">
        <f t="shared" si="224"/>
        <v>163916.5153919931</v>
      </c>
      <c r="BA207" s="175"/>
      <c r="BB207" s="145"/>
      <c r="BC207" s="145"/>
      <c r="BD207" s="145"/>
    </row>
    <row r="208" spans="1:56">
      <c r="A208" s="496"/>
      <c r="B208" s="496"/>
      <c r="F208" s="216" t="s">
        <v>614</v>
      </c>
      <c r="G208" s="139"/>
      <c r="H208" s="261">
        <v>15</v>
      </c>
      <c r="I208" s="216"/>
      <c r="J208" s="313">
        <v>126200.27887686659</v>
      </c>
      <c r="K208" s="385"/>
      <c r="L208" s="260">
        <f t="shared" si="209"/>
        <v>82068.041353626337</v>
      </c>
      <c r="M208" s="212"/>
      <c r="N208" s="260">
        <f t="shared" si="210"/>
        <v>25984.637420746833</v>
      </c>
      <c r="O208" s="212"/>
      <c r="P208" s="260">
        <f t="shared" si="211"/>
        <v>2599.7257448634518</v>
      </c>
      <c r="Q208" s="212"/>
      <c r="R208" s="260">
        <f t="shared" si="212"/>
        <v>7281.7560911952023</v>
      </c>
      <c r="S208" s="212"/>
      <c r="T208" s="260">
        <f t="shared" si="213"/>
        <v>1754.1838763884455</v>
      </c>
      <c r="U208" s="212"/>
      <c r="V208" s="260">
        <f t="shared" si="214"/>
        <v>2057.0645456929251</v>
      </c>
      <c r="W208" s="212"/>
      <c r="X208" s="260">
        <f t="shared" si="215"/>
        <v>4454.8698443533904</v>
      </c>
      <c r="Y208" s="212"/>
      <c r="Z208" s="175"/>
      <c r="AC208" s="216" t="s">
        <v>614</v>
      </c>
      <c r="AE208" s="239">
        <f t="shared" si="225"/>
        <v>15</v>
      </c>
      <c r="AG208" s="312">
        <f t="shared" si="227"/>
        <v>126200.27887686659</v>
      </c>
      <c r="AH208" s="385"/>
      <c r="AI208" s="260">
        <f t="shared" si="216"/>
        <v>37090.261961911092</v>
      </c>
      <c r="AJ208" s="212"/>
      <c r="AK208" s="260">
        <f t="shared" si="217"/>
        <v>19131.962277732979</v>
      </c>
      <c r="AL208" s="212"/>
      <c r="AM208" s="260">
        <f t="shared" si="218"/>
        <v>6007.1332745388499</v>
      </c>
      <c r="AN208" s="212"/>
      <c r="AO208" s="260">
        <f t="shared" si="219"/>
        <v>22892.730588263599</v>
      </c>
      <c r="AP208" s="212"/>
      <c r="AQ208" s="260">
        <f t="shared" si="220"/>
        <v>6209.0537207418365</v>
      </c>
      <c r="AR208" s="212"/>
      <c r="AS208" s="260">
        <f t="shared" si="221"/>
        <v>22186.009026553147</v>
      </c>
      <c r="AT208" s="212"/>
      <c r="AU208" s="260">
        <f t="shared" si="222"/>
        <v>6385.7341111694495</v>
      </c>
      <c r="AV208" s="212"/>
      <c r="AW208" s="260">
        <f t="shared" si="223"/>
        <v>1842.5240716022522</v>
      </c>
      <c r="AX208" s="212"/>
      <c r="AY208" s="260">
        <f t="shared" si="224"/>
        <v>4454.8698443533904</v>
      </c>
      <c r="BA208" s="175"/>
      <c r="BB208" s="145"/>
      <c r="BC208" s="145"/>
      <c r="BD208" s="145"/>
    </row>
    <row r="209" spans="1:56" ht="12.2" customHeight="1">
      <c r="A209" s="496"/>
      <c r="B209" s="496"/>
      <c r="F209" s="216" t="s">
        <v>615</v>
      </c>
      <c r="G209" s="139"/>
      <c r="H209" s="261">
        <v>15</v>
      </c>
      <c r="I209" s="216"/>
      <c r="J209" s="313">
        <v>115463.81063575002</v>
      </c>
      <c r="K209" s="385"/>
      <c r="L209" s="260">
        <f t="shared" si="209"/>
        <v>75086.116056428233</v>
      </c>
      <c r="M209" s="212"/>
      <c r="N209" s="260">
        <f t="shared" si="210"/>
        <v>23773.998609900929</v>
      </c>
      <c r="O209" s="212"/>
      <c r="P209" s="260">
        <f t="shared" si="211"/>
        <v>2378.5544990964504</v>
      </c>
      <c r="Q209" s="212"/>
      <c r="R209" s="260">
        <f t="shared" si="212"/>
        <v>6662.2618736827762</v>
      </c>
      <c r="S209" s="212"/>
      <c r="T209" s="260">
        <f t="shared" si="213"/>
        <v>1604.9469678369253</v>
      </c>
      <c r="U209" s="212"/>
      <c r="V209" s="260">
        <f t="shared" si="214"/>
        <v>1882.0601133627251</v>
      </c>
      <c r="W209" s="212"/>
      <c r="X209" s="260">
        <f t="shared" si="215"/>
        <v>4075.8725154419753</v>
      </c>
      <c r="Y209" s="212"/>
      <c r="Z209" s="175"/>
      <c r="AC209" s="216" t="s">
        <v>615</v>
      </c>
      <c r="AE209" s="239">
        <f t="shared" si="225"/>
        <v>15</v>
      </c>
      <c r="AG209" s="312">
        <f t="shared" si="227"/>
        <v>115463.81063575002</v>
      </c>
      <c r="AH209" s="385"/>
      <c r="AI209" s="260">
        <f t="shared" si="216"/>
        <v>33934.81394584693</v>
      </c>
      <c r="AJ209" s="212"/>
      <c r="AK209" s="260">
        <f t="shared" si="217"/>
        <v>17504.313692379706</v>
      </c>
      <c r="AL209" s="212"/>
      <c r="AM209" s="260">
        <f t="shared" si="218"/>
        <v>5496.0773862617016</v>
      </c>
      <c r="AN209" s="212"/>
      <c r="AO209" s="260">
        <f t="shared" si="219"/>
        <v>20945.135249325056</v>
      </c>
      <c r="AP209" s="212"/>
      <c r="AQ209" s="260">
        <f t="shared" si="220"/>
        <v>5680.8194832789013</v>
      </c>
      <c r="AR209" s="212"/>
      <c r="AS209" s="260">
        <f t="shared" si="221"/>
        <v>20298.537909764855</v>
      </c>
      <c r="AT209" s="212"/>
      <c r="AU209" s="260">
        <f t="shared" si="222"/>
        <v>5842.4688181689507</v>
      </c>
      <c r="AV209" s="212"/>
      <c r="AW209" s="260">
        <f t="shared" si="223"/>
        <v>1685.7716352819502</v>
      </c>
      <c r="AX209" s="212"/>
      <c r="AY209" s="260">
        <f t="shared" si="224"/>
        <v>4075.8725154419753</v>
      </c>
      <c r="BA209" s="175"/>
      <c r="BB209" s="145"/>
      <c r="BC209" s="145"/>
      <c r="BD209" s="145"/>
    </row>
    <row r="210" spans="1:56">
      <c r="A210" s="496"/>
      <c r="B210" s="496"/>
      <c r="F210" s="216" t="s">
        <v>616</v>
      </c>
      <c r="G210" s="139"/>
      <c r="H210" s="261">
        <v>15</v>
      </c>
      <c r="I210" s="216"/>
      <c r="J210" s="313">
        <v>36260.345646486137</v>
      </c>
      <c r="K210" s="385"/>
      <c r="L210" s="260">
        <f t="shared" si="209"/>
        <v>23580.102773909934</v>
      </c>
      <c r="M210" s="212"/>
      <c r="N210" s="260">
        <f t="shared" si="210"/>
        <v>7466.0051686114957</v>
      </c>
      <c r="O210" s="212"/>
      <c r="P210" s="260">
        <f t="shared" si="211"/>
        <v>746.96312031761443</v>
      </c>
      <c r="Q210" s="212"/>
      <c r="R210" s="260">
        <f t="shared" si="212"/>
        <v>2092.2219438022503</v>
      </c>
      <c r="S210" s="212"/>
      <c r="T210" s="260">
        <f t="shared" si="213"/>
        <v>504.01880448615731</v>
      </c>
      <c r="U210" s="212"/>
      <c r="V210" s="260">
        <f t="shared" si="214"/>
        <v>591.04363403772402</v>
      </c>
      <c r="W210" s="212"/>
      <c r="X210" s="260">
        <f t="shared" si="215"/>
        <v>1279.9902013209605</v>
      </c>
      <c r="Y210" s="212"/>
      <c r="Z210" s="175"/>
      <c r="AC210" s="216" t="s">
        <v>616</v>
      </c>
      <c r="AE210" s="239">
        <f t="shared" si="225"/>
        <v>15</v>
      </c>
      <c r="AG210" s="312">
        <f t="shared" si="227"/>
        <v>36260.345646486137</v>
      </c>
      <c r="AH210" s="385"/>
      <c r="AI210" s="260">
        <f t="shared" si="216"/>
        <v>10656.915585502276</v>
      </c>
      <c r="AJ210" s="212"/>
      <c r="AK210" s="260">
        <f t="shared" si="217"/>
        <v>5497.0684000072988</v>
      </c>
      <c r="AL210" s="212"/>
      <c r="AM210" s="260">
        <f t="shared" si="218"/>
        <v>1725.9924527727403</v>
      </c>
      <c r="AN210" s="212"/>
      <c r="AO210" s="260">
        <f t="shared" si="219"/>
        <v>6577.6267002725854</v>
      </c>
      <c r="AP210" s="212"/>
      <c r="AQ210" s="260">
        <f t="shared" si="220"/>
        <v>1784.009005807118</v>
      </c>
      <c r="AR210" s="212"/>
      <c r="AS210" s="260">
        <f t="shared" si="221"/>
        <v>6374.5687646522638</v>
      </c>
      <c r="AT210" s="212"/>
      <c r="AU210" s="260">
        <f t="shared" si="222"/>
        <v>1834.7734897121986</v>
      </c>
      <c r="AV210" s="212"/>
      <c r="AW210" s="260">
        <f t="shared" si="223"/>
        <v>529.40104643869756</v>
      </c>
      <c r="AX210" s="212"/>
      <c r="AY210" s="260">
        <f t="shared" si="224"/>
        <v>1279.9902013209605</v>
      </c>
      <c r="BA210" s="175"/>
      <c r="BB210" s="145"/>
      <c r="BC210" s="145"/>
      <c r="BD210" s="145"/>
    </row>
    <row r="211" spans="1:56">
      <c r="A211" s="496"/>
      <c r="B211" s="496"/>
      <c r="F211" s="216" t="s">
        <v>617</v>
      </c>
      <c r="G211" s="139"/>
      <c r="H211" s="261">
        <v>15</v>
      </c>
      <c r="I211" s="216"/>
      <c r="J211" s="313">
        <v>82635.919573166684</v>
      </c>
      <c r="K211" s="385"/>
      <c r="L211" s="260">
        <f t="shared" si="209"/>
        <v>53738.138498430293</v>
      </c>
      <c r="M211" s="212"/>
      <c r="N211" s="260">
        <f t="shared" si="210"/>
        <v>17014.73584011502</v>
      </c>
      <c r="O211" s="212"/>
      <c r="P211" s="260">
        <f t="shared" si="211"/>
        <v>1702.2999432072338</v>
      </c>
      <c r="Q211" s="212"/>
      <c r="R211" s="260">
        <f t="shared" si="212"/>
        <v>4768.0925593717175</v>
      </c>
      <c r="S211" s="212"/>
      <c r="T211" s="260">
        <f t="shared" si="213"/>
        <v>1148.6392820670169</v>
      </c>
      <c r="U211" s="212"/>
      <c r="V211" s="260">
        <f t="shared" si="214"/>
        <v>1346.9654890426168</v>
      </c>
      <c r="W211" s="212"/>
      <c r="X211" s="260">
        <f t="shared" si="215"/>
        <v>2917.047960932784</v>
      </c>
      <c r="Y211" s="212"/>
      <c r="Z211" s="175"/>
      <c r="AC211" s="216" t="s">
        <v>617</v>
      </c>
      <c r="AE211" s="239">
        <f t="shared" si="225"/>
        <v>15</v>
      </c>
      <c r="AG211" s="312">
        <f t="shared" si="227"/>
        <v>82635.919573166684</v>
      </c>
      <c r="AH211" s="385"/>
      <c r="AI211" s="260">
        <f t="shared" si="216"/>
        <v>24286.696762553689</v>
      </c>
      <c r="AJ211" s="212"/>
      <c r="AK211" s="260">
        <f t="shared" si="217"/>
        <v>12527.605407292071</v>
      </c>
      <c r="AL211" s="212"/>
      <c r="AM211" s="260">
        <f t="shared" si="218"/>
        <v>3933.4697716827345</v>
      </c>
      <c r="AN211" s="212"/>
      <c r="AO211" s="260">
        <f t="shared" si="219"/>
        <v>14990.155810572436</v>
      </c>
      <c r="AP211" s="212"/>
      <c r="AQ211" s="260">
        <f t="shared" si="220"/>
        <v>4065.6872429998011</v>
      </c>
      <c r="AR211" s="212"/>
      <c r="AS211" s="260">
        <f t="shared" si="221"/>
        <v>14527.394660962704</v>
      </c>
      <c r="AT211" s="212"/>
      <c r="AU211" s="260">
        <f t="shared" si="222"/>
        <v>4181.3775304022338</v>
      </c>
      <c r="AV211" s="212"/>
      <c r="AW211" s="260">
        <f t="shared" si="223"/>
        <v>1206.4844257682337</v>
      </c>
      <c r="AX211" s="212"/>
      <c r="AY211" s="260">
        <f t="shared" si="224"/>
        <v>2917.047960932784</v>
      </c>
      <c r="BA211" s="175"/>
      <c r="BB211" s="145"/>
      <c r="BC211" s="145"/>
      <c r="BD211" s="145"/>
    </row>
    <row r="212" spans="1:56">
      <c r="A212" s="496"/>
      <c r="B212" s="496"/>
      <c r="F212" s="216" t="s">
        <v>618</v>
      </c>
      <c r="G212" s="139"/>
      <c r="H212" s="261">
        <v>15</v>
      </c>
      <c r="I212" s="216"/>
      <c r="J212" s="313">
        <v>25829.781281198098</v>
      </c>
      <c r="K212" s="385"/>
      <c r="L212" s="260">
        <f t="shared" si="209"/>
        <v>16797.106767163124</v>
      </c>
      <c r="M212" s="212"/>
      <c r="N212" s="260">
        <f t="shared" si="210"/>
        <v>5318.3519657986881</v>
      </c>
      <c r="O212" s="212"/>
      <c r="P212" s="260">
        <f t="shared" si="211"/>
        <v>532.09349439268078</v>
      </c>
      <c r="Q212" s="212"/>
      <c r="R212" s="260">
        <f t="shared" si="212"/>
        <v>1490.3783799251303</v>
      </c>
      <c r="S212" s="212"/>
      <c r="T212" s="260">
        <f t="shared" si="213"/>
        <v>359.03395980865355</v>
      </c>
      <c r="U212" s="212"/>
      <c r="V212" s="260">
        <f t="shared" si="214"/>
        <v>421.02543488352899</v>
      </c>
      <c r="W212" s="212"/>
      <c r="X212" s="260">
        <f t="shared" si="215"/>
        <v>911.79127922629277</v>
      </c>
      <c r="Y212" s="212"/>
      <c r="Z212" s="175"/>
      <c r="AC212" s="216" t="s">
        <v>618</v>
      </c>
      <c r="AE212" s="239">
        <f t="shared" si="225"/>
        <v>15</v>
      </c>
      <c r="AG212" s="312">
        <f t="shared" si="227"/>
        <v>25829.781281198098</v>
      </c>
      <c r="AH212" s="385"/>
      <c r="AI212" s="260">
        <f t="shared" si="216"/>
        <v>7591.3727185441212</v>
      </c>
      <c r="AJ212" s="212"/>
      <c r="AK212" s="260">
        <f t="shared" si="217"/>
        <v>3915.7948422296322</v>
      </c>
      <c r="AL212" s="212"/>
      <c r="AM212" s="260">
        <f t="shared" si="218"/>
        <v>1229.4975889850296</v>
      </c>
      <c r="AN212" s="212"/>
      <c r="AO212" s="260">
        <f t="shared" si="219"/>
        <v>4685.5223244093349</v>
      </c>
      <c r="AP212" s="212"/>
      <c r="AQ212" s="260">
        <f t="shared" si="220"/>
        <v>1270.8252390349464</v>
      </c>
      <c r="AR212" s="212"/>
      <c r="AS212" s="260">
        <f t="shared" si="221"/>
        <v>4540.8755492346263</v>
      </c>
      <c r="AT212" s="212"/>
      <c r="AU212" s="260">
        <f t="shared" si="222"/>
        <v>1306.9869328286238</v>
      </c>
      <c r="AV212" s="212"/>
      <c r="AW212" s="260">
        <f t="shared" si="223"/>
        <v>377.11480670549224</v>
      </c>
      <c r="AX212" s="212"/>
      <c r="AY212" s="260">
        <f t="shared" si="224"/>
        <v>911.79127922629277</v>
      </c>
      <c r="BA212" s="175"/>
      <c r="BB212" s="145"/>
      <c r="BC212" s="145"/>
      <c r="BD212" s="145"/>
    </row>
    <row r="213" spans="1:56" s="146" customFormat="1">
      <c r="A213" s="496"/>
      <c r="B213" s="496"/>
      <c r="C213" s="212"/>
      <c r="D213" s="488"/>
      <c r="E213" s="212"/>
      <c r="F213" s="216" t="s">
        <v>619</v>
      </c>
      <c r="G213" s="139"/>
      <c r="H213" s="261">
        <v>15</v>
      </c>
      <c r="I213" s="216"/>
      <c r="J213" s="313">
        <v>18059.707333333332</v>
      </c>
      <c r="K213" s="385"/>
      <c r="L213" s="260">
        <f t="shared" si="209"/>
        <v>11744.227678866666</v>
      </c>
      <c r="M213" s="212"/>
      <c r="N213" s="260">
        <f t="shared" si="210"/>
        <v>3718.493739933333</v>
      </c>
      <c r="O213" s="212"/>
      <c r="P213" s="260">
        <f t="shared" si="211"/>
        <v>372.02997106666663</v>
      </c>
      <c r="Q213" s="212"/>
      <c r="R213" s="260">
        <f t="shared" si="212"/>
        <v>1042.0451131333332</v>
      </c>
      <c r="S213" s="212"/>
      <c r="T213" s="260">
        <f t="shared" si="213"/>
        <v>251.0299319333333</v>
      </c>
      <c r="U213" s="212"/>
      <c r="V213" s="260">
        <f t="shared" si="214"/>
        <v>294.3732295333333</v>
      </c>
      <c r="W213" s="212"/>
      <c r="X213" s="260">
        <f t="shared" si="215"/>
        <v>637.50766886666656</v>
      </c>
      <c r="Y213" s="212"/>
      <c r="Z213" s="175"/>
      <c r="AC213" s="216" t="s">
        <v>619</v>
      </c>
      <c r="AE213" s="239">
        <f t="shared" si="225"/>
        <v>15</v>
      </c>
      <c r="AF213" s="529"/>
      <c r="AG213" s="312">
        <f t="shared" si="227"/>
        <v>18059.707333333332</v>
      </c>
      <c r="AH213" s="385"/>
      <c r="AI213" s="260">
        <f t="shared" si="216"/>
        <v>5307.7479852666665</v>
      </c>
      <c r="AJ213" s="212"/>
      <c r="AK213" s="260">
        <f t="shared" si="217"/>
        <v>2737.8516317333333</v>
      </c>
      <c r="AL213" s="212"/>
      <c r="AM213" s="260">
        <f t="shared" si="218"/>
        <v>859.64206906666664</v>
      </c>
      <c r="AN213" s="212"/>
      <c r="AO213" s="260">
        <f t="shared" si="219"/>
        <v>3276.0309102666665</v>
      </c>
      <c r="AP213" s="212"/>
      <c r="AQ213" s="260">
        <f t="shared" si="220"/>
        <v>888.53760079999995</v>
      </c>
      <c r="AR213" s="212"/>
      <c r="AS213" s="260">
        <f t="shared" si="221"/>
        <v>3174.8965491999998</v>
      </c>
      <c r="AT213" s="212"/>
      <c r="AU213" s="260">
        <f t="shared" si="222"/>
        <v>913.82119106666653</v>
      </c>
      <c r="AV213" s="212"/>
      <c r="AW213" s="260">
        <f t="shared" si="223"/>
        <v>263.67172706666668</v>
      </c>
      <c r="AX213" s="212"/>
      <c r="AY213" s="260">
        <f t="shared" si="224"/>
        <v>637.50766886666656</v>
      </c>
      <c r="AZ213" s="529"/>
      <c r="BA213" s="175"/>
      <c r="BB213" s="145"/>
      <c r="BC213" s="145"/>
      <c r="BD213" s="145"/>
    </row>
    <row r="214" spans="1:56" s="146" customFormat="1">
      <c r="A214" s="496"/>
      <c r="B214" s="496"/>
      <c r="C214" s="212"/>
      <c r="D214" s="488"/>
      <c r="E214" s="212"/>
      <c r="F214" s="216" t="s">
        <v>620</v>
      </c>
      <c r="G214" s="139"/>
      <c r="H214" s="261">
        <v>15</v>
      </c>
      <c r="I214" s="216"/>
      <c r="J214" s="313">
        <v>-52517.301944444378</v>
      </c>
      <c r="K214" s="385"/>
      <c r="L214" s="260">
        <f t="shared" si="209"/>
        <v>-34152.001454472178</v>
      </c>
      <c r="M214" s="212"/>
      <c r="N214" s="260">
        <f t="shared" si="210"/>
        <v>-10813.312470361097</v>
      </c>
      <c r="O214" s="212"/>
      <c r="P214" s="260">
        <f t="shared" si="211"/>
        <v>-1081.8564200555543</v>
      </c>
      <c r="Q214" s="212"/>
      <c r="R214" s="260">
        <f t="shared" si="212"/>
        <v>-3030.2483221944408</v>
      </c>
      <c r="S214" s="212"/>
      <c r="T214" s="260">
        <f t="shared" si="213"/>
        <v>-729.99049702777677</v>
      </c>
      <c r="U214" s="212"/>
      <c r="V214" s="260">
        <f t="shared" si="214"/>
        <v>-856.0320216944433</v>
      </c>
      <c r="W214" s="212"/>
      <c r="X214" s="260">
        <f t="shared" si="215"/>
        <v>-1853.8607586388864</v>
      </c>
      <c r="Y214" s="212"/>
      <c r="Z214" s="175"/>
      <c r="AC214" s="216" t="s">
        <v>620</v>
      </c>
      <c r="AE214" s="239">
        <f t="shared" si="225"/>
        <v>15</v>
      </c>
      <c r="AF214" s="529"/>
      <c r="AG214" s="312">
        <f t="shared" si="227"/>
        <v>-52517.301944444378</v>
      </c>
      <c r="AH214" s="385"/>
      <c r="AI214" s="260">
        <f t="shared" si="216"/>
        <v>-15434.835041472203</v>
      </c>
      <c r="AJ214" s="212"/>
      <c r="AK214" s="260">
        <f t="shared" si="217"/>
        <v>-7961.6229747777679</v>
      </c>
      <c r="AL214" s="212"/>
      <c r="AM214" s="260">
        <f t="shared" si="218"/>
        <v>-2499.8235725555528</v>
      </c>
      <c r="AN214" s="212"/>
      <c r="AO214" s="260">
        <f t="shared" si="219"/>
        <v>-9526.6385727222096</v>
      </c>
      <c r="AP214" s="212"/>
      <c r="AQ214" s="260">
        <f t="shared" si="220"/>
        <v>-2583.8512556666633</v>
      </c>
      <c r="AR214" s="212"/>
      <c r="AS214" s="260">
        <f t="shared" si="221"/>
        <v>-9232.5416818333215</v>
      </c>
      <c r="AT214" s="212"/>
      <c r="AU214" s="260">
        <f t="shared" si="222"/>
        <v>-2657.3754783888853</v>
      </c>
      <c r="AV214" s="212"/>
      <c r="AW214" s="260">
        <f t="shared" si="223"/>
        <v>-766.75260838888789</v>
      </c>
      <c r="AX214" s="212"/>
      <c r="AY214" s="260">
        <f t="shared" si="224"/>
        <v>-1853.8607586388864</v>
      </c>
      <c r="AZ214" s="529"/>
      <c r="BA214" s="175"/>
      <c r="BB214" s="145"/>
      <c r="BC214" s="145"/>
      <c r="BD214" s="145"/>
    </row>
    <row r="215" spans="1:56" s="146" customFormat="1">
      <c r="A215" s="496"/>
      <c r="B215" s="496"/>
      <c r="C215" s="212"/>
      <c r="D215" s="488"/>
      <c r="E215" s="212"/>
      <c r="F215" s="216" t="s">
        <v>621</v>
      </c>
      <c r="G215" s="139"/>
      <c r="H215" s="261">
        <v>15</v>
      </c>
      <c r="I215" s="216"/>
      <c r="J215" s="313">
        <v>145090.72972222226</v>
      </c>
      <c r="K215" s="385"/>
      <c r="L215" s="260">
        <f t="shared" si="209"/>
        <v>94352.501538361132</v>
      </c>
      <c r="M215" s="212"/>
      <c r="N215" s="260">
        <f t="shared" si="210"/>
        <v>29874.181249805562</v>
      </c>
      <c r="O215" s="212"/>
      <c r="P215" s="260">
        <f t="shared" si="211"/>
        <v>2988.8690322777784</v>
      </c>
      <c r="Q215" s="212"/>
      <c r="R215" s="260">
        <f t="shared" si="212"/>
        <v>8371.7351049722238</v>
      </c>
      <c r="S215" s="212"/>
      <c r="T215" s="260">
        <f t="shared" si="213"/>
        <v>2016.7611431388891</v>
      </c>
      <c r="U215" s="212"/>
      <c r="V215" s="260">
        <f t="shared" si="214"/>
        <v>2364.9788944722227</v>
      </c>
      <c r="W215" s="212"/>
      <c r="X215" s="260">
        <f t="shared" si="215"/>
        <v>5121.7027591944452</v>
      </c>
      <c r="Y215" s="212"/>
      <c r="Z215" s="175"/>
      <c r="AC215" s="216" t="s">
        <v>621</v>
      </c>
      <c r="AE215" s="239">
        <f t="shared" si="225"/>
        <v>15</v>
      </c>
      <c r="AF215" s="529"/>
      <c r="AG215" s="312">
        <f t="shared" si="227"/>
        <v>145090.72972222226</v>
      </c>
      <c r="AH215" s="385"/>
      <c r="AI215" s="260">
        <f t="shared" si="216"/>
        <v>42642.165465361119</v>
      </c>
      <c r="AJ215" s="212"/>
      <c r="AK215" s="260">
        <f t="shared" si="217"/>
        <v>21995.754625888894</v>
      </c>
      <c r="AL215" s="212"/>
      <c r="AM215" s="260">
        <f t="shared" si="218"/>
        <v>6906.3187347777803</v>
      </c>
      <c r="AN215" s="212"/>
      <c r="AO215" s="260">
        <f t="shared" si="219"/>
        <v>26319.458371611119</v>
      </c>
      <c r="AP215" s="212"/>
      <c r="AQ215" s="260">
        <f t="shared" si="220"/>
        <v>7138.4639023333348</v>
      </c>
      <c r="AR215" s="212"/>
      <c r="AS215" s="260">
        <f t="shared" si="221"/>
        <v>25506.950285166673</v>
      </c>
      <c r="AT215" s="212"/>
      <c r="AU215" s="260">
        <f t="shared" si="222"/>
        <v>7341.5909239444463</v>
      </c>
      <c r="AV215" s="212"/>
      <c r="AW215" s="260">
        <f t="shared" si="223"/>
        <v>2118.3246539444449</v>
      </c>
      <c r="AX215" s="212"/>
      <c r="AY215" s="260">
        <f t="shared" si="224"/>
        <v>5121.7027591944452</v>
      </c>
      <c r="AZ215" s="529"/>
      <c r="BA215" s="175"/>
      <c r="BB215" s="145"/>
      <c r="BC215" s="145"/>
      <c r="BD215" s="145"/>
    </row>
    <row r="216" spans="1:56">
      <c r="A216" s="496"/>
      <c r="B216" s="496"/>
      <c r="F216" s="216" t="s">
        <v>622</v>
      </c>
      <c r="G216" s="139"/>
      <c r="H216" s="261">
        <v>15</v>
      </c>
      <c r="I216" s="216"/>
      <c r="J216" s="313">
        <v>-72420.731423404242</v>
      </c>
      <c r="K216" s="385"/>
      <c r="L216" s="260">
        <f t="shared" si="209"/>
        <v>-47095.201644639776</v>
      </c>
      <c r="M216" s="212"/>
      <c r="N216" s="260">
        <f t="shared" si="210"/>
        <v>-14911.428600078934</v>
      </c>
      <c r="O216" s="212"/>
      <c r="P216" s="260">
        <f t="shared" si="211"/>
        <v>-1491.8670673221275</v>
      </c>
      <c r="Q216" s="212"/>
      <c r="R216" s="260">
        <f t="shared" si="212"/>
        <v>-4178.6762031304252</v>
      </c>
      <c r="S216" s="212"/>
      <c r="T216" s="260">
        <f t="shared" si="213"/>
        <v>-1006.6481667853189</v>
      </c>
      <c r="U216" s="212"/>
      <c r="V216" s="260">
        <f t="shared" si="214"/>
        <v>-1180.4579222014891</v>
      </c>
      <c r="W216" s="212"/>
      <c r="X216" s="260">
        <f t="shared" si="215"/>
        <v>-2556.4518192461696</v>
      </c>
      <c r="Y216" s="212"/>
      <c r="Z216" s="175"/>
      <c r="AC216" s="216" t="s">
        <v>622</v>
      </c>
      <c r="AE216" s="239">
        <f t="shared" si="225"/>
        <v>15</v>
      </c>
      <c r="AG216" s="312">
        <f t="shared" si="227"/>
        <v>-72420.731423404242</v>
      </c>
      <c r="AH216" s="385"/>
      <c r="AI216" s="260">
        <f t="shared" si="216"/>
        <v>-21284.452965338507</v>
      </c>
      <c r="AJ216" s="212"/>
      <c r="AK216" s="260">
        <f t="shared" si="217"/>
        <v>-10978.982883788083</v>
      </c>
      <c r="AL216" s="212"/>
      <c r="AM216" s="260">
        <f t="shared" si="218"/>
        <v>-3447.226815754042</v>
      </c>
      <c r="AN216" s="212"/>
      <c r="AO216" s="260">
        <f t="shared" si="219"/>
        <v>-13137.120680205529</v>
      </c>
      <c r="AP216" s="212"/>
      <c r="AQ216" s="260">
        <f t="shared" si="220"/>
        <v>-3563.0999860314887</v>
      </c>
      <c r="AR216" s="212"/>
      <c r="AS216" s="260">
        <f t="shared" si="221"/>
        <v>-12731.564584234467</v>
      </c>
      <c r="AT216" s="212"/>
      <c r="AU216" s="260">
        <f t="shared" si="222"/>
        <v>-3664.4890100242546</v>
      </c>
      <c r="AV216" s="212"/>
      <c r="AW216" s="260">
        <f t="shared" si="223"/>
        <v>-1057.342678781702</v>
      </c>
      <c r="AX216" s="212"/>
      <c r="AY216" s="260">
        <f t="shared" si="224"/>
        <v>-2556.4518192461696</v>
      </c>
      <c r="BA216" s="175"/>
      <c r="BB216" s="145"/>
      <c r="BC216" s="145"/>
      <c r="BD216" s="145"/>
    </row>
    <row r="217" spans="1:56" s="401" customFormat="1">
      <c r="A217" s="554"/>
      <c r="B217" s="554"/>
      <c r="C217" s="479"/>
      <c r="D217" s="490"/>
      <c r="E217" s="479"/>
      <c r="F217" s="399" t="s">
        <v>623</v>
      </c>
      <c r="G217" s="555"/>
      <c r="H217" s="400">
        <v>15</v>
      </c>
      <c r="I217" s="399"/>
      <c r="J217" s="313">
        <v>-84351.842000000004</v>
      </c>
      <c r="K217" s="385"/>
      <c r="L217" s="260">
        <f t="shared" si="209"/>
        <v>-54854.002852600002</v>
      </c>
      <c r="M217" s="212"/>
      <c r="N217" s="260">
        <f t="shared" si="210"/>
        <v>-17368.0442678</v>
      </c>
      <c r="O217" s="212"/>
      <c r="P217" s="260">
        <f t="shared" si="211"/>
        <v>-1737.6479452000001</v>
      </c>
      <c r="Q217" s="212"/>
      <c r="R217" s="260">
        <f t="shared" si="212"/>
        <v>-4867.1012834000003</v>
      </c>
      <c r="S217" s="212"/>
      <c r="T217" s="260">
        <f t="shared" si="213"/>
        <v>-1172.4906037999999</v>
      </c>
      <c r="U217" s="212"/>
      <c r="V217" s="260">
        <f t="shared" si="214"/>
        <v>-1374.9350245999999</v>
      </c>
      <c r="W217" s="212"/>
      <c r="X217" s="260">
        <f t="shared" si="215"/>
        <v>-2977.6200226000001</v>
      </c>
      <c r="Y217" s="212"/>
      <c r="Z217" s="175"/>
      <c r="AC217" s="399" t="s">
        <v>623</v>
      </c>
      <c r="AE217" s="239">
        <f t="shared" si="225"/>
        <v>15</v>
      </c>
      <c r="AF217" s="529"/>
      <c r="AG217" s="312">
        <f t="shared" si="227"/>
        <v>-84351.842000000004</v>
      </c>
      <c r="AH217" s="385"/>
      <c r="AI217" s="260">
        <f t="shared" si="216"/>
        <v>-24791.006363799999</v>
      </c>
      <c r="AJ217" s="212"/>
      <c r="AK217" s="260">
        <f t="shared" si="217"/>
        <v>-12787.739247200001</v>
      </c>
      <c r="AL217" s="212"/>
      <c r="AM217" s="260">
        <f t="shared" si="218"/>
        <v>-4015.1476792000003</v>
      </c>
      <c r="AN217" s="212"/>
      <c r="AO217" s="260">
        <f t="shared" si="219"/>
        <v>-15301.424138800001</v>
      </c>
      <c r="AP217" s="212"/>
      <c r="AQ217" s="260">
        <f t="shared" si="220"/>
        <v>-4150.1106264</v>
      </c>
      <c r="AR217" s="212"/>
      <c r="AS217" s="260">
        <f t="shared" si="221"/>
        <v>-14829.053823600001</v>
      </c>
      <c r="AT217" s="212"/>
      <c r="AU217" s="260">
        <f t="shared" si="222"/>
        <v>-4268.2032052000004</v>
      </c>
      <c r="AV217" s="212"/>
      <c r="AW217" s="260">
        <f t="shared" si="223"/>
        <v>-1231.5368932000001</v>
      </c>
      <c r="AX217" s="212"/>
      <c r="AY217" s="260">
        <f t="shared" si="224"/>
        <v>-2977.6200226000001</v>
      </c>
      <c r="AZ217" s="529"/>
      <c r="BA217" s="175"/>
      <c r="BB217" s="145"/>
      <c r="BC217" s="145"/>
      <c r="BD217" s="145"/>
    </row>
    <row r="218" spans="1:56" s="401" customFormat="1">
      <c r="A218" s="554"/>
      <c r="B218" s="479"/>
      <c r="C218" s="479"/>
      <c r="D218" s="490"/>
      <c r="E218" s="479"/>
      <c r="F218" s="216" t="s">
        <v>774</v>
      </c>
      <c r="G218" s="555"/>
      <c r="H218" s="400">
        <v>13</v>
      </c>
      <c r="I218" s="399"/>
      <c r="J218" s="313">
        <v>363117.79986874666</v>
      </c>
      <c r="K218" s="385"/>
      <c r="L218" s="260">
        <f t="shared" si="209"/>
        <v>326660.77276192448</v>
      </c>
      <c r="M218" s="212"/>
      <c r="N218" s="260">
        <f t="shared" si="210"/>
        <v>26035.546250589134</v>
      </c>
      <c r="O218" s="212"/>
      <c r="P218" s="260">
        <f t="shared" si="211"/>
        <v>145.24711994749867</v>
      </c>
      <c r="Q218" s="212"/>
      <c r="R218" s="260">
        <f t="shared" si="212"/>
        <v>2251.3303591862291</v>
      </c>
      <c r="S218" s="212"/>
      <c r="T218" s="260">
        <f t="shared" si="213"/>
        <v>72.623559973749337</v>
      </c>
      <c r="U218" s="212"/>
      <c r="V218" s="260">
        <f t="shared" si="214"/>
        <v>7843.3444771649283</v>
      </c>
      <c r="W218" s="212"/>
      <c r="X218" s="260">
        <f t="shared" si="215"/>
        <v>108.93533996062399</v>
      </c>
      <c r="Y218" s="212"/>
      <c r="Z218" s="175"/>
      <c r="AC218" s="216" t="s">
        <v>774</v>
      </c>
      <c r="AE218" s="239">
        <f t="shared" si="225"/>
        <v>13</v>
      </c>
      <c r="AF218" s="529"/>
      <c r="AG218" s="312">
        <f t="shared" ref="AG218:AG219" si="228">+J218</f>
        <v>363117.79986874666</v>
      </c>
      <c r="AH218" s="385"/>
      <c r="AI218" s="260">
        <f t="shared" si="216"/>
        <v>0</v>
      </c>
      <c r="AJ218" s="212"/>
      <c r="AK218" s="260">
        <f t="shared" si="217"/>
        <v>0</v>
      </c>
      <c r="AL218" s="212"/>
      <c r="AM218" s="260">
        <f t="shared" si="218"/>
        <v>0</v>
      </c>
      <c r="AN218" s="212"/>
      <c r="AO218" s="260">
        <f t="shared" si="219"/>
        <v>0</v>
      </c>
      <c r="AP218" s="212"/>
      <c r="AQ218" s="260">
        <f t="shared" si="220"/>
        <v>0</v>
      </c>
      <c r="AR218" s="212"/>
      <c r="AS218" s="260">
        <f t="shared" si="221"/>
        <v>355165.52005162113</v>
      </c>
      <c r="AT218" s="212"/>
      <c r="AU218" s="260">
        <f t="shared" si="222"/>
        <v>0</v>
      </c>
      <c r="AV218" s="212"/>
      <c r="AW218" s="260">
        <f t="shared" si="223"/>
        <v>7843.3444771649283</v>
      </c>
      <c r="AX218" s="212"/>
      <c r="AY218" s="260">
        <f t="shared" si="224"/>
        <v>108.93533996062399</v>
      </c>
      <c r="AZ218" s="529"/>
      <c r="BA218" s="175"/>
      <c r="BB218" s="145"/>
      <c r="BC218" s="145"/>
      <c r="BD218" s="145"/>
    </row>
    <row r="219" spans="1:56" s="401" customFormat="1">
      <c r="A219" s="554"/>
      <c r="B219" s="554"/>
      <c r="C219" s="479"/>
      <c r="D219" s="490"/>
      <c r="E219" s="479"/>
      <c r="F219" s="216" t="s">
        <v>775</v>
      </c>
      <c r="G219" s="555"/>
      <c r="H219" s="400">
        <v>15</v>
      </c>
      <c r="I219" s="399"/>
      <c r="J219" s="313">
        <v>788905.67687220057</v>
      </c>
      <c r="K219" s="385"/>
      <c r="L219" s="260">
        <f t="shared" si="209"/>
        <v>513025.36166999204</v>
      </c>
      <c r="M219" s="212"/>
      <c r="N219" s="260">
        <f t="shared" si="210"/>
        <v>162435.67886798611</v>
      </c>
      <c r="O219" s="212"/>
      <c r="P219" s="260">
        <f t="shared" si="211"/>
        <v>16251.456943567331</v>
      </c>
      <c r="Q219" s="212"/>
      <c r="R219" s="260">
        <f t="shared" si="212"/>
        <v>45519.857555525974</v>
      </c>
      <c r="S219" s="212"/>
      <c r="T219" s="260">
        <f t="shared" si="213"/>
        <v>10965.788908523587</v>
      </c>
      <c r="U219" s="212"/>
      <c r="V219" s="260">
        <f t="shared" si="214"/>
        <v>12859.162533016868</v>
      </c>
      <c r="W219" s="212"/>
      <c r="X219" s="260">
        <f t="shared" si="215"/>
        <v>27848.370393588677</v>
      </c>
      <c r="Y219" s="212"/>
      <c r="Z219" s="175"/>
      <c r="AC219" s="216" t="s">
        <v>775</v>
      </c>
      <c r="AE219" s="239">
        <f t="shared" si="225"/>
        <v>15</v>
      </c>
      <c r="AF219" s="529"/>
      <c r="AG219" s="312">
        <f t="shared" si="228"/>
        <v>788905.67687220057</v>
      </c>
      <c r="AH219" s="385"/>
      <c r="AI219" s="260">
        <f t="shared" si="216"/>
        <v>231859.37843273973</v>
      </c>
      <c r="AJ219" s="212"/>
      <c r="AK219" s="260">
        <f t="shared" si="217"/>
        <v>119598.10061382562</v>
      </c>
      <c r="AL219" s="212"/>
      <c r="AM219" s="260">
        <f t="shared" si="218"/>
        <v>37551.910219116748</v>
      </c>
      <c r="AN219" s="212"/>
      <c r="AO219" s="260">
        <f t="shared" si="219"/>
        <v>143107.48978461718</v>
      </c>
      <c r="AP219" s="212"/>
      <c r="AQ219" s="260">
        <f t="shared" si="220"/>
        <v>38814.159302112268</v>
      </c>
      <c r="AR219" s="212"/>
      <c r="AS219" s="260">
        <f t="shared" si="221"/>
        <v>138689.61799413286</v>
      </c>
      <c r="AT219" s="212"/>
      <c r="AU219" s="260">
        <f t="shared" si="222"/>
        <v>39918.627249733348</v>
      </c>
      <c r="AV219" s="212"/>
      <c r="AW219" s="260">
        <f t="shared" si="223"/>
        <v>11518.022882334128</v>
      </c>
      <c r="AX219" s="212"/>
      <c r="AY219" s="260">
        <f t="shared" si="224"/>
        <v>27848.370393588677</v>
      </c>
      <c r="AZ219" s="529"/>
      <c r="BA219" s="175"/>
      <c r="BB219" s="145"/>
      <c r="BC219" s="145"/>
      <c r="BD219" s="145"/>
    </row>
    <row r="220" spans="1:56" s="401" customFormat="1">
      <c r="A220" s="554"/>
      <c r="B220" s="554"/>
      <c r="C220" s="479"/>
      <c r="D220" s="490"/>
      <c r="E220" s="479"/>
      <c r="F220" s="399" t="s">
        <v>624</v>
      </c>
      <c r="G220" s="555"/>
      <c r="H220" s="400">
        <v>15</v>
      </c>
      <c r="I220" s="399"/>
      <c r="J220" s="313">
        <v>166372.07999999999</v>
      </c>
      <c r="K220" s="385"/>
      <c r="L220" s="260">
        <f t="shared" si="209"/>
        <v>108191.76362399998</v>
      </c>
      <c r="M220" s="212"/>
      <c r="N220" s="260">
        <f t="shared" si="210"/>
        <v>34256.011271999996</v>
      </c>
      <c r="O220" s="212"/>
      <c r="P220" s="260">
        <f t="shared" si="211"/>
        <v>3427.2648479999998</v>
      </c>
      <c r="Q220" s="212"/>
      <c r="R220" s="260">
        <f t="shared" si="212"/>
        <v>9599.6690159999998</v>
      </c>
      <c r="S220" s="212"/>
      <c r="T220" s="260">
        <f t="shared" si="213"/>
        <v>2312.5719119999999</v>
      </c>
      <c r="U220" s="212"/>
      <c r="V220" s="260">
        <f t="shared" si="214"/>
        <v>2711.8649039999996</v>
      </c>
      <c r="W220" s="212"/>
      <c r="X220" s="260">
        <f t="shared" si="215"/>
        <v>5872.9344239999991</v>
      </c>
      <c r="Y220" s="212"/>
      <c r="Z220" s="175"/>
      <c r="AC220" s="399" t="s">
        <v>624</v>
      </c>
      <c r="AE220" s="239">
        <f t="shared" si="225"/>
        <v>15</v>
      </c>
      <c r="AF220" s="529"/>
      <c r="AG220" s="312">
        <f t="shared" si="227"/>
        <v>166372.07999999999</v>
      </c>
      <c r="AH220" s="385"/>
      <c r="AI220" s="260">
        <f t="shared" si="216"/>
        <v>48896.754311999997</v>
      </c>
      <c r="AJ220" s="212"/>
      <c r="AK220" s="260">
        <f t="shared" si="217"/>
        <v>25222.007328</v>
      </c>
      <c r="AL220" s="212"/>
      <c r="AM220" s="260">
        <f t="shared" si="218"/>
        <v>7919.3110079999997</v>
      </c>
      <c r="AN220" s="212"/>
      <c r="AO220" s="260">
        <f t="shared" si="219"/>
        <v>30179.895311999997</v>
      </c>
      <c r="AP220" s="212"/>
      <c r="AQ220" s="260">
        <f t="shared" si="220"/>
        <v>8185.5063359999995</v>
      </c>
      <c r="AR220" s="212"/>
      <c r="AS220" s="260">
        <f t="shared" si="221"/>
        <v>29248.211663999999</v>
      </c>
      <c r="AT220" s="212"/>
      <c r="AU220" s="260">
        <f t="shared" si="222"/>
        <v>8418.427248</v>
      </c>
      <c r="AV220" s="212"/>
      <c r="AW220" s="260">
        <f t="shared" si="223"/>
        <v>2429.0323679999997</v>
      </c>
      <c r="AX220" s="212"/>
      <c r="AY220" s="260">
        <f t="shared" si="224"/>
        <v>5872.9344239999991</v>
      </c>
      <c r="AZ220" s="529"/>
      <c r="BA220" s="175"/>
      <c r="BB220" s="145"/>
      <c r="BC220" s="145"/>
      <c r="BD220" s="145"/>
    </row>
    <row r="221" spans="1:56">
      <c r="A221" s="496"/>
      <c r="B221" s="496"/>
      <c r="F221" s="216" t="s">
        <v>625</v>
      </c>
      <c r="G221" s="139"/>
      <c r="H221" s="261">
        <v>15</v>
      </c>
      <c r="I221" s="216"/>
      <c r="J221" s="313">
        <v>1077.6563950416626</v>
      </c>
      <c r="K221" s="385"/>
      <c r="L221" s="260">
        <f t="shared" si="209"/>
        <v>700.7999536955931</v>
      </c>
      <c r="M221" s="212"/>
      <c r="N221" s="260">
        <f t="shared" si="210"/>
        <v>221.88945173907831</v>
      </c>
      <c r="O221" s="212"/>
      <c r="P221" s="260">
        <f t="shared" si="211"/>
        <v>22.199721737858248</v>
      </c>
      <c r="Q221" s="212"/>
      <c r="R221" s="260">
        <f t="shared" si="212"/>
        <v>62.180773993903934</v>
      </c>
      <c r="S221" s="212"/>
      <c r="T221" s="260">
        <f t="shared" si="213"/>
        <v>14.979423891079108</v>
      </c>
      <c r="U221" s="212"/>
      <c r="V221" s="260">
        <f t="shared" si="214"/>
        <v>17.5657992391791</v>
      </c>
      <c r="W221" s="212"/>
      <c r="X221" s="260">
        <f t="shared" si="215"/>
        <v>38.041270744970689</v>
      </c>
      <c r="Y221" s="212"/>
      <c r="Z221" s="175"/>
      <c r="AC221" s="216" t="s">
        <v>625</v>
      </c>
      <c r="AE221" s="239">
        <f t="shared" si="225"/>
        <v>15</v>
      </c>
      <c r="AG221" s="312">
        <f t="shared" si="227"/>
        <v>1077.6563950416626</v>
      </c>
      <c r="AH221" s="385"/>
      <c r="AI221" s="260">
        <f t="shared" si="216"/>
        <v>316.72321450274461</v>
      </c>
      <c r="AJ221" s="212"/>
      <c r="AK221" s="260">
        <f t="shared" si="217"/>
        <v>163.37270948831605</v>
      </c>
      <c r="AL221" s="212"/>
      <c r="AM221" s="260">
        <f t="shared" si="218"/>
        <v>51.296444403983145</v>
      </c>
      <c r="AN221" s="212"/>
      <c r="AO221" s="260">
        <f t="shared" si="219"/>
        <v>195.48687006055761</v>
      </c>
      <c r="AP221" s="212"/>
      <c r="AQ221" s="260">
        <f t="shared" si="220"/>
        <v>53.020694636049797</v>
      </c>
      <c r="AR221" s="212"/>
      <c r="AS221" s="260">
        <f t="shared" si="221"/>
        <v>189.4519942483243</v>
      </c>
      <c r="AT221" s="212"/>
      <c r="AU221" s="260">
        <f t="shared" si="222"/>
        <v>54.529413589108124</v>
      </c>
      <c r="AV221" s="212"/>
      <c r="AW221" s="260">
        <f t="shared" si="223"/>
        <v>15.733783367608273</v>
      </c>
      <c r="AX221" s="212"/>
      <c r="AY221" s="260">
        <f t="shared" si="224"/>
        <v>38.041270744970689</v>
      </c>
      <c r="BA221" s="175"/>
      <c r="BB221" s="145"/>
      <c r="BC221" s="145"/>
      <c r="BD221" s="145"/>
    </row>
    <row r="222" spans="1:56">
      <c r="A222" s="496"/>
      <c r="B222" s="496"/>
      <c r="F222" s="216" t="s">
        <v>626</v>
      </c>
      <c r="G222" s="139"/>
      <c r="H222" s="261">
        <v>15</v>
      </c>
      <c r="I222" s="216"/>
      <c r="J222" s="313">
        <v>29985.627547579752</v>
      </c>
      <c r="K222" s="385"/>
      <c r="L222" s="260">
        <f t="shared" si="209"/>
        <v>19499.653594191113</v>
      </c>
      <c r="M222" s="212"/>
      <c r="N222" s="260">
        <f t="shared" si="210"/>
        <v>6174.0407120466707</v>
      </c>
      <c r="O222" s="212"/>
      <c r="P222" s="260">
        <f t="shared" si="211"/>
        <v>617.70392748014285</v>
      </c>
      <c r="Q222" s="212"/>
      <c r="R222" s="260">
        <f t="shared" si="212"/>
        <v>1730.1707094953517</v>
      </c>
      <c r="S222" s="212"/>
      <c r="T222" s="260">
        <f t="shared" si="213"/>
        <v>416.8002229113585</v>
      </c>
      <c r="U222" s="212"/>
      <c r="V222" s="260">
        <f t="shared" si="214"/>
        <v>488.76572902554989</v>
      </c>
      <c r="W222" s="212"/>
      <c r="X222" s="260">
        <f t="shared" si="215"/>
        <v>1058.4926524295652</v>
      </c>
      <c r="Y222" s="212"/>
      <c r="Z222" s="175"/>
      <c r="AC222" s="216" t="s">
        <v>626</v>
      </c>
      <c r="AE222" s="239">
        <f t="shared" si="225"/>
        <v>15</v>
      </c>
      <c r="AG222" s="312">
        <f t="shared" si="227"/>
        <v>29985.627547579752</v>
      </c>
      <c r="AH222" s="385"/>
      <c r="AI222" s="260">
        <f t="shared" si="216"/>
        <v>8812.7759362336892</v>
      </c>
      <c r="AJ222" s="212"/>
      <c r="AK222" s="260">
        <f t="shared" si="217"/>
        <v>4545.8211362130905</v>
      </c>
      <c r="AL222" s="212"/>
      <c r="AM222" s="260">
        <f t="shared" si="218"/>
        <v>1427.3158712647962</v>
      </c>
      <c r="AN222" s="212"/>
      <c r="AO222" s="260">
        <f t="shared" si="219"/>
        <v>5439.3928371309676</v>
      </c>
      <c r="AP222" s="212"/>
      <c r="AQ222" s="260">
        <f t="shared" si="220"/>
        <v>1475.2928753409237</v>
      </c>
      <c r="AR222" s="212"/>
      <c r="AS222" s="260">
        <f t="shared" si="221"/>
        <v>5271.4733228645209</v>
      </c>
      <c r="AT222" s="212"/>
      <c r="AU222" s="260">
        <f t="shared" si="222"/>
        <v>1517.2727539075354</v>
      </c>
      <c r="AV222" s="212"/>
      <c r="AW222" s="260">
        <f t="shared" si="223"/>
        <v>437.79016219466439</v>
      </c>
      <c r="AX222" s="212"/>
      <c r="AY222" s="260">
        <f t="shared" si="224"/>
        <v>1058.4926524295652</v>
      </c>
      <c r="BA222" s="175"/>
      <c r="BB222" s="145"/>
      <c r="BC222" s="145"/>
      <c r="BD222" s="145"/>
    </row>
    <row r="223" spans="1:56">
      <c r="A223" s="496"/>
      <c r="B223" s="496"/>
      <c r="F223" s="216" t="s">
        <v>627</v>
      </c>
      <c r="G223" s="139"/>
      <c r="H223" s="261">
        <v>15</v>
      </c>
      <c r="I223" s="216"/>
      <c r="J223" s="313">
        <v>44038.751187470014</v>
      </c>
      <c r="K223" s="385"/>
      <c r="L223" s="260">
        <f t="shared" si="209"/>
        <v>28638.399897211748</v>
      </c>
      <c r="M223" s="212"/>
      <c r="N223" s="260">
        <f t="shared" si="210"/>
        <v>9067.5788695000756</v>
      </c>
      <c r="O223" s="212"/>
      <c r="P223" s="260">
        <f t="shared" si="211"/>
        <v>907.19827446188231</v>
      </c>
      <c r="Q223" s="212"/>
      <c r="R223" s="260">
        <f t="shared" si="212"/>
        <v>2541.0359435170199</v>
      </c>
      <c r="S223" s="212"/>
      <c r="T223" s="260">
        <f t="shared" si="213"/>
        <v>612.13864150583311</v>
      </c>
      <c r="U223" s="212"/>
      <c r="V223" s="260">
        <f t="shared" si="214"/>
        <v>717.83164435576111</v>
      </c>
      <c r="W223" s="212"/>
      <c r="X223" s="260">
        <f t="shared" si="215"/>
        <v>1554.5679169176915</v>
      </c>
      <c r="Y223" s="212"/>
      <c r="Z223" s="175"/>
      <c r="AC223" s="216" t="s">
        <v>627</v>
      </c>
      <c r="AE223" s="239">
        <f t="shared" si="225"/>
        <v>15</v>
      </c>
      <c r="AG223" s="312">
        <f t="shared" si="227"/>
        <v>44038.751187470014</v>
      </c>
      <c r="AH223" s="385"/>
      <c r="AI223" s="260">
        <f t="shared" si="216"/>
        <v>12942.988973997437</v>
      </c>
      <c r="AJ223" s="212"/>
      <c r="AK223" s="260">
        <f t="shared" si="217"/>
        <v>6676.274680020455</v>
      </c>
      <c r="AL223" s="212"/>
      <c r="AM223" s="260">
        <f t="shared" si="218"/>
        <v>2096.244556523573</v>
      </c>
      <c r="AN223" s="212"/>
      <c r="AO223" s="260">
        <f t="shared" si="219"/>
        <v>7988.6294654070607</v>
      </c>
      <c r="AP223" s="212"/>
      <c r="AQ223" s="260">
        <f t="shared" si="220"/>
        <v>2166.7065584235247</v>
      </c>
      <c r="AR223" s="212"/>
      <c r="AS223" s="260">
        <f t="shared" si="221"/>
        <v>7742.0124587572291</v>
      </c>
      <c r="AT223" s="212"/>
      <c r="AU223" s="260">
        <f t="shared" si="222"/>
        <v>2228.3608100859828</v>
      </c>
      <c r="AV223" s="212"/>
      <c r="AW223" s="260">
        <f t="shared" si="223"/>
        <v>642.96576733706218</v>
      </c>
      <c r="AX223" s="212"/>
      <c r="AY223" s="260">
        <f t="shared" si="224"/>
        <v>1554.5679169176915</v>
      </c>
      <c r="BA223" s="175"/>
      <c r="BB223" s="145"/>
      <c r="BC223" s="145"/>
      <c r="BD223" s="145"/>
    </row>
    <row r="224" spans="1:56">
      <c r="A224" s="496"/>
      <c r="B224" s="496"/>
      <c r="F224" s="216" t="s">
        <v>628</v>
      </c>
      <c r="G224" s="139"/>
      <c r="H224" s="261">
        <v>15</v>
      </c>
      <c r="I224" s="216"/>
      <c r="J224" s="313">
        <v>19120.022794070766</v>
      </c>
      <c r="K224" s="385"/>
      <c r="L224" s="260">
        <f t="shared" si="209"/>
        <v>12433.750822984219</v>
      </c>
      <c r="M224" s="212"/>
      <c r="N224" s="260">
        <f t="shared" si="210"/>
        <v>3936.8126932991709</v>
      </c>
      <c r="O224" s="212"/>
      <c r="P224" s="260">
        <f t="shared" si="211"/>
        <v>393.87246955785781</v>
      </c>
      <c r="Q224" s="212"/>
      <c r="R224" s="260">
        <f t="shared" si="212"/>
        <v>1103.2253152178832</v>
      </c>
      <c r="S224" s="212"/>
      <c r="T224" s="260">
        <f t="shared" si="213"/>
        <v>265.76831683758365</v>
      </c>
      <c r="U224" s="212"/>
      <c r="V224" s="260">
        <f t="shared" si="214"/>
        <v>311.65637154335349</v>
      </c>
      <c r="W224" s="212"/>
      <c r="X224" s="260">
        <f t="shared" si="215"/>
        <v>674.93680463069802</v>
      </c>
      <c r="Y224" s="212"/>
      <c r="Z224" s="175"/>
      <c r="AC224" s="216" t="s">
        <v>628</v>
      </c>
      <c r="AE224" s="239">
        <f t="shared" si="225"/>
        <v>15</v>
      </c>
      <c r="AG224" s="312">
        <f t="shared" si="227"/>
        <v>19120.022794070766</v>
      </c>
      <c r="AH224" s="385"/>
      <c r="AI224" s="260">
        <f t="shared" si="216"/>
        <v>5619.3746991773978</v>
      </c>
      <c r="AJ224" s="212"/>
      <c r="AK224" s="260">
        <f t="shared" si="217"/>
        <v>2898.5954555811286</v>
      </c>
      <c r="AL224" s="212"/>
      <c r="AM224" s="260">
        <f t="shared" si="218"/>
        <v>910.11308499776851</v>
      </c>
      <c r="AN224" s="212"/>
      <c r="AO224" s="260">
        <f t="shared" si="219"/>
        <v>3468.3721348444369</v>
      </c>
      <c r="AP224" s="212"/>
      <c r="AQ224" s="260">
        <f t="shared" si="220"/>
        <v>940.70512146828173</v>
      </c>
      <c r="AR224" s="212"/>
      <c r="AS224" s="260">
        <f t="shared" si="221"/>
        <v>3361.3000071976408</v>
      </c>
      <c r="AT224" s="212"/>
      <c r="AU224" s="260">
        <f t="shared" si="222"/>
        <v>967.47315337998077</v>
      </c>
      <c r="AV224" s="212"/>
      <c r="AW224" s="260">
        <f t="shared" si="223"/>
        <v>279.15233279343317</v>
      </c>
      <c r="AX224" s="212"/>
      <c r="AY224" s="260">
        <f t="shared" si="224"/>
        <v>674.93680463069802</v>
      </c>
      <c r="BA224" s="175"/>
      <c r="BB224" s="145"/>
      <c r="BC224" s="145"/>
      <c r="BD224" s="145"/>
    </row>
    <row r="225" spans="1:56">
      <c r="A225" s="496"/>
      <c r="B225" s="496"/>
      <c r="F225" s="216" t="s">
        <v>629</v>
      </c>
      <c r="G225" s="139"/>
      <c r="H225" s="261">
        <v>15</v>
      </c>
      <c r="I225" s="216"/>
      <c r="J225" s="313">
        <v>32072.666918736093</v>
      </c>
      <c r="K225" s="385"/>
      <c r="L225" s="260">
        <f t="shared" si="209"/>
        <v>20856.855297254082</v>
      </c>
      <c r="M225" s="212"/>
      <c r="N225" s="260">
        <f t="shared" si="210"/>
        <v>6603.7621185677617</v>
      </c>
      <c r="O225" s="212"/>
      <c r="P225" s="260">
        <f t="shared" si="211"/>
        <v>660.69693852596356</v>
      </c>
      <c r="Q225" s="212"/>
      <c r="R225" s="260">
        <f t="shared" si="212"/>
        <v>1850.5928812110726</v>
      </c>
      <c r="S225" s="212"/>
      <c r="T225" s="260">
        <f t="shared" si="213"/>
        <v>445.81007017043169</v>
      </c>
      <c r="U225" s="212"/>
      <c r="V225" s="260">
        <f t="shared" si="214"/>
        <v>522.78447077539829</v>
      </c>
      <c r="W225" s="212"/>
      <c r="X225" s="260">
        <f t="shared" si="215"/>
        <v>1132.1651422313839</v>
      </c>
      <c r="Y225" s="212"/>
      <c r="Z225" s="175"/>
      <c r="AC225" s="216" t="s">
        <v>629</v>
      </c>
      <c r="AE225" s="239">
        <f t="shared" si="225"/>
        <v>15</v>
      </c>
      <c r="AG225" s="312">
        <f t="shared" si="227"/>
        <v>32072.666918736093</v>
      </c>
      <c r="AH225" s="385"/>
      <c r="AI225" s="260">
        <f t="shared" si="216"/>
        <v>9426.156807416537</v>
      </c>
      <c r="AJ225" s="212"/>
      <c r="AK225" s="260">
        <f t="shared" si="217"/>
        <v>4862.2163048803923</v>
      </c>
      <c r="AL225" s="212"/>
      <c r="AM225" s="260">
        <f t="shared" si="218"/>
        <v>1526.6589453318381</v>
      </c>
      <c r="AN225" s="212"/>
      <c r="AO225" s="260">
        <f t="shared" si="219"/>
        <v>5817.9817790587276</v>
      </c>
      <c r="AP225" s="212"/>
      <c r="AQ225" s="260">
        <f t="shared" si="220"/>
        <v>1577.9752124018157</v>
      </c>
      <c r="AR225" s="212"/>
      <c r="AS225" s="260">
        <f t="shared" si="221"/>
        <v>5638.3748443138056</v>
      </c>
      <c r="AT225" s="212"/>
      <c r="AU225" s="260">
        <f t="shared" si="222"/>
        <v>1622.8769460880462</v>
      </c>
      <c r="AV225" s="212"/>
      <c r="AW225" s="260">
        <f t="shared" si="223"/>
        <v>468.26093701354694</v>
      </c>
      <c r="AX225" s="212"/>
      <c r="AY225" s="260">
        <f t="shared" si="224"/>
        <v>1132.1651422313839</v>
      </c>
      <c r="BA225" s="175"/>
      <c r="BB225" s="145"/>
      <c r="BC225" s="145"/>
      <c r="BD225" s="145"/>
    </row>
    <row r="226" spans="1:56">
      <c r="A226" s="551"/>
      <c r="B226" s="552"/>
      <c r="F226" s="216" t="s">
        <v>630</v>
      </c>
      <c r="G226" s="139"/>
      <c r="H226" s="261">
        <v>15</v>
      </c>
      <c r="I226" s="216"/>
      <c r="J226" s="313">
        <v>957.426827777776</v>
      </c>
      <c r="K226" s="385"/>
      <c r="L226" s="260">
        <f t="shared" si="209"/>
        <v>622.61466610388777</v>
      </c>
      <c r="M226" s="212"/>
      <c r="N226" s="260">
        <f t="shared" si="210"/>
        <v>197.13418383944409</v>
      </c>
      <c r="O226" s="212"/>
      <c r="P226" s="260">
        <f t="shared" si="211"/>
        <v>19.722992652222185</v>
      </c>
      <c r="Q226" s="212"/>
      <c r="R226" s="260">
        <f t="shared" si="212"/>
        <v>55.243527962777677</v>
      </c>
      <c r="S226" s="212"/>
      <c r="T226" s="260">
        <f t="shared" si="213"/>
        <v>13.308232906111085</v>
      </c>
      <c r="U226" s="212"/>
      <c r="V226" s="260">
        <f t="shared" si="214"/>
        <v>15.606057292777747</v>
      </c>
      <c r="W226" s="212"/>
      <c r="X226" s="260">
        <f t="shared" si="215"/>
        <v>33.797167020555491</v>
      </c>
      <c r="Y226" s="212"/>
      <c r="Z226" s="175"/>
      <c r="AC226" s="216" t="s">
        <v>630</v>
      </c>
      <c r="AE226" s="239">
        <f t="shared" si="225"/>
        <v>15</v>
      </c>
      <c r="AG226" s="312">
        <f t="shared" si="227"/>
        <v>957.426827777776</v>
      </c>
      <c r="AH226" s="385"/>
      <c r="AI226" s="260">
        <f t="shared" si="216"/>
        <v>281.38774468388834</v>
      </c>
      <c r="AJ226" s="212"/>
      <c r="AK226" s="260">
        <f t="shared" si="217"/>
        <v>145.14590709111084</v>
      </c>
      <c r="AL226" s="212"/>
      <c r="AM226" s="260">
        <f t="shared" si="218"/>
        <v>45.57351700222214</v>
      </c>
      <c r="AN226" s="212"/>
      <c r="AO226" s="260">
        <f t="shared" si="219"/>
        <v>173.67722655888858</v>
      </c>
      <c r="AP226" s="212"/>
      <c r="AQ226" s="260">
        <f t="shared" si="220"/>
        <v>47.105399926666578</v>
      </c>
      <c r="AR226" s="212"/>
      <c r="AS226" s="260">
        <f t="shared" si="221"/>
        <v>168.31563632333302</v>
      </c>
      <c r="AT226" s="212"/>
      <c r="AU226" s="260">
        <f t="shared" si="222"/>
        <v>48.445797485555467</v>
      </c>
      <c r="AV226" s="212"/>
      <c r="AW226" s="260">
        <f t="shared" si="223"/>
        <v>13.978431685555529</v>
      </c>
      <c r="AX226" s="212"/>
      <c r="AY226" s="260">
        <f t="shared" si="224"/>
        <v>33.797167020555491</v>
      </c>
      <c r="BA226" s="175"/>
      <c r="BB226" s="145"/>
      <c r="BC226" s="145"/>
      <c r="BD226" s="145"/>
    </row>
    <row r="227" spans="1:56">
      <c r="A227" s="496"/>
      <c r="B227" s="496"/>
      <c r="F227" s="216" t="s">
        <v>631</v>
      </c>
      <c r="G227" s="139"/>
      <c r="H227" s="261">
        <v>15</v>
      </c>
      <c r="I227" s="216"/>
      <c r="J227" s="313">
        <v>102074.66286111102</v>
      </c>
      <c r="K227" s="385"/>
      <c r="L227" s="260">
        <f t="shared" si="209"/>
        <v>66379.153258580496</v>
      </c>
      <c r="M227" s="212"/>
      <c r="N227" s="260">
        <f t="shared" si="210"/>
        <v>21017.17308310276</v>
      </c>
      <c r="O227" s="212"/>
      <c r="P227" s="260">
        <f t="shared" si="211"/>
        <v>2102.7380549388872</v>
      </c>
      <c r="Q227" s="212"/>
      <c r="R227" s="260">
        <f t="shared" si="212"/>
        <v>5889.7080470861065</v>
      </c>
      <c r="S227" s="212"/>
      <c r="T227" s="260">
        <f t="shared" si="213"/>
        <v>1418.8378137694431</v>
      </c>
      <c r="U227" s="212"/>
      <c r="V227" s="260">
        <f t="shared" si="214"/>
        <v>1663.8170046361095</v>
      </c>
      <c r="W227" s="212"/>
      <c r="X227" s="260">
        <f t="shared" si="215"/>
        <v>3603.2355989972189</v>
      </c>
      <c r="Y227" s="212"/>
      <c r="Z227" s="175"/>
      <c r="AC227" s="216" t="s">
        <v>631</v>
      </c>
      <c r="AE227" s="239">
        <f t="shared" si="225"/>
        <v>15</v>
      </c>
      <c r="AG227" s="312">
        <f t="shared" si="227"/>
        <v>102074.66286111102</v>
      </c>
      <c r="AH227" s="385"/>
      <c r="AI227" s="260">
        <f t="shared" si="216"/>
        <v>29999.74341488053</v>
      </c>
      <c r="AJ227" s="212"/>
      <c r="AK227" s="260">
        <f t="shared" si="217"/>
        <v>15474.518889744431</v>
      </c>
      <c r="AL227" s="212"/>
      <c r="AM227" s="260">
        <f t="shared" si="218"/>
        <v>4858.7539521888848</v>
      </c>
      <c r="AN227" s="212"/>
      <c r="AO227" s="260">
        <f t="shared" si="219"/>
        <v>18516.343843005539</v>
      </c>
      <c r="AP227" s="212"/>
      <c r="AQ227" s="260">
        <f t="shared" si="220"/>
        <v>5022.0734127666619</v>
      </c>
      <c r="AR227" s="212"/>
      <c r="AS227" s="260">
        <f t="shared" si="221"/>
        <v>17944.725730983318</v>
      </c>
      <c r="AT227" s="212"/>
      <c r="AU227" s="260">
        <f t="shared" si="222"/>
        <v>5164.9779407722172</v>
      </c>
      <c r="AV227" s="212"/>
      <c r="AW227" s="260">
        <f t="shared" si="223"/>
        <v>1490.2900777722209</v>
      </c>
      <c r="AX227" s="212"/>
      <c r="AY227" s="260">
        <f t="shared" si="224"/>
        <v>3603.2355989972189</v>
      </c>
      <c r="BA227" s="175"/>
      <c r="BB227" s="145"/>
      <c r="BC227" s="145"/>
      <c r="BD227" s="145"/>
    </row>
    <row r="228" spans="1:56">
      <c r="A228" s="496"/>
      <c r="B228" s="496"/>
      <c r="F228" s="216" t="s">
        <v>632</v>
      </c>
      <c r="G228" s="139"/>
      <c r="H228" s="261">
        <v>2</v>
      </c>
      <c r="I228" s="216"/>
      <c r="J228" s="313">
        <v>51214.533756967663</v>
      </c>
      <c r="K228" s="385"/>
      <c r="L228" s="260">
        <f t="shared" si="209"/>
        <v>25981.132974909695</v>
      </c>
      <c r="M228" s="212"/>
      <c r="N228" s="260">
        <f t="shared" si="210"/>
        <v>15948.20581191973</v>
      </c>
      <c r="O228" s="212"/>
      <c r="P228" s="260">
        <f t="shared" si="211"/>
        <v>2053.7028036544034</v>
      </c>
      <c r="Q228" s="212"/>
      <c r="R228" s="260">
        <f t="shared" si="212"/>
        <v>5408.2547647357851</v>
      </c>
      <c r="S228" s="212"/>
      <c r="T228" s="260">
        <f t="shared" si="213"/>
        <v>1643.9865335986617</v>
      </c>
      <c r="U228" s="212"/>
      <c r="V228" s="260">
        <f t="shared" si="214"/>
        <v>81.943254011148269</v>
      </c>
      <c r="W228" s="212"/>
      <c r="X228" s="260">
        <f t="shared" si="215"/>
        <v>97.307614138238563</v>
      </c>
      <c r="Y228" s="212"/>
      <c r="Z228" s="175"/>
      <c r="AC228" s="216" t="s">
        <v>632</v>
      </c>
      <c r="AE228" s="239">
        <f t="shared" si="225"/>
        <v>2</v>
      </c>
      <c r="AG228" s="312">
        <f t="shared" si="227"/>
        <v>51214.533756967663</v>
      </c>
      <c r="AH228" s="385"/>
      <c r="AI228" s="260">
        <f t="shared" si="216"/>
        <v>30861.878041948708</v>
      </c>
      <c r="AJ228" s="212"/>
      <c r="AK228" s="260">
        <f t="shared" si="217"/>
        <v>20173.404846869562</v>
      </c>
      <c r="AL228" s="212"/>
      <c r="AM228" s="260">
        <f t="shared" si="218"/>
        <v>0</v>
      </c>
      <c r="AN228" s="212"/>
      <c r="AO228" s="260">
        <f t="shared" si="219"/>
        <v>0</v>
      </c>
      <c r="AP228" s="212"/>
      <c r="AQ228" s="260">
        <f t="shared" si="220"/>
        <v>0</v>
      </c>
      <c r="AR228" s="212"/>
      <c r="AS228" s="260">
        <f t="shared" si="221"/>
        <v>0</v>
      </c>
      <c r="AT228" s="212"/>
      <c r="AU228" s="260">
        <f t="shared" si="222"/>
        <v>0</v>
      </c>
      <c r="AV228" s="212"/>
      <c r="AW228" s="260">
        <f t="shared" si="223"/>
        <v>81.943254011148269</v>
      </c>
      <c r="AX228" s="212"/>
      <c r="AY228" s="260">
        <f t="shared" si="224"/>
        <v>97.307614138238563</v>
      </c>
      <c r="BA228" s="175"/>
      <c r="BB228" s="145"/>
      <c r="BC228" s="145"/>
      <c r="BD228" s="145"/>
    </row>
    <row r="229" spans="1:56" ht="11.25" customHeight="1">
      <c r="A229" s="496"/>
      <c r="B229" s="496"/>
      <c r="F229" s="216" t="s">
        <v>633</v>
      </c>
      <c r="G229" s="139"/>
      <c r="H229" s="261">
        <v>15</v>
      </c>
      <c r="I229" s="216"/>
      <c r="J229" s="313">
        <v>30854.231727138907</v>
      </c>
      <c r="K229" s="385"/>
      <c r="L229" s="260">
        <f t="shared" si="209"/>
        <v>20064.506892158432</v>
      </c>
      <c r="M229" s="212"/>
      <c r="N229" s="260">
        <f t="shared" si="210"/>
        <v>6352.8863126179012</v>
      </c>
      <c r="O229" s="212"/>
      <c r="P229" s="260">
        <f t="shared" si="211"/>
        <v>635.59717357906152</v>
      </c>
      <c r="Q229" s="212"/>
      <c r="R229" s="260">
        <f t="shared" si="212"/>
        <v>1780.2891706559151</v>
      </c>
      <c r="S229" s="212"/>
      <c r="T229" s="260">
        <f t="shared" si="213"/>
        <v>428.87382100723079</v>
      </c>
      <c r="U229" s="212"/>
      <c r="V229" s="260">
        <f t="shared" si="214"/>
        <v>502.92397715236416</v>
      </c>
      <c r="W229" s="212"/>
      <c r="X229" s="260">
        <f t="shared" si="215"/>
        <v>1089.1543799680035</v>
      </c>
      <c r="Y229" s="212"/>
      <c r="Z229" s="175"/>
      <c r="AC229" s="216" t="s">
        <v>633</v>
      </c>
      <c r="AE229" s="239">
        <f t="shared" si="225"/>
        <v>15</v>
      </c>
      <c r="AG229" s="312">
        <f t="shared" si="227"/>
        <v>30854.231727138907</v>
      </c>
      <c r="AH229" s="385"/>
      <c r="AI229" s="260">
        <f t="shared" si="216"/>
        <v>9068.0587046061246</v>
      </c>
      <c r="AJ229" s="212"/>
      <c r="AK229" s="260">
        <f t="shared" si="217"/>
        <v>4677.5015298342587</v>
      </c>
      <c r="AL229" s="212"/>
      <c r="AM229" s="260">
        <f t="shared" si="218"/>
        <v>1468.6614302118121</v>
      </c>
      <c r="AN229" s="212"/>
      <c r="AO229" s="260">
        <f t="shared" si="219"/>
        <v>5596.9576353029979</v>
      </c>
      <c r="AP229" s="212"/>
      <c r="AQ229" s="260">
        <f t="shared" si="220"/>
        <v>1518.0282009752343</v>
      </c>
      <c r="AR229" s="212"/>
      <c r="AS229" s="260">
        <f t="shared" si="221"/>
        <v>5424.1739376310206</v>
      </c>
      <c r="AT229" s="212"/>
      <c r="AU229" s="260">
        <f t="shared" si="222"/>
        <v>1561.2241253932286</v>
      </c>
      <c r="AV229" s="212"/>
      <c r="AW229" s="260">
        <f t="shared" si="223"/>
        <v>450.47178321622806</v>
      </c>
      <c r="AX229" s="212"/>
      <c r="AY229" s="260">
        <f t="shared" si="224"/>
        <v>1089.1543799680035</v>
      </c>
      <c r="BA229" s="175"/>
      <c r="BB229" s="145"/>
      <c r="BC229" s="145"/>
      <c r="BD229" s="145"/>
    </row>
    <row r="230" spans="1:56">
      <c r="A230" s="496"/>
      <c r="B230" s="496"/>
      <c r="F230" s="216" t="s">
        <v>717</v>
      </c>
      <c r="G230" s="139"/>
      <c r="H230" s="261">
        <v>15</v>
      </c>
      <c r="I230" s="216"/>
      <c r="J230" s="313">
        <v>196701.13149141709</v>
      </c>
      <c r="K230" s="385"/>
      <c r="L230" s="260">
        <f t="shared" si="209"/>
        <v>127914.74580886854</v>
      </c>
      <c r="M230" s="212"/>
      <c r="N230" s="260">
        <f t="shared" si="210"/>
        <v>40500.762974082776</v>
      </c>
      <c r="O230" s="212"/>
      <c r="P230" s="260">
        <f t="shared" si="211"/>
        <v>4052.0433087231922</v>
      </c>
      <c r="Q230" s="212"/>
      <c r="R230" s="260">
        <f t="shared" si="212"/>
        <v>11349.655287054766</v>
      </c>
      <c r="S230" s="212"/>
      <c r="T230" s="260">
        <f t="shared" si="213"/>
        <v>2734.1457277306977</v>
      </c>
      <c r="U230" s="212"/>
      <c r="V230" s="260">
        <f t="shared" si="214"/>
        <v>3206.2284433100986</v>
      </c>
      <c r="W230" s="212"/>
      <c r="X230" s="260">
        <f t="shared" si="215"/>
        <v>6943.5499416470229</v>
      </c>
      <c r="Y230" s="212"/>
      <c r="Z230" s="175"/>
      <c r="AC230" s="216" t="s">
        <v>717</v>
      </c>
      <c r="AE230" s="239">
        <f t="shared" si="225"/>
        <v>15</v>
      </c>
      <c r="AG230" s="312">
        <f t="shared" si="227"/>
        <v>196701.13149141709</v>
      </c>
      <c r="AH230" s="385"/>
      <c r="AI230" s="260">
        <f t="shared" si="216"/>
        <v>57810.462545327486</v>
      </c>
      <c r="AJ230" s="212"/>
      <c r="AK230" s="260">
        <f t="shared" si="217"/>
        <v>29819.891534098835</v>
      </c>
      <c r="AL230" s="212"/>
      <c r="AM230" s="260">
        <f t="shared" si="218"/>
        <v>9362.9738589914541</v>
      </c>
      <c r="AN230" s="212"/>
      <c r="AO230" s="260">
        <f t="shared" si="219"/>
        <v>35681.58525254306</v>
      </c>
      <c r="AP230" s="212"/>
      <c r="AQ230" s="260">
        <f t="shared" si="220"/>
        <v>9677.6956693777211</v>
      </c>
      <c r="AR230" s="212"/>
      <c r="AS230" s="260">
        <f t="shared" si="221"/>
        <v>34580.058916191127</v>
      </c>
      <c r="AT230" s="212"/>
      <c r="AU230" s="260">
        <f t="shared" si="222"/>
        <v>9953.0772534657044</v>
      </c>
      <c r="AV230" s="212"/>
      <c r="AW230" s="260">
        <f t="shared" si="223"/>
        <v>2871.8365197746898</v>
      </c>
      <c r="AX230" s="212"/>
      <c r="AY230" s="260">
        <f t="shared" si="224"/>
        <v>6943.5499416470229</v>
      </c>
      <c r="BA230" s="175"/>
      <c r="BB230" s="145"/>
      <c r="BC230" s="145"/>
      <c r="BD230" s="145"/>
    </row>
    <row r="231" spans="1:56">
      <c r="A231" s="496"/>
      <c r="B231" s="496"/>
      <c r="F231" s="216" t="s">
        <v>718</v>
      </c>
      <c r="G231" s="139"/>
      <c r="H231" s="261">
        <v>15</v>
      </c>
      <c r="I231" s="216"/>
      <c r="J231" s="313">
        <v>225526.40424796607</v>
      </c>
      <c r="K231" s="385"/>
      <c r="L231" s="260">
        <f t="shared" si="209"/>
        <v>146659.82068245232</v>
      </c>
      <c r="M231" s="212"/>
      <c r="N231" s="260">
        <f t="shared" si="210"/>
        <v>46435.886634656214</v>
      </c>
      <c r="O231" s="212"/>
      <c r="P231" s="260">
        <f t="shared" si="211"/>
        <v>4645.8439275081009</v>
      </c>
      <c r="Q231" s="212"/>
      <c r="R231" s="260">
        <f t="shared" si="212"/>
        <v>13012.873525107643</v>
      </c>
      <c r="S231" s="212"/>
      <c r="T231" s="260">
        <f t="shared" si="213"/>
        <v>3134.8170190467281</v>
      </c>
      <c r="U231" s="212"/>
      <c r="V231" s="260">
        <f t="shared" si="214"/>
        <v>3676.0803892418467</v>
      </c>
      <c r="W231" s="212"/>
      <c r="X231" s="260">
        <f t="shared" si="215"/>
        <v>7961.0820699532014</v>
      </c>
      <c r="Y231" s="212"/>
      <c r="Z231" s="175"/>
      <c r="AC231" s="216" t="s">
        <v>718</v>
      </c>
      <c r="AE231" s="239">
        <f t="shared" si="225"/>
        <v>15</v>
      </c>
      <c r="AG231" s="312">
        <f t="shared" si="227"/>
        <v>225526.40424796607</v>
      </c>
      <c r="AH231" s="385"/>
      <c r="AI231" s="260">
        <f t="shared" si="216"/>
        <v>66282.210208477234</v>
      </c>
      <c r="AJ231" s="212"/>
      <c r="AK231" s="260">
        <f t="shared" si="217"/>
        <v>34189.802883991659</v>
      </c>
      <c r="AL231" s="212"/>
      <c r="AM231" s="260">
        <f t="shared" si="218"/>
        <v>10735.056842203187</v>
      </c>
      <c r="AN231" s="212"/>
      <c r="AO231" s="260">
        <f t="shared" si="219"/>
        <v>40910.489730581045</v>
      </c>
      <c r="AP231" s="212"/>
      <c r="AQ231" s="260">
        <f t="shared" si="220"/>
        <v>11095.899088999931</v>
      </c>
      <c r="AR231" s="212"/>
      <c r="AS231" s="260">
        <f t="shared" si="221"/>
        <v>39647.541866792439</v>
      </c>
      <c r="AT231" s="212"/>
      <c r="AU231" s="260">
        <f t="shared" si="222"/>
        <v>11411.636054947083</v>
      </c>
      <c r="AV231" s="212"/>
      <c r="AW231" s="260">
        <f t="shared" si="223"/>
        <v>3292.6855020203047</v>
      </c>
      <c r="AX231" s="212"/>
      <c r="AY231" s="260">
        <f t="shared" si="224"/>
        <v>7961.0820699532014</v>
      </c>
      <c r="BA231" s="175"/>
      <c r="BB231" s="145"/>
      <c r="BC231" s="145"/>
      <c r="BD231" s="145"/>
    </row>
    <row r="232" spans="1:56">
      <c r="A232" s="496"/>
      <c r="B232" s="496"/>
      <c r="F232" s="216" t="s">
        <v>719</v>
      </c>
      <c r="G232" s="139"/>
      <c r="H232" s="261">
        <v>15</v>
      </c>
      <c r="I232" s="216"/>
      <c r="J232" s="313">
        <v>21038.042958999999</v>
      </c>
      <c r="K232" s="385"/>
      <c r="L232" s="260">
        <f t="shared" si="209"/>
        <v>13681.039336237698</v>
      </c>
      <c r="M232" s="212"/>
      <c r="N232" s="260">
        <f t="shared" si="210"/>
        <v>4331.7330452581</v>
      </c>
      <c r="O232" s="212"/>
      <c r="P232" s="260">
        <f t="shared" si="211"/>
        <v>433.38368495539999</v>
      </c>
      <c r="Q232" s="212"/>
      <c r="R232" s="260">
        <f t="shared" si="212"/>
        <v>1213.8950787342999</v>
      </c>
      <c r="S232" s="212"/>
      <c r="T232" s="260">
        <f t="shared" si="213"/>
        <v>292.42879713009995</v>
      </c>
      <c r="U232" s="212"/>
      <c r="V232" s="260">
        <f t="shared" si="214"/>
        <v>342.92010023169996</v>
      </c>
      <c r="W232" s="212"/>
      <c r="X232" s="260">
        <f t="shared" si="215"/>
        <v>742.64291645269986</v>
      </c>
      <c r="Y232" s="212"/>
      <c r="Z232" s="175"/>
      <c r="AC232" s="216" t="s">
        <v>719</v>
      </c>
      <c r="AE232" s="239">
        <f t="shared" si="225"/>
        <v>15</v>
      </c>
      <c r="AG232" s="312">
        <f t="shared" si="227"/>
        <v>21038.042958999999</v>
      </c>
      <c r="AH232" s="385"/>
      <c r="AI232" s="260">
        <f t="shared" si="216"/>
        <v>6183.0808256500995</v>
      </c>
      <c r="AJ232" s="212"/>
      <c r="AK232" s="260">
        <f t="shared" si="217"/>
        <v>3189.3673125844002</v>
      </c>
      <c r="AL232" s="212"/>
      <c r="AM232" s="260">
        <f t="shared" si="218"/>
        <v>1001.4108448484</v>
      </c>
      <c r="AN232" s="212"/>
      <c r="AO232" s="260">
        <f t="shared" si="219"/>
        <v>3816.3009927625999</v>
      </c>
      <c r="AP232" s="212"/>
      <c r="AQ232" s="260">
        <f t="shared" si="220"/>
        <v>1035.0717135827999</v>
      </c>
      <c r="AR232" s="212"/>
      <c r="AS232" s="260">
        <f t="shared" si="221"/>
        <v>3698.4879521921998</v>
      </c>
      <c r="AT232" s="212"/>
      <c r="AU232" s="260">
        <f t="shared" si="222"/>
        <v>1064.5249737253998</v>
      </c>
      <c r="AV232" s="212"/>
      <c r="AW232" s="260">
        <f t="shared" si="223"/>
        <v>307.15542720139996</v>
      </c>
      <c r="AX232" s="212"/>
      <c r="AY232" s="260">
        <f t="shared" si="224"/>
        <v>742.64291645269986</v>
      </c>
      <c r="BA232" s="175"/>
      <c r="BB232" s="145"/>
      <c r="BC232" s="145"/>
      <c r="BD232" s="145"/>
    </row>
    <row r="233" spans="1:56" ht="15" customHeight="1">
      <c r="A233" s="496"/>
      <c r="B233" s="496"/>
      <c r="F233" s="216" t="s">
        <v>635</v>
      </c>
      <c r="G233" s="139"/>
      <c r="H233" s="261">
        <v>15</v>
      </c>
      <c r="I233" s="216"/>
      <c r="J233" s="313">
        <v>80879.233771097934</v>
      </c>
      <c r="K233" s="385"/>
      <c r="L233" s="260">
        <f t="shared" si="209"/>
        <v>52595.765721344986</v>
      </c>
      <c r="M233" s="212"/>
      <c r="N233" s="260">
        <f t="shared" si="210"/>
        <v>16653.034233469065</v>
      </c>
      <c r="O233" s="212"/>
      <c r="P233" s="260">
        <f t="shared" si="211"/>
        <v>1666.1122156846175</v>
      </c>
      <c r="Q233" s="212"/>
      <c r="R233" s="260">
        <f t="shared" si="212"/>
        <v>4666.7317885923512</v>
      </c>
      <c r="S233" s="212"/>
      <c r="T233" s="260">
        <f t="shared" si="213"/>
        <v>1124.2213494182613</v>
      </c>
      <c r="U233" s="212"/>
      <c r="V233" s="260">
        <f t="shared" si="214"/>
        <v>1318.3315104688961</v>
      </c>
      <c r="W233" s="212"/>
      <c r="X233" s="260">
        <f t="shared" si="215"/>
        <v>2855.0369521197567</v>
      </c>
      <c r="Y233" s="212"/>
      <c r="Z233" s="175"/>
      <c r="AC233" s="216" t="s">
        <v>635</v>
      </c>
      <c r="AE233" s="239">
        <f t="shared" si="225"/>
        <v>15</v>
      </c>
      <c r="AG233" s="312">
        <f t="shared" si="227"/>
        <v>80879.233771097934</v>
      </c>
      <c r="AH233" s="385"/>
      <c r="AI233" s="260">
        <f t="shared" si="216"/>
        <v>23770.406805325681</v>
      </c>
      <c r="AJ233" s="212"/>
      <c r="AK233" s="260">
        <f t="shared" si="217"/>
        <v>12261.291839698448</v>
      </c>
      <c r="AL233" s="212"/>
      <c r="AM233" s="260">
        <f t="shared" si="218"/>
        <v>3849.8515275042619</v>
      </c>
      <c r="AN233" s="212"/>
      <c r="AO233" s="260">
        <f t="shared" si="219"/>
        <v>14671.493006077166</v>
      </c>
      <c r="AP233" s="212"/>
      <c r="AQ233" s="260">
        <f t="shared" si="220"/>
        <v>3979.2583015380183</v>
      </c>
      <c r="AR233" s="212"/>
      <c r="AS233" s="260">
        <f t="shared" si="221"/>
        <v>14218.569296959018</v>
      </c>
      <c r="AT233" s="212"/>
      <c r="AU233" s="260">
        <f t="shared" si="222"/>
        <v>4092.4892288175552</v>
      </c>
      <c r="AV233" s="212"/>
      <c r="AW233" s="260">
        <f t="shared" si="223"/>
        <v>1180.8368130580297</v>
      </c>
      <c r="AX233" s="212"/>
      <c r="AY233" s="260">
        <f t="shared" si="224"/>
        <v>2855.0369521197567</v>
      </c>
      <c r="BA233" s="175"/>
      <c r="BB233" s="145"/>
      <c r="BC233" s="145"/>
      <c r="BD233" s="145"/>
    </row>
    <row r="234" spans="1:56" s="146" customFormat="1">
      <c r="A234" s="550"/>
      <c r="B234" s="550"/>
      <c r="C234" s="212"/>
      <c r="D234" s="488"/>
      <c r="E234" s="212"/>
      <c r="F234" s="216" t="s">
        <v>636</v>
      </c>
      <c r="G234" s="139"/>
      <c r="H234" s="261">
        <v>15</v>
      </c>
      <c r="I234" s="385"/>
      <c r="J234" s="389">
        <v>-20452.844676789413</v>
      </c>
      <c r="K234" s="385"/>
      <c r="L234" s="549">
        <f t="shared" si="209"/>
        <v>-13300.484893316156</v>
      </c>
      <c r="M234" s="385"/>
      <c r="N234" s="549">
        <f t="shared" si="210"/>
        <v>-4211.2407189509404</v>
      </c>
      <c r="O234" s="385"/>
      <c r="P234" s="549">
        <f t="shared" si="211"/>
        <v>-421.32860034186189</v>
      </c>
      <c r="Q234" s="385"/>
      <c r="R234" s="549">
        <f t="shared" si="212"/>
        <v>-1180.1291378507492</v>
      </c>
      <c r="S234" s="385"/>
      <c r="T234" s="549">
        <f t="shared" si="213"/>
        <v>-284.2945410073728</v>
      </c>
      <c r="U234" s="385"/>
      <c r="V234" s="549">
        <f t="shared" si="214"/>
        <v>-333.38136823166741</v>
      </c>
      <c r="W234" s="385"/>
      <c r="X234" s="549">
        <f t="shared" si="215"/>
        <v>-721.98541709066626</v>
      </c>
      <c r="Y234" s="212"/>
      <c r="Z234" s="175"/>
      <c r="AC234" s="216" t="s">
        <v>636</v>
      </c>
      <c r="AE234" s="239">
        <f t="shared" si="197"/>
        <v>15</v>
      </c>
      <c r="AF234" s="529"/>
      <c r="AG234" s="389">
        <f t="shared" si="198"/>
        <v>-20452.844676789413</v>
      </c>
      <c r="AH234" s="385"/>
      <c r="AI234" s="549">
        <f t="shared" si="216"/>
        <v>-6011.0910505084084</v>
      </c>
      <c r="AJ234" s="385"/>
      <c r="AK234" s="549">
        <f t="shared" si="217"/>
        <v>-3100.6512530012751</v>
      </c>
      <c r="AL234" s="385"/>
      <c r="AM234" s="549">
        <f t="shared" si="218"/>
        <v>-973.55540661517614</v>
      </c>
      <c r="AN234" s="385"/>
      <c r="AO234" s="549">
        <f t="shared" si="219"/>
        <v>-3710.1460243695997</v>
      </c>
      <c r="AP234" s="385"/>
      <c r="AQ234" s="549">
        <f t="shared" si="220"/>
        <v>-1006.2799580980392</v>
      </c>
      <c r="AR234" s="385"/>
      <c r="AS234" s="549">
        <f t="shared" si="221"/>
        <v>-3595.6100941795789</v>
      </c>
      <c r="AT234" s="385"/>
      <c r="AU234" s="549">
        <f t="shared" si="222"/>
        <v>-1034.9139406455442</v>
      </c>
      <c r="AV234" s="385"/>
      <c r="AW234" s="549">
        <f t="shared" si="223"/>
        <v>-298.61153228112545</v>
      </c>
      <c r="AX234" s="385"/>
      <c r="AY234" s="549">
        <f t="shared" si="224"/>
        <v>-721.98541709066626</v>
      </c>
      <c r="AZ234" s="529"/>
      <c r="BA234" s="175"/>
      <c r="BB234" s="145"/>
      <c r="BC234" s="145"/>
      <c r="BD234" s="145"/>
    </row>
    <row r="235" spans="1:56" s="146" customFormat="1">
      <c r="A235" s="550"/>
      <c r="B235" s="480"/>
      <c r="C235" s="212"/>
      <c r="D235" s="488"/>
      <c r="E235" s="212"/>
      <c r="F235" s="216"/>
      <c r="G235" s="139"/>
      <c r="H235" s="261"/>
      <c r="I235" s="385"/>
      <c r="J235" s="386"/>
      <c r="K235" s="385"/>
      <c r="L235" s="386"/>
      <c r="M235" s="385"/>
      <c r="N235" s="386"/>
      <c r="O235" s="385"/>
      <c r="P235" s="386"/>
      <c r="Q235" s="385"/>
      <c r="R235" s="386"/>
      <c r="S235" s="385"/>
      <c r="T235" s="386"/>
      <c r="U235" s="385"/>
      <c r="V235" s="386"/>
      <c r="W235" s="385"/>
      <c r="X235" s="386"/>
      <c r="Z235" s="175"/>
      <c r="AC235" s="216"/>
      <c r="AE235" s="494"/>
      <c r="AG235" s="386"/>
      <c r="AH235" s="385"/>
      <c r="AI235" s="386"/>
      <c r="AJ235" s="385"/>
      <c r="AK235" s="386"/>
      <c r="AL235" s="385"/>
      <c r="AM235" s="386"/>
      <c r="AN235" s="385"/>
      <c r="AO235" s="386"/>
      <c r="AP235" s="385"/>
      <c r="AQ235" s="386"/>
      <c r="AR235" s="385"/>
      <c r="AS235" s="386"/>
      <c r="AT235" s="385"/>
      <c r="AU235" s="386"/>
      <c r="AV235" s="385"/>
      <c r="AW235" s="386"/>
      <c r="AX235" s="385"/>
      <c r="AY235" s="386"/>
      <c r="BA235" s="175"/>
      <c r="BB235" s="145"/>
      <c r="BC235" s="145"/>
      <c r="BD235" s="145"/>
    </row>
    <row r="236" spans="1:56" s="146" customFormat="1">
      <c r="A236" s="556"/>
      <c r="B236" s="495"/>
      <c r="C236" s="212"/>
      <c r="D236" s="488"/>
      <c r="E236" s="212"/>
      <c r="F236" s="216" t="s">
        <v>108</v>
      </c>
      <c r="G236" s="139"/>
      <c r="H236" s="261"/>
      <c r="I236" s="385"/>
      <c r="J236" s="386">
        <f>SUM(J177:J235)</f>
        <v>13121601.256259196</v>
      </c>
      <c r="K236" s="385"/>
      <c r="L236" s="386">
        <f>SUM(L177:L235)</f>
        <v>7481921.8045663368</v>
      </c>
      <c r="M236" s="385"/>
      <c r="N236" s="386">
        <f>SUM(N177:N235)</f>
        <v>3206171.8290729397</v>
      </c>
      <c r="O236" s="385"/>
      <c r="P236" s="386">
        <f>SUM(P177:P235)</f>
        <v>362846.73716812325</v>
      </c>
      <c r="Q236" s="385"/>
      <c r="R236" s="386">
        <f>SUM(R177:R235)</f>
        <v>981798.66521724104</v>
      </c>
      <c r="S236" s="385"/>
      <c r="T236" s="386">
        <f>SUM(T177:T235)</f>
        <v>242481.551122509</v>
      </c>
      <c r="U236" s="385"/>
      <c r="V236" s="386">
        <f>SUM(V177:V235)</f>
        <v>327558.95639892097</v>
      </c>
      <c r="W236" s="385"/>
      <c r="X236" s="386">
        <f>SUM(X177:X235)</f>
        <v>518821.7127131272</v>
      </c>
      <c r="Z236" s="175"/>
      <c r="AC236" s="216" t="s">
        <v>108</v>
      </c>
      <c r="AD236" s="139"/>
      <c r="AE236" s="261"/>
      <c r="AF236" s="385"/>
      <c r="AG236" s="386">
        <f>SUM(AG177:AG235)</f>
        <v>13121601.256259196</v>
      </c>
      <c r="AH236" s="385"/>
      <c r="AI236" s="386">
        <f>SUM(AI177:AI235)</f>
        <v>5070020.576173773</v>
      </c>
      <c r="AJ236" s="385"/>
      <c r="AK236" s="386">
        <f>SUM(AK177:AK235)</f>
        <v>2792727.5752465492</v>
      </c>
      <c r="AL236" s="385"/>
      <c r="AM236" s="386">
        <f>SUM(AM177:AM235)</f>
        <v>1078418.2345296151</v>
      </c>
      <c r="AN236" s="385"/>
      <c r="AO236" s="386">
        <f>SUM(AO177:AO235)</f>
        <v>1589881.7447045203</v>
      </c>
      <c r="AP236" s="385"/>
      <c r="AQ236" s="386">
        <f>SUM(AQ177:AQ235)</f>
        <v>931950.86625195364</v>
      </c>
      <c r="AR236" s="385"/>
      <c r="AS236" s="386">
        <f>SUM(AS177:AS235)</f>
        <v>718733.34225304297</v>
      </c>
      <c r="AT236" s="385"/>
      <c r="AU236" s="386">
        <f>SUM(AU177:AU235)</f>
        <v>104473.85391983531</v>
      </c>
      <c r="AV236" s="385"/>
      <c r="AW236" s="386">
        <f t="shared" ref="AW236" si="229">SUM(AW177:AW235)</f>
        <v>320801.6414739223</v>
      </c>
      <c r="AX236" s="385"/>
      <c r="AY236" s="386">
        <f t="shared" ref="AY236" si="230">SUM(AY177:AY235)</f>
        <v>514593.42170598026</v>
      </c>
      <c r="BA236" s="175"/>
      <c r="BB236" s="145"/>
      <c r="BC236" s="145"/>
      <c r="BD236" s="145"/>
    </row>
    <row r="237" spans="1:56" ht="7.9" customHeight="1">
      <c r="A237" s="496"/>
      <c r="B237" s="496"/>
      <c r="F237" s="216"/>
      <c r="G237" s="139"/>
      <c r="H237" s="261"/>
      <c r="I237" s="216"/>
      <c r="J237" s="386"/>
      <c r="K237" s="385"/>
      <c r="L237" s="386"/>
      <c r="M237" s="387"/>
      <c r="N237" s="386"/>
      <c r="O237" s="387"/>
      <c r="P237" s="386"/>
      <c r="Q237" s="387"/>
      <c r="R237" s="386"/>
      <c r="S237" s="387"/>
      <c r="T237" s="386"/>
      <c r="U237" s="387"/>
      <c r="V237" s="386"/>
      <c r="W237" s="387"/>
      <c r="X237" s="386"/>
      <c r="Z237" s="175"/>
      <c r="AC237" s="216"/>
      <c r="AG237" s="386"/>
      <c r="AH237" s="385"/>
      <c r="AI237" s="386"/>
      <c r="AJ237" s="387"/>
      <c r="AK237" s="386"/>
      <c r="AL237" s="387"/>
      <c r="AM237" s="386"/>
      <c r="AN237" s="387"/>
      <c r="AO237" s="386"/>
      <c r="AP237" s="387"/>
      <c r="AQ237" s="386"/>
      <c r="AR237" s="387"/>
      <c r="AS237" s="386"/>
      <c r="AT237" s="387"/>
      <c r="AU237" s="386"/>
      <c r="AV237" s="387"/>
      <c r="AW237" s="386"/>
      <c r="AX237" s="387"/>
      <c r="AY237" s="386"/>
      <c r="BA237" s="175"/>
      <c r="BB237" s="145"/>
      <c r="BC237" s="145"/>
      <c r="BD237" s="145"/>
    </row>
    <row r="238" spans="1:56">
      <c r="A238" s="496"/>
      <c r="B238" s="496"/>
      <c r="F238" s="390" t="s">
        <v>637</v>
      </c>
      <c r="G238" s="139"/>
      <c r="H238" s="261"/>
      <c r="I238" s="216"/>
      <c r="J238" s="386"/>
      <c r="K238" s="385"/>
      <c r="L238" s="386"/>
      <c r="M238" s="387"/>
      <c r="N238" s="386"/>
      <c r="O238" s="387"/>
      <c r="P238" s="386"/>
      <c r="Q238" s="387"/>
      <c r="R238" s="386"/>
      <c r="S238" s="387"/>
      <c r="T238" s="386"/>
      <c r="U238" s="387"/>
      <c r="V238" s="386"/>
      <c r="W238" s="387"/>
      <c r="X238" s="386"/>
      <c r="Z238" s="175"/>
      <c r="AC238" s="390" t="s">
        <v>637</v>
      </c>
      <c r="AG238" s="386"/>
      <c r="AH238" s="385"/>
      <c r="AI238" s="386"/>
      <c r="AJ238" s="387"/>
      <c r="AK238" s="386"/>
      <c r="AL238" s="387"/>
      <c r="AM238" s="386"/>
      <c r="AN238" s="387"/>
      <c r="AO238" s="386"/>
      <c r="AP238" s="387"/>
      <c r="AQ238" s="386"/>
      <c r="AR238" s="387"/>
      <c r="AS238" s="386"/>
      <c r="AT238" s="387"/>
      <c r="AU238" s="386"/>
      <c r="AV238" s="387"/>
      <c r="AW238" s="386"/>
      <c r="AX238" s="387"/>
      <c r="AY238" s="386"/>
      <c r="BA238" s="175"/>
      <c r="BB238" s="145"/>
      <c r="BC238" s="145"/>
      <c r="BD238" s="145"/>
    </row>
    <row r="239" spans="1:56">
      <c r="A239" s="550"/>
      <c r="B239" s="480"/>
      <c r="F239" s="216" t="s">
        <v>113</v>
      </c>
      <c r="G239" s="139"/>
      <c r="H239" s="261">
        <v>18</v>
      </c>
      <c r="I239" s="216"/>
      <c r="J239" s="312">
        <v>153181.36000000002</v>
      </c>
      <c r="K239" s="385"/>
      <c r="L239" s="260">
        <f ca="1">(VLOOKUP($H239,Factors,L$382))*$J239</f>
        <v>79807.488560000013</v>
      </c>
      <c r="M239" s="212"/>
      <c r="N239" s="260">
        <f ca="1">(VLOOKUP($H239,Factors,N$382))*$J239</f>
        <v>39949.698687999997</v>
      </c>
      <c r="O239" s="212"/>
      <c r="P239" s="260">
        <f ca="1">(VLOOKUP($H239,Factors,P$382))*$J239</f>
        <v>4733.3040240000009</v>
      </c>
      <c r="Q239" s="212"/>
      <c r="R239" s="260">
        <f ca="1">(VLOOKUP($H239,Factors,R$382))*$J239</f>
        <v>12576.189656000002</v>
      </c>
      <c r="S239" s="212"/>
      <c r="T239" s="260">
        <f ca="1">(VLOOKUP($H239,Factors,T$382))*$J239</f>
        <v>3078.9453360000002</v>
      </c>
      <c r="U239" s="212"/>
      <c r="V239" s="260">
        <f ca="1">(VLOOKUP($H239,Factors,V$382))*$J239</f>
        <v>4564.8045280000006</v>
      </c>
      <c r="W239" s="212"/>
      <c r="X239" s="260">
        <f ca="1">(VLOOKUP($H239,Factors,X$382))*$J239</f>
        <v>8470.9292080000014</v>
      </c>
      <c r="Y239" s="212"/>
      <c r="Z239" s="175"/>
      <c r="AC239" s="216" t="s">
        <v>113</v>
      </c>
      <c r="AE239" s="239">
        <f>+H239</f>
        <v>18</v>
      </c>
      <c r="AG239" s="312">
        <f>+J239</f>
        <v>153181.36000000002</v>
      </c>
      <c r="AH239" s="385"/>
      <c r="AI239" s="260">
        <f ca="1">(VLOOKUP($AE239,func,AI$382))*$AG239</f>
        <v>65822.030392000015</v>
      </c>
      <c r="AJ239" s="212"/>
      <c r="AK239" s="260">
        <f ca="1">(VLOOKUP($AE239,func,AK$382))*$AG239</f>
        <v>34940.668216000005</v>
      </c>
      <c r="AL239" s="212"/>
      <c r="AM239" s="260">
        <f ca="1">(VLOOKUP($AE239,func,AM$382))*$AG239</f>
        <v>17294.175544000002</v>
      </c>
      <c r="AN239" s="212"/>
      <c r="AO239" s="260">
        <f ca="1">(VLOOKUP($AE239,func,AO$382))*$AG239</f>
        <v>15333.454136</v>
      </c>
      <c r="AP239" s="212"/>
      <c r="AQ239" s="260">
        <f ca="1">(VLOOKUP($AE239,func,AQ$382))*$AG239</f>
        <v>3369.98992</v>
      </c>
      <c r="AR239" s="212"/>
      <c r="AS239" s="260">
        <f ca="1">(VLOOKUP($AE239,func,AS$382))*$AG239</f>
        <v>3017.6727920000008</v>
      </c>
      <c r="AT239" s="212"/>
      <c r="AU239" s="260">
        <f ca="1">(VLOOKUP($AE239,func,AU$382))*$AG239</f>
        <v>520.81662400000005</v>
      </c>
      <c r="AV239" s="212"/>
      <c r="AW239" s="260">
        <f ca="1">(VLOOKUP($AE239,func,AW$382))*$AG239</f>
        <v>4488.2138480000003</v>
      </c>
      <c r="AX239" s="212"/>
      <c r="AY239" s="260">
        <f ca="1">(VLOOKUP($AE239,func,AY$382))*$AG239</f>
        <v>8394.3385280000002</v>
      </c>
      <c r="BA239" s="175"/>
      <c r="BB239" s="145"/>
      <c r="BC239" s="145"/>
      <c r="BD239" s="145"/>
    </row>
    <row r="240" spans="1:56">
      <c r="A240" s="550"/>
      <c r="B240" s="480"/>
      <c r="F240" s="216" t="s">
        <v>114</v>
      </c>
      <c r="G240" s="139"/>
      <c r="H240" s="261">
        <v>18</v>
      </c>
      <c r="I240" s="216"/>
      <c r="J240" s="312">
        <v>0</v>
      </c>
      <c r="K240" s="385"/>
      <c r="L240" s="260">
        <f ca="1">(VLOOKUP($H240,Factors,L$382))*$J240</f>
        <v>0</v>
      </c>
      <c r="M240" s="212"/>
      <c r="N240" s="260">
        <f ca="1">(VLOOKUP($H240,Factors,N$382))*$J240</f>
        <v>0</v>
      </c>
      <c r="O240" s="212"/>
      <c r="P240" s="260">
        <f ca="1">(VLOOKUP($H240,Factors,P$382))*$J240</f>
        <v>0</v>
      </c>
      <c r="Q240" s="212"/>
      <c r="R240" s="260">
        <f ca="1">(VLOOKUP($H240,Factors,R$382))*$J240</f>
        <v>0</v>
      </c>
      <c r="S240" s="212"/>
      <c r="T240" s="260">
        <f ca="1">(VLOOKUP($H240,Factors,T$382))*$J240</f>
        <v>0</v>
      </c>
      <c r="U240" s="212"/>
      <c r="V240" s="260">
        <f ca="1">(VLOOKUP($H240,Factors,V$382))*$J240</f>
        <v>0</v>
      </c>
      <c r="W240" s="212"/>
      <c r="X240" s="260">
        <f ca="1">(VLOOKUP($H240,Factors,X$382))*$J240</f>
        <v>0</v>
      </c>
      <c r="Y240" s="212"/>
      <c r="Z240" s="175"/>
      <c r="AC240" s="216" t="s">
        <v>114</v>
      </c>
      <c r="AE240" s="239">
        <f>+H240</f>
        <v>18</v>
      </c>
      <c r="AG240" s="312">
        <f>+J240</f>
        <v>0</v>
      </c>
      <c r="AH240" s="385"/>
      <c r="AI240" s="260">
        <f ca="1">(VLOOKUP($AE240,func,AI$382))*$AG240</f>
        <v>0</v>
      </c>
      <c r="AJ240" s="212"/>
      <c r="AK240" s="260">
        <f ca="1">(VLOOKUP($AE240,func,AK$382))*$AG240</f>
        <v>0</v>
      </c>
      <c r="AL240" s="212"/>
      <c r="AM240" s="260">
        <f ca="1">(VLOOKUP($AE240,func,AM$382))*$AG240</f>
        <v>0</v>
      </c>
      <c r="AN240" s="212"/>
      <c r="AO240" s="260">
        <f ca="1">(VLOOKUP($AE240,func,AO$382))*$AG240</f>
        <v>0</v>
      </c>
      <c r="AP240" s="212"/>
      <c r="AQ240" s="260">
        <f ca="1">(VLOOKUP($AE240,func,AQ$382))*$AG240</f>
        <v>0</v>
      </c>
      <c r="AR240" s="212"/>
      <c r="AS240" s="260">
        <f ca="1">(VLOOKUP($AE240,func,AS$382))*$AG240</f>
        <v>0</v>
      </c>
      <c r="AT240" s="212"/>
      <c r="AU240" s="260">
        <f ca="1">(VLOOKUP($AE240,func,AU$382))*$AG240</f>
        <v>0</v>
      </c>
      <c r="AV240" s="212"/>
      <c r="AW240" s="260">
        <f ca="1">(VLOOKUP($AE240,func,AW$382))*$AG240</f>
        <v>0</v>
      </c>
      <c r="AX240" s="212"/>
      <c r="AY240" s="260">
        <f ca="1">(VLOOKUP($AE240,func,AY$382))*$AG240</f>
        <v>0</v>
      </c>
      <c r="BA240" s="175"/>
      <c r="BB240" s="145"/>
      <c r="BC240" s="145"/>
      <c r="BD240" s="145"/>
    </row>
    <row r="241" spans="1:56">
      <c r="A241" s="550"/>
      <c r="B241" s="480"/>
      <c r="F241" s="216" t="s">
        <v>115</v>
      </c>
      <c r="G241" s="139"/>
      <c r="H241" s="261">
        <v>2</v>
      </c>
      <c r="I241" s="216"/>
      <c r="J241" s="389">
        <v>57080.039999999986</v>
      </c>
      <c r="K241" s="385"/>
      <c r="L241" s="549">
        <f>(VLOOKUP($H241,Factors,L$382))*$J241</f>
        <v>28956.704291999991</v>
      </c>
      <c r="M241" s="385"/>
      <c r="N241" s="549">
        <f>(VLOOKUP($H241,Factors,N$382))*$J241</f>
        <v>17774.724455999996</v>
      </c>
      <c r="O241" s="385"/>
      <c r="P241" s="549">
        <f>(VLOOKUP($H241,Factors,P$382))*$J241</f>
        <v>2288.9096039999995</v>
      </c>
      <c r="Q241" s="385"/>
      <c r="R241" s="549">
        <f>(VLOOKUP($H241,Factors,R$382))*$J241</f>
        <v>6027.6522239999986</v>
      </c>
      <c r="S241" s="385"/>
      <c r="T241" s="549">
        <f>(VLOOKUP($H241,Factors,T$382))*$J241</f>
        <v>1832.2692839999993</v>
      </c>
      <c r="U241" s="385"/>
      <c r="V241" s="549">
        <f>(VLOOKUP($H241,Factors,V$382))*$J241</f>
        <v>91.328063999999983</v>
      </c>
      <c r="W241" s="385"/>
      <c r="X241" s="549">
        <f>(VLOOKUP($H241,Factors,X$382))*$J241</f>
        <v>108.45207599999998</v>
      </c>
      <c r="Y241" s="212"/>
      <c r="Z241" s="175"/>
      <c r="AC241" s="216" t="s">
        <v>115</v>
      </c>
      <c r="AE241" s="239">
        <f>+H241</f>
        <v>2</v>
      </c>
      <c r="AG241" s="389">
        <f>+J241</f>
        <v>57080.039999999986</v>
      </c>
      <c r="AH241" s="385"/>
      <c r="AI241" s="549">
        <f>(VLOOKUP($AE241,func,AI$382))*$AG241</f>
        <v>34396.432103999985</v>
      </c>
      <c r="AJ241" s="385"/>
      <c r="AK241" s="549">
        <f>(VLOOKUP($AE241,func,AK$382))*$AG241</f>
        <v>22483.827755999991</v>
      </c>
      <c r="AL241" s="385"/>
      <c r="AM241" s="549">
        <f>(VLOOKUP($AE241,func,AM$382))*$AG241</f>
        <v>0</v>
      </c>
      <c r="AN241" s="385"/>
      <c r="AO241" s="549">
        <f>(VLOOKUP($AE241,func,AO$382))*$AG241</f>
        <v>0</v>
      </c>
      <c r="AP241" s="385"/>
      <c r="AQ241" s="549">
        <f>(VLOOKUP($AE241,func,AQ$382))*$AG241</f>
        <v>0</v>
      </c>
      <c r="AR241" s="385"/>
      <c r="AS241" s="549">
        <f>(VLOOKUP($AE241,func,AS$382))*$AG241</f>
        <v>0</v>
      </c>
      <c r="AT241" s="385"/>
      <c r="AU241" s="549">
        <f>(VLOOKUP($AE241,func,AU$382))*$AG241</f>
        <v>0</v>
      </c>
      <c r="AV241" s="385"/>
      <c r="AW241" s="549">
        <f>(VLOOKUP($AE241,func,AW$382))*$AG241</f>
        <v>91.328063999999983</v>
      </c>
      <c r="AX241" s="385"/>
      <c r="AY241" s="549">
        <f>(VLOOKUP($AE241,func,AY$382))*$AG241</f>
        <v>108.45207599999998</v>
      </c>
      <c r="BA241" s="175"/>
      <c r="BB241" s="145"/>
      <c r="BC241" s="145"/>
      <c r="BD241" s="145"/>
    </row>
    <row r="242" spans="1:56">
      <c r="A242" s="550"/>
      <c r="B242" s="480"/>
      <c r="F242" s="216"/>
      <c r="G242" s="139"/>
      <c r="H242" s="261"/>
      <c r="I242" s="216"/>
      <c r="J242" s="312"/>
      <c r="K242" s="385"/>
      <c r="L242" s="386"/>
      <c r="M242" s="385"/>
      <c r="N242" s="386"/>
      <c r="O242" s="385"/>
      <c r="P242" s="386"/>
      <c r="Q242" s="385"/>
      <c r="R242" s="386"/>
      <c r="S242" s="385"/>
      <c r="T242" s="386"/>
      <c r="U242" s="385"/>
      <c r="V242" s="386"/>
      <c r="W242" s="385"/>
      <c r="X242" s="386"/>
      <c r="Z242" s="175"/>
      <c r="AC242" s="216"/>
      <c r="AE242" s="239"/>
      <c r="AG242" s="312"/>
      <c r="AH242" s="385"/>
      <c r="AI242" s="386"/>
      <c r="AJ242" s="385"/>
      <c r="AK242" s="386"/>
      <c r="AL242" s="385"/>
      <c r="AM242" s="386"/>
      <c r="AN242" s="385"/>
      <c r="AO242" s="386"/>
      <c r="AP242" s="385"/>
      <c r="AQ242" s="386"/>
      <c r="AR242" s="385"/>
      <c r="AS242" s="386"/>
      <c r="AT242" s="385"/>
      <c r="AU242" s="386"/>
      <c r="AV242" s="385"/>
      <c r="AW242" s="386"/>
      <c r="AX242" s="385"/>
      <c r="AY242" s="386"/>
      <c r="BA242" s="175"/>
      <c r="BB242" s="145"/>
      <c r="BC242" s="145"/>
      <c r="BD242" s="145"/>
    </row>
    <row r="243" spans="1:56">
      <c r="A243" s="550"/>
      <c r="B243" s="480"/>
      <c r="F243" s="216" t="s">
        <v>116</v>
      </c>
      <c r="G243" s="139"/>
      <c r="H243" s="261"/>
      <c r="I243" s="216"/>
      <c r="J243" s="312">
        <f>SUM(J239:J242)</f>
        <v>210261.4</v>
      </c>
      <c r="K243" s="216"/>
      <c r="L243" s="312">
        <f ca="1">SUM(L239:L242)</f>
        <v>108764.19285200001</v>
      </c>
      <c r="M243" s="216"/>
      <c r="N243" s="312">
        <f ca="1">SUM(N239:N242)</f>
        <v>57724.423143999993</v>
      </c>
      <c r="O243" s="216"/>
      <c r="P243" s="312">
        <f ca="1">SUM(P239:P242)</f>
        <v>7022.2136280000004</v>
      </c>
      <c r="Q243" s="216"/>
      <c r="R243" s="312">
        <f ca="1">SUM(R239:R242)</f>
        <v>18603.84188</v>
      </c>
      <c r="S243" s="216"/>
      <c r="T243" s="312">
        <f ca="1">SUM(T239:T242)</f>
        <v>4911.2146199999997</v>
      </c>
      <c r="U243" s="216"/>
      <c r="V243" s="312">
        <f ca="1">SUM(V239:V242)</f>
        <v>4656.1325920000008</v>
      </c>
      <c r="W243" s="216"/>
      <c r="X243" s="312">
        <f ca="1">SUM(X239:X242)</f>
        <v>8579.381284000001</v>
      </c>
      <c r="Z243" s="175"/>
      <c r="AC243" s="216" t="s">
        <v>116</v>
      </c>
      <c r="AE243" s="239"/>
      <c r="AG243" s="312">
        <f>SUM(AG239:AG242)</f>
        <v>210261.4</v>
      </c>
      <c r="AH243" s="216"/>
      <c r="AI243" s="312">
        <f ca="1">SUM(AI239:AI242)</f>
        <v>100218.46249599999</v>
      </c>
      <c r="AJ243" s="216"/>
      <c r="AK243" s="312">
        <f ca="1">SUM(AK239:AK242)</f>
        <v>57424.495971999997</v>
      </c>
      <c r="AL243" s="216"/>
      <c r="AM243" s="312">
        <f ca="1">SUM(AM239:AM242)</f>
        <v>17294.175544000002</v>
      </c>
      <c r="AN243" s="216"/>
      <c r="AO243" s="312">
        <f ca="1">SUM(AO239:AO242)</f>
        <v>15333.454136</v>
      </c>
      <c r="AP243" s="216"/>
      <c r="AQ243" s="312">
        <f ca="1">SUM(AQ239:AQ242)</f>
        <v>3369.98992</v>
      </c>
      <c r="AR243" s="216"/>
      <c r="AS243" s="312">
        <f ca="1">SUM(AS239:AS242)</f>
        <v>3017.6727920000008</v>
      </c>
      <c r="AT243" s="216"/>
      <c r="AU243" s="312">
        <f ca="1">SUM(AU239:AU242)</f>
        <v>520.81662400000005</v>
      </c>
      <c r="AV243" s="216"/>
      <c r="AW243" s="312">
        <f ca="1">SUM(AW239:AW242)</f>
        <v>4579.5419120000006</v>
      </c>
      <c r="AX243" s="216"/>
      <c r="AY243" s="312">
        <f ca="1">SUM(AY239:AY242)</f>
        <v>8502.7906039999998</v>
      </c>
      <c r="BA243" s="175"/>
      <c r="BB243" s="145"/>
      <c r="BC243" s="145"/>
      <c r="BD243" s="145"/>
    </row>
    <row r="244" spans="1:56">
      <c r="A244" s="550"/>
      <c r="B244" s="480"/>
      <c r="F244" s="216"/>
      <c r="G244" s="139"/>
      <c r="H244" s="261"/>
      <c r="I244" s="216"/>
      <c r="J244" s="312"/>
      <c r="K244" s="385"/>
      <c r="L244" s="386"/>
      <c r="M244" s="387"/>
      <c r="N244" s="386"/>
      <c r="O244" s="387"/>
      <c r="P244" s="386"/>
      <c r="Q244" s="387"/>
      <c r="R244" s="386"/>
      <c r="S244" s="387"/>
      <c r="T244" s="386"/>
      <c r="U244" s="387"/>
      <c r="V244" s="386"/>
      <c r="W244" s="387"/>
      <c r="X244" s="386"/>
      <c r="Z244" s="175"/>
      <c r="AC244" s="216"/>
      <c r="AE244" s="239"/>
      <c r="AG244" s="312"/>
      <c r="AH244" s="385"/>
      <c r="AI244" s="386"/>
      <c r="AJ244" s="387"/>
      <c r="AK244" s="386"/>
      <c r="AL244" s="387"/>
      <c r="AM244" s="386"/>
      <c r="AN244" s="387"/>
      <c r="AO244" s="386"/>
      <c r="AP244" s="387"/>
      <c r="AQ244" s="386"/>
      <c r="AR244" s="387"/>
      <c r="AS244" s="386"/>
      <c r="AT244" s="387"/>
      <c r="AU244" s="386"/>
      <c r="AV244" s="387"/>
      <c r="AW244" s="386"/>
      <c r="AX244" s="387"/>
      <c r="AY244" s="386"/>
      <c r="BA244" s="175"/>
      <c r="BB244" s="145"/>
      <c r="BC244" s="145"/>
      <c r="BD244" s="145"/>
    </row>
    <row r="245" spans="1:56">
      <c r="A245" s="550"/>
      <c r="B245" s="480"/>
      <c r="F245" s="390" t="s">
        <v>638</v>
      </c>
      <c r="G245" s="139"/>
      <c r="H245" s="261"/>
      <c r="I245" s="216"/>
      <c r="J245" s="312"/>
      <c r="K245" s="385"/>
      <c r="L245" s="386"/>
      <c r="M245" s="387"/>
      <c r="N245" s="386"/>
      <c r="O245" s="387"/>
      <c r="P245" s="386"/>
      <c r="Q245" s="387"/>
      <c r="R245" s="386"/>
      <c r="S245" s="387"/>
      <c r="T245" s="386"/>
      <c r="U245" s="387"/>
      <c r="V245" s="386"/>
      <c r="W245" s="387"/>
      <c r="X245" s="386"/>
      <c r="Z245" s="175"/>
      <c r="AC245" s="390" t="s">
        <v>638</v>
      </c>
      <c r="AE245" s="239"/>
      <c r="AG245" s="312"/>
      <c r="AH245" s="385"/>
      <c r="AI245" s="386"/>
      <c r="AJ245" s="387"/>
      <c r="AK245" s="386"/>
      <c r="AL245" s="387"/>
      <c r="AM245" s="386"/>
      <c r="AN245" s="387"/>
      <c r="AO245" s="386"/>
      <c r="AP245" s="387"/>
      <c r="AQ245" s="386"/>
      <c r="AR245" s="387"/>
      <c r="AS245" s="386"/>
      <c r="AT245" s="387"/>
      <c r="AU245" s="386"/>
      <c r="AV245" s="387"/>
      <c r="AW245" s="386"/>
      <c r="AX245" s="387"/>
      <c r="AY245" s="386"/>
      <c r="BA245" s="175"/>
      <c r="BB245" s="145"/>
      <c r="BC245" s="145"/>
      <c r="BD245" s="145"/>
    </row>
    <row r="246" spans="1:56" ht="14.25" customHeight="1">
      <c r="A246" s="146"/>
      <c r="B246" s="146"/>
      <c r="D246" s="488">
        <v>408.1</v>
      </c>
      <c r="F246" s="216" t="s">
        <v>117</v>
      </c>
      <c r="G246" s="139"/>
      <c r="H246" s="261">
        <v>16</v>
      </c>
      <c r="I246" s="216"/>
      <c r="J246" s="312">
        <v>532600.49255681178</v>
      </c>
      <c r="K246" s="385"/>
      <c r="L246" s="260">
        <f>(VLOOKUP($H246,Factors,L$382))*$J246</f>
        <v>334313.32917791075</v>
      </c>
      <c r="M246" s="212"/>
      <c r="N246" s="260">
        <f>(VLOOKUP($H246,Factors,N$382))*$J246</f>
        <v>116000.3872788736</v>
      </c>
      <c r="O246" s="212"/>
      <c r="P246" s="260">
        <f>(VLOOKUP($H246,Factors,P$382))*$J246</f>
        <v>12090.031181039629</v>
      </c>
      <c r="Q246" s="212"/>
      <c r="R246" s="260">
        <f>(VLOOKUP($H246,Factors,R$382))*$J246</f>
        <v>34033.171474380273</v>
      </c>
      <c r="S246" s="212"/>
      <c r="T246" s="260">
        <f>(VLOOKUP($H246,Factors,T$382))*$J246</f>
        <v>8308.5676838862637</v>
      </c>
      <c r="U246" s="212"/>
      <c r="V246" s="260">
        <f>(VLOOKUP($H246,Factors,V$382))*$J246</f>
        <v>7509.6669450510462</v>
      </c>
      <c r="W246" s="212"/>
      <c r="X246" s="260">
        <f>(VLOOKUP($H246,Factors,X$382))*$J246</f>
        <v>20345.338815670209</v>
      </c>
      <c r="Y246" s="212"/>
      <c r="Z246" s="175"/>
      <c r="AC246" s="216" t="s">
        <v>117</v>
      </c>
      <c r="AE246" s="239">
        <f>+H246</f>
        <v>16</v>
      </c>
      <c r="AG246" s="312">
        <f>+J246</f>
        <v>532600.49255681178</v>
      </c>
      <c r="AH246" s="385"/>
      <c r="AI246" s="260">
        <f>(VLOOKUP($AE246,func,AI$382))*$AG246</f>
        <v>165958.31348070255</v>
      </c>
      <c r="AJ246" s="212"/>
      <c r="AK246" s="260">
        <f>(VLOOKUP($AE246,func,AK$382))*$AG246</f>
        <v>97093.069793106784</v>
      </c>
      <c r="AL246" s="212"/>
      <c r="AM246" s="260">
        <f>(VLOOKUP($AE246,func,AM$382))*$AG246</f>
        <v>24393.102559101979</v>
      </c>
      <c r="AN246" s="212"/>
      <c r="AO246" s="260">
        <f>(VLOOKUP($AE246,func,AO$382))*$AG246</f>
        <v>136771.80648858924</v>
      </c>
      <c r="AP246" s="212"/>
      <c r="AQ246" s="260">
        <f>(VLOOKUP($AE246,func,AQ$382))*$AG246</f>
        <v>29239.767041368967</v>
      </c>
      <c r="AR246" s="212"/>
      <c r="AS246" s="260">
        <f>(VLOOKUP($AE246,func,AS$382))*$AG246</f>
        <v>49638.365906294857</v>
      </c>
      <c r="AT246" s="212"/>
      <c r="AU246" s="260">
        <f>(VLOOKUP($AE246,func,AU$382))*$AG246</f>
        <v>2077.1419209715659</v>
      </c>
      <c r="AV246" s="212"/>
      <c r="AW246" s="260">
        <f>(VLOOKUP($AE246,func,AW$382))*$AG246</f>
        <v>7083.5865510055964</v>
      </c>
      <c r="AX246" s="212"/>
      <c r="AY246" s="260">
        <f>(VLOOKUP($AE246,func,AY$382))*$AG246</f>
        <v>20345.338815670209</v>
      </c>
      <c r="BA246" s="175"/>
      <c r="BB246" s="145"/>
      <c r="BC246" s="145"/>
      <c r="BD246" s="145"/>
    </row>
    <row r="247" spans="1:56" ht="15" customHeight="1">
      <c r="A247" s="146"/>
      <c r="B247" s="146"/>
      <c r="D247" s="488">
        <v>408.1</v>
      </c>
      <c r="F247" s="216" t="s">
        <v>118</v>
      </c>
      <c r="G247" s="139"/>
      <c r="H247" s="261">
        <v>18</v>
      </c>
      <c r="I247" s="216"/>
      <c r="J247" s="312">
        <v>4455771.5391298449</v>
      </c>
      <c r="K247" s="385"/>
      <c r="L247" s="260">
        <f ca="1">(VLOOKUP($H247,Factors,L$382))*$J247</f>
        <v>2321456.9718866493</v>
      </c>
      <c r="M247" s="212"/>
      <c r="N247" s="260">
        <f ca="1">(VLOOKUP($H247,Factors,N$382))*$J247</f>
        <v>1162065.2174050633</v>
      </c>
      <c r="O247" s="212"/>
      <c r="P247" s="260">
        <f ca="1">(VLOOKUP($H247,Factors,P$382))*$J247</f>
        <v>137683.3405591122</v>
      </c>
      <c r="Q247" s="212"/>
      <c r="R247" s="260">
        <f ca="1">(VLOOKUP($H247,Factors,R$382))*$J247</f>
        <v>365818.84336256026</v>
      </c>
      <c r="S247" s="212"/>
      <c r="T247" s="260">
        <f ca="1">(VLOOKUP($H247,Factors,T$382))*$J247</f>
        <v>89561.007936509879</v>
      </c>
      <c r="U247" s="212"/>
      <c r="V247" s="260">
        <f ca="1">(VLOOKUP($H247,Factors,V$382))*$J247</f>
        <v>132781.99186606938</v>
      </c>
      <c r="W247" s="212"/>
      <c r="X247" s="260">
        <f ca="1">(VLOOKUP($H247,Factors,X$382))*$J247</f>
        <v>246404.16611388043</v>
      </c>
      <c r="Y247" s="212"/>
      <c r="Z247" s="175"/>
      <c r="AC247" s="216" t="s">
        <v>118</v>
      </c>
      <c r="AE247" s="239">
        <f t="shared" ref="AE247:AE250" si="231">+H247</f>
        <v>18</v>
      </c>
      <c r="AG247" s="312">
        <f t="shared" ref="AG247:AG250" si="232">+J247</f>
        <v>4455771.5391298449</v>
      </c>
      <c r="AH247" s="385"/>
      <c r="AI247" s="260">
        <f ca="1">(VLOOKUP($AE247,func,AI$382))*$AG247</f>
        <v>1914645.0303640945</v>
      </c>
      <c r="AJ247" s="212"/>
      <c r="AK247" s="260">
        <f ca="1">(VLOOKUP($AE247,func,AK$382))*$AG247</f>
        <v>1016361.4880755176</v>
      </c>
      <c r="AL247" s="212"/>
      <c r="AM247" s="260">
        <f ca="1">(VLOOKUP($AE247,func,AM$382))*$AG247</f>
        <v>503056.60676775948</v>
      </c>
      <c r="AN247" s="212"/>
      <c r="AO247" s="260">
        <f ca="1">(VLOOKUP($AE247,func,AO$382))*$AG247</f>
        <v>446022.73106689745</v>
      </c>
      <c r="AP247" s="212"/>
      <c r="AQ247" s="260">
        <f ca="1">(VLOOKUP($AE247,func,AQ$382))*$AG247</f>
        <v>98026.973860856582</v>
      </c>
      <c r="AR247" s="212"/>
      <c r="AS247" s="260">
        <f ca="1">(VLOOKUP($AE247,func,AS$382))*$AG247</f>
        <v>87778.699320857952</v>
      </c>
      <c r="AT247" s="212"/>
      <c r="AU247" s="260">
        <f ca="1">(VLOOKUP($AE247,func,AU$382))*$AG247</f>
        <v>15149.623233041471</v>
      </c>
      <c r="AV247" s="212"/>
      <c r="AW247" s="260">
        <f ca="1">(VLOOKUP($AE247,func,AW$382))*$AG247</f>
        <v>130554.10609650446</v>
      </c>
      <c r="AX247" s="212"/>
      <c r="AY247" s="260">
        <f ca="1">(VLOOKUP($AE247,func,AY$382))*$AG247</f>
        <v>244176.28034431551</v>
      </c>
      <c r="BA247" s="175"/>
      <c r="BB247" s="145"/>
      <c r="BC247" s="145"/>
      <c r="BD247" s="145"/>
    </row>
    <row r="248" spans="1:56" ht="15" customHeight="1">
      <c r="A248" s="146"/>
      <c r="B248" s="146"/>
      <c r="D248" s="488">
        <v>408.1</v>
      </c>
      <c r="F248" s="216" t="s">
        <v>765</v>
      </c>
      <c r="G248" s="139"/>
      <c r="H248" s="261">
        <v>18</v>
      </c>
      <c r="I248" s="216"/>
      <c r="J248" s="312">
        <v>2740.1800000000003</v>
      </c>
      <c r="K248" s="385"/>
      <c r="L248" s="260">
        <f ca="1">(VLOOKUP($H248,Factors,L$382))*$J248</f>
        <v>1427.6337800000001</v>
      </c>
      <c r="M248" s="212"/>
      <c r="N248" s="260">
        <f ca="1">(VLOOKUP($H248,Factors,N$382))*$J248</f>
        <v>714.63894400000004</v>
      </c>
      <c r="O248" s="212"/>
      <c r="P248" s="260">
        <f ca="1">(VLOOKUP($H248,Factors,P$382))*$J248</f>
        <v>84.671562000000009</v>
      </c>
      <c r="Q248" s="212"/>
      <c r="R248" s="260">
        <f ca="1">(VLOOKUP($H248,Factors,R$382))*$J248</f>
        <v>224.96877800000004</v>
      </c>
      <c r="S248" s="212"/>
      <c r="T248" s="260">
        <f ca="1">(VLOOKUP($H248,Factors,T$382))*$J248</f>
        <v>55.077618000000008</v>
      </c>
      <c r="U248" s="212"/>
      <c r="V248" s="260">
        <f ca="1">(VLOOKUP($H248,Factors,V$382))*$J248</f>
        <v>81.657364000000015</v>
      </c>
      <c r="W248" s="212"/>
      <c r="X248" s="260">
        <f ca="1">(VLOOKUP($H248,Factors,X$382))*$J248</f>
        <v>151.53195400000001</v>
      </c>
      <c r="Y248" s="212"/>
      <c r="Z248" s="175"/>
      <c r="AC248" s="216" t="s">
        <v>765</v>
      </c>
      <c r="AE248" s="239">
        <f t="shared" ref="AE248" si="233">+H248</f>
        <v>18</v>
      </c>
      <c r="AG248" s="312">
        <f t="shared" ref="AG248" si="234">+J248</f>
        <v>2740.1800000000003</v>
      </c>
      <c r="AH248" s="385"/>
      <c r="AI248" s="260">
        <f ca="1">(VLOOKUP($AE248,func,AI$382))*$AG248</f>
        <v>1177.4553460000002</v>
      </c>
      <c r="AJ248" s="212"/>
      <c r="AK248" s="260">
        <f ca="1">(VLOOKUP($AE248,func,AK$382))*$AG248</f>
        <v>625.03505800000005</v>
      </c>
      <c r="AL248" s="212"/>
      <c r="AM248" s="260">
        <f ca="1">(VLOOKUP($AE248,func,AM$382))*$AG248</f>
        <v>309.36632200000003</v>
      </c>
      <c r="AN248" s="212"/>
      <c r="AO248" s="260">
        <f ca="1">(VLOOKUP($AE248,func,AO$382))*$AG248</f>
        <v>274.29201800000004</v>
      </c>
      <c r="AP248" s="212"/>
      <c r="AQ248" s="260">
        <f ca="1">(VLOOKUP($AE248,func,AQ$382))*$AG248</f>
        <v>60.28396</v>
      </c>
      <c r="AR248" s="212"/>
      <c r="AS248" s="260">
        <f ca="1">(VLOOKUP($AE248,func,AS$382))*$AG248</f>
        <v>53.981546000000009</v>
      </c>
      <c r="AT248" s="212"/>
      <c r="AU248" s="260">
        <f ca="1">(VLOOKUP($AE248,func,AU$382))*$AG248</f>
        <v>9.316612000000001</v>
      </c>
      <c r="AV248" s="212"/>
      <c r="AW248" s="260">
        <f ca="1">(VLOOKUP($AE248,func,AW$382))*$AG248</f>
        <v>80.287274000000011</v>
      </c>
      <c r="AX248" s="212"/>
      <c r="AY248" s="260">
        <f ca="1">(VLOOKUP($AE248,func,AY$382))*$AG248</f>
        <v>150.16186400000001</v>
      </c>
      <c r="BA248" s="175"/>
      <c r="BB248" s="145"/>
      <c r="BC248" s="145"/>
      <c r="BD248" s="145"/>
    </row>
    <row r="249" spans="1:56" ht="14.25" customHeight="1">
      <c r="A249" s="146"/>
      <c r="B249" s="146"/>
      <c r="D249" s="488">
        <v>408.1</v>
      </c>
      <c r="F249" s="216" t="s">
        <v>644</v>
      </c>
      <c r="G249" s="139"/>
      <c r="H249" s="261">
        <v>19</v>
      </c>
      <c r="I249" s="216"/>
      <c r="J249" s="312">
        <v>141865.60900544125</v>
      </c>
      <c r="K249" s="385"/>
      <c r="L249" s="260">
        <f ca="1">(VLOOKUP($H249,Factors,L$382))*$J249</f>
        <v>80905.956815803147</v>
      </c>
      <c r="M249" s="212"/>
      <c r="N249" s="260">
        <f ca="1">(VLOOKUP($H249,Factors,N$382))*$J249</f>
        <v>34374.037062018411</v>
      </c>
      <c r="O249" s="212"/>
      <c r="P249" s="260">
        <f ca="1">(VLOOKUP($H249,Factors,P$382))*$J249</f>
        <v>3929.6773694507224</v>
      </c>
      <c r="Q249" s="212"/>
      <c r="R249" s="260">
        <f ca="1">(VLOOKUP($H249,Factors,R$382))*$J249</f>
        <v>10568.987870905372</v>
      </c>
      <c r="S249" s="212"/>
      <c r="T249" s="260">
        <f ca="1">(VLOOKUP($H249,Factors,T$382))*$J249</f>
        <v>2638.7003275012071</v>
      </c>
      <c r="U249" s="212"/>
      <c r="V249" s="260">
        <f ca="1">(VLOOKUP($H249,Factors,V$382))*$J249</f>
        <v>3333.8418116278694</v>
      </c>
      <c r="W249" s="212"/>
      <c r="X249" s="260">
        <f ca="1">(VLOOKUP($H249,Factors,X$382))*$J249</f>
        <v>6114.4077481345175</v>
      </c>
      <c r="Y249" s="212"/>
      <c r="Z249" s="175"/>
      <c r="AC249" s="216" t="s">
        <v>644</v>
      </c>
      <c r="AE249" s="239">
        <f t="shared" si="231"/>
        <v>19</v>
      </c>
      <c r="AG249" s="312">
        <f t="shared" si="232"/>
        <v>141865.60900544125</v>
      </c>
      <c r="AH249" s="385"/>
      <c r="AI249" s="260">
        <f ca="1">(VLOOKUP($AE249,func,AI$382))*$AG249</f>
        <v>58377.698105739073</v>
      </c>
      <c r="AJ249" s="212"/>
      <c r="AK249" s="260">
        <f ca="1">(VLOOKUP($AE249,func,AK$382))*$AG249</f>
        <v>26472.122640415335</v>
      </c>
      <c r="AL249" s="212"/>
      <c r="AM249" s="260">
        <f ca="1">(VLOOKUP($AE249,func,AM$382))*$AG249</f>
        <v>11491.114329440741</v>
      </c>
      <c r="AN249" s="212"/>
      <c r="AO249" s="260">
        <f ca="1">(VLOOKUP($AE249,func,AO$382))*$AG249</f>
        <v>16896.194032548054</v>
      </c>
      <c r="AP249" s="212"/>
      <c r="AQ249" s="260">
        <f ca="1">(VLOOKUP($AE249,func,AQ$382))*$AG249</f>
        <v>4851.8038279860912</v>
      </c>
      <c r="AR249" s="212"/>
      <c r="AS249" s="260">
        <f ca="1">(VLOOKUP($AE249,func,AS$382))*$AG249</f>
        <v>12484.17359247883</v>
      </c>
      <c r="AT249" s="212"/>
      <c r="AU249" s="260">
        <f ca="1">(VLOOKUP($AE249,func,AU$382))*$AG249</f>
        <v>1986.1185260761774</v>
      </c>
      <c r="AV249" s="212"/>
      <c r="AW249" s="260">
        <f ca="1">(VLOOKUP($AE249,func,AW$382))*$AG249</f>
        <v>3234.5358853240605</v>
      </c>
      <c r="AX249" s="212"/>
      <c r="AY249" s="260">
        <f ca="1">(VLOOKUP($AE249,func,AY$382))*$AG249</f>
        <v>6071.8480654328851</v>
      </c>
      <c r="BA249" s="175"/>
      <c r="BB249" s="145"/>
      <c r="BC249" s="145"/>
      <c r="BD249" s="145"/>
    </row>
    <row r="250" spans="1:56" ht="14.25" customHeight="1">
      <c r="A250" s="146"/>
      <c r="B250" s="146"/>
      <c r="D250" s="488">
        <v>412</v>
      </c>
      <c r="F250" s="216" t="s">
        <v>710</v>
      </c>
      <c r="G250" s="139"/>
      <c r="H250" s="261">
        <v>18</v>
      </c>
      <c r="I250" s="216"/>
      <c r="J250" s="312">
        <v>-84792</v>
      </c>
      <c r="K250" s="385"/>
      <c r="L250" s="260">
        <f ca="1">(VLOOKUP($H250,Factors,L$382))*$J250</f>
        <v>-44176.632000000005</v>
      </c>
      <c r="M250" s="212"/>
      <c r="N250" s="260">
        <f ca="1">(VLOOKUP($H250,Factors,N$382))*$J250</f>
        <v>-22113.753599999996</v>
      </c>
      <c r="O250" s="212"/>
      <c r="P250" s="260">
        <f ca="1">(VLOOKUP($H250,Factors,P$382))*$J250</f>
        <v>-2620.0727999999999</v>
      </c>
      <c r="Q250" s="212"/>
      <c r="R250" s="260">
        <f ca="1">(VLOOKUP($H250,Factors,R$382))*$J250</f>
        <v>-6961.4232000000002</v>
      </c>
      <c r="S250" s="212"/>
      <c r="T250" s="260">
        <f ca="1">(VLOOKUP($H250,Factors,T$382))*$J250</f>
        <v>-1704.3191999999999</v>
      </c>
      <c r="U250" s="212"/>
      <c r="V250" s="260">
        <f ca="1">(VLOOKUP($H250,Factors,V$382))*$J250</f>
        <v>-2526.8016000000002</v>
      </c>
      <c r="W250" s="212"/>
      <c r="X250" s="260">
        <f ca="1">(VLOOKUP($H250,Factors,X$382))*$J250</f>
        <v>-4688.9976000000006</v>
      </c>
      <c r="Y250" s="212"/>
      <c r="Z250" s="175"/>
      <c r="AC250" s="216" t="s">
        <v>710</v>
      </c>
      <c r="AE250" s="239">
        <f t="shared" si="231"/>
        <v>18</v>
      </c>
      <c r="AG250" s="312">
        <f t="shared" si="232"/>
        <v>-84792</v>
      </c>
      <c r="AH250" s="385"/>
      <c r="AI250" s="260">
        <f ca="1">(VLOOKUP($AE250,func,AI$382))*$AG250</f>
        <v>-36435.1224</v>
      </c>
      <c r="AJ250" s="212"/>
      <c r="AK250" s="260">
        <f ca="1">(VLOOKUP($AE250,func,AK$382))*$AG250</f>
        <v>-19341.055199999999</v>
      </c>
      <c r="AL250" s="212"/>
      <c r="AM250" s="260">
        <f ca="1">(VLOOKUP($AE250,func,AM$382))*$AG250</f>
        <v>-9573.0167999999994</v>
      </c>
      <c r="AN250" s="212"/>
      <c r="AO250" s="260">
        <f ca="1">(VLOOKUP($AE250,func,AO$382))*$AG250</f>
        <v>-8487.6791999999987</v>
      </c>
      <c r="AP250" s="212"/>
      <c r="AQ250" s="260">
        <f ca="1">(VLOOKUP($AE250,func,AQ$382))*$AG250</f>
        <v>-1865.424</v>
      </c>
      <c r="AR250" s="212"/>
      <c r="AS250" s="260">
        <f ca="1">(VLOOKUP($AE250,func,AS$382))*$AG250</f>
        <v>-1670.4024000000002</v>
      </c>
      <c r="AT250" s="212"/>
      <c r="AU250" s="260">
        <f ca="1">(VLOOKUP($AE250,func,AU$382))*$AG250</f>
        <v>-288.2928</v>
      </c>
      <c r="AV250" s="212"/>
      <c r="AW250" s="260">
        <f ca="1">(VLOOKUP($AE250,func,AW$382))*$AG250</f>
        <v>-2484.4056</v>
      </c>
      <c r="AX250" s="212"/>
      <c r="AY250" s="260">
        <f ca="1">(VLOOKUP($AE250,func,AY$382))*$AG250</f>
        <v>-4646.6016</v>
      </c>
      <c r="BA250" s="175"/>
      <c r="BB250" s="145"/>
      <c r="BC250" s="145"/>
      <c r="BD250" s="145"/>
    </row>
    <row r="251" spans="1:56">
      <c r="A251" s="550"/>
      <c r="B251" s="480"/>
      <c r="F251" s="216"/>
      <c r="G251" s="139"/>
      <c r="H251" s="261"/>
      <c r="I251" s="216"/>
      <c r="J251" s="389"/>
      <c r="K251" s="385"/>
      <c r="L251" s="549"/>
      <c r="M251" s="385"/>
      <c r="N251" s="549"/>
      <c r="O251" s="385"/>
      <c r="P251" s="549"/>
      <c r="Q251" s="385"/>
      <c r="R251" s="549"/>
      <c r="S251" s="385"/>
      <c r="T251" s="549"/>
      <c r="U251" s="385"/>
      <c r="V251" s="549"/>
      <c r="W251" s="385"/>
      <c r="X251" s="549"/>
      <c r="Y251" s="212"/>
      <c r="Z251" s="175"/>
      <c r="AC251" s="216"/>
      <c r="AE251" s="239"/>
      <c r="AG251" s="389"/>
      <c r="AH251" s="385"/>
      <c r="AI251" s="549"/>
      <c r="AJ251" s="385"/>
      <c r="AK251" s="549"/>
      <c r="AL251" s="385"/>
      <c r="AM251" s="549"/>
      <c r="AN251" s="385"/>
      <c r="AO251" s="549"/>
      <c r="AP251" s="385"/>
      <c r="AQ251" s="549"/>
      <c r="AR251" s="385"/>
      <c r="AS251" s="549"/>
      <c r="AT251" s="385"/>
      <c r="AU251" s="549"/>
      <c r="AV251" s="385"/>
      <c r="AW251" s="549"/>
      <c r="AX251" s="385"/>
      <c r="AY251" s="549"/>
      <c r="BA251" s="175"/>
      <c r="BB251" s="145"/>
      <c r="BC251" s="145"/>
      <c r="BD251" s="145"/>
    </row>
    <row r="252" spans="1:56">
      <c r="A252" s="146"/>
      <c r="B252" s="557"/>
      <c r="F252" s="216"/>
      <c r="G252" s="139"/>
      <c r="H252" s="261"/>
      <c r="I252" s="216"/>
      <c r="J252" s="312"/>
      <c r="K252" s="385"/>
      <c r="L252" s="386"/>
      <c r="M252" s="385"/>
      <c r="N252" s="386"/>
      <c r="O252" s="385"/>
      <c r="P252" s="386"/>
      <c r="Q252" s="385"/>
      <c r="R252" s="386"/>
      <c r="S252" s="385"/>
      <c r="T252" s="386"/>
      <c r="U252" s="385"/>
      <c r="V252" s="386"/>
      <c r="W252" s="385"/>
      <c r="X252" s="386"/>
      <c r="Z252" s="175"/>
      <c r="AC252" s="216"/>
      <c r="AG252" s="312"/>
      <c r="AH252" s="385"/>
      <c r="AI252" s="386"/>
      <c r="AJ252" s="385"/>
      <c r="AK252" s="386"/>
      <c r="AL252" s="385"/>
      <c r="AM252" s="386"/>
      <c r="AN252" s="385"/>
      <c r="AO252" s="386"/>
      <c r="AP252" s="385"/>
      <c r="AQ252" s="386"/>
      <c r="AR252" s="385"/>
      <c r="AS252" s="386"/>
      <c r="AT252" s="385"/>
      <c r="AU252" s="386"/>
      <c r="AV252" s="385"/>
      <c r="AW252" s="386"/>
      <c r="AX252" s="385"/>
      <c r="AY252" s="386"/>
      <c r="BA252" s="175"/>
      <c r="BB252" s="145"/>
      <c r="BC252" s="145"/>
      <c r="BD252" s="145"/>
    </row>
    <row r="253" spans="1:56">
      <c r="A253" s="146"/>
      <c r="B253" s="146"/>
      <c r="F253" s="216" t="s">
        <v>425</v>
      </c>
      <c r="G253" s="139"/>
      <c r="H253" s="261"/>
      <c r="I253" s="216"/>
      <c r="J253" s="312">
        <f>SUM(J246:J252)</f>
        <v>5048185.8206920968</v>
      </c>
      <c r="K253" s="216"/>
      <c r="L253" s="312">
        <f ca="1">SUM(L246:L252)</f>
        <v>2693927.2596603627</v>
      </c>
      <c r="M253" s="216"/>
      <c r="N253" s="312">
        <f ca="1">SUM(N246:N252)</f>
        <v>1291040.5270899555</v>
      </c>
      <c r="O253" s="216"/>
      <c r="P253" s="312">
        <f ca="1">SUM(P246:P252)</f>
        <v>151167.64787160256</v>
      </c>
      <c r="Q253" s="216"/>
      <c r="R253" s="312">
        <f ca="1">SUM(R246:R252)</f>
        <v>403684.5482858459</v>
      </c>
      <c r="S253" s="216"/>
      <c r="T253" s="312">
        <f ca="1">SUM(T246:T252)</f>
        <v>98859.034365897358</v>
      </c>
      <c r="U253" s="216"/>
      <c r="V253" s="312">
        <f ca="1">SUM(V246:V252)</f>
        <v>141180.35638674832</v>
      </c>
      <c r="W253" s="216"/>
      <c r="X253" s="312">
        <f ca="1">SUM(X246:X252)</f>
        <v>268326.44703168515</v>
      </c>
      <c r="Z253" s="175"/>
      <c r="AC253" s="216" t="s">
        <v>425</v>
      </c>
      <c r="AE253" s="239"/>
      <c r="AG253" s="312">
        <f>SUM(AG246:AG252)</f>
        <v>5048185.8206920968</v>
      </c>
      <c r="AH253" s="216"/>
      <c r="AI253" s="312">
        <f ca="1">SUM(AI246:AI252)</f>
        <v>2103723.3748965356</v>
      </c>
      <c r="AJ253" s="216"/>
      <c r="AK253" s="312">
        <f ca="1">SUM(AK246:AK252)</f>
        <v>1121210.6603670395</v>
      </c>
      <c r="AL253" s="216"/>
      <c r="AM253" s="312">
        <f ca="1">SUM(AM246:AM252)</f>
        <v>529677.17317830224</v>
      </c>
      <c r="AN253" s="216"/>
      <c r="AO253" s="312">
        <f ca="1">SUM(AO246:AO252)</f>
        <v>591477.34440603468</v>
      </c>
      <c r="AP253" s="216"/>
      <c r="AQ253" s="312">
        <f ca="1">SUM(AQ246:AQ252)</f>
        <v>130313.40469021164</v>
      </c>
      <c r="AR253" s="216"/>
      <c r="AS253" s="312">
        <f ca="1">SUM(AS246:AS252)</f>
        <v>148284.81796563164</v>
      </c>
      <c r="AT253" s="216"/>
      <c r="AU253" s="312">
        <f ca="1">SUM(AU246:AU252)</f>
        <v>18933.907492089216</v>
      </c>
      <c r="AW253" s="312">
        <f ca="1">SUM(AW246:AW252)</f>
        <v>138468.11020683413</v>
      </c>
      <c r="AY253" s="312">
        <f ca="1">SUM(AY246:AY252)</f>
        <v>266097.02748941863</v>
      </c>
      <c r="BA253" s="175"/>
      <c r="BB253" s="145"/>
      <c r="BC253" s="145"/>
      <c r="BD253" s="145"/>
    </row>
    <row r="254" spans="1:56" ht="14.25" customHeight="1">
      <c r="A254" s="146"/>
      <c r="B254" s="146"/>
      <c r="F254" s="216"/>
      <c r="G254" s="139"/>
      <c r="H254" s="261"/>
      <c r="I254" s="216"/>
      <c r="J254" s="312"/>
      <c r="K254" s="385"/>
      <c r="L254" s="386"/>
      <c r="M254" s="387"/>
      <c r="N254" s="387"/>
      <c r="O254" s="387"/>
      <c r="P254" s="387"/>
      <c r="Q254" s="387"/>
      <c r="R254" s="387"/>
      <c r="S254" s="387"/>
      <c r="T254" s="387"/>
      <c r="U254" s="387"/>
      <c r="V254" s="387"/>
      <c r="W254" s="387"/>
      <c r="X254" s="387"/>
      <c r="Z254" s="175"/>
      <c r="AC254" s="216"/>
      <c r="AG254" s="312"/>
      <c r="AH254" s="385"/>
      <c r="AI254" s="386"/>
      <c r="AJ254" s="387"/>
      <c r="AK254" s="387"/>
      <c r="AL254" s="387"/>
      <c r="AM254" s="387"/>
      <c r="AN254" s="387"/>
      <c r="AO254" s="387"/>
      <c r="AP254" s="387"/>
      <c r="AQ254" s="387"/>
      <c r="AR254" s="387"/>
      <c r="AS254" s="387"/>
      <c r="AT254" s="387"/>
      <c r="AU254" s="387"/>
      <c r="AV254" s="146"/>
      <c r="AW254" s="146"/>
      <c r="AX254" s="146"/>
      <c r="AY254" s="146"/>
      <c r="BA254" s="175"/>
      <c r="BB254" s="145"/>
      <c r="BC254" s="145"/>
      <c r="BD254" s="145"/>
    </row>
    <row r="255" spans="1:56">
      <c r="A255" s="146"/>
      <c r="B255" s="146"/>
      <c r="F255" s="216"/>
      <c r="G255" s="139"/>
      <c r="H255" s="261"/>
      <c r="I255" s="216"/>
      <c r="J255" s="312"/>
      <c r="K255" s="385"/>
      <c r="L255" s="386"/>
      <c r="M255" s="385"/>
      <c r="N255" s="386"/>
      <c r="O255" s="385"/>
      <c r="P255" s="386"/>
      <c r="Q255" s="385"/>
      <c r="R255" s="386"/>
      <c r="S255" s="385"/>
      <c r="T255" s="386"/>
      <c r="U255" s="385"/>
      <c r="V255" s="386"/>
      <c r="W255" s="385"/>
      <c r="X255" s="386"/>
      <c r="Z255" s="175"/>
      <c r="AC255" s="216"/>
      <c r="AG255" s="312"/>
      <c r="AH255" s="385"/>
      <c r="AI255" s="386"/>
      <c r="AJ255" s="385"/>
      <c r="AK255" s="386"/>
      <c r="AL255" s="385"/>
      <c r="AM255" s="386"/>
      <c r="AN255" s="385"/>
      <c r="AO255" s="386"/>
      <c r="AP255" s="385"/>
      <c r="AQ255" s="386"/>
      <c r="AR255" s="385"/>
      <c r="AS255" s="386"/>
      <c r="AT255" s="385"/>
      <c r="AU255" s="386"/>
      <c r="AV255" s="146"/>
      <c r="AW255" s="386"/>
      <c r="AX255" s="146"/>
      <c r="AY255" s="386"/>
      <c r="BA255" s="175"/>
      <c r="BB255" s="145"/>
      <c r="BC255" s="145"/>
      <c r="BD255" s="145"/>
    </row>
    <row r="256" spans="1:56" ht="13.5" customHeight="1">
      <c r="A256" s="146"/>
      <c r="B256" s="146"/>
      <c r="C256" s="480"/>
      <c r="D256" s="491"/>
      <c r="E256" s="260"/>
      <c r="F256" s="391" t="s">
        <v>639</v>
      </c>
      <c r="G256" s="139"/>
      <c r="H256" s="261">
        <v>18</v>
      </c>
      <c r="I256" s="216"/>
      <c r="J256" s="312">
        <v>12480810.018446036</v>
      </c>
      <c r="K256" s="146"/>
      <c r="L256" s="260">
        <f ca="1">(VLOOKUP($H256,Factors,L$382))*$J256</f>
        <v>6502502.0196103845</v>
      </c>
      <c r="M256" s="212"/>
      <c r="N256" s="260">
        <f ca="1">(VLOOKUP($H256,Factors,N$382))*$J256</f>
        <v>3254995.2528107259</v>
      </c>
      <c r="O256" s="212"/>
      <c r="P256" s="260">
        <f ca="1">(VLOOKUP($H256,Factors,P$382))*$J256</f>
        <v>385657.02956998249</v>
      </c>
      <c r="Q256" s="212"/>
      <c r="R256" s="260">
        <f ca="1">(VLOOKUP($H256,Factors,R$382))*$J256</f>
        <v>1024674.5025144196</v>
      </c>
      <c r="S256" s="212"/>
      <c r="T256" s="260">
        <f ca="1">(VLOOKUP($H256,Factors,T$382))*$J256</f>
        <v>250864.28137076533</v>
      </c>
      <c r="U256" s="212"/>
      <c r="V256" s="260">
        <f ca="1">(VLOOKUP($H256,Factors,V$382))*$J256</f>
        <v>371928.13854969188</v>
      </c>
      <c r="W256" s="212"/>
      <c r="X256" s="260">
        <f ca="1">(VLOOKUP($H256,Factors,X$382))*$J256</f>
        <v>690188.7940200658</v>
      </c>
      <c r="Y256" s="212"/>
      <c r="Z256" s="175"/>
      <c r="AC256" s="391" t="s">
        <v>639</v>
      </c>
      <c r="AE256" s="239">
        <f>+H256</f>
        <v>18</v>
      </c>
      <c r="AG256" s="312">
        <f>+J256</f>
        <v>12480810.018446036</v>
      </c>
      <c r="AH256" s="146"/>
      <c r="AI256" s="260">
        <f ca="1">(VLOOKUP($AE256,func,AI$382))*$AG256</f>
        <v>5363004.064926262</v>
      </c>
      <c r="AJ256" s="212"/>
      <c r="AK256" s="260">
        <f ca="1">(VLOOKUP($AE256,func,AK$382))*$AG256</f>
        <v>2846872.7652075407</v>
      </c>
      <c r="AL256" s="212"/>
      <c r="AM256" s="260">
        <f ca="1">(VLOOKUP($AE256,func,AM$382))*$AG256</f>
        <v>1409083.4510825574</v>
      </c>
      <c r="AN256" s="212"/>
      <c r="AO256" s="260">
        <f ca="1">(VLOOKUP($AE256,func,AO$382))*$AG256</f>
        <v>1249329.0828464481</v>
      </c>
      <c r="AP256" s="212"/>
      <c r="AQ256" s="260">
        <f ca="1">(VLOOKUP($AE256,func,AQ$382))*$AG256</f>
        <v>274577.82040581276</v>
      </c>
      <c r="AR256" s="212"/>
      <c r="AS256" s="260">
        <f ca="1">(VLOOKUP($AE256,func,AS$382))*$AG256</f>
        <v>245871.95736338693</v>
      </c>
      <c r="AT256" s="212"/>
      <c r="AU256" s="260">
        <f ca="1">(VLOOKUP($AE256,func,AU$382))*$AG256</f>
        <v>42434.754062716522</v>
      </c>
      <c r="AV256" s="262"/>
      <c r="AW256" s="262">
        <f ca="1">(VLOOKUP($AE256,func,AW$382))*$AG256</f>
        <v>365687.73354046885</v>
      </c>
      <c r="AX256" s="262"/>
      <c r="AY256" s="262">
        <f ca="1">(VLOOKUP($AE256,func,AY$382))*$AG256</f>
        <v>683948.38901084277</v>
      </c>
      <c r="BA256" s="175"/>
      <c r="BB256" s="145"/>
      <c r="BC256" s="145"/>
      <c r="BD256" s="145"/>
    </row>
    <row r="257" spans="1:56" ht="11.85" customHeight="1">
      <c r="A257" s="146"/>
      <c r="B257" s="146"/>
      <c r="C257" s="480"/>
      <c r="D257" s="491"/>
      <c r="E257" s="260"/>
      <c r="F257" s="216"/>
      <c r="G257" s="139"/>
      <c r="H257" s="261"/>
      <c r="I257" s="216"/>
      <c r="J257" s="312"/>
      <c r="K257" s="146"/>
      <c r="L257" s="386"/>
      <c r="M257" s="387"/>
      <c r="N257" s="386"/>
      <c r="O257" s="387"/>
      <c r="P257" s="386"/>
      <c r="Q257" s="387"/>
      <c r="R257" s="386"/>
      <c r="S257" s="387"/>
      <c r="T257" s="386"/>
      <c r="U257" s="387"/>
      <c r="V257" s="386"/>
      <c r="W257" s="387"/>
      <c r="X257" s="386"/>
      <c r="Z257" s="175"/>
      <c r="AC257" s="216"/>
      <c r="AE257" s="239"/>
      <c r="AG257" s="312"/>
      <c r="AH257" s="146"/>
      <c r="AI257" s="386"/>
      <c r="AJ257" s="387"/>
      <c r="AK257" s="386"/>
      <c r="AL257" s="387"/>
      <c r="AM257" s="386"/>
      <c r="AN257" s="387"/>
      <c r="AO257" s="386"/>
      <c r="AP257" s="387"/>
      <c r="AQ257" s="386"/>
      <c r="AR257" s="387"/>
      <c r="AS257" s="386"/>
      <c r="AT257" s="387"/>
      <c r="AU257" s="386"/>
      <c r="AV257" s="386"/>
      <c r="AW257" s="386"/>
      <c r="AX257" s="386"/>
      <c r="AY257" s="386"/>
      <c r="BA257" s="175"/>
      <c r="BB257" s="145"/>
      <c r="BC257" s="145"/>
      <c r="BD257" s="145"/>
    </row>
    <row r="258" spans="1:56" ht="12.2" customHeight="1">
      <c r="A258" s="146"/>
      <c r="B258" s="146"/>
      <c r="C258" s="478"/>
      <c r="F258" s="391" t="s">
        <v>119</v>
      </c>
      <c r="G258" s="139"/>
      <c r="H258" s="261"/>
      <c r="I258" s="216"/>
      <c r="J258" s="312"/>
      <c r="K258" s="146"/>
      <c r="L258" s="386"/>
      <c r="M258" s="146"/>
      <c r="N258" s="387"/>
      <c r="O258" s="146"/>
      <c r="P258" s="387"/>
      <c r="Q258" s="146"/>
      <c r="R258" s="387"/>
      <c r="S258" s="146"/>
      <c r="T258" s="387"/>
      <c r="U258" s="146"/>
      <c r="V258" s="387"/>
      <c r="W258" s="146"/>
      <c r="X258" s="387"/>
      <c r="Z258" s="175"/>
      <c r="AC258" s="391" t="s">
        <v>119</v>
      </c>
      <c r="AG258" s="312"/>
      <c r="AH258" s="146"/>
      <c r="AI258" s="386"/>
      <c r="AJ258" s="146"/>
      <c r="AK258" s="387"/>
      <c r="AL258" s="146"/>
      <c r="AM258" s="387"/>
      <c r="AN258" s="146"/>
      <c r="AO258" s="387"/>
      <c r="AP258" s="146"/>
      <c r="AQ258" s="387"/>
      <c r="AR258" s="146"/>
      <c r="AS258" s="387"/>
      <c r="AT258" s="146"/>
      <c r="AU258" s="387"/>
      <c r="AV258" s="146"/>
      <c r="AW258" s="387"/>
      <c r="AX258" s="146"/>
      <c r="AY258" s="387"/>
      <c r="BA258" s="175"/>
      <c r="BB258" s="145"/>
      <c r="BC258" s="145"/>
      <c r="BD258" s="145"/>
    </row>
    <row r="259" spans="1:56">
      <c r="A259" s="146"/>
      <c r="B259" s="146"/>
      <c r="C259" s="480"/>
      <c r="D259" s="492"/>
      <c r="E259" s="480"/>
      <c r="F259" s="391" t="s">
        <v>120</v>
      </c>
      <c r="G259" s="139"/>
      <c r="H259" s="261">
        <v>18</v>
      </c>
      <c r="I259" s="216"/>
      <c r="J259" s="389">
        <v>31651565.848621413</v>
      </c>
      <c r="K259" s="146"/>
      <c r="L259" s="549">
        <f ca="1">(VLOOKUP($H259,Factors,L$382))*$J259</f>
        <v>16490465.807131756</v>
      </c>
      <c r="M259" s="146"/>
      <c r="N259" s="549">
        <f ca="1">(VLOOKUP($H259,Factors,N$382))*$J259</f>
        <v>8254728.373320464</v>
      </c>
      <c r="O259" s="146"/>
      <c r="P259" s="549">
        <f ca="1">(VLOOKUP($H259,Factors,P$382))*$J259</f>
        <v>978033.38472240162</v>
      </c>
      <c r="Q259" s="146"/>
      <c r="R259" s="549">
        <f ca="1">(VLOOKUP($H259,Factors,R$382))*$J259</f>
        <v>2598593.5561718182</v>
      </c>
      <c r="S259" s="146"/>
      <c r="T259" s="549">
        <f ca="1">(VLOOKUP($H259,Factors,T$382))*$J259</f>
        <v>636196.47355729039</v>
      </c>
      <c r="U259" s="146"/>
      <c r="V259" s="549">
        <f ca="1">(VLOOKUP($H259,Factors,V$382))*$J259</f>
        <v>943216.66228891816</v>
      </c>
      <c r="W259" s="146"/>
      <c r="X259" s="549">
        <f ca="1">(VLOOKUP($H259,Factors,X$382))*$J259</f>
        <v>1750331.5914287642</v>
      </c>
      <c r="Y259" s="212"/>
      <c r="Z259" s="175"/>
      <c r="AC259" s="391" t="s">
        <v>120</v>
      </c>
      <c r="AE259" s="239">
        <f>+H259</f>
        <v>18</v>
      </c>
      <c r="AG259" s="389">
        <f>+J259</f>
        <v>31651565.848621413</v>
      </c>
      <c r="AH259" s="146"/>
      <c r="AI259" s="549">
        <f ca="1">(VLOOKUP($AE259,func,AI$382))*$AG259</f>
        <v>13600677.845152622</v>
      </c>
      <c r="AJ259" s="146"/>
      <c r="AK259" s="549">
        <f ca="1">(VLOOKUP($AE259,func,AK$382))*$AG259</f>
        <v>7219722.1700705439</v>
      </c>
      <c r="AL259" s="146"/>
      <c r="AM259" s="549">
        <f ca="1">(VLOOKUP($AE259,func,AM$382))*$AG259</f>
        <v>3573461.7843093574</v>
      </c>
      <c r="AN259" s="146"/>
      <c r="AO259" s="549">
        <f ca="1">(VLOOKUP($AE259,func,AO$382))*$AG259</f>
        <v>3168321.7414470031</v>
      </c>
      <c r="AP259" s="146"/>
      <c r="AQ259" s="549">
        <f ca="1">(VLOOKUP($AE259,func,AQ$382))*$AG259</f>
        <v>696334.44866967108</v>
      </c>
      <c r="AR259" s="146"/>
      <c r="AS259" s="549">
        <f ca="1">(VLOOKUP($AE259,func,AS$382))*$AG259</f>
        <v>623535.84721784189</v>
      </c>
      <c r="AT259" s="146"/>
      <c r="AU259" s="549">
        <f ca="1">(VLOOKUP($AE259,func,AU$382))*$AG259</f>
        <v>107615.3238853128</v>
      </c>
      <c r="AW259" s="509">
        <f ca="1">(VLOOKUP($AE259,func,AW$382))*$AG259</f>
        <v>927390.87936460739</v>
      </c>
      <c r="AY259" s="509">
        <f ca="1">(VLOOKUP($AE259,func,AY$382))*$AG259</f>
        <v>1734505.8085044534</v>
      </c>
      <c r="BA259" s="175"/>
      <c r="BB259" s="145"/>
      <c r="BC259" s="145"/>
      <c r="BD259" s="145"/>
    </row>
    <row r="260" spans="1:56">
      <c r="A260" s="146"/>
      <c r="B260" s="146"/>
      <c r="F260" s="391"/>
      <c r="G260" s="139"/>
      <c r="H260" s="261"/>
      <c r="I260" s="216"/>
      <c r="J260" s="312"/>
      <c r="K260" s="385"/>
      <c r="L260" s="558"/>
      <c r="M260" s="385"/>
      <c r="N260" s="558"/>
      <c r="O260" s="385"/>
      <c r="P260" s="558"/>
      <c r="Q260" s="385"/>
      <c r="R260" s="558"/>
      <c r="S260" s="385"/>
      <c r="T260" s="558"/>
      <c r="U260" s="385"/>
      <c r="V260" s="558"/>
      <c r="W260" s="385"/>
      <c r="X260" s="558"/>
      <c r="Z260" s="175"/>
      <c r="AC260" s="391"/>
      <c r="AE260" s="205"/>
      <c r="AG260" s="312"/>
      <c r="AH260" s="385"/>
      <c r="AI260" s="558"/>
      <c r="AJ260" s="385"/>
      <c r="AK260" s="558"/>
      <c r="AL260" s="385"/>
      <c r="AM260" s="558"/>
      <c r="AN260" s="385"/>
      <c r="AO260" s="558"/>
      <c r="AP260" s="385"/>
      <c r="AQ260" s="558"/>
      <c r="AR260" s="385"/>
      <c r="AS260" s="558"/>
      <c r="AT260" s="385"/>
      <c r="AU260" s="558"/>
      <c r="AV260" s="146"/>
      <c r="AW260" s="386"/>
      <c r="AX260" s="146"/>
      <c r="AY260" s="386"/>
      <c r="BA260" s="175"/>
      <c r="BB260" s="145"/>
      <c r="BC260" s="145"/>
      <c r="BD260" s="145"/>
    </row>
    <row r="261" spans="1:56" ht="12" customHeight="1">
      <c r="A261" s="146"/>
      <c r="B261" s="146"/>
      <c r="F261" s="391" t="s">
        <v>424</v>
      </c>
      <c r="G261" s="139"/>
      <c r="H261" s="261"/>
      <c r="I261" s="216"/>
      <c r="J261" s="312">
        <f>J173+J236+J253+J256+J259+J243</f>
        <v>96475534.872972921</v>
      </c>
      <c r="K261" s="216"/>
      <c r="L261" s="312">
        <f ca="1">L173+L236+L253+L256+L259+L243</f>
        <v>55010878.911821045</v>
      </c>
      <c r="M261" s="216"/>
      <c r="N261" s="312">
        <f ca="1">N173+N236+N253+N256+N259+N243</f>
        <v>23372046.482540179</v>
      </c>
      <c r="O261" s="216"/>
      <c r="P261" s="312">
        <f ca="1">P173+P236+P253+P256+P259+P243</f>
        <v>2673977.1925694779</v>
      </c>
      <c r="Q261" s="216"/>
      <c r="R261" s="312">
        <f ca="1">R173+R236+R253+R256+R259+R243</f>
        <v>7190839.6342389425</v>
      </c>
      <c r="S261" s="216"/>
      <c r="T261" s="312">
        <f ca="1">T173+T236+T253+T256+T259+T243</f>
        <v>1799120.7559005152</v>
      </c>
      <c r="U261" s="216"/>
      <c r="V261" s="312">
        <f ca="1">V173+V236+V253+V256+V259+V243</f>
        <v>2266340.153280416</v>
      </c>
      <c r="W261" s="216"/>
      <c r="X261" s="312">
        <f ca="1">X173+X236+X253+X256+X259+X243</f>
        <v>4162331.7426223368</v>
      </c>
      <c r="Y261" s="145"/>
      <c r="Z261" s="175"/>
      <c r="AC261" s="391" t="s">
        <v>424</v>
      </c>
      <c r="AG261" s="312">
        <f>AG173+AG236+AG253+AG256+AG259+AG243</f>
        <v>96475534.872972921</v>
      </c>
      <c r="AH261" s="216"/>
      <c r="AI261" s="312">
        <f ca="1">AI173+AI236+AI253+AI256+AI259+AI243</f>
        <v>39694496.694449022</v>
      </c>
      <c r="AJ261" s="216"/>
      <c r="AK261" s="312">
        <f ca="1">AK173+AK236+AK253+AK256+AK259+AK243</f>
        <v>18004246.621060215</v>
      </c>
      <c r="AL261" s="216"/>
      <c r="AM261" s="312">
        <f ca="1">AM173+AM236+AM253+AM256+AM259+AM243</f>
        <v>7812752.7629624847</v>
      </c>
      <c r="AN261" s="216"/>
      <c r="AO261" s="312">
        <f ca="1">AO173+AO236+AO253+AO256+AO259+AO243</f>
        <v>11488736.404344797</v>
      </c>
      <c r="AP261" s="216"/>
      <c r="AQ261" s="312">
        <f ca="1">AQ173+AQ236+AQ253+AQ256+AQ259+AQ243</f>
        <v>3299040.5077913427</v>
      </c>
      <c r="AR261" s="216"/>
      <c r="AS261" s="312">
        <f ca="1">AS173+AS236+AS253+AS256+AS259+AS243</f>
        <v>8493062.4349743277</v>
      </c>
      <c r="AT261" s="216"/>
      <c r="AU261" s="312">
        <f ca="1">AU173+AU236+AU253+AU256+AU259+AU243</f>
        <v>1353296.2752313861</v>
      </c>
      <c r="AW261" s="312">
        <f ca="1">AW173+AW236+AW253+AW256+AW259+AW243</f>
        <v>2196255.8955678027</v>
      </c>
      <c r="AY261" s="312">
        <f ca="1">AY173+AY236+AY253+AY256+AY259+AY243</f>
        <v>4133647.2765915175</v>
      </c>
      <c r="BA261" s="175"/>
      <c r="BB261" s="145"/>
      <c r="BC261" s="145"/>
      <c r="BD261" s="145"/>
    </row>
    <row r="262" spans="1:56" ht="10.15" customHeight="1">
      <c r="A262" s="146"/>
      <c r="B262" s="146"/>
      <c r="F262" s="216"/>
      <c r="G262" s="139"/>
      <c r="H262" s="261"/>
      <c r="I262" s="216"/>
      <c r="J262" s="312"/>
      <c r="K262" s="146"/>
      <c r="L262" s="386"/>
      <c r="M262" s="146"/>
      <c r="N262" s="387"/>
      <c r="O262" s="146"/>
      <c r="P262" s="387"/>
      <c r="Q262" s="146"/>
      <c r="R262" s="387"/>
      <c r="S262" s="146"/>
      <c r="T262" s="387"/>
      <c r="U262" s="146"/>
      <c r="V262" s="387"/>
      <c r="W262" s="146"/>
      <c r="X262" s="387"/>
      <c r="Y262" s="145"/>
      <c r="Z262" s="175"/>
      <c r="AC262" s="216"/>
      <c r="AG262" s="312"/>
      <c r="AH262" s="146"/>
      <c r="AI262" s="386"/>
      <c r="AJ262" s="146"/>
      <c r="AK262" s="387"/>
      <c r="AL262" s="146"/>
      <c r="AM262" s="387"/>
      <c r="AN262" s="146"/>
      <c r="AO262" s="387"/>
      <c r="AP262" s="146"/>
      <c r="AQ262" s="387"/>
      <c r="AR262" s="146"/>
      <c r="AS262" s="387"/>
      <c r="AT262" s="146"/>
      <c r="AU262" s="387"/>
      <c r="AV262" s="146"/>
      <c r="AW262" s="146"/>
      <c r="AX262" s="146"/>
      <c r="AY262" s="146"/>
      <c r="BA262" s="175"/>
      <c r="BB262" s="145"/>
      <c r="BC262" s="145"/>
      <c r="BD262" s="145"/>
    </row>
    <row r="263" spans="1:56">
      <c r="A263" s="146"/>
      <c r="B263" s="146"/>
      <c r="F263" s="216" t="s">
        <v>768</v>
      </c>
      <c r="G263" s="139"/>
      <c r="H263" s="261">
        <v>19</v>
      </c>
      <c r="I263" s="216"/>
      <c r="J263" s="312">
        <v>60000</v>
      </c>
      <c r="K263" s="146"/>
      <c r="L263" s="260">
        <f t="shared" ref="L263:L270" ca="1" si="235">(VLOOKUP($H263,Factors,L$382))*$J263</f>
        <v>34218</v>
      </c>
      <c r="M263" s="212"/>
      <c r="N263" s="260">
        <f t="shared" ref="N263:N270" ca="1" si="236">(VLOOKUP($H263,Factors,N$382))*$J263</f>
        <v>14538</v>
      </c>
      <c r="O263" s="212"/>
      <c r="P263" s="260">
        <f t="shared" ref="P263:P270" ca="1" si="237">(VLOOKUP($H263,Factors,P$382))*$J263</f>
        <v>1662</v>
      </c>
      <c r="Q263" s="212"/>
      <c r="R263" s="260">
        <f t="shared" ref="R263:R270" ca="1" si="238">(VLOOKUP($H263,Factors,R$382))*$J263</f>
        <v>4470</v>
      </c>
      <c r="S263" s="212"/>
      <c r="T263" s="260">
        <f t="shared" ref="T263:T270" ca="1" si="239">(VLOOKUP($H263,Factors,T$382))*$J263</f>
        <v>1116</v>
      </c>
      <c r="U263" s="212"/>
      <c r="V263" s="260">
        <f t="shared" ref="V263:V270" ca="1" si="240">(VLOOKUP($H263,Factors,V$382))*$J263</f>
        <v>1410</v>
      </c>
      <c r="W263" s="212"/>
      <c r="X263" s="260">
        <f t="shared" ref="X263:X270" ca="1" si="241">(VLOOKUP($H263,Factors,X$382))*$J263</f>
        <v>2586</v>
      </c>
      <c r="Y263" s="212"/>
      <c r="Z263" s="175"/>
      <c r="AC263" s="216" t="s">
        <v>768</v>
      </c>
      <c r="AE263" s="239">
        <f t="shared" ref="AE263:AE270" si="242">+H263</f>
        <v>19</v>
      </c>
      <c r="AG263" s="312">
        <f t="shared" ref="AG263:AG270" si="243">+J263</f>
        <v>60000</v>
      </c>
      <c r="AH263" s="146"/>
      <c r="AI263" s="260">
        <f t="shared" ref="AI263:AW270" ca="1" si="244">(VLOOKUP($AE263,func,AI$382))*$AG263</f>
        <v>24690</v>
      </c>
      <c r="AJ263" s="212"/>
      <c r="AK263" s="260">
        <f t="shared" ref="AK263:AK269" ca="1" si="245">(VLOOKUP($AE263,func,AK$382))*$AG263</f>
        <v>11196</v>
      </c>
      <c r="AL263" s="212"/>
      <c r="AM263" s="260">
        <f t="shared" ref="AM263:AM269" ca="1" si="246">(VLOOKUP($AE263,func,AM$382))*$AG263</f>
        <v>4860</v>
      </c>
      <c r="AN263" s="212"/>
      <c r="AO263" s="260">
        <f t="shared" ref="AO263:AO269" ca="1" si="247">(VLOOKUP($AE263,func,AO$382))*$AG263</f>
        <v>7146</v>
      </c>
      <c r="AP263" s="212"/>
      <c r="AQ263" s="260">
        <f t="shared" ref="AQ263:AQ269" ca="1" si="248">(VLOOKUP($AE263,func,AQ$382))*$AG263</f>
        <v>2052</v>
      </c>
      <c r="AR263" s="212"/>
      <c r="AS263" s="260">
        <f t="shared" ref="AS263:AS269" ca="1" si="249">(VLOOKUP($AE263,func,AS$382))*$AG263</f>
        <v>5280</v>
      </c>
      <c r="AT263" s="212"/>
      <c r="AU263" s="260">
        <f t="shared" ref="AU263:AU269" ca="1" si="250">(VLOOKUP($AE263,func,AU$382))*$AG263</f>
        <v>840</v>
      </c>
      <c r="AV263" s="262"/>
      <c r="AW263" s="262">
        <f t="shared" ref="AW263:AW269" ca="1" si="251">(VLOOKUP($AE263,func,AW$382))*$AG263</f>
        <v>1368</v>
      </c>
      <c r="AX263" s="262"/>
      <c r="AY263" s="262">
        <f t="shared" ref="AY263:AY270" ca="1" si="252">(VLOOKUP($AE263,func,AY$382))*$AG263</f>
        <v>2568</v>
      </c>
      <c r="BA263" s="175"/>
      <c r="BB263" s="145"/>
      <c r="BC263" s="145"/>
      <c r="BD263" s="145"/>
    </row>
    <row r="264" spans="1:56">
      <c r="A264" s="146"/>
      <c r="B264" s="146"/>
      <c r="F264" s="216" t="s">
        <v>769</v>
      </c>
      <c r="G264" s="139"/>
      <c r="H264" s="261">
        <v>19</v>
      </c>
      <c r="I264" s="216"/>
      <c r="J264" s="312">
        <v>91800</v>
      </c>
      <c r="K264" s="146"/>
      <c r="L264" s="260">
        <f t="shared" ca="1" si="235"/>
        <v>52353.54</v>
      </c>
      <c r="M264" s="212"/>
      <c r="N264" s="260">
        <f t="shared" ca="1" si="236"/>
        <v>22243.14</v>
      </c>
      <c r="O264" s="212"/>
      <c r="P264" s="260">
        <f t="shared" ca="1" si="237"/>
        <v>2542.86</v>
      </c>
      <c r="Q264" s="212"/>
      <c r="R264" s="260">
        <f t="shared" ca="1" si="238"/>
        <v>6839.0999999999995</v>
      </c>
      <c r="S264" s="212"/>
      <c r="T264" s="260">
        <f t="shared" ca="1" si="239"/>
        <v>1707.4799999999998</v>
      </c>
      <c r="U264" s="212"/>
      <c r="V264" s="260">
        <f t="shared" ca="1" si="240"/>
        <v>2157.3000000000002</v>
      </c>
      <c r="W264" s="212"/>
      <c r="X264" s="260">
        <f t="shared" ca="1" si="241"/>
        <v>3956.58</v>
      </c>
      <c r="Y264" s="212"/>
      <c r="Z264" s="175"/>
      <c r="AC264" s="216" t="s">
        <v>769</v>
      </c>
      <c r="AE264" s="239">
        <f t="shared" ref="AE264:AE267" si="253">+H264</f>
        <v>19</v>
      </c>
      <c r="AG264" s="312">
        <f t="shared" ref="AG264:AG267" si="254">+J264</f>
        <v>91800</v>
      </c>
      <c r="AH264" s="146"/>
      <c r="AI264" s="260">
        <f t="shared" ca="1" si="244"/>
        <v>37775.699999999997</v>
      </c>
      <c r="AJ264" s="212"/>
      <c r="AK264" s="260">
        <f t="shared" ca="1" si="245"/>
        <v>17129.879999999997</v>
      </c>
      <c r="AL264" s="212"/>
      <c r="AM264" s="260">
        <f t="shared" ca="1" si="246"/>
        <v>7435.8</v>
      </c>
      <c r="AN264" s="212"/>
      <c r="AO264" s="260">
        <f t="shared" ca="1" si="247"/>
        <v>10933.38</v>
      </c>
      <c r="AP264" s="212"/>
      <c r="AQ264" s="260">
        <f t="shared" ca="1" si="248"/>
        <v>3139.56</v>
      </c>
      <c r="AR264" s="212"/>
      <c r="AS264" s="260">
        <f t="shared" ca="1" si="249"/>
        <v>8078.4</v>
      </c>
      <c r="AT264" s="212"/>
      <c r="AU264" s="260">
        <f t="shared" ca="1" si="250"/>
        <v>1285.2</v>
      </c>
      <c r="AV264" s="262"/>
      <c r="AW264" s="262">
        <f t="shared" ca="1" si="251"/>
        <v>2093.04</v>
      </c>
      <c r="AX264" s="262"/>
      <c r="AY264" s="262">
        <f t="shared" ca="1" si="252"/>
        <v>3929.04</v>
      </c>
      <c r="BA264" s="175"/>
      <c r="BB264" s="145"/>
      <c r="BC264" s="145"/>
      <c r="BD264" s="145"/>
    </row>
    <row r="265" spans="1:56">
      <c r="A265" s="146"/>
      <c r="B265" s="146"/>
      <c r="F265" s="216" t="s">
        <v>770</v>
      </c>
      <c r="G265" s="139"/>
      <c r="H265" s="261">
        <v>19</v>
      </c>
      <c r="I265" s="216"/>
      <c r="J265" s="312">
        <v>100000</v>
      </c>
      <c r="K265" s="146"/>
      <c r="L265" s="260">
        <f t="shared" ca="1" si="235"/>
        <v>57030</v>
      </c>
      <c r="M265" s="212"/>
      <c r="N265" s="260">
        <f t="shared" ca="1" si="236"/>
        <v>24230</v>
      </c>
      <c r="O265" s="212"/>
      <c r="P265" s="260">
        <f t="shared" ca="1" si="237"/>
        <v>2770</v>
      </c>
      <c r="Q265" s="212"/>
      <c r="R265" s="260">
        <f t="shared" ca="1" si="238"/>
        <v>7450</v>
      </c>
      <c r="S265" s="212"/>
      <c r="T265" s="260">
        <f t="shared" ca="1" si="239"/>
        <v>1859.9999999999998</v>
      </c>
      <c r="U265" s="212"/>
      <c r="V265" s="260">
        <f t="shared" ca="1" si="240"/>
        <v>2350</v>
      </c>
      <c r="W265" s="212"/>
      <c r="X265" s="260">
        <f t="shared" ca="1" si="241"/>
        <v>4310</v>
      </c>
      <c r="Y265" s="212"/>
      <c r="Z265" s="175"/>
      <c r="AC265" s="216" t="s">
        <v>770</v>
      </c>
      <c r="AE265" s="239">
        <f t="shared" si="253"/>
        <v>19</v>
      </c>
      <c r="AG265" s="312">
        <f t="shared" si="254"/>
        <v>100000</v>
      </c>
      <c r="AH265" s="146"/>
      <c r="AI265" s="260">
        <f t="shared" ca="1" si="244"/>
        <v>41150</v>
      </c>
      <c r="AJ265" s="212"/>
      <c r="AK265" s="260">
        <f t="shared" ca="1" si="245"/>
        <v>18660</v>
      </c>
      <c r="AL265" s="212"/>
      <c r="AM265" s="260">
        <f t="shared" ca="1" si="246"/>
        <v>8100</v>
      </c>
      <c r="AN265" s="212"/>
      <c r="AO265" s="260">
        <f t="shared" ca="1" si="247"/>
        <v>11910</v>
      </c>
      <c r="AP265" s="212"/>
      <c r="AQ265" s="260">
        <f t="shared" ca="1" si="248"/>
        <v>3420</v>
      </c>
      <c r="AR265" s="212"/>
      <c r="AS265" s="260">
        <f t="shared" ca="1" si="249"/>
        <v>8800</v>
      </c>
      <c r="AT265" s="212"/>
      <c r="AU265" s="260">
        <f t="shared" ca="1" si="250"/>
        <v>1400</v>
      </c>
      <c r="AV265" s="262"/>
      <c r="AW265" s="262">
        <f t="shared" ca="1" si="251"/>
        <v>2280</v>
      </c>
      <c r="AX265" s="262"/>
      <c r="AY265" s="262">
        <f t="shared" ca="1" si="252"/>
        <v>4280</v>
      </c>
      <c r="BA265" s="175"/>
      <c r="BB265" s="145"/>
      <c r="BC265" s="145"/>
      <c r="BD265" s="145"/>
    </row>
    <row r="266" spans="1:56">
      <c r="A266" s="146"/>
      <c r="B266" s="146"/>
      <c r="F266" s="216" t="s">
        <v>771</v>
      </c>
      <c r="G266" s="139"/>
      <c r="H266" s="261">
        <v>13</v>
      </c>
      <c r="I266" s="216"/>
      <c r="J266" s="312">
        <v>32142</v>
      </c>
      <c r="K266" s="146"/>
      <c r="L266" s="260">
        <f t="shared" si="235"/>
        <v>28914.943199999998</v>
      </c>
      <c r="M266" s="212"/>
      <c r="N266" s="260">
        <f t="shared" si="236"/>
        <v>2304.5814</v>
      </c>
      <c r="O266" s="212"/>
      <c r="P266" s="260">
        <f t="shared" si="237"/>
        <v>12.8568</v>
      </c>
      <c r="Q266" s="212"/>
      <c r="R266" s="260">
        <f t="shared" si="238"/>
        <v>199.28039999999999</v>
      </c>
      <c r="S266" s="212"/>
      <c r="T266" s="260">
        <f t="shared" si="239"/>
        <v>6.4283999999999999</v>
      </c>
      <c r="U266" s="212"/>
      <c r="V266" s="260">
        <f t="shared" si="240"/>
        <v>694.2672</v>
      </c>
      <c r="W266" s="212"/>
      <c r="X266" s="260">
        <f t="shared" si="241"/>
        <v>9.6425999999999998</v>
      </c>
      <c r="Y266" s="212"/>
      <c r="Z266" s="175"/>
      <c r="AC266" s="216" t="s">
        <v>771</v>
      </c>
      <c r="AE266" s="239">
        <f t="shared" si="253"/>
        <v>13</v>
      </c>
      <c r="AG266" s="312">
        <f t="shared" si="254"/>
        <v>32142</v>
      </c>
      <c r="AH266" s="146"/>
      <c r="AI266" s="260">
        <f t="shared" si="244"/>
        <v>0</v>
      </c>
      <c r="AJ266" s="212"/>
      <c r="AK266" s="260">
        <f t="shared" si="245"/>
        <v>0</v>
      </c>
      <c r="AL266" s="212"/>
      <c r="AM266" s="260">
        <f t="shared" si="246"/>
        <v>0</v>
      </c>
      <c r="AN266" s="212"/>
      <c r="AO266" s="260">
        <f t="shared" si="247"/>
        <v>0</v>
      </c>
      <c r="AP266" s="212"/>
      <c r="AQ266" s="260">
        <f t="shared" si="248"/>
        <v>0</v>
      </c>
      <c r="AR266" s="212"/>
      <c r="AS266" s="260">
        <f t="shared" si="249"/>
        <v>31438.090200000002</v>
      </c>
      <c r="AT266" s="212"/>
      <c r="AU266" s="260">
        <f t="shared" si="250"/>
        <v>0</v>
      </c>
      <c r="AV266" s="262"/>
      <c r="AW266" s="262">
        <f t="shared" si="251"/>
        <v>694.2672</v>
      </c>
      <c r="AX266" s="262"/>
      <c r="AY266" s="262">
        <f t="shared" si="252"/>
        <v>9.6425999999999998</v>
      </c>
      <c r="BA266" s="175"/>
      <c r="BB266" s="145"/>
      <c r="BC266" s="145"/>
      <c r="BD266" s="145"/>
    </row>
    <row r="267" spans="1:56">
      <c r="A267" s="146"/>
      <c r="B267" s="146"/>
      <c r="F267" s="216" t="s">
        <v>772</v>
      </c>
      <c r="G267" s="139"/>
      <c r="H267" s="261">
        <v>13</v>
      </c>
      <c r="I267" s="216"/>
      <c r="J267" s="312">
        <v>680000</v>
      </c>
      <c r="K267" s="146"/>
      <c r="L267" s="260">
        <f t="shared" si="235"/>
        <v>611728</v>
      </c>
      <c r="M267" s="212"/>
      <c r="N267" s="260">
        <f t="shared" si="236"/>
        <v>48756</v>
      </c>
      <c r="O267" s="212"/>
      <c r="P267" s="260">
        <f t="shared" si="237"/>
        <v>272</v>
      </c>
      <c r="Q267" s="212"/>
      <c r="R267" s="260">
        <f t="shared" si="238"/>
        <v>4216</v>
      </c>
      <c r="S267" s="212"/>
      <c r="T267" s="260">
        <f t="shared" si="239"/>
        <v>136</v>
      </c>
      <c r="U267" s="212"/>
      <c r="V267" s="260">
        <f t="shared" si="240"/>
        <v>14688</v>
      </c>
      <c r="W267" s="212"/>
      <c r="X267" s="260">
        <f t="shared" si="241"/>
        <v>203.99999999999997</v>
      </c>
      <c r="Y267" s="212"/>
      <c r="Z267" s="175"/>
      <c r="AC267" s="216" t="s">
        <v>772</v>
      </c>
      <c r="AE267" s="239">
        <f t="shared" si="253"/>
        <v>13</v>
      </c>
      <c r="AG267" s="312">
        <f t="shared" si="254"/>
        <v>680000</v>
      </c>
      <c r="AH267" s="146"/>
      <c r="AI267" s="260">
        <f t="shared" si="244"/>
        <v>0</v>
      </c>
      <c r="AJ267" s="212"/>
      <c r="AK267" s="260">
        <f t="shared" si="245"/>
        <v>0</v>
      </c>
      <c r="AL267" s="212"/>
      <c r="AM267" s="260">
        <f t="shared" si="246"/>
        <v>0</v>
      </c>
      <c r="AN267" s="212"/>
      <c r="AO267" s="260">
        <f t="shared" si="247"/>
        <v>0</v>
      </c>
      <c r="AP267" s="212"/>
      <c r="AQ267" s="260">
        <f t="shared" si="248"/>
        <v>0</v>
      </c>
      <c r="AR267" s="212"/>
      <c r="AS267" s="260">
        <f t="shared" si="249"/>
        <v>665108</v>
      </c>
      <c r="AT267" s="212"/>
      <c r="AU267" s="260">
        <f t="shared" si="250"/>
        <v>0</v>
      </c>
      <c r="AV267" s="262"/>
      <c r="AW267" s="262">
        <f t="shared" si="251"/>
        <v>14688</v>
      </c>
      <c r="AX267" s="262"/>
      <c r="AY267" s="262">
        <f t="shared" si="252"/>
        <v>203.99999999999997</v>
      </c>
      <c r="BA267" s="175"/>
      <c r="BB267" s="145"/>
      <c r="BC267" s="145"/>
      <c r="BD267" s="145"/>
    </row>
    <row r="268" spans="1:56" ht="14.25" customHeight="1">
      <c r="A268" s="146"/>
      <c r="B268" s="146"/>
      <c r="F268" s="216" t="s">
        <v>531</v>
      </c>
      <c r="G268" s="139"/>
      <c r="H268" s="261">
        <v>7</v>
      </c>
      <c r="I268" s="216"/>
      <c r="J268" s="312">
        <v>558432</v>
      </c>
      <c r="K268" s="146"/>
      <c r="L268" s="260">
        <f t="shared" si="235"/>
        <v>262016.29439999998</v>
      </c>
      <c r="M268" s="212"/>
      <c r="N268" s="260">
        <f t="shared" si="236"/>
        <v>159041.43359999999</v>
      </c>
      <c r="O268" s="212"/>
      <c r="P268" s="260">
        <f t="shared" si="237"/>
        <v>18763.315200000001</v>
      </c>
      <c r="Q268" s="212"/>
      <c r="R268" s="260">
        <f t="shared" si="238"/>
        <v>47522.563199999997</v>
      </c>
      <c r="S268" s="212"/>
      <c r="T268" s="260">
        <f t="shared" si="239"/>
        <v>3350.5920000000001</v>
      </c>
      <c r="U268" s="212"/>
      <c r="V268" s="260">
        <f t="shared" si="240"/>
        <v>30602.0736</v>
      </c>
      <c r="W268" s="212"/>
      <c r="X268" s="260">
        <f t="shared" si="241"/>
        <v>37135.728000000003</v>
      </c>
      <c r="Y268" s="212"/>
      <c r="Z268" s="175"/>
      <c r="AC268" s="216" t="s">
        <v>531</v>
      </c>
      <c r="AE268" s="239">
        <f t="shared" si="242"/>
        <v>7</v>
      </c>
      <c r="AG268" s="312">
        <f t="shared" si="243"/>
        <v>558432</v>
      </c>
      <c r="AH268" s="146"/>
      <c r="AI268" s="260">
        <f t="shared" si="244"/>
        <v>217174.20479999998</v>
      </c>
      <c r="AJ268" s="212"/>
      <c r="AK268" s="260">
        <f t="shared" si="245"/>
        <v>41379.811199999996</v>
      </c>
      <c r="AL268" s="212"/>
      <c r="AM268" s="260">
        <f t="shared" si="246"/>
        <v>232140.18240000002</v>
      </c>
      <c r="AN268" s="212"/>
      <c r="AO268" s="260">
        <f t="shared" si="247"/>
        <v>0</v>
      </c>
      <c r="AP268" s="212"/>
      <c r="AQ268" s="260">
        <f t="shared" si="248"/>
        <v>0</v>
      </c>
      <c r="AR268" s="212"/>
      <c r="AS268" s="260">
        <f t="shared" si="249"/>
        <v>0</v>
      </c>
      <c r="AT268" s="212"/>
      <c r="AU268" s="260">
        <f t="shared" si="250"/>
        <v>0</v>
      </c>
      <c r="AV268" s="262"/>
      <c r="AW268" s="262">
        <f t="shared" si="251"/>
        <v>30602.0736</v>
      </c>
      <c r="AX268" s="262"/>
      <c r="AY268" s="262">
        <f t="shared" si="252"/>
        <v>37135.728000000003</v>
      </c>
      <c r="BA268" s="175"/>
      <c r="BB268" s="145"/>
      <c r="BC268" s="145"/>
      <c r="BD268" s="145"/>
    </row>
    <row r="269" spans="1:56" ht="14.25" customHeight="1">
      <c r="A269" s="146"/>
      <c r="B269" s="146"/>
      <c r="F269" s="216" t="s">
        <v>697</v>
      </c>
      <c r="G269" s="139"/>
      <c r="H269" s="261">
        <v>13</v>
      </c>
      <c r="I269" s="216"/>
      <c r="J269" s="312">
        <v>657840.61538461538</v>
      </c>
      <c r="K269" s="146"/>
      <c r="L269" s="260">
        <f t="shared" si="235"/>
        <v>591793.41759999993</v>
      </c>
      <c r="M269" s="212"/>
      <c r="N269" s="260">
        <f t="shared" si="236"/>
        <v>47167.172123076925</v>
      </c>
      <c r="O269" s="212"/>
      <c r="P269" s="260">
        <f t="shared" si="237"/>
        <v>263.13624615384617</v>
      </c>
      <c r="Q269" s="212"/>
      <c r="R269" s="260">
        <f t="shared" si="238"/>
        <v>4078.6118153846151</v>
      </c>
      <c r="S269" s="212"/>
      <c r="T269" s="260">
        <f t="shared" si="239"/>
        <v>131.56812307692309</v>
      </c>
      <c r="U269" s="212"/>
      <c r="V269" s="260">
        <f t="shared" si="240"/>
        <v>14209.357292307694</v>
      </c>
      <c r="W269" s="212"/>
      <c r="X269" s="260">
        <f t="shared" si="241"/>
        <v>197.3521846153846</v>
      </c>
      <c r="Y269" s="212"/>
      <c r="Z269" s="175"/>
      <c r="AC269" s="216" t="s">
        <v>697</v>
      </c>
      <c r="AE269" s="239">
        <f t="shared" si="242"/>
        <v>13</v>
      </c>
      <c r="AG269" s="312">
        <f t="shared" si="243"/>
        <v>657840.61538461538</v>
      </c>
      <c r="AH269" s="146"/>
      <c r="AI269" s="260">
        <f t="shared" si="244"/>
        <v>0</v>
      </c>
      <c r="AJ269" s="212"/>
      <c r="AK269" s="260">
        <f t="shared" si="245"/>
        <v>0</v>
      </c>
      <c r="AL269" s="212"/>
      <c r="AM269" s="260">
        <f t="shared" si="246"/>
        <v>0</v>
      </c>
      <c r="AN269" s="212"/>
      <c r="AO269" s="260">
        <f t="shared" si="247"/>
        <v>0</v>
      </c>
      <c r="AP269" s="212"/>
      <c r="AQ269" s="260">
        <f t="shared" si="248"/>
        <v>0</v>
      </c>
      <c r="AR269" s="212"/>
      <c r="AS269" s="260">
        <f t="shared" si="249"/>
        <v>643433.90590769239</v>
      </c>
      <c r="AT269" s="212"/>
      <c r="AU269" s="260">
        <f t="shared" si="250"/>
        <v>0</v>
      </c>
      <c r="AV269" s="262"/>
      <c r="AW269" s="262">
        <f t="shared" si="251"/>
        <v>14209.357292307694</v>
      </c>
      <c r="AX269" s="262"/>
      <c r="AY269" s="262">
        <f t="shared" si="252"/>
        <v>197.3521846153846</v>
      </c>
      <c r="BA269" s="175"/>
      <c r="BB269" s="145"/>
      <c r="BC269" s="145"/>
      <c r="BD269" s="145"/>
    </row>
    <row r="270" spans="1:56">
      <c r="A270" s="146"/>
      <c r="B270" s="146"/>
      <c r="F270" s="216" t="s">
        <v>530</v>
      </c>
      <c r="G270" s="139"/>
      <c r="H270" s="261">
        <v>18</v>
      </c>
      <c r="I270" s="216"/>
      <c r="J270" s="389">
        <v>491629.08875616518</v>
      </c>
      <c r="K270" s="558"/>
      <c r="L270" s="549">
        <f t="shared" ca="1" si="235"/>
        <v>256138.75524196206</v>
      </c>
      <c r="M270" s="558"/>
      <c r="N270" s="549">
        <f t="shared" ca="1" si="236"/>
        <v>128216.86634760787</v>
      </c>
      <c r="O270" s="558"/>
      <c r="P270" s="549">
        <f t="shared" ca="1" si="237"/>
        <v>15191.338842565505</v>
      </c>
      <c r="Q270" s="558"/>
      <c r="R270" s="549">
        <f t="shared" ca="1" si="238"/>
        <v>40362.748186881166</v>
      </c>
      <c r="S270" s="558"/>
      <c r="T270" s="549">
        <f t="shared" ca="1" si="239"/>
        <v>9881.7446839989207</v>
      </c>
      <c r="U270" s="558"/>
      <c r="V270" s="549">
        <f t="shared" ca="1" si="240"/>
        <v>14650.546844933722</v>
      </c>
      <c r="W270" s="558"/>
      <c r="X270" s="549">
        <f t="shared" ca="1" si="241"/>
        <v>27187.088608215934</v>
      </c>
      <c r="Y270" s="212"/>
      <c r="Z270" s="175"/>
      <c r="AC270" s="216" t="s">
        <v>530</v>
      </c>
      <c r="AE270" s="239">
        <f t="shared" si="242"/>
        <v>18</v>
      </c>
      <c r="AG270" s="389">
        <f t="shared" si="243"/>
        <v>491629.08875616518</v>
      </c>
      <c r="AH270" s="558"/>
      <c r="AI270" s="549">
        <f t="shared" ca="1" si="244"/>
        <v>211253.01943852418</v>
      </c>
      <c r="AJ270" s="558"/>
      <c r="AK270" s="549">
        <f t="shared" ca="1" si="244"/>
        <v>112140.59514528127</v>
      </c>
      <c r="AL270" s="558"/>
      <c r="AM270" s="549">
        <f t="shared" ca="1" si="244"/>
        <v>55504.92412057105</v>
      </c>
      <c r="AN270" s="558"/>
      <c r="AO270" s="549">
        <f t="shared" ca="1" si="244"/>
        <v>49212.071784492131</v>
      </c>
      <c r="AP270" s="558"/>
      <c r="AQ270" s="549">
        <f t="shared" ca="1" si="244"/>
        <v>10815.839952635633</v>
      </c>
      <c r="AR270" s="558"/>
      <c r="AS270" s="549">
        <f t="shared" ca="1" si="244"/>
        <v>9685.0930484964556</v>
      </c>
      <c r="AT270" s="558"/>
      <c r="AU270" s="549">
        <f t="shared" ca="1" si="244"/>
        <v>1671.5389017709615</v>
      </c>
      <c r="AV270" s="558"/>
      <c r="AW270" s="549">
        <f t="shared" ca="1" si="244"/>
        <v>14404.732300555639</v>
      </c>
      <c r="AX270" s="558"/>
      <c r="AY270" s="549">
        <f t="shared" ca="1" si="252"/>
        <v>26941.274063837853</v>
      </c>
      <c r="BA270" s="175"/>
      <c r="BB270" s="145"/>
      <c r="BC270" s="145"/>
      <c r="BD270" s="145"/>
    </row>
    <row r="271" spans="1:56">
      <c r="A271" s="146"/>
      <c r="B271" s="146"/>
      <c r="F271" s="216"/>
      <c r="G271" s="139"/>
      <c r="H271" s="261"/>
      <c r="I271" s="216"/>
      <c r="J271" s="312"/>
      <c r="K271" s="558"/>
      <c r="L271" s="558"/>
      <c r="M271" s="558"/>
      <c r="N271" s="558"/>
      <c r="O271" s="558"/>
      <c r="P271" s="558"/>
      <c r="Q271" s="558"/>
      <c r="R271" s="558"/>
      <c r="S271" s="558"/>
      <c r="T271" s="558"/>
      <c r="U271" s="558"/>
      <c r="V271" s="558"/>
      <c r="W271" s="558"/>
      <c r="X271" s="558"/>
      <c r="Z271" s="175"/>
      <c r="AC271" s="216"/>
      <c r="AE271" s="205"/>
      <c r="AG271" s="312"/>
      <c r="AH271" s="558"/>
      <c r="AI271" s="558"/>
      <c r="AJ271" s="558"/>
      <c r="AK271" s="558"/>
      <c r="AL271" s="558"/>
      <c r="AM271" s="558"/>
      <c r="AN271" s="558"/>
      <c r="AO271" s="558"/>
      <c r="AP271" s="558"/>
      <c r="AQ271" s="558"/>
      <c r="AR271" s="558"/>
      <c r="AS271" s="558"/>
      <c r="AT271" s="558"/>
      <c r="AU271" s="558"/>
      <c r="AV271" s="558"/>
      <c r="AW271" s="558"/>
      <c r="AX271" s="558"/>
      <c r="AY271" s="558"/>
      <c r="BA271" s="175"/>
      <c r="BB271" s="145"/>
      <c r="BC271" s="145"/>
      <c r="BD271" s="145"/>
    </row>
    <row r="272" spans="1:56">
      <c r="A272" s="146"/>
      <c r="B272" s="146"/>
      <c r="F272" s="216" t="s">
        <v>121</v>
      </c>
      <c r="G272" s="139"/>
      <c r="H272" s="261"/>
      <c r="I272" s="216"/>
      <c r="J272" s="312">
        <f>SUM(J263:J271)</f>
        <v>2671843.7041407805</v>
      </c>
      <c r="K272" s="216"/>
      <c r="L272" s="312">
        <f ca="1">SUM(L263:L271)</f>
        <v>1894192.9504419621</v>
      </c>
      <c r="M272" s="216"/>
      <c r="N272" s="312">
        <f ca="1">SUM(N263:N271)</f>
        <v>446497.19347068481</v>
      </c>
      <c r="O272" s="216"/>
      <c r="P272" s="312">
        <f ca="1">SUM(P263:P271)</f>
        <v>41477.507088719351</v>
      </c>
      <c r="Q272" s="216"/>
      <c r="R272" s="312">
        <f ca="1">SUM(R263:R271)</f>
        <v>115138.30360226578</v>
      </c>
      <c r="S272" s="216"/>
      <c r="T272" s="312">
        <f ca="1">SUM(T263:T271)</f>
        <v>18189.813207075844</v>
      </c>
      <c r="U272" s="216"/>
      <c r="V272" s="312">
        <f ca="1">SUM(V263:V271)</f>
        <v>80761.544937241415</v>
      </c>
      <c r="W272" s="216"/>
      <c r="X272" s="312">
        <f ca="1">SUM(X263:X271)</f>
        <v>75586.391392831312</v>
      </c>
      <c r="Z272" s="175"/>
      <c r="AC272" s="216" t="s">
        <v>121</v>
      </c>
      <c r="AE272" s="205"/>
      <c r="AG272" s="389">
        <f>SUM(AG263:AG271)</f>
        <v>2671843.7041407805</v>
      </c>
      <c r="AH272" s="216"/>
      <c r="AI272" s="389">
        <f ca="1">SUM(AI263:AI271)</f>
        <v>532042.92423852417</v>
      </c>
      <c r="AJ272" s="216"/>
      <c r="AK272" s="389">
        <f t="shared" ref="AK272" ca="1" si="255">SUM(AK263:AK271)</f>
        <v>200506.28634528129</v>
      </c>
      <c r="AL272" s="216"/>
      <c r="AM272" s="389">
        <f t="shared" ref="AM272" ca="1" si="256">SUM(AM263:AM271)</f>
        <v>308040.90652057104</v>
      </c>
      <c r="AN272" s="216"/>
      <c r="AO272" s="389">
        <f t="shared" ref="AO272" ca="1" si="257">SUM(AO263:AO271)</f>
        <v>79201.451784492121</v>
      </c>
      <c r="AP272" s="216"/>
      <c r="AQ272" s="389">
        <f t="shared" ref="AQ272" ca="1" si="258">SUM(AQ263:AQ271)</f>
        <v>19427.399952635635</v>
      </c>
      <c r="AR272" s="216"/>
      <c r="AS272" s="389">
        <f t="shared" ref="AS272" ca="1" si="259">SUM(AS263:AS271)</f>
        <v>1371823.4891561887</v>
      </c>
      <c r="AT272" s="216"/>
      <c r="AU272" s="389">
        <f t="shared" ref="AU272" ca="1" si="260">SUM(AU263:AU271)</f>
        <v>5196.7389017709611</v>
      </c>
      <c r="AV272" s="216"/>
      <c r="AW272" s="389">
        <f t="shared" ref="AW272" ca="1" si="261">SUM(AW263:AW271)</f>
        <v>80339.470392863339</v>
      </c>
      <c r="AX272" s="216"/>
      <c r="AY272" s="389">
        <f t="shared" ref="AY272" ca="1" si="262">SUM(AY263:AY271)</f>
        <v>75265.036848453237</v>
      </c>
      <c r="BA272" s="175"/>
      <c r="BB272" s="145"/>
      <c r="BC272" s="145"/>
      <c r="BD272" s="145"/>
    </row>
    <row r="273" spans="1:56">
      <c r="A273" s="146"/>
      <c r="B273" s="146"/>
      <c r="F273" s="216"/>
      <c r="G273" s="139"/>
      <c r="H273" s="261"/>
      <c r="I273" s="216"/>
      <c r="J273" s="312"/>
      <c r="K273" s="558"/>
      <c r="L273" s="558"/>
      <c r="M273" s="558"/>
      <c r="N273" s="558"/>
      <c r="O273" s="558"/>
      <c r="P273" s="558"/>
      <c r="Q273" s="558"/>
      <c r="R273" s="558"/>
      <c r="S273" s="558"/>
      <c r="T273" s="558"/>
      <c r="U273" s="558"/>
      <c r="V273" s="558"/>
      <c r="W273" s="558"/>
      <c r="X273" s="558"/>
      <c r="Z273" s="175"/>
      <c r="AC273" s="216"/>
      <c r="AE273" s="205"/>
      <c r="AG273" s="312"/>
      <c r="AH273" s="558"/>
      <c r="AI273" s="558"/>
      <c r="AJ273" s="558"/>
      <c r="AK273" s="558"/>
      <c r="AL273" s="558"/>
      <c r="AM273" s="558"/>
      <c r="AN273" s="558"/>
      <c r="AO273" s="558"/>
      <c r="AP273" s="558"/>
      <c r="AQ273" s="558"/>
      <c r="AR273" s="558"/>
      <c r="AS273" s="558"/>
      <c r="AT273" s="558"/>
      <c r="AU273" s="558"/>
      <c r="AV273" s="146"/>
      <c r="AW273" s="146"/>
      <c r="AX273" s="146"/>
      <c r="AY273" s="146"/>
      <c r="BA273" s="175"/>
      <c r="BB273" s="145"/>
      <c r="BC273" s="145"/>
      <c r="BD273" s="145"/>
    </row>
    <row r="274" spans="1:56">
      <c r="A274" s="146"/>
      <c r="B274" s="146"/>
      <c r="C274" s="559"/>
      <c r="F274" s="391" t="s">
        <v>423</v>
      </c>
      <c r="G274" s="139"/>
      <c r="H274" s="261"/>
      <c r="I274" s="216"/>
      <c r="J274" s="312"/>
      <c r="K274" s="216"/>
      <c r="L274" s="312"/>
      <c r="M274" s="216"/>
      <c r="N274" s="312"/>
      <c r="O274" s="216"/>
      <c r="P274" s="312"/>
      <c r="Q274" s="216"/>
      <c r="R274" s="312"/>
      <c r="S274" s="216"/>
      <c r="T274" s="312"/>
      <c r="U274" s="216"/>
      <c r="V274" s="312"/>
      <c r="W274" s="216"/>
      <c r="X274" s="312"/>
      <c r="Z274" s="175"/>
      <c r="AC274" s="391" t="s">
        <v>423</v>
      </c>
      <c r="AE274" s="205"/>
      <c r="AG274" s="312"/>
      <c r="AH274" s="216"/>
      <c r="AI274" s="312"/>
      <c r="AJ274" s="216"/>
      <c r="AK274" s="312"/>
      <c r="AL274" s="216"/>
      <c r="AM274" s="312"/>
      <c r="AN274" s="216"/>
      <c r="AO274" s="312"/>
      <c r="AP274" s="216"/>
      <c r="AQ274" s="312"/>
      <c r="AR274" s="216"/>
      <c r="AS274" s="312"/>
      <c r="AT274" s="216"/>
      <c r="AU274" s="312"/>
      <c r="AV274" s="146"/>
      <c r="AW274" s="146"/>
      <c r="AX274" s="146"/>
      <c r="AY274" s="146"/>
      <c r="BA274" s="175"/>
      <c r="BB274" s="145"/>
      <c r="BC274" s="145"/>
      <c r="BD274" s="145"/>
    </row>
    <row r="275" spans="1:56" ht="13.5" thickBot="1">
      <c r="A275" s="146"/>
      <c r="B275" s="146"/>
      <c r="F275" s="391" t="s">
        <v>422</v>
      </c>
      <c r="G275" s="139"/>
      <c r="H275" s="261"/>
      <c r="I275" s="216"/>
      <c r="J275" s="392">
        <f>J261-J272</f>
        <v>93803691.168832138</v>
      </c>
      <c r="K275" s="216"/>
      <c r="L275" s="392">
        <f ca="1">L261-L272</f>
        <v>53116685.961379081</v>
      </c>
      <c r="M275" s="216"/>
      <c r="N275" s="392">
        <f ca="1">N261-N272</f>
        <v>22925549.289069496</v>
      </c>
      <c r="O275" s="216"/>
      <c r="P275" s="392">
        <f ca="1">P261-P272</f>
        <v>2632499.6854807585</v>
      </c>
      <c r="Q275" s="216"/>
      <c r="R275" s="392">
        <f ca="1">R261-R272</f>
        <v>7075701.3306366764</v>
      </c>
      <c r="S275" s="216"/>
      <c r="T275" s="392">
        <f ca="1">T261-T272</f>
        <v>1780930.9426934393</v>
      </c>
      <c r="U275" s="216"/>
      <c r="V275" s="392">
        <f ca="1">V261-V272</f>
        <v>2185578.6083431747</v>
      </c>
      <c r="W275" s="216"/>
      <c r="X275" s="392">
        <f ca="1">X261-X272</f>
        <v>4086745.3512295056</v>
      </c>
      <c r="Z275" s="175"/>
      <c r="AC275" s="391" t="s">
        <v>422</v>
      </c>
      <c r="AE275" s="205"/>
      <c r="AG275" s="392">
        <f>AG261-AG272</f>
        <v>93803691.168832138</v>
      </c>
      <c r="AH275" s="216"/>
      <c r="AI275" s="392">
        <f ca="1">AI261-AI272</f>
        <v>39162453.770210497</v>
      </c>
      <c r="AJ275" s="216"/>
      <c r="AK275" s="392">
        <f ca="1">AK261-AK272</f>
        <v>17803740.334714934</v>
      </c>
      <c r="AL275" s="216"/>
      <c r="AM275" s="392">
        <f ca="1">AM261-AM272</f>
        <v>7504711.8564419141</v>
      </c>
      <c r="AN275" s="216"/>
      <c r="AO275" s="392">
        <f ca="1">AO261-AO272</f>
        <v>11409534.952560306</v>
      </c>
      <c r="AP275" s="216"/>
      <c r="AQ275" s="392">
        <f ca="1">AQ261-AQ272</f>
        <v>3279613.107838707</v>
      </c>
      <c r="AR275" s="216"/>
      <c r="AS275" s="392">
        <f ca="1">AS261-AS272</f>
        <v>7121238.9458181392</v>
      </c>
      <c r="AT275" s="216"/>
      <c r="AU275" s="392">
        <f ca="1">AU261-AU272</f>
        <v>1348099.5363296152</v>
      </c>
      <c r="AW275" s="392">
        <f ca="1">AW261-AW272</f>
        <v>2115916.4251749394</v>
      </c>
      <c r="AY275" s="392">
        <f ca="1">AY261-AY272</f>
        <v>4058382.2397430642</v>
      </c>
      <c r="BA275" s="175"/>
      <c r="BB275" s="145"/>
      <c r="BC275" s="145"/>
      <c r="BD275" s="145"/>
    </row>
    <row r="276" spans="1:56" ht="13.5" thickTop="1">
      <c r="A276" s="146"/>
      <c r="B276" s="146"/>
      <c r="F276" s="216"/>
      <c r="G276" s="139"/>
      <c r="H276" s="261"/>
      <c r="I276" s="216"/>
      <c r="J276" s="558"/>
      <c r="K276" s="558"/>
      <c r="L276" s="558"/>
      <c r="M276" s="558"/>
      <c r="N276" s="558"/>
      <c r="O276" s="558"/>
      <c r="P276" s="558"/>
      <c r="Q276" s="558"/>
      <c r="R276" s="558"/>
      <c r="S276" s="558"/>
      <c r="T276" s="558"/>
      <c r="U276" s="558"/>
      <c r="V276" s="558"/>
      <c r="W276" s="558"/>
      <c r="X276" s="558"/>
      <c r="Z276" s="175"/>
      <c r="AC276" s="216"/>
      <c r="AE276" s="205"/>
      <c r="AG276" s="146"/>
      <c r="AH276" s="146"/>
      <c r="AI276" s="146"/>
      <c r="AJ276" s="146"/>
      <c r="AK276" s="146"/>
      <c r="AL276" s="146"/>
      <c r="AM276" s="146"/>
      <c r="AN276" s="146"/>
      <c r="AO276" s="146"/>
      <c r="AP276" s="146"/>
      <c r="AQ276" s="146"/>
      <c r="AR276" s="146"/>
      <c r="AS276" s="553"/>
      <c r="AT276" s="146"/>
      <c r="AU276" s="553"/>
      <c r="AV276" s="146"/>
      <c r="AW276" s="146"/>
      <c r="AX276" s="146"/>
      <c r="AY276" s="146"/>
      <c r="BA276" s="175"/>
    </row>
    <row r="277" spans="1:56">
      <c r="A277" s="146"/>
      <c r="B277" s="146"/>
      <c r="F277" s="393" t="s">
        <v>151</v>
      </c>
      <c r="J277" s="256"/>
      <c r="K277" s="558"/>
      <c r="L277" s="558"/>
      <c r="M277" s="558"/>
      <c r="N277" s="558"/>
      <c r="O277" s="558"/>
      <c r="P277" s="558"/>
      <c r="Q277" s="558"/>
      <c r="R277" s="558"/>
      <c r="S277" s="558"/>
      <c r="T277" s="558"/>
      <c r="U277" s="558"/>
      <c r="V277" s="558"/>
      <c r="W277" s="558"/>
      <c r="X277" s="558"/>
      <c r="Z277" s="175"/>
      <c r="AC277" s="393" t="s">
        <v>151</v>
      </c>
      <c r="AE277" s="205"/>
      <c r="AG277" s="146"/>
      <c r="AH277" s="146"/>
      <c r="AI277" s="146"/>
      <c r="AJ277" s="146"/>
      <c r="AK277" s="146"/>
      <c r="AL277" s="146"/>
      <c r="AM277" s="146"/>
      <c r="AN277" s="146"/>
      <c r="AO277" s="146"/>
      <c r="AP277" s="146"/>
      <c r="AQ277" s="146"/>
      <c r="AR277" s="146"/>
      <c r="AS277" s="553"/>
      <c r="AT277" s="146"/>
      <c r="AU277" s="553"/>
      <c r="AV277" s="146"/>
      <c r="AW277" s="146"/>
      <c r="AX277" s="146"/>
      <c r="AY277" s="146"/>
      <c r="BA277" s="175"/>
      <c r="BB277" s="145"/>
      <c r="BC277" s="145"/>
      <c r="BD277" s="145"/>
    </row>
    <row r="278" spans="1:56">
      <c r="A278" s="146"/>
      <c r="B278" s="146"/>
      <c r="D278" s="488">
        <v>301</v>
      </c>
      <c r="F278" s="216" t="s">
        <v>736</v>
      </c>
      <c r="H278" s="144">
        <v>17</v>
      </c>
      <c r="J278" s="312">
        <v>37450.43</v>
      </c>
      <c r="K278" s="146"/>
      <c r="L278" s="260">
        <f t="shared" ref="L278:L303" si="263">(VLOOKUP($H278,Factors,L$382))*$J278</f>
        <v>19507.928987000003</v>
      </c>
      <c r="M278" s="212"/>
      <c r="N278" s="260">
        <f t="shared" ref="N278:N303" si="264">(VLOOKUP($H278,Factors,N$382))*$J278</f>
        <v>9782.0523159999993</v>
      </c>
      <c r="O278" s="212"/>
      <c r="P278" s="260">
        <f t="shared" ref="P278:P303" si="265">(VLOOKUP($H278,Factors,P$382))*$J278</f>
        <v>1160.96333</v>
      </c>
      <c r="Q278" s="212"/>
      <c r="R278" s="260">
        <f t="shared" ref="R278:R303" si="266">(VLOOKUP($H278,Factors,R$382))*$J278</f>
        <v>3085.9154320000002</v>
      </c>
      <c r="S278" s="212"/>
      <c r="T278" s="260">
        <f t="shared" ref="T278:T303" si="267">(VLOOKUP($H278,Factors,T$382))*$J278</f>
        <v>749.0086</v>
      </c>
      <c r="U278" s="212"/>
      <c r="V278" s="260">
        <f t="shared" ref="V278:V303" si="268">(VLOOKUP($H278,Factors,V$382))*$J278</f>
        <v>1101.0426419999999</v>
      </c>
      <c r="W278" s="212"/>
      <c r="X278" s="260">
        <f t="shared" ref="X278:X303" si="269">(VLOOKUP($H278,Factors,X$382))*$J278</f>
        <v>2063.518693</v>
      </c>
      <c r="Y278" s="212"/>
      <c r="Z278" s="175"/>
      <c r="AC278" s="216" t="s">
        <v>736</v>
      </c>
      <c r="AE278" s="239">
        <f>+H278</f>
        <v>17</v>
      </c>
      <c r="AG278" s="145">
        <f>+J278</f>
        <v>37450.43</v>
      </c>
      <c r="AI278" s="262">
        <f t="shared" ref="AI278:AI303" si="270">(VLOOKUP($AE278,func,AI$382))*$AG278</f>
        <v>16133.645244000001</v>
      </c>
      <c r="AJ278" s="262"/>
      <c r="AK278" s="262">
        <f t="shared" ref="AK278:AK303" si="271">(VLOOKUP($AE278,func,AK$382))*$AG278</f>
        <v>8666.0295019999994</v>
      </c>
      <c r="AL278" s="262"/>
      <c r="AM278" s="262">
        <f t="shared" ref="AM278:AM303" si="272">(VLOOKUP($AE278,func,AM$382))*$AG278</f>
        <v>4104.5671280000006</v>
      </c>
      <c r="AN278" s="262"/>
      <c r="AO278" s="262">
        <f t="shared" ref="AO278:AO303" si="273">(VLOOKUP($AE278,func,AO$382))*$AG278</f>
        <v>3789.9835159999998</v>
      </c>
      <c r="AP278" s="262"/>
      <c r="AQ278" s="262">
        <f t="shared" ref="AQ278:AQ303" si="274">(VLOOKUP($AE278,func,AQ$382))*$AG278</f>
        <v>831.39954599999999</v>
      </c>
      <c r="AR278" s="262"/>
      <c r="AS278" s="262">
        <f t="shared" ref="AS278:AS303" si="275">(VLOOKUP($AE278,func,AS$382))*$AG278</f>
        <v>681.59782600000005</v>
      </c>
      <c r="AT278" s="262"/>
      <c r="AU278" s="262">
        <f t="shared" ref="AU278:AU303" si="276">(VLOOKUP($AE278,func,AU$382))*$AG278</f>
        <v>119.84137600000001</v>
      </c>
      <c r="AV278" s="262"/>
      <c r="AW278" s="262">
        <f t="shared" ref="AW278:AW303" si="277">(VLOOKUP($AE278,func,AW$382))*$AG278</f>
        <v>1078.5723840000001</v>
      </c>
      <c r="AX278" s="262"/>
      <c r="AY278" s="262">
        <f t="shared" ref="AY278:AY303" si="278">(VLOOKUP($AE278,func,AY$382))*$AG278</f>
        <v>2044.7934780000001</v>
      </c>
      <c r="BA278" s="175"/>
      <c r="BB278" s="145"/>
      <c r="BC278" s="145"/>
      <c r="BD278" s="145"/>
    </row>
    <row r="279" spans="1:56">
      <c r="A279" s="514"/>
      <c r="B279" s="515"/>
      <c r="D279" s="488">
        <v>302</v>
      </c>
      <c r="F279" s="216" t="s">
        <v>737</v>
      </c>
      <c r="H279" s="144">
        <v>17</v>
      </c>
      <c r="J279" s="312">
        <v>70260.820000000036</v>
      </c>
      <c r="K279" s="560"/>
      <c r="L279" s="260">
        <f t="shared" si="263"/>
        <v>36598.861138000022</v>
      </c>
      <c r="M279" s="212"/>
      <c r="N279" s="260">
        <f t="shared" si="264"/>
        <v>18352.126184000008</v>
      </c>
      <c r="O279" s="212"/>
      <c r="P279" s="260">
        <f t="shared" si="265"/>
        <v>2178.0854200000012</v>
      </c>
      <c r="Q279" s="212"/>
      <c r="R279" s="260">
        <f t="shared" si="266"/>
        <v>5789.4915680000031</v>
      </c>
      <c r="S279" s="212"/>
      <c r="T279" s="260">
        <f t="shared" si="267"/>
        <v>1405.2164000000007</v>
      </c>
      <c r="U279" s="212"/>
      <c r="V279" s="260">
        <f t="shared" si="268"/>
        <v>2065.6681080000012</v>
      </c>
      <c r="W279" s="212"/>
      <c r="X279" s="260">
        <f t="shared" si="269"/>
        <v>3871.3711820000021</v>
      </c>
      <c r="Y279" s="212"/>
      <c r="Z279" s="175"/>
      <c r="AC279" s="216" t="s">
        <v>737</v>
      </c>
      <c r="AE279" s="239">
        <f t="shared" ref="AE279:AE324" si="279">+H279</f>
        <v>17</v>
      </c>
      <c r="AG279" s="145">
        <f t="shared" ref="AG279:AG324" si="280">+J279</f>
        <v>70260.820000000036</v>
      </c>
      <c r="AI279" s="262">
        <f t="shared" si="270"/>
        <v>30268.361256000018</v>
      </c>
      <c r="AJ279" s="262"/>
      <c r="AK279" s="262">
        <f t="shared" si="271"/>
        <v>16258.353748000009</v>
      </c>
      <c r="AL279" s="262"/>
      <c r="AM279" s="262">
        <f t="shared" si="272"/>
        <v>7700.5858720000042</v>
      </c>
      <c r="AN279" s="262"/>
      <c r="AO279" s="262">
        <f t="shared" si="273"/>
        <v>7110.3949840000032</v>
      </c>
      <c r="AP279" s="262"/>
      <c r="AQ279" s="262">
        <f t="shared" si="274"/>
        <v>1559.7902040000008</v>
      </c>
      <c r="AR279" s="262"/>
      <c r="AS279" s="262">
        <f t="shared" si="275"/>
        <v>1278.7469240000007</v>
      </c>
      <c r="AT279" s="262"/>
      <c r="AU279" s="262">
        <f t="shared" si="276"/>
        <v>224.83462400000013</v>
      </c>
      <c r="AV279" s="262"/>
      <c r="AW279" s="262">
        <f t="shared" si="277"/>
        <v>2023.5116160000009</v>
      </c>
      <c r="AX279" s="262"/>
      <c r="AY279" s="262">
        <f t="shared" si="278"/>
        <v>3836.2407720000024</v>
      </c>
      <c r="BA279" s="175"/>
      <c r="BB279" s="145"/>
      <c r="BC279" s="145"/>
      <c r="BD279" s="145"/>
    </row>
    <row r="280" spans="1:56">
      <c r="A280" s="514"/>
      <c r="B280" s="515"/>
      <c r="D280" s="488">
        <v>339.1</v>
      </c>
      <c r="F280" s="216" t="s">
        <v>592</v>
      </c>
      <c r="H280" s="144">
        <v>17</v>
      </c>
      <c r="J280" s="312">
        <v>433962.15182923176</v>
      </c>
      <c r="K280" s="146"/>
      <c r="L280" s="260">
        <f t="shared" si="263"/>
        <v>226050.88488784683</v>
      </c>
      <c r="M280" s="212"/>
      <c r="N280" s="260">
        <f t="shared" si="264"/>
        <v>113350.91405779534</v>
      </c>
      <c r="O280" s="212"/>
      <c r="P280" s="260">
        <f t="shared" si="265"/>
        <v>13452.826706706184</v>
      </c>
      <c r="Q280" s="212"/>
      <c r="R280" s="260">
        <f t="shared" si="266"/>
        <v>35758.481310728697</v>
      </c>
      <c r="S280" s="212"/>
      <c r="T280" s="260">
        <f t="shared" si="267"/>
        <v>8679.2430365846358</v>
      </c>
      <c r="U280" s="212"/>
      <c r="V280" s="260">
        <f t="shared" si="268"/>
        <v>12758.487263779414</v>
      </c>
      <c r="W280" s="212"/>
      <c r="X280" s="260">
        <f t="shared" si="269"/>
        <v>23911.314565790672</v>
      </c>
      <c r="Y280" s="212"/>
      <c r="Z280" s="175"/>
      <c r="AC280" s="216" t="s">
        <v>592</v>
      </c>
      <c r="AE280" s="239">
        <f t="shared" si="279"/>
        <v>17</v>
      </c>
      <c r="AG280" s="145">
        <f t="shared" si="280"/>
        <v>433962.15182923176</v>
      </c>
      <c r="AI280" s="262">
        <f t="shared" si="270"/>
        <v>186950.89500803305</v>
      </c>
      <c r="AJ280" s="262"/>
      <c r="AK280" s="262">
        <f t="shared" si="271"/>
        <v>100418.84193328423</v>
      </c>
      <c r="AL280" s="262"/>
      <c r="AM280" s="262">
        <f t="shared" si="272"/>
        <v>47562.251840483805</v>
      </c>
      <c r="AN280" s="262"/>
      <c r="AO280" s="262">
        <f t="shared" si="273"/>
        <v>43916.969765118251</v>
      </c>
      <c r="AP280" s="262"/>
      <c r="AQ280" s="262">
        <f t="shared" si="274"/>
        <v>9633.9597706089462</v>
      </c>
      <c r="AR280" s="262"/>
      <c r="AS280" s="262">
        <f t="shared" si="275"/>
        <v>7898.1111632920183</v>
      </c>
      <c r="AT280" s="262"/>
      <c r="AU280" s="262">
        <f t="shared" si="276"/>
        <v>1388.6788858535417</v>
      </c>
      <c r="AV280" s="262"/>
      <c r="AW280" s="262">
        <f t="shared" si="277"/>
        <v>12498.109972681874</v>
      </c>
      <c r="AX280" s="262"/>
      <c r="AY280" s="262">
        <f t="shared" si="278"/>
        <v>23694.333489876055</v>
      </c>
      <c r="BA280" s="175"/>
      <c r="BB280" s="145"/>
      <c r="BC280" s="145"/>
      <c r="BD280" s="145"/>
    </row>
    <row r="281" spans="1:56">
      <c r="A281" s="514"/>
      <c r="B281" s="515"/>
      <c r="D281" s="488">
        <v>339.3</v>
      </c>
      <c r="F281" s="216" t="s">
        <v>738</v>
      </c>
      <c r="H281" s="144">
        <v>2</v>
      </c>
      <c r="J281" s="312">
        <v>237771.62535093338</v>
      </c>
      <c r="K281" s="146"/>
      <c r="L281" s="260">
        <f t="shared" si="263"/>
        <v>120621.54554052849</v>
      </c>
      <c r="M281" s="212"/>
      <c r="N281" s="260">
        <f t="shared" si="264"/>
        <v>74042.084134280653</v>
      </c>
      <c r="O281" s="212"/>
      <c r="P281" s="260">
        <f t="shared" si="265"/>
        <v>9534.6421765724299</v>
      </c>
      <c r="Q281" s="212"/>
      <c r="R281" s="260">
        <f t="shared" si="266"/>
        <v>25108.683637058566</v>
      </c>
      <c r="S281" s="212"/>
      <c r="T281" s="260">
        <f t="shared" si="267"/>
        <v>7632.4691737649609</v>
      </c>
      <c r="U281" s="212"/>
      <c r="V281" s="260">
        <f t="shared" si="268"/>
        <v>380.43460056149343</v>
      </c>
      <c r="W281" s="212"/>
      <c r="X281" s="260">
        <f t="shared" si="269"/>
        <v>451.76608816677339</v>
      </c>
      <c r="Y281" s="212"/>
      <c r="Z281" s="175"/>
      <c r="AC281" s="216" t="s">
        <v>738</v>
      </c>
      <c r="AE281" s="239">
        <f t="shared" si="279"/>
        <v>2</v>
      </c>
      <c r="AG281" s="145">
        <f t="shared" si="280"/>
        <v>237771.62535093338</v>
      </c>
      <c r="AI281" s="262">
        <f t="shared" si="270"/>
        <v>143281.18143647243</v>
      </c>
      <c r="AJ281" s="262"/>
      <c r="AK281" s="262">
        <f t="shared" si="271"/>
        <v>93658.243225732644</v>
      </c>
      <c r="AL281" s="262"/>
      <c r="AM281" s="262">
        <f t="shared" si="272"/>
        <v>0</v>
      </c>
      <c r="AN281" s="262"/>
      <c r="AO281" s="262">
        <f t="shared" si="273"/>
        <v>0</v>
      </c>
      <c r="AP281" s="262"/>
      <c r="AQ281" s="262">
        <f t="shared" si="274"/>
        <v>0</v>
      </c>
      <c r="AR281" s="262"/>
      <c r="AS281" s="262">
        <f t="shared" si="275"/>
        <v>0</v>
      </c>
      <c r="AT281" s="262"/>
      <c r="AU281" s="262">
        <f t="shared" si="276"/>
        <v>0</v>
      </c>
      <c r="AV281" s="262"/>
      <c r="AW281" s="262">
        <f t="shared" si="277"/>
        <v>380.43460056149343</v>
      </c>
      <c r="AX281" s="262"/>
      <c r="AY281" s="262">
        <f t="shared" si="278"/>
        <v>451.76608816677339</v>
      </c>
      <c r="BA281" s="175"/>
      <c r="BB281" s="145"/>
      <c r="BC281" s="145"/>
      <c r="BD281" s="145"/>
    </row>
    <row r="282" spans="1:56">
      <c r="A282" s="514"/>
      <c r="B282" s="515"/>
      <c r="D282" s="488">
        <v>303.2</v>
      </c>
      <c r="F282" s="216" t="s">
        <v>739</v>
      </c>
      <c r="H282" s="144">
        <v>2</v>
      </c>
      <c r="J282" s="312">
        <v>1077363.07</v>
      </c>
      <c r="K282" s="146"/>
      <c r="L282" s="260">
        <f t="shared" si="263"/>
        <v>546546.28541100002</v>
      </c>
      <c r="M282" s="212"/>
      <c r="N282" s="260">
        <f t="shared" si="264"/>
        <v>335490.85999800003</v>
      </c>
      <c r="O282" s="212"/>
      <c r="P282" s="260">
        <f t="shared" si="265"/>
        <v>43202.259107000005</v>
      </c>
      <c r="Q282" s="212"/>
      <c r="R282" s="260">
        <f t="shared" si="266"/>
        <v>113769.540192</v>
      </c>
      <c r="S282" s="212"/>
      <c r="T282" s="260">
        <f t="shared" si="267"/>
        <v>34583.354546999995</v>
      </c>
      <c r="U282" s="212"/>
      <c r="V282" s="260">
        <f t="shared" si="268"/>
        <v>1723.7809120000002</v>
      </c>
      <c r="W282" s="212"/>
      <c r="X282" s="260">
        <f t="shared" si="269"/>
        <v>2046.9898330000001</v>
      </c>
      <c r="Y282" s="212"/>
      <c r="Z282" s="175"/>
      <c r="AC282" s="216" t="s">
        <v>739</v>
      </c>
      <c r="AE282" s="239">
        <f t="shared" si="279"/>
        <v>2</v>
      </c>
      <c r="AG282" s="145">
        <f t="shared" si="280"/>
        <v>1077363.07</v>
      </c>
      <c r="AI282" s="262">
        <f t="shared" si="270"/>
        <v>649218.9859819999</v>
      </c>
      <c r="AJ282" s="262"/>
      <c r="AK282" s="262">
        <f t="shared" si="271"/>
        <v>424373.31327300001</v>
      </c>
      <c r="AL282" s="262"/>
      <c r="AM282" s="262">
        <f t="shared" si="272"/>
        <v>0</v>
      </c>
      <c r="AN282" s="262"/>
      <c r="AO282" s="262">
        <f t="shared" si="273"/>
        <v>0</v>
      </c>
      <c r="AP282" s="262"/>
      <c r="AQ282" s="262">
        <f t="shared" si="274"/>
        <v>0</v>
      </c>
      <c r="AR282" s="262"/>
      <c r="AS282" s="262">
        <f t="shared" si="275"/>
        <v>0</v>
      </c>
      <c r="AT282" s="262"/>
      <c r="AU282" s="262">
        <f t="shared" si="276"/>
        <v>0</v>
      </c>
      <c r="AV282" s="262"/>
      <c r="AW282" s="262">
        <f t="shared" si="277"/>
        <v>1723.7809120000002</v>
      </c>
      <c r="AX282" s="262"/>
      <c r="AY282" s="262">
        <f t="shared" si="278"/>
        <v>2046.9898330000001</v>
      </c>
      <c r="BA282" s="175"/>
      <c r="BB282" s="145"/>
      <c r="BC282" s="145"/>
      <c r="BD282" s="145"/>
    </row>
    <row r="283" spans="1:56">
      <c r="A283" s="514"/>
      <c r="B283" s="515"/>
      <c r="D283" s="488">
        <v>304.10000000000002</v>
      </c>
      <c r="F283" s="216" t="s">
        <v>594</v>
      </c>
      <c r="H283" s="144">
        <v>2</v>
      </c>
      <c r="J283" s="312">
        <v>6072694.5172304567</v>
      </c>
      <c r="K283" s="146"/>
      <c r="L283" s="260">
        <f t="shared" si="263"/>
        <v>3080677.9285910106</v>
      </c>
      <c r="M283" s="212"/>
      <c r="N283" s="260">
        <f t="shared" si="264"/>
        <v>1891037.0726655643</v>
      </c>
      <c r="O283" s="212"/>
      <c r="P283" s="260">
        <f t="shared" si="265"/>
        <v>243515.05014094134</v>
      </c>
      <c r="Q283" s="212"/>
      <c r="R283" s="260">
        <f t="shared" si="266"/>
        <v>641276.54101953621</v>
      </c>
      <c r="S283" s="212"/>
      <c r="T283" s="260">
        <f t="shared" si="267"/>
        <v>194933.49400309764</v>
      </c>
      <c r="U283" s="212"/>
      <c r="V283" s="260">
        <f t="shared" si="268"/>
        <v>9716.3112275687308</v>
      </c>
      <c r="W283" s="212"/>
      <c r="X283" s="260">
        <f t="shared" si="269"/>
        <v>11538.119582737867</v>
      </c>
      <c r="Y283" s="212"/>
      <c r="Z283" s="175"/>
      <c r="AC283" s="216" t="s">
        <v>594</v>
      </c>
      <c r="AE283" s="239">
        <f t="shared" si="279"/>
        <v>2</v>
      </c>
      <c r="AG283" s="145">
        <f t="shared" si="280"/>
        <v>6072694.5172304567</v>
      </c>
      <c r="AI283" s="262">
        <f t="shared" si="270"/>
        <v>3659405.7160830726</v>
      </c>
      <c r="AJ283" s="262"/>
      <c r="AK283" s="262">
        <f t="shared" si="271"/>
        <v>2392034.370337077</v>
      </c>
      <c r="AL283" s="262"/>
      <c r="AM283" s="262">
        <f t="shared" si="272"/>
        <v>0</v>
      </c>
      <c r="AN283" s="262"/>
      <c r="AO283" s="262">
        <f t="shared" si="273"/>
        <v>0</v>
      </c>
      <c r="AP283" s="262"/>
      <c r="AQ283" s="262">
        <f t="shared" si="274"/>
        <v>0</v>
      </c>
      <c r="AR283" s="262"/>
      <c r="AS283" s="262">
        <f t="shared" si="275"/>
        <v>0</v>
      </c>
      <c r="AT283" s="262"/>
      <c r="AU283" s="262">
        <f t="shared" si="276"/>
        <v>0</v>
      </c>
      <c r="AV283" s="262"/>
      <c r="AW283" s="262">
        <f t="shared" si="277"/>
        <v>9716.3112275687308</v>
      </c>
      <c r="AX283" s="262"/>
      <c r="AY283" s="262">
        <f t="shared" si="278"/>
        <v>11538.119582737867</v>
      </c>
      <c r="BA283" s="175"/>
      <c r="BB283" s="145"/>
      <c r="BC283" s="145"/>
      <c r="BD283" s="145"/>
    </row>
    <row r="284" spans="1:56">
      <c r="A284" s="514"/>
      <c r="B284" s="515"/>
      <c r="D284" s="488">
        <v>305</v>
      </c>
      <c r="F284" s="216" t="s">
        <v>740</v>
      </c>
      <c r="H284" s="144">
        <v>1</v>
      </c>
      <c r="J284" s="312">
        <v>597698.13053121301</v>
      </c>
      <c r="K284" s="146"/>
      <c r="L284" s="260">
        <f t="shared" si="263"/>
        <v>295860.57461295044</v>
      </c>
      <c r="M284" s="212"/>
      <c r="N284" s="260">
        <f t="shared" si="264"/>
        <v>185884.11859520726</v>
      </c>
      <c r="O284" s="212"/>
      <c r="P284" s="260">
        <f t="shared" si="265"/>
        <v>25760.78942589528</v>
      </c>
      <c r="Q284" s="212"/>
      <c r="R284" s="260">
        <f t="shared" si="266"/>
        <v>66105.413236752167</v>
      </c>
      <c r="S284" s="212"/>
      <c r="T284" s="260">
        <f t="shared" si="267"/>
        <v>20620.585503326849</v>
      </c>
      <c r="U284" s="212"/>
      <c r="V284" s="260">
        <f t="shared" si="268"/>
        <v>1554.0151393811539</v>
      </c>
      <c r="W284" s="212"/>
      <c r="X284" s="260">
        <f t="shared" si="269"/>
        <v>1912.6340176998817</v>
      </c>
      <c r="Y284" s="212"/>
      <c r="Z284" s="175"/>
      <c r="AC284" s="216" t="s">
        <v>740</v>
      </c>
      <c r="AE284" s="239">
        <f t="shared" si="279"/>
        <v>1</v>
      </c>
      <c r="AG284" s="145">
        <f t="shared" si="280"/>
        <v>597698.13053121301</v>
      </c>
      <c r="AI284" s="262">
        <f t="shared" si="270"/>
        <v>594231.48137413198</v>
      </c>
      <c r="AJ284" s="262"/>
      <c r="AK284" s="262">
        <f t="shared" si="271"/>
        <v>0</v>
      </c>
      <c r="AL284" s="262"/>
      <c r="AM284" s="262">
        <f t="shared" si="272"/>
        <v>0</v>
      </c>
      <c r="AN284" s="262"/>
      <c r="AO284" s="262">
        <f t="shared" si="273"/>
        <v>0</v>
      </c>
      <c r="AP284" s="262"/>
      <c r="AQ284" s="262">
        <f t="shared" si="274"/>
        <v>0</v>
      </c>
      <c r="AR284" s="262"/>
      <c r="AS284" s="262">
        <f t="shared" si="275"/>
        <v>0</v>
      </c>
      <c r="AT284" s="262"/>
      <c r="AU284" s="262">
        <f t="shared" si="276"/>
        <v>0</v>
      </c>
      <c r="AV284" s="262"/>
      <c r="AW284" s="262">
        <f t="shared" si="277"/>
        <v>1554.0151393811539</v>
      </c>
      <c r="AX284" s="262"/>
      <c r="AY284" s="262">
        <f t="shared" si="278"/>
        <v>1912.6340176998817</v>
      </c>
      <c r="BA284" s="175"/>
      <c r="BB284" s="145"/>
      <c r="BC284" s="145"/>
      <c r="BD284" s="145"/>
    </row>
    <row r="285" spans="1:56">
      <c r="A285" s="514"/>
      <c r="B285" s="515"/>
      <c r="D285" s="488">
        <v>306</v>
      </c>
      <c r="F285" s="216" t="s">
        <v>596</v>
      </c>
      <c r="H285" s="144">
        <v>2</v>
      </c>
      <c r="J285" s="312">
        <v>6964539.8717343044</v>
      </c>
      <c r="K285" s="146"/>
      <c r="L285" s="260">
        <f t="shared" si="263"/>
        <v>3533111.0769308126</v>
      </c>
      <c r="M285" s="212"/>
      <c r="N285" s="260">
        <f t="shared" si="264"/>
        <v>2168757.7160580624</v>
      </c>
      <c r="O285" s="212"/>
      <c r="P285" s="260">
        <f t="shared" si="265"/>
        <v>279278.04885654565</v>
      </c>
      <c r="Q285" s="212"/>
      <c r="R285" s="260">
        <f t="shared" si="266"/>
        <v>735455.4104551425</v>
      </c>
      <c r="S285" s="212"/>
      <c r="T285" s="260">
        <f t="shared" si="267"/>
        <v>223561.72988267115</v>
      </c>
      <c r="U285" s="212"/>
      <c r="V285" s="260">
        <f t="shared" si="268"/>
        <v>11143.263794774888</v>
      </c>
      <c r="W285" s="212"/>
      <c r="X285" s="260">
        <f t="shared" si="269"/>
        <v>13232.625756295178</v>
      </c>
      <c r="Y285" s="212"/>
      <c r="Z285" s="175"/>
      <c r="AC285" s="216" t="s">
        <v>596</v>
      </c>
      <c r="AE285" s="239">
        <f t="shared" si="279"/>
        <v>2</v>
      </c>
      <c r="AG285" s="145">
        <f t="shared" si="280"/>
        <v>6964539.8717343044</v>
      </c>
      <c r="AI285" s="262">
        <f t="shared" si="270"/>
        <v>4196831.7267070916</v>
      </c>
      <c r="AJ285" s="262"/>
      <c r="AK285" s="262">
        <f t="shared" si="271"/>
        <v>2743332.2554761423</v>
      </c>
      <c r="AL285" s="262"/>
      <c r="AM285" s="262">
        <f t="shared" si="272"/>
        <v>0</v>
      </c>
      <c r="AN285" s="262"/>
      <c r="AO285" s="262">
        <f t="shared" si="273"/>
        <v>0</v>
      </c>
      <c r="AP285" s="262"/>
      <c r="AQ285" s="262">
        <f t="shared" si="274"/>
        <v>0</v>
      </c>
      <c r="AR285" s="262"/>
      <c r="AS285" s="262">
        <f t="shared" si="275"/>
        <v>0</v>
      </c>
      <c r="AT285" s="262"/>
      <c r="AU285" s="262">
        <f t="shared" si="276"/>
        <v>0</v>
      </c>
      <c r="AV285" s="262"/>
      <c r="AW285" s="262">
        <f t="shared" si="277"/>
        <v>11143.263794774888</v>
      </c>
      <c r="AX285" s="262"/>
      <c r="AY285" s="262">
        <f t="shared" si="278"/>
        <v>13232.625756295178</v>
      </c>
      <c r="BA285" s="175"/>
      <c r="BB285" s="145"/>
      <c r="BC285" s="145"/>
      <c r="BD285" s="145"/>
    </row>
    <row r="286" spans="1:56">
      <c r="A286" s="514"/>
      <c r="B286" s="515"/>
      <c r="D286" s="488">
        <v>309</v>
      </c>
      <c r="F286" s="216" t="s">
        <v>598</v>
      </c>
      <c r="H286" s="144">
        <v>2</v>
      </c>
      <c r="J286" s="312">
        <v>24631165.925660156</v>
      </c>
      <c r="K286" s="146"/>
      <c r="L286" s="260">
        <f t="shared" si="263"/>
        <v>12495390.474087397</v>
      </c>
      <c r="M286" s="212"/>
      <c r="N286" s="260">
        <f t="shared" si="264"/>
        <v>7670145.0692505725</v>
      </c>
      <c r="O286" s="212"/>
      <c r="P286" s="260">
        <f t="shared" si="265"/>
        <v>987709.75361897238</v>
      </c>
      <c r="Q286" s="212"/>
      <c r="R286" s="260">
        <f t="shared" si="266"/>
        <v>2601051.1217497126</v>
      </c>
      <c r="S286" s="212"/>
      <c r="T286" s="260">
        <f t="shared" si="267"/>
        <v>790660.42621369089</v>
      </c>
      <c r="U286" s="212"/>
      <c r="V286" s="260">
        <f t="shared" si="268"/>
        <v>39409.865481056251</v>
      </c>
      <c r="W286" s="212"/>
      <c r="X286" s="260">
        <f t="shared" si="269"/>
        <v>46799.215258754295</v>
      </c>
      <c r="Y286" s="212"/>
      <c r="Z286" s="175"/>
      <c r="AC286" s="216" t="s">
        <v>598</v>
      </c>
      <c r="AE286" s="239">
        <f t="shared" si="279"/>
        <v>2</v>
      </c>
      <c r="AG286" s="145">
        <f t="shared" si="280"/>
        <v>24631165.925660156</v>
      </c>
      <c r="AI286" s="262">
        <f t="shared" si="270"/>
        <v>14842740.586802809</v>
      </c>
      <c r="AJ286" s="262"/>
      <c r="AK286" s="262">
        <f t="shared" si="271"/>
        <v>9702216.2581175342</v>
      </c>
      <c r="AL286" s="262"/>
      <c r="AM286" s="262">
        <f t="shared" si="272"/>
        <v>0</v>
      </c>
      <c r="AN286" s="262"/>
      <c r="AO286" s="262">
        <f t="shared" si="273"/>
        <v>0</v>
      </c>
      <c r="AP286" s="262"/>
      <c r="AQ286" s="262">
        <f t="shared" si="274"/>
        <v>0</v>
      </c>
      <c r="AR286" s="262"/>
      <c r="AS286" s="262">
        <f t="shared" si="275"/>
        <v>0</v>
      </c>
      <c r="AT286" s="262"/>
      <c r="AU286" s="262">
        <f t="shared" si="276"/>
        <v>0</v>
      </c>
      <c r="AV286" s="262"/>
      <c r="AW286" s="262">
        <f t="shared" si="277"/>
        <v>39409.865481056251</v>
      </c>
      <c r="AX286" s="262"/>
      <c r="AY286" s="262">
        <f t="shared" si="278"/>
        <v>46799.215258754295</v>
      </c>
      <c r="BA286" s="175"/>
      <c r="BB286" s="145"/>
      <c r="BC286" s="145"/>
      <c r="BD286" s="145"/>
    </row>
    <row r="287" spans="1:56">
      <c r="A287" s="514"/>
      <c r="B287" s="515"/>
      <c r="D287" s="488">
        <v>311.52</v>
      </c>
      <c r="F287" s="216" t="s">
        <v>744</v>
      </c>
      <c r="H287" s="144">
        <v>2</v>
      </c>
      <c r="J287" s="312">
        <v>13560794.519267326</v>
      </c>
      <c r="K287" s="146"/>
      <c r="L287" s="260">
        <f t="shared" si="263"/>
        <v>6879391.0596243143</v>
      </c>
      <c r="M287" s="212"/>
      <c r="N287" s="260">
        <f t="shared" si="264"/>
        <v>4222831.4132998455</v>
      </c>
      <c r="O287" s="212"/>
      <c r="P287" s="260">
        <f t="shared" si="265"/>
        <v>543787.86022261984</v>
      </c>
      <c r="Q287" s="212"/>
      <c r="R287" s="260">
        <f t="shared" si="266"/>
        <v>1432019.9012346296</v>
      </c>
      <c r="S287" s="212"/>
      <c r="T287" s="260">
        <f t="shared" si="267"/>
        <v>435301.50406848115</v>
      </c>
      <c r="U287" s="212"/>
      <c r="V287" s="260">
        <f t="shared" si="268"/>
        <v>21697.271230827722</v>
      </c>
      <c r="W287" s="212"/>
      <c r="X287" s="260">
        <f t="shared" si="269"/>
        <v>25765.509586607921</v>
      </c>
      <c r="Y287" s="212"/>
      <c r="Z287" s="175"/>
      <c r="AC287" s="216" t="s">
        <v>744</v>
      </c>
      <c r="AE287" s="239">
        <f t="shared" si="279"/>
        <v>2</v>
      </c>
      <c r="AG287" s="145">
        <f t="shared" si="280"/>
        <v>13560794.519267326</v>
      </c>
      <c r="AI287" s="262">
        <f t="shared" si="270"/>
        <v>8171734.7773104897</v>
      </c>
      <c r="AJ287" s="262"/>
      <c r="AK287" s="262">
        <f t="shared" si="271"/>
        <v>5341596.9611393996</v>
      </c>
      <c r="AL287" s="262"/>
      <c r="AM287" s="262">
        <f t="shared" si="272"/>
        <v>0</v>
      </c>
      <c r="AN287" s="262"/>
      <c r="AO287" s="262">
        <f t="shared" si="273"/>
        <v>0</v>
      </c>
      <c r="AP287" s="262"/>
      <c r="AQ287" s="262">
        <f t="shared" si="274"/>
        <v>0</v>
      </c>
      <c r="AR287" s="262"/>
      <c r="AS287" s="262">
        <f t="shared" si="275"/>
        <v>0</v>
      </c>
      <c r="AT287" s="262"/>
      <c r="AU287" s="262">
        <f t="shared" si="276"/>
        <v>0</v>
      </c>
      <c r="AV287" s="262"/>
      <c r="AW287" s="262">
        <f t="shared" si="277"/>
        <v>21697.271230827722</v>
      </c>
      <c r="AX287" s="262"/>
      <c r="AY287" s="262">
        <f t="shared" si="278"/>
        <v>25765.509586607921</v>
      </c>
      <c r="BA287" s="175"/>
      <c r="BB287" s="145"/>
      <c r="BC287" s="145"/>
      <c r="BD287" s="145"/>
    </row>
    <row r="288" spans="1:56">
      <c r="A288" s="514"/>
      <c r="B288" s="515"/>
      <c r="D288" s="488">
        <v>303.3</v>
      </c>
      <c r="F288" s="216" t="s">
        <v>741</v>
      </c>
      <c r="H288" s="144">
        <v>6</v>
      </c>
      <c r="J288" s="312">
        <v>195966.12999999995</v>
      </c>
      <c r="K288" s="146"/>
      <c r="L288" s="260">
        <f t="shared" si="263"/>
        <v>94925.993371999968</v>
      </c>
      <c r="M288" s="212"/>
      <c r="N288" s="260">
        <f t="shared" si="264"/>
        <v>58025.571092999977</v>
      </c>
      <c r="O288" s="212"/>
      <c r="P288" s="260">
        <f t="shared" si="265"/>
        <v>7270.3434229999984</v>
      </c>
      <c r="Q288" s="212"/>
      <c r="R288" s="260">
        <f t="shared" si="266"/>
        <v>18930.328157999993</v>
      </c>
      <c r="S288" s="212"/>
      <c r="T288" s="260">
        <f t="shared" si="267"/>
        <v>4468.0277639999986</v>
      </c>
      <c r="U288" s="212"/>
      <c r="V288" s="260">
        <f t="shared" si="268"/>
        <v>5565.4380919999985</v>
      </c>
      <c r="W288" s="212"/>
      <c r="X288" s="260">
        <f t="shared" si="269"/>
        <v>6780.4280979999976</v>
      </c>
      <c r="Y288" s="212"/>
      <c r="Z288" s="175"/>
      <c r="AC288" s="216" t="s">
        <v>741</v>
      </c>
      <c r="AE288" s="239">
        <f t="shared" si="279"/>
        <v>6</v>
      </c>
      <c r="AG288" s="145">
        <f t="shared" si="280"/>
        <v>195966.12999999995</v>
      </c>
      <c r="AI288" s="262">
        <f t="shared" si="270"/>
        <v>101775.29180672717</v>
      </c>
      <c r="AJ288" s="262"/>
      <c r="AK288" s="262">
        <f t="shared" si="271"/>
        <v>54850.919786999992</v>
      </c>
      <c r="AL288" s="262"/>
      <c r="AM288" s="262">
        <f t="shared" si="272"/>
        <v>26990.916758192794</v>
      </c>
      <c r="AN288" s="262"/>
      <c r="AO288" s="262">
        <f t="shared" si="273"/>
        <v>0</v>
      </c>
      <c r="AP288" s="262"/>
      <c r="AQ288" s="262">
        <f t="shared" si="274"/>
        <v>0</v>
      </c>
      <c r="AR288" s="262"/>
      <c r="AS288" s="262">
        <f t="shared" si="275"/>
        <v>0</v>
      </c>
      <c r="AT288" s="262"/>
      <c r="AU288" s="262">
        <f t="shared" si="276"/>
        <v>0</v>
      </c>
      <c r="AV288" s="262"/>
      <c r="AW288" s="262">
        <f t="shared" si="277"/>
        <v>5575.205043919198</v>
      </c>
      <c r="AX288" s="262"/>
      <c r="AY288" s="262">
        <f t="shared" si="278"/>
        <v>6773.7966041607979</v>
      </c>
      <c r="BA288" s="175"/>
      <c r="BB288" s="145"/>
      <c r="BC288" s="145"/>
      <c r="BD288" s="145"/>
    </row>
    <row r="289" spans="1:56">
      <c r="A289" s="514"/>
      <c r="B289" s="515"/>
      <c r="D289" s="488">
        <v>304.2</v>
      </c>
      <c r="F289" s="216" t="s">
        <v>599</v>
      </c>
      <c r="H289" s="144">
        <v>6</v>
      </c>
      <c r="J289" s="312">
        <v>7238577.4156801673</v>
      </c>
      <c r="K289" s="146"/>
      <c r="L289" s="260">
        <f t="shared" si="263"/>
        <v>3506366.9001554726</v>
      </c>
      <c r="M289" s="212"/>
      <c r="N289" s="260">
        <f t="shared" si="264"/>
        <v>2143342.7727828971</v>
      </c>
      <c r="O289" s="212"/>
      <c r="P289" s="260">
        <f t="shared" si="265"/>
        <v>268551.22212173423</v>
      </c>
      <c r="Q289" s="212"/>
      <c r="R289" s="260">
        <f t="shared" si="266"/>
        <v>699246.57835470408</v>
      </c>
      <c r="S289" s="212"/>
      <c r="T289" s="260">
        <f t="shared" si="267"/>
        <v>165039.56507750781</v>
      </c>
      <c r="U289" s="212"/>
      <c r="V289" s="260">
        <f t="shared" si="268"/>
        <v>205575.59860531677</v>
      </c>
      <c r="W289" s="212"/>
      <c r="X289" s="260">
        <f t="shared" si="269"/>
        <v>250454.77858253379</v>
      </c>
      <c r="Y289" s="212"/>
      <c r="Z289" s="175"/>
      <c r="AC289" s="216" t="s">
        <v>599</v>
      </c>
      <c r="AE289" s="239">
        <f t="shared" si="279"/>
        <v>6</v>
      </c>
      <c r="AG289" s="145">
        <f t="shared" si="280"/>
        <v>7238577.4156801673</v>
      </c>
      <c r="AI289" s="262">
        <f t="shared" si="270"/>
        <v>3759365.6043849736</v>
      </c>
      <c r="AJ289" s="262"/>
      <c r="AK289" s="262">
        <f t="shared" si="271"/>
        <v>2026077.8186488792</v>
      </c>
      <c r="AL289" s="262"/>
      <c r="AM289" s="262">
        <f t="shared" si="272"/>
        <v>996987.79821981362</v>
      </c>
      <c r="AN289" s="262"/>
      <c r="AO289" s="262">
        <f t="shared" si="273"/>
        <v>0</v>
      </c>
      <c r="AP289" s="262"/>
      <c r="AQ289" s="262">
        <f t="shared" si="274"/>
        <v>0</v>
      </c>
      <c r="AR289" s="262"/>
      <c r="AS289" s="262">
        <f t="shared" si="275"/>
        <v>0</v>
      </c>
      <c r="AT289" s="262"/>
      <c r="AU289" s="262">
        <f t="shared" si="276"/>
        <v>0</v>
      </c>
      <c r="AV289" s="262"/>
      <c r="AW289" s="262">
        <f t="shared" si="277"/>
        <v>205936.36930371422</v>
      </c>
      <c r="AX289" s="262"/>
      <c r="AY289" s="262">
        <f t="shared" si="278"/>
        <v>250209.82512278715</v>
      </c>
      <c r="BA289" s="175"/>
      <c r="BB289" s="145"/>
      <c r="BC289" s="145"/>
      <c r="BD289" s="145"/>
    </row>
    <row r="290" spans="1:56">
      <c r="A290" s="514"/>
      <c r="B290" s="515"/>
      <c r="D290" s="488">
        <v>310</v>
      </c>
      <c r="F290" s="216" t="s">
        <v>600</v>
      </c>
      <c r="H290" s="144">
        <v>6</v>
      </c>
      <c r="J290" s="312">
        <v>2807784.1896296358</v>
      </c>
      <c r="K290" s="146"/>
      <c r="L290" s="260">
        <f t="shared" si="263"/>
        <v>1360090.6614565954</v>
      </c>
      <c r="M290" s="212"/>
      <c r="N290" s="260">
        <f t="shared" si="264"/>
        <v>831384.89854933508</v>
      </c>
      <c r="O290" s="212"/>
      <c r="P290" s="260">
        <f t="shared" si="265"/>
        <v>104168.79343525949</v>
      </c>
      <c r="Q290" s="212"/>
      <c r="R290" s="260">
        <f t="shared" si="266"/>
        <v>271231.9527182228</v>
      </c>
      <c r="S290" s="212"/>
      <c r="T290" s="260">
        <f t="shared" si="267"/>
        <v>64017.479523555696</v>
      </c>
      <c r="U290" s="212"/>
      <c r="V290" s="260">
        <f t="shared" si="268"/>
        <v>79741.070985481667</v>
      </c>
      <c r="W290" s="212"/>
      <c r="X290" s="260">
        <f t="shared" si="269"/>
        <v>97149.332961185399</v>
      </c>
      <c r="Y290" s="212"/>
      <c r="Z290" s="175"/>
      <c r="AC290" s="216" t="s">
        <v>600</v>
      </c>
      <c r="AE290" s="239">
        <f t="shared" si="279"/>
        <v>6</v>
      </c>
      <c r="AG290" s="145">
        <f t="shared" si="280"/>
        <v>2807784.1896296358</v>
      </c>
      <c r="AI290" s="262">
        <f t="shared" si="270"/>
        <v>1458226.7620933843</v>
      </c>
      <c r="AJ290" s="262"/>
      <c r="AK290" s="262">
        <f t="shared" si="271"/>
        <v>785898.79467733519</v>
      </c>
      <c r="AL290" s="262"/>
      <c r="AM290" s="262">
        <f t="shared" si="272"/>
        <v>386723.30436521518</v>
      </c>
      <c r="AN290" s="262"/>
      <c r="AO290" s="262">
        <f t="shared" si="273"/>
        <v>0</v>
      </c>
      <c r="AP290" s="262"/>
      <c r="AQ290" s="262">
        <f t="shared" si="274"/>
        <v>0</v>
      </c>
      <c r="AR290" s="262"/>
      <c r="AS290" s="262">
        <f t="shared" si="275"/>
        <v>0</v>
      </c>
      <c r="AT290" s="262"/>
      <c r="AU290" s="262">
        <f t="shared" si="276"/>
        <v>0</v>
      </c>
      <c r="AV290" s="262"/>
      <c r="AW290" s="262">
        <f t="shared" si="277"/>
        <v>79881.010949492789</v>
      </c>
      <c r="AX290" s="262"/>
      <c r="AY290" s="262">
        <f t="shared" si="278"/>
        <v>97054.31754420833</v>
      </c>
      <c r="BA290" s="175"/>
      <c r="BB290" s="145"/>
      <c r="BC290" s="145"/>
      <c r="BD290" s="145"/>
    </row>
    <row r="291" spans="1:56">
      <c r="A291" s="514"/>
      <c r="B291" s="515"/>
      <c r="D291" s="488">
        <v>311.2</v>
      </c>
      <c r="F291" s="216" t="s">
        <v>601</v>
      </c>
      <c r="H291" s="144">
        <v>6</v>
      </c>
      <c r="J291" s="312">
        <v>6492956.4357273271</v>
      </c>
      <c r="K291" s="146"/>
      <c r="L291" s="260">
        <f t="shared" si="263"/>
        <v>3145188.097466317</v>
      </c>
      <c r="M291" s="212"/>
      <c r="N291" s="260">
        <f t="shared" si="264"/>
        <v>1922564.4006188614</v>
      </c>
      <c r="O291" s="212"/>
      <c r="P291" s="260">
        <f t="shared" si="265"/>
        <v>240888.68376548385</v>
      </c>
      <c r="Q291" s="212"/>
      <c r="R291" s="260">
        <f t="shared" si="266"/>
        <v>627219.59169125976</v>
      </c>
      <c r="S291" s="212"/>
      <c r="T291" s="260">
        <f t="shared" si="267"/>
        <v>148039.40673458306</v>
      </c>
      <c r="U291" s="212"/>
      <c r="V291" s="260">
        <f t="shared" si="268"/>
        <v>184399.9627746561</v>
      </c>
      <c r="W291" s="212"/>
      <c r="X291" s="260">
        <f t="shared" si="269"/>
        <v>224656.29267616553</v>
      </c>
      <c r="Y291" s="212"/>
      <c r="Z291" s="175"/>
      <c r="AC291" s="216" t="s">
        <v>601</v>
      </c>
      <c r="AE291" s="239">
        <f t="shared" si="279"/>
        <v>6</v>
      </c>
      <c r="AG291" s="145">
        <f t="shared" si="280"/>
        <v>6492956.4357273271</v>
      </c>
      <c r="AI291" s="262">
        <f t="shared" si="270"/>
        <v>3372126.2747522546</v>
      </c>
      <c r="AJ291" s="262"/>
      <c r="AK291" s="262">
        <f t="shared" si="271"/>
        <v>1817378.5063600792</v>
      </c>
      <c r="AL291" s="262"/>
      <c r="AM291" s="262">
        <f t="shared" si="272"/>
        <v>894291.51186120021</v>
      </c>
      <c r="AN291" s="262"/>
      <c r="AO291" s="262">
        <f t="shared" si="273"/>
        <v>0</v>
      </c>
      <c r="AP291" s="262"/>
      <c r="AQ291" s="262">
        <f t="shared" si="274"/>
        <v>0</v>
      </c>
      <c r="AR291" s="262"/>
      <c r="AS291" s="262">
        <f t="shared" si="275"/>
        <v>0</v>
      </c>
      <c r="AT291" s="262"/>
      <c r="AU291" s="262">
        <f t="shared" si="276"/>
        <v>0</v>
      </c>
      <c r="AV291" s="262"/>
      <c r="AW291" s="262">
        <f t="shared" si="277"/>
        <v>184723.57172341272</v>
      </c>
      <c r="AX291" s="262"/>
      <c r="AY291" s="262">
        <f t="shared" si="278"/>
        <v>224436.5710303805</v>
      </c>
      <c r="BA291" s="175"/>
      <c r="BB291" s="145"/>
      <c r="BC291" s="145"/>
      <c r="BD291" s="145"/>
    </row>
    <row r="292" spans="1:56">
      <c r="A292" s="551"/>
      <c r="B292" s="552"/>
      <c r="D292" s="488">
        <v>311.2</v>
      </c>
      <c r="F292" s="216" t="s">
        <v>602</v>
      </c>
      <c r="H292" s="144">
        <v>6</v>
      </c>
      <c r="J292" s="312">
        <v>302306.28345537052</v>
      </c>
      <c r="K292" s="146"/>
      <c r="L292" s="260">
        <f t="shared" si="263"/>
        <v>146437.16370578145</v>
      </c>
      <c r="M292" s="212"/>
      <c r="N292" s="260">
        <f t="shared" si="264"/>
        <v>89512.890531135199</v>
      </c>
      <c r="O292" s="212"/>
      <c r="P292" s="260">
        <f t="shared" si="265"/>
        <v>11215.563116194247</v>
      </c>
      <c r="Q292" s="212"/>
      <c r="R292" s="260">
        <f t="shared" si="266"/>
        <v>29202.786981788788</v>
      </c>
      <c r="S292" s="212"/>
      <c r="T292" s="260">
        <f t="shared" si="267"/>
        <v>6892.5832627824484</v>
      </c>
      <c r="U292" s="212"/>
      <c r="V292" s="260">
        <f t="shared" si="268"/>
        <v>8585.4984501325234</v>
      </c>
      <c r="W292" s="212"/>
      <c r="X292" s="260">
        <f t="shared" si="269"/>
        <v>10459.79740755582</v>
      </c>
      <c r="Y292" s="212"/>
      <c r="Z292" s="175"/>
      <c r="AC292" s="216" t="s">
        <v>602</v>
      </c>
      <c r="AE292" s="239">
        <f t="shared" si="279"/>
        <v>6</v>
      </c>
      <c r="AG292" s="145">
        <f t="shared" si="280"/>
        <v>302306.28345537052</v>
      </c>
      <c r="AI292" s="262">
        <f t="shared" si="270"/>
        <v>157003.20363359485</v>
      </c>
      <c r="AJ292" s="262"/>
      <c r="AK292" s="262">
        <f t="shared" si="271"/>
        <v>84615.528739158224</v>
      </c>
      <c r="AL292" s="262"/>
      <c r="AM292" s="262">
        <f t="shared" si="272"/>
        <v>41637.418324393831</v>
      </c>
      <c r="AN292" s="262"/>
      <c r="AO292" s="262">
        <f t="shared" si="273"/>
        <v>0</v>
      </c>
      <c r="AP292" s="262"/>
      <c r="AQ292" s="262">
        <f t="shared" si="274"/>
        <v>0</v>
      </c>
      <c r="AR292" s="262"/>
      <c r="AS292" s="262">
        <f t="shared" si="275"/>
        <v>0</v>
      </c>
      <c r="AT292" s="262"/>
      <c r="AU292" s="262">
        <f t="shared" si="276"/>
        <v>0</v>
      </c>
      <c r="AV292" s="262"/>
      <c r="AW292" s="262">
        <f t="shared" si="277"/>
        <v>8600.5653952999382</v>
      </c>
      <c r="AX292" s="262"/>
      <c r="AY292" s="262">
        <f t="shared" si="278"/>
        <v>10449.56736292369</v>
      </c>
      <c r="BA292" s="175"/>
      <c r="BB292" s="145"/>
      <c r="BC292" s="145"/>
      <c r="BD292" s="145"/>
    </row>
    <row r="293" spans="1:56">
      <c r="A293" s="551"/>
      <c r="B293" s="552"/>
      <c r="D293" s="488">
        <v>311.39999999999998</v>
      </c>
      <c r="F293" s="216" t="s">
        <v>742</v>
      </c>
      <c r="H293" s="144">
        <v>6</v>
      </c>
      <c r="J293" s="312">
        <v>-1354.6175519999888</v>
      </c>
      <c r="K293" s="146"/>
      <c r="L293" s="260">
        <f t="shared" si="263"/>
        <v>-656.17674218879449</v>
      </c>
      <c r="M293" s="212"/>
      <c r="N293" s="260">
        <f t="shared" si="264"/>
        <v>-401.10225714719667</v>
      </c>
      <c r="O293" s="212"/>
      <c r="P293" s="260">
        <f t="shared" si="265"/>
        <v>-50.256311179199585</v>
      </c>
      <c r="Q293" s="212"/>
      <c r="R293" s="260">
        <f t="shared" si="266"/>
        <v>-130.8560555231989</v>
      </c>
      <c r="S293" s="212"/>
      <c r="T293" s="260">
        <f t="shared" si="267"/>
        <v>-30.885280185599747</v>
      </c>
      <c r="U293" s="212"/>
      <c r="V293" s="260">
        <f t="shared" si="268"/>
        <v>-38.47113847679968</v>
      </c>
      <c r="W293" s="212"/>
      <c r="X293" s="260">
        <f t="shared" si="269"/>
        <v>-46.869767299199609</v>
      </c>
      <c r="Y293" s="212"/>
      <c r="Z293" s="175"/>
      <c r="AC293" s="216" t="s">
        <v>742</v>
      </c>
      <c r="AE293" s="239">
        <f t="shared" si="279"/>
        <v>6</v>
      </c>
      <c r="AG293" s="145">
        <f t="shared" si="280"/>
        <v>-1354.6175519999888</v>
      </c>
      <c r="AI293" s="262">
        <f t="shared" si="270"/>
        <v>-703.52257628046902</v>
      </c>
      <c r="AJ293" s="262"/>
      <c r="AK293" s="262">
        <f t="shared" si="271"/>
        <v>-379.15745280479689</v>
      </c>
      <c r="AL293" s="262"/>
      <c r="AM293" s="262">
        <f t="shared" si="272"/>
        <v>-186.57494325789159</v>
      </c>
      <c r="AN293" s="262"/>
      <c r="AO293" s="262">
        <f t="shared" si="273"/>
        <v>0</v>
      </c>
      <c r="AP293" s="262"/>
      <c r="AQ293" s="262">
        <f t="shared" si="274"/>
        <v>0</v>
      </c>
      <c r="AR293" s="262"/>
      <c r="AS293" s="262">
        <f t="shared" si="275"/>
        <v>0</v>
      </c>
      <c r="AT293" s="262"/>
      <c r="AU293" s="262">
        <f t="shared" si="276"/>
        <v>0</v>
      </c>
      <c r="AV293" s="262"/>
      <c r="AW293" s="262">
        <f t="shared" si="277"/>
        <v>-38.53865261559136</v>
      </c>
      <c r="AX293" s="262"/>
      <c r="AY293" s="262">
        <f t="shared" si="278"/>
        <v>-46.823927041239934</v>
      </c>
      <c r="BA293" s="175"/>
      <c r="BB293" s="145"/>
      <c r="BC293" s="145"/>
      <c r="BD293" s="145"/>
    </row>
    <row r="294" spans="1:56">
      <c r="A294" s="514"/>
      <c r="B294" s="515"/>
      <c r="D294" s="488">
        <v>311.5</v>
      </c>
      <c r="F294" s="216" t="s">
        <v>743</v>
      </c>
      <c r="H294" s="144">
        <v>6</v>
      </c>
      <c r="J294" s="312">
        <v>36.254507044174716</v>
      </c>
      <c r="K294" s="146"/>
      <c r="L294" s="260">
        <f t="shared" si="263"/>
        <v>17.561683212198229</v>
      </c>
      <c r="M294" s="212"/>
      <c r="N294" s="260">
        <f t="shared" si="264"/>
        <v>10.734959535780133</v>
      </c>
      <c r="O294" s="212"/>
      <c r="P294" s="260">
        <f t="shared" si="265"/>
        <v>1.345042211338882</v>
      </c>
      <c r="Q294" s="212"/>
      <c r="R294" s="260">
        <f t="shared" si="266"/>
        <v>3.5021853804672771</v>
      </c>
      <c r="S294" s="212"/>
      <c r="T294" s="260">
        <f t="shared" si="267"/>
        <v>0.82660276060718352</v>
      </c>
      <c r="U294" s="212"/>
      <c r="V294" s="260">
        <f t="shared" si="268"/>
        <v>1.0296280000545619</v>
      </c>
      <c r="W294" s="212"/>
      <c r="X294" s="260">
        <f t="shared" si="269"/>
        <v>1.2544059437284452</v>
      </c>
      <c r="Y294" s="212"/>
      <c r="Z294" s="175"/>
      <c r="AC294" s="216" t="s">
        <v>743</v>
      </c>
      <c r="AE294" s="239">
        <f t="shared" si="279"/>
        <v>6</v>
      </c>
      <c r="AG294" s="145">
        <f t="shared" si="280"/>
        <v>36.254507044174716</v>
      </c>
      <c r="AI294" s="262">
        <f t="shared" si="270"/>
        <v>18.828830439882282</v>
      </c>
      <c r="AJ294" s="262"/>
      <c r="AK294" s="262">
        <f t="shared" si="271"/>
        <v>10.147636521664504</v>
      </c>
      <c r="AL294" s="262"/>
      <c r="AM294" s="262">
        <f t="shared" si="272"/>
        <v>4.9934260667322166</v>
      </c>
      <c r="AN294" s="262"/>
      <c r="AO294" s="262">
        <f t="shared" si="273"/>
        <v>0</v>
      </c>
      <c r="AP294" s="262"/>
      <c r="AQ294" s="262">
        <f t="shared" si="274"/>
        <v>0</v>
      </c>
      <c r="AR294" s="262"/>
      <c r="AS294" s="262">
        <f t="shared" si="275"/>
        <v>0</v>
      </c>
      <c r="AT294" s="262"/>
      <c r="AU294" s="262">
        <f t="shared" si="276"/>
        <v>0</v>
      </c>
      <c r="AV294" s="262"/>
      <c r="AW294" s="262">
        <f t="shared" si="277"/>
        <v>1.0314349246856436</v>
      </c>
      <c r="AX294" s="262"/>
      <c r="AY294" s="262">
        <f t="shared" si="278"/>
        <v>1.2531790912100702</v>
      </c>
      <c r="BA294" s="175"/>
      <c r="BB294" s="145"/>
      <c r="BC294" s="145"/>
      <c r="BD294" s="145"/>
    </row>
    <row r="295" spans="1:56">
      <c r="A295" s="551"/>
      <c r="B295" s="552"/>
      <c r="D295" s="488">
        <v>303.39999999999998</v>
      </c>
      <c r="F295" s="216" t="s">
        <v>745</v>
      </c>
      <c r="H295" s="144">
        <v>2</v>
      </c>
      <c r="J295" s="312">
        <v>800183.34</v>
      </c>
      <c r="K295" s="146"/>
      <c r="L295" s="260">
        <f t="shared" si="263"/>
        <v>405933.00838199997</v>
      </c>
      <c r="M295" s="212"/>
      <c r="N295" s="260">
        <f t="shared" si="264"/>
        <v>249177.092076</v>
      </c>
      <c r="O295" s="212"/>
      <c r="P295" s="260">
        <f t="shared" si="265"/>
        <v>32087.351934000002</v>
      </c>
      <c r="Q295" s="212"/>
      <c r="R295" s="260">
        <f t="shared" si="266"/>
        <v>84499.360703999992</v>
      </c>
      <c r="S295" s="212"/>
      <c r="T295" s="260">
        <f t="shared" si="267"/>
        <v>25685.885213999994</v>
      </c>
      <c r="U295" s="212"/>
      <c r="V295" s="260">
        <f t="shared" si="268"/>
        <v>1280.2933439999999</v>
      </c>
      <c r="W295" s="212"/>
      <c r="X295" s="260">
        <f t="shared" si="269"/>
        <v>1520.348346</v>
      </c>
      <c r="Y295" s="212"/>
      <c r="Z295" s="175"/>
      <c r="AC295" s="216" t="s">
        <v>745</v>
      </c>
      <c r="AE295" s="239">
        <f t="shared" si="279"/>
        <v>2</v>
      </c>
      <c r="AG295" s="145">
        <f t="shared" si="280"/>
        <v>800183.34</v>
      </c>
      <c r="AI295" s="262">
        <f t="shared" si="270"/>
        <v>482190.48068399989</v>
      </c>
      <c r="AJ295" s="262"/>
      <c r="AK295" s="262">
        <f t="shared" si="271"/>
        <v>315192.21762599994</v>
      </c>
      <c r="AL295" s="262"/>
      <c r="AM295" s="262">
        <f t="shared" si="272"/>
        <v>0</v>
      </c>
      <c r="AN295" s="262"/>
      <c r="AO295" s="262">
        <f t="shared" si="273"/>
        <v>0</v>
      </c>
      <c r="AP295" s="262"/>
      <c r="AQ295" s="262">
        <f t="shared" si="274"/>
        <v>0</v>
      </c>
      <c r="AR295" s="262"/>
      <c r="AS295" s="262">
        <f t="shared" si="275"/>
        <v>0</v>
      </c>
      <c r="AT295" s="262"/>
      <c r="AU295" s="262">
        <f t="shared" si="276"/>
        <v>0</v>
      </c>
      <c r="AV295" s="262"/>
      <c r="AW295" s="262">
        <f t="shared" si="277"/>
        <v>1280.2933439999999</v>
      </c>
      <c r="AX295" s="262"/>
      <c r="AY295" s="262">
        <f t="shared" si="278"/>
        <v>1520.348346</v>
      </c>
      <c r="BA295" s="175"/>
      <c r="BB295" s="145"/>
      <c r="BC295" s="145"/>
      <c r="BD295" s="145"/>
    </row>
    <row r="296" spans="1:56">
      <c r="A296" s="514"/>
      <c r="B296" s="515"/>
      <c r="D296" s="488">
        <v>304.3</v>
      </c>
      <c r="F296" s="216" t="s">
        <v>604</v>
      </c>
      <c r="H296" s="144">
        <v>2</v>
      </c>
      <c r="J296" s="312">
        <v>22710222.980000786</v>
      </c>
      <c r="K296" s="146"/>
      <c r="L296" s="260">
        <f t="shared" si="263"/>
        <v>11520896.117754398</v>
      </c>
      <c r="M296" s="212"/>
      <c r="N296" s="260">
        <f t="shared" si="264"/>
        <v>7071963.4359722454</v>
      </c>
      <c r="O296" s="212"/>
      <c r="P296" s="260">
        <f t="shared" si="265"/>
        <v>910679.94149803161</v>
      </c>
      <c r="Q296" s="212"/>
      <c r="R296" s="260">
        <f t="shared" si="266"/>
        <v>2398199.5466880831</v>
      </c>
      <c r="S296" s="212"/>
      <c r="T296" s="260">
        <f t="shared" si="267"/>
        <v>728998.15765802516</v>
      </c>
      <c r="U296" s="212"/>
      <c r="V296" s="260">
        <f t="shared" si="268"/>
        <v>36336.356768001257</v>
      </c>
      <c r="W296" s="212"/>
      <c r="X296" s="260">
        <f t="shared" si="269"/>
        <v>43149.423662001493</v>
      </c>
      <c r="Y296" s="212"/>
      <c r="Z296" s="175"/>
      <c r="AC296" s="216" t="s">
        <v>604</v>
      </c>
      <c r="AE296" s="239">
        <f t="shared" si="279"/>
        <v>2</v>
      </c>
      <c r="AG296" s="145">
        <f t="shared" si="280"/>
        <v>22710222.980000786</v>
      </c>
      <c r="AI296" s="262">
        <f t="shared" si="270"/>
        <v>13685180.367748473</v>
      </c>
      <c r="AJ296" s="262"/>
      <c r="AK296" s="262">
        <f t="shared" si="271"/>
        <v>8945556.8318223096</v>
      </c>
      <c r="AL296" s="262"/>
      <c r="AM296" s="262">
        <f t="shared" si="272"/>
        <v>0</v>
      </c>
      <c r="AN296" s="262"/>
      <c r="AO296" s="262">
        <f t="shared" si="273"/>
        <v>0</v>
      </c>
      <c r="AP296" s="262"/>
      <c r="AQ296" s="262">
        <f t="shared" si="274"/>
        <v>0</v>
      </c>
      <c r="AR296" s="262"/>
      <c r="AS296" s="262">
        <f t="shared" si="275"/>
        <v>0</v>
      </c>
      <c r="AT296" s="262"/>
      <c r="AU296" s="262">
        <f t="shared" si="276"/>
        <v>0</v>
      </c>
      <c r="AV296" s="262"/>
      <c r="AW296" s="262">
        <f t="shared" si="277"/>
        <v>36336.356768001257</v>
      </c>
      <c r="AX296" s="262"/>
      <c r="AY296" s="262">
        <f t="shared" si="278"/>
        <v>43149.423662001493</v>
      </c>
      <c r="BA296" s="175"/>
      <c r="BB296" s="145"/>
      <c r="BC296" s="145"/>
      <c r="BD296" s="145"/>
    </row>
    <row r="297" spans="1:56">
      <c r="A297" s="514"/>
      <c r="B297" s="515"/>
      <c r="D297" s="488">
        <v>311.52999999999997</v>
      </c>
      <c r="F297" s="216" t="s">
        <v>749</v>
      </c>
      <c r="H297" s="144">
        <v>2</v>
      </c>
      <c r="J297" s="312">
        <v>242.36999999999992</v>
      </c>
      <c r="K297" s="146"/>
      <c r="L297" s="260">
        <f t="shared" si="263"/>
        <v>122.95430099999996</v>
      </c>
      <c r="M297" s="212"/>
      <c r="N297" s="260">
        <f t="shared" si="264"/>
        <v>75.474017999999973</v>
      </c>
      <c r="O297" s="212"/>
      <c r="P297" s="260">
        <f t="shared" si="265"/>
        <v>9.7190369999999984</v>
      </c>
      <c r="Q297" s="212"/>
      <c r="R297" s="260">
        <f t="shared" si="266"/>
        <v>25.594271999999993</v>
      </c>
      <c r="S297" s="212"/>
      <c r="T297" s="260">
        <f t="shared" si="267"/>
        <v>7.7800769999999968</v>
      </c>
      <c r="U297" s="212"/>
      <c r="V297" s="260">
        <f t="shared" si="268"/>
        <v>0.38779199999999991</v>
      </c>
      <c r="W297" s="212"/>
      <c r="X297" s="260">
        <f t="shared" si="269"/>
        <v>0.46050299999999983</v>
      </c>
      <c r="Y297" s="212"/>
      <c r="Z297" s="175"/>
      <c r="AC297" s="216" t="s">
        <v>749</v>
      </c>
      <c r="AE297" s="239">
        <f t="shared" si="279"/>
        <v>2</v>
      </c>
      <c r="AG297" s="145">
        <f t="shared" si="280"/>
        <v>242.36999999999992</v>
      </c>
      <c r="AI297" s="262">
        <f t="shared" si="270"/>
        <v>146.05216199999992</v>
      </c>
      <c r="AJ297" s="262"/>
      <c r="AK297" s="262">
        <f t="shared" si="271"/>
        <v>95.469542999999959</v>
      </c>
      <c r="AL297" s="262"/>
      <c r="AM297" s="262">
        <f t="shared" si="272"/>
        <v>0</v>
      </c>
      <c r="AN297" s="262"/>
      <c r="AO297" s="262">
        <f t="shared" si="273"/>
        <v>0</v>
      </c>
      <c r="AP297" s="262"/>
      <c r="AQ297" s="262">
        <f t="shared" si="274"/>
        <v>0</v>
      </c>
      <c r="AR297" s="262"/>
      <c r="AS297" s="262">
        <f t="shared" si="275"/>
        <v>0</v>
      </c>
      <c r="AT297" s="262"/>
      <c r="AU297" s="262">
        <f t="shared" si="276"/>
        <v>0</v>
      </c>
      <c r="AV297" s="262"/>
      <c r="AW297" s="262">
        <f t="shared" si="277"/>
        <v>0.38779199999999991</v>
      </c>
      <c r="AX297" s="262"/>
      <c r="AY297" s="262">
        <f t="shared" si="278"/>
        <v>0.46050299999999983</v>
      </c>
      <c r="BA297" s="175"/>
      <c r="BB297" s="145"/>
      <c r="BC297" s="145"/>
      <c r="BD297" s="145"/>
    </row>
    <row r="298" spans="1:56">
      <c r="A298" s="514"/>
      <c r="B298" s="515"/>
      <c r="D298" s="488">
        <v>320.10000000000002</v>
      </c>
      <c r="F298" s="216" t="s">
        <v>746</v>
      </c>
      <c r="H298" s="144">
        <v>2</v>
      </c>
      <c r="J298" s="312">
        <v>35290141.547463223</v>
      </c>
      <c r="K298" s="146"/>
      <c r="L298" s="260">
        <f t="shared" si="263"/>
        <v>17902688.807028092</v>
      </c>
      <c r="M298" s="212"/>
      <c r="N298" s="260">
        <f t="shared" si="264"/>
        <v>10989350.077880047</v>
      </c>
      <c r="O298" s="212"/>
      <c r="P298" s="260">
        <f t="shared" si="265"/>
        <v>1415134.6760532754</v>
      </c>
      <c r="Q298" s="212"/>
      <c r="R298" s="260">
        <f t="shared" si="266"/>
        <v>3726638.9474121165</v>
      </c>
      <c r="S298" s="212"/>
      <c r="T298" s="260">
        <f t="shared" si="267"/>
        <v>1132813.5436735693</v>
      </c>
      <c r="U298" s="212"/>
      <c r="V298" s="260">
        <f t="shared" si="268"/>
        <v>56464.226475941163</v>
      </c>
      <c r="W298" s="212"/>
      <c r="X298" s="260">
        <f t="shared" si="269"/>
        <v>67051.268940180118</v>
      </c>
      <c r="Y298" s="212"/>
      <c r="Z298" s="175"/>
      <c r="AC298" s="216" t="s">
        <v>746</v>
      </c>
      <c r="AE298" s="239">
        <f t="shared" si="279"/>
        <v>2</v>
      </c>
      <c r="AG298" s="145">
        <f t="shared" si="280"/>
        <v>35290141.547463223</v>
      </c>
      <c r="AI298" s="262">
        <f t="shared" si="270"/>
        <v>21265839.296501335</v>
      </c>
      <c r="AJ298" s="262"/>
      <c r="AK298" s="262">
        <f t="shared" si="271"/>
        <v>13900786.755545763</v>
      </c>
      <c r="AL298" s="262"/>
      <c r="AM298" s="262">
        <f t="shared" si="272"/>
        <v>0</v>
      </c>
      <c r="AN298" s="262"/>
      <c r="AO298" s="262">
        <f t="shared" si="273"/>
        <v>0</v>
      </c>
      <c r="AP298" s="262"/>
      <c r="AQ298" s="262">
        <f t="shared" si="274"/>
        <v>0</v>
      </c>
      <c r="AR298" s="262"/>
      <c r="AS298" s="262">
        <f t="shared" si="275"/>
        <v>0</v>
      </c>
      <c r="AT298" s="262"/>
      <c r="AU298" s="262">
        <f t="shared" si="276"/>
        <v>0</v>
      </c>
      <c r="AV298" s="262"/>
      <c r="AW298" s="262">
        <f t="shared" si="277"/>
        <v>56464.226475941163</v>
      </c>
      <c r="AX298" s="262"/>
      <c r="AY298" s="262">
        <f t="shared" si="278"/>
        <v>67051.268940180118</v>
      </c>
      <c r="BA298" s="175"/>
      <c r="BB298" s="145"/>
      <c r="BC298" s="145"/>
      <c r="BD298" s="145"/>
    </row>
    <row r="299" spans="1:56">
      <c r="A299" s="514"/>
      <c r="B299" s="515"/>
      <c r="D299" s="488">
        <v>320.2</v>
      </c>
      <c r="F299" s="216" t="s">
        <v>747</v>
      </c>
      <c r="H299" s="144">
        <v>2</v>
      </c>
      <c r="J299" s="312">
        <v>110447.13736533374</v>
      </c>
      <c r="K299" s="146"/>
      <c r="L299" s="260">
        <f t="shared" si="263"/>
        <v>56029.832785433799</v>
      </c>
      <c r="M299" s="212"/>
      <c r="N299" s="260">
        <f t="shared" si="264"/>
        <v>34393.238575564923</v>
      </c>
      <c r="O299" s="212"/>
      <c r="P299" s="260">
        <f t="shared" si="265"/>
        <v>4428.9302083498833</v>
      </c>
      <c r="Q299" s="212"/>
      <c r="R299" s="260">
        <f t="shared" si="266"/>
        <v>11663.217705779243</v>
      </c>
      <c r="S299" s="212"/>
      <c r="T299" s="260">
        <f t="shared" si="267"/>
        <v>3545.3531094272125</v>
      </c>
      <c r="U299" s="212"/>
      <c r="V299" s="260">
        <f t="shared" si="268"/>
        <v>176.71541978453399</v>
      </c>
      <c r="W299" s="212"/>
      <c r="X299" s="260">
        <f t="shared" si="269"/>
        <v>209.84956099413409</v>
      </c>
      <c r="Y299" s="212"/>
      <c r="Z299" s="175"/>
      <c r="AC299" s="216" t="s">
        <v>747</v>
      </c>
      <c r="AE299" s="239">
        <f t="shared" si="279"/>
        <v>2</v>
      </c>
      <c r="AG299" s="145">
        <f t="shared" si="280"/>
        <v>110447.13736533374</v>
      </c>
      <c r="AI299" s="262">
        <f t="shared" si="270"/>
        <v>66555.444976350103</v>
      </c>
      <c r="AJ299" s="262"/>
      <c r="AK299" s="262">
        <f t="shared" si="271"/>
        <v>43505.127408204957</v>
      </c>
      <c r="AL299" s="262"/>
      <c r="AM299" s="262">
        <f t="shared" si="272"/>
        <v>0</v>
      </c>
      <c r="AN299" s="262"/>
      <c r="AO299" s="262">
        <f t="shared" si="273"/>
        <v>0</v>
      </c>
      <c r="AP299" s="262"/>
      <c r="AQ299" s="262">
        <f t="shared" si="274"/>
        <v>0</v>
      </c>
      <c r="AR299" s="262"/>
      <c r="AS299" s="262">
        <f t="shared" si="275"/>
        <v>0</v>
      </c>
      <c r="AT299" s="262"/>
      <c r="AU299" s="262">
        <f t="shared" si="276"/>
        <v>0</v>
      </c>
      <c r="AV299" s="262"/>
      <c r="AW299" s="262">
        <f t="shared" si="277"/>
        <v>176.71541978453399</v>
      </c>
      <c r="AX299" s="262"/>
      <c r="AY299" s="262">
        <f t="shared" si="278"/>
        <v>209.84956099413409</v>
      </c>
      <c r="BA299" s="175"/>
      <c r="BB299" s="145"/>
      <c r="BC299" s="145"/>
      <c r="BD299" s="145"/>
    </row>
    <row r="300" spans="1:56">
      <c r="A300" s="514"/>
      <c r="B300" s="515"/>
      <c r="D300" s="488">
        <v>303.5</v>
      </c>
      <c r="F300" s="216" t="s">
        <v>748</v>
      </c>
      <c r="H300" s="144">
        <v>7</v>
      </c>
      <c r="J300" s="312">
        <v>7696495.5631670067</v>
      </c>
      <c r="K300" s="146"/>
      <c r="L300" s="260">
        <f t="shared" si="263"/>
        <v>3611195.7182379593</v>
      </c>
      <c r="M300" s="212"/>
      <c r="N300" s="260">
        <f t="shared" si="264"/>
        <v>2191961.9363899636</v>
      </c>
      <c r="O300" s="212"/>
      <c r="P300" s="260">
        <f t="shared" si="265"/>
        <v>258602.25092241148</v>
      </c>
      <c r="Q300" s="212"/>
      <c r="R300" s="260">
        <f t="shared" si="266"/>
        <v>654971.7724255122</v>
      </c>
      <c r="S300" s="212"/>
      <c r="T300" s="260">
        <f t="shared" si="267"/>
        <v>46178.97337900204</v>
      </c>
      <c r="U300" s="212"/>
      <c r="V300" s="260">
        <f t="shared" si="268"/>
        <v>421767.95686155197</v>
      </c>
      <c r="W300" s="212"/>
      <c r="X300" s="260">
        <f t="shared" si="269"/>
        <v>511816.95495060598</v>
      </c>
      <c r="Y300" s="212"/>
      <c r="Z300" s="175"/>
      <c r="AC300" s="216" t="s">
        <v>748</v>
      </c>
      <c r="AE300" s="239">
        <f t="shared" si="279"/>
        <v>7</v>
      </c>
      <c r="AG300" s="145">
        <f t="shared" si="280"/>
        <v>7696495.5631670067</v>
      </c>
      <c r="AI300" s="262">
        <f t="shared" si="270"/>
        <v>2993167.1245156485</v>
      </c>
      <c r="AJ300" s="262"/>
      <c r="AK300" s="262">
        <f t="shared" si="271"/>
        <v>570310.32123067521</v>
      </c>
      <c r="AL300" s="262"/>
      <c r="AM300" s="262">
        <f t="shared" si="272"/>
        <v>3199433.2056085248</v>
      </c>
      <c r="AN300" s="262"/>
      <c r="AO300" s="262">
        <f t="shared" si="273"/>
        <v>0</v>
      </c>
      <c r="AP300" s="262"/>
      <c r="AQ300" s="262">
        <f t="shared" si="274"/>
        <v>0</v>
      </c>
      <c r="AR300" s="262"/>
      <c r="AS300" s="262">
        <f t="shared" si="275"/>
        <v>0</v>
      </c>
      <c r="AT300" s="262"/>
      <c r="AU300" s="262">
        <f t="shared" si="276"/>
        <v>0</v>
      </c>
      <c r="AV300" s="262"/>
      <c r="AW300" s="262">
        <f t="shared" si="277"/>
        <v>421767.95686155197</v>
      </c>
      <c r="AX300" s="262"/>
      <c r="AY300" s="262">
        <f t="shared" si="278"/>
        <v>511816.95495060598</v>
      </c>
      <c r="BA300" s="175"/>
      <c r="BB300" s="145"/>
      <c r="BC300" s="145"/>
      <c r="BD300" s="145"/>
    </row>
    <row r="301" spans="1:56">
      <c r="A301" s="514"/>
      <c r="B301" s="515"/>
      <c r="D301" s="488">
        <v>304.39999999999998</v>
      </c>
      <c r="F301" s="216" t="s">
        <v>607</v>
      </c>
      <c r="H301" s="144">
        <v>7</v>
      </c>
      <c r="J301" s="312">
        <v>303002.93736309081</v>
      </c>
      <c r="K301" s="146"/>
      <c r="L301" s="260">
        <f t="shared" si="263"/>
        <v>142168.9782107622</v>
      </c>
      <c r="M301" s="212"/>
      <c r="N301" s="260">
        <f t="shared" si="264"/>
        <v>86295.236561008263</v>
      </c>
      <c r="O301" s="212"/>
      <c r="P301" s="260">
        <f t="shared" si="265"/>
        <v>10180.898695399852</v>
      </c>
      <c r="Q301" s="212"/>
      <c r="R301" s="260">
        <f t="shared" si="266"/>
        <v>25785.549969599026</v>
      </c>
      <c r="S301" s="212"/>
      <c r="T301" s="260">
        <f t="shared" si="267"/>
        <v>1818.0176241785448</v>
      </c>
      <c r="U301" s="212"/>
      <c r="V301" s="260">
        <f t="shared" si="268"/>
        <v>16604.560967497378</v>
      </c>
      <c r="W301" s="212"/>
      <c r="X301" s="260">
        <f t="shared" si="269"/>
        <v>20149.695334645541</v>
      </c>
      <c r="Y301" s="212"/>
      <c r="Z301" s="175"/>
      <c r="AC301" s="216" t="s">
        <v>607</v>
      </c>
      <c r="AE301" s="239">
        <f t="shared" si="279"/>
        <v>7</v>
      </c>
      <c r="AG301" s="145">
        <f t="shared" si="280"/>
        <v>303002.93736309081</v>
      </c>
      <c r="AI301" s="262">
        <f t="shared" si="270"/>
        <v>117837.842340506</v>
      </c>
      <c r="AJ301" s="262"/>
      <c r="AK301" s="262">
        <f t="shared" si="271"/>
        <v>22452.517658605029</v>
      </c>
      <c r="AL301" s="262"/>
      <c r="AM301" s="262">
        <f t="shared" si="272"/>
        <v>125958.32106183685</v>
      </c>
      <c r="AN301" s="262"/>
      <c r="AO301" s="262">
        <f t="shared" si="273"/>
        <v>0</v>
      </c>
      <c r="AP301" s="262"/>
      <c r="AQ301" s="262">
        <f t="shared" si="274"/>
        <v>0</v>
      </c>
      <c r="AR301" s="262"/>
      <c r="AS301" s="262">
        <f t="shared" si="275"/>
        <v>0</v>
      </c>
      <c r="AT301" s="262"/>
      <c r="AU301" s="262">
        <f t="shared" si="276"/>
        <v>0</v>
      </c>
      <c r="AV301" s="262"/>
      <c r="AW301" s="262">
        <f t="shared" si="277"/>
        <v>16604.560967497378</v>
      </c>
      <c r="AX301" s="262"/>
      <c r="AY301" s="262">
        <f t="shared" si="278"/>
        <v>20149.695334645541</v>
      </c>
      <c r="BA301" s="175"/>
      <c r="BB301" s="145"/>
      <c r="BC301" s="145"/>
      <c r="BD301" s="145"/>
    </row>
    <row r="302" spans="1:56">
      <c r="A302" s="514"/>
      <c r="B302" s="515"/>
      <c r="D302" s="488">
        <v>311.54000000000002</v>
      </c>
      <c r="F302" s="216" t="s">
        <v>759</v>
      </c>
      <c r="H302" s="144">
        <v>7</v>
      </c>
      <c r="J302" s="312">
        <v>356051.50035119994</v>
      </c>
      <c r="K302" s="146"/>
      <c r="L302" s="260">
        <f t="shared" si="263"/>
        <v>167059.363964783</v>
      </c>
      <c r="M302" s="212"/>
      <c r="N302" s="260">
        <f t="shared" si="264"/>
        <v>101403.46730002174</v>
      </c>
      <c r="O302" s="212"/>
      <c r="P302" s="260">
        <f t="shared" si="265"/>
        <v>11963.33041180032</v>
      </c>
      <c r="Q302" s="212"/>
      <c r="R302" s="260">
        <f t="shared" si="266"/>
        <v>30299.982679887115</v>
      </c>
      <c r="S302" s="212"/>
      <c r="T302" s="260">
        <f t="shared" si="267"/>
        <v>2136.3090021071998</v>
      </c>
      <c r="U302" s="212"/>
      <c r="V302" s="260">
        <f t="shared" si="268"/>
        <v>19511.622219245757</v>
      </c>
      <c r="W302" s="212"/>
      <c r="X302" s="260">
        <f t="shared" si="269"/>
        <v>23677.424773354796</v>
      </c>
      <c r="Y302" s="212"/>
      <c r="Z302" s="175"/>
      <c r="AC302" s="216" t="s">
        <v>759</v>
      </c>
      <c r="AE302" s="239">
        <f t="shared" si="279"/>
        <v>7</v>
      </c>
      <c r="AG302" s="145">
        <f t="shared" si="280"/>
        <v>356051.50035119994</v>
      </c>
      <c r="AI302" s="262">
        <f t="shared" si="270"/>
        <v>138468.42848658166</v>
      </c>
      <c r="AJ302" s="262"/>
      <c r="AK302" s="262">
        <f t="shared" si="271"/>
        <v>26383.416176023915</v>
      </c>
      <c r="AL302" s="262"/>
      <c r="AM302" s="262">
        <f t="shared" si="272"/>
        <v>148010.60869599381</v>
      </c>
      <c r="AN302" s="262"/>
      <c r="AO302" s="262">
        <f t="shared" si="273"/>
        <v>0</v>
      </c>
      <c r="AP302" s="262"/>
      <c r="AQ302" s="262">
        <f t="shared" si="274"/>
        <v>0</v>
      </c>
      <c r="AR302" s="262"/>
      <c r="AS302" s="262">
        <f t="shared" si="275"/>
        <v>0</v>
      </c>
      <c r="AT302" s="262"/>
      <c r="AU302" s="262">
        <f t="shared" si="276"/>
        <v>0</v>
      </c>
      <c r="AV302" s="262"/>
      <c r="AW302" s="262">
        <f t="shared" si="277"/>
        <v>19511.622219245757</v>
      </c>
      <c r="AX302" s="262"/>
      <c r="AY302" s="262">
        <f t="shared" si="278"/>
        <v>23677.424773354796</v>
      </c>
      <c r="BA302" s="175"/>
      <c r="BB302" s="145"/>
      <c r="BC302" s="145"/>
      <c r="BD302" s="145"/>
    </row>
    <row r="303" spans="1:56">
      <c r="A303" s="514"/>
      <c r="B303" s="515"/>
      <c r="D303" s="488">
        <v>330</v>
      </c>
      <c r="F303" s="216" t="s">
        <v>608</v>
      </c>
      <c r="H303" s="144">
        <v>5</v>
      </c>
      <c r="J303" s="312">
        <v>15578399.335651673</v>
      </c>
      <c r="K303" s="146"/>
      <c r="L303" s="260">
        <f t="shared" si="263"/>
        <v>6570968.8397778766</v>
      </c>
      <c r="M303" s="212"/>
      <c r="N303" s="260">
        <f t="shared" si="264"/>
        <v>3977165.3503918718</v>
      </c>
      <c r="O303" s="212"/>
      <c r="P303" s="260">
        <f t="shared" si="265"/>
        <v>456447.10053459404</v>
      </c>
      <c r="Q303" s="212"/>
      <c r="R303" s="260">
        <f t="shared" si="266"/>
        <v>1145012.3511703978</v>
      </c>
      <c r="S303" s="212"/>
      <c r="T303" s="260">
        <f t="shared" si="267"/>
        <v>324030.70618155476</v>
      </c>
      <c r="U303" s="212"/>
      <c r="V303" s="260">
        <f t="shared" si="268"/>
        <v>1403613.7801422158</v>
      </c>
      <c r="W303" s="212"/>
      <c r="X303" s="260">
        <f t="shared" si="269"/>
        <v>1701161.2074531629</v>
      </c>
      <c r="Y303" s="212"/>
      <c r="Z303" s="175"/>
      <c r="AC303" s="216" t="s">
        <v>608</v>
      </c>
      <c r="AE303" s="239">
        <f t="shared" si="279"/>
        <v>5</v>
      </c>
      <c r="AG303" s="145">
        <f t="shared" si="280"/>
        <v>15578399.335651673</v>
      </c>
      <c r="AI303" s="262">
        <f t="shared" si="270"/>
        <v>4972625.0679400135</v>
      </c>
      <c r="AJ303" s="262"/>
      <c r="AK303" s="262">
        <f t="shared" si="271"/>
        <v>0</v>
      </c>
      <c r="AL303" s="262"/>
      <c r="AM303" s="262">
        <f t="shared" si="272"/>
        <v>7500999.2801162805</v>
      </c>
      <c r="AN303" s="262"/>
      <c r="AO303" s="262">
        <f t="shared" si="273"/>
        <v>0</v>
      </c>
      <c r="AP303" s="262"/>
      <c r="AQ303" s="262">
        <f t="shared" si="274"/>
        <v>0</v>
      </c>
      <c r="AR303" s="262"/>
      <c r="AS303" s="262">
        <f t="shared" si="275"/>
        <v>0</v>
      </c>
      <c r="AT303" s="262"/>
      <c r="AU303" s="262">
        <f t="shared" si="276"/>
        <v>0</v>
      </c>
      <c r="AV303" s="262"/>
      <c r="AW303" s="262">
        <f t="shared" si="277"/>
        <v>1403613.7801422158</v>
      </c>
      <c r="AX303" s="262"/>
      <c r="AY303" s="262">
        <f t="shared" si="278"/>
        <v>1701161.2074531629</v>
      </c>
      <c r="BA303" s="175"/>
      <c r="BB303" s="145"/>
      <c r="BC303" s="145"/>
      <c r="BD303" s="145"/>
    </row>
    <row r="304" spans="1:56">
      <c r="A304" s="514"/>
      <c r="B304" s="515"/>
      <c r="D304" s="488">
        <v>331</v>
      </c>
      <c r="F304" s="216" t="s">
        <v>609</v>
      </c>
      <c r="J304" s="312"/>
      <c r="K304" s="146"/>
      <c r="L304" s="260"/>
      <c r="M304" s="212"/>
      <c r="N304" s="260"/>
      <c r="O304" s="212"/>
      <c r="P304" s="260"/>
      <c r="Q304" s="212"/>
      <c r="R304" s="260"/>
      <c r="S304" s="212"/>
      <c r="T304" s="260"/>
      <c r="U304" s="212"/>
      <c r="V304" s="260"/>
      <c r="W304" s="212"/>
      <c r="X304" s="260"/>
      <c r="Y304" s="212"/>
      <c r="Z304" s="175"/>
      <c r="AC304" s="216" t="s">
        <v>609</v>
      </c>
      <c r="AE304" s="239"/>
      <c r="AG304" s="145"/>
      <c r="AI304" s="262"/>
      <c r="AJ304" s="262"/>
      <c r="AK304" s="262"/>
      <c r="AL304" s="262"/>
      <c r="AM304" s="262"/>
      <c r="AN304" s="262"/>
      <c r="AO304" s="262"/>
      <c r="AP304" s="262"/>
      <c r="AQ304" s="262"/>
      <c r="AR304" s="262"/>
      <c r="AS304" s="262"/>
      <c r="AT304" s="262"/>
      <c r="AU304" s="262"/>
      <c r="AV304" s="262"/>
      <c r="AW304" s="262"/>
      <c r="AX304" s="262"/>
      <c r="AY304" s="262"/>
      <c r="BA304" s="175"/>
      <c r="BB304" s="145"/>
      <c r="BC304" s="145"/>
      <c r="BD304" s="145"/>
    </row>
    <row r="305" spans="1:56">
      <c r="A305" s="561"/>
      <c r="B305" s="515"/>
      <c r="F305" s="529" t="s">
        <v>750</v>
      </c>
      <c r="G305" s="144"/>
      <c r="H305" s="144">
        <v>4</v>
      </c>
      <c r="J305" s="313">
        <v>3697427.5569422911</v>
      </c>
      <c r="K305" s="146"/>
      <c r="L305" s="260">
        <f t="shared" ref="L305:L326" si="281">(VLOOKUP($H305,Factors,L$382))*$J305</f>
        <v>1739269.9227856537</v>
      </c>
      <c r="M305" s="212"/>
      <c r="N305" s="260">
        <f t="shared" ref="N305:N326" si="282">(VLOOKUP($H305,Factors,N$382))*$J305</f>
        <v>1052657.6254614703</v>
      </c>
      <c r="O305" s="212"/>
      <c r="P305" s="260">
        <f t="shared" ref="P305:P326" si="283">(VLOOKUP($H305,Factors,P$382))*$J305</f>
        <v>121275.62386770714</v>
      </c>
      <c r="Q305" s="212"/>
      <c r="R305" s="260">
        <f t="shared" ref="R305:R326" si="284">(VLOOKUP($H305,Factors,R$382))*$J305</f>
        <v>303558.80242496211</v>
      </c>
      <c r="S305" s="212"/>
      <c r="T305" s="260">
        <f t="shared" ref="T305:T326" si="285">(VLOOKUP($H305,Factors,T$382))*$J305</f>
        <v>0</v>
      </c>
      <c r="U305" s="212"/>
      <c r="V305" s="260">
        <f t="shared" ref="V305:V326" si="286">(VLOOKUP($H305,Factors,V$382))*$J305</f>
        <v>217038.99759251246</v>
      </c>
      <c r="W305" s="212"/>
      <c r="X305" s="260">
        <f t="shared" ref="X305:X326" si="287">(VLOOKUP($H305,Factors,X$382))*$J305</f>
        <v>263626.58480998536</v>
      </c>
      <c r="Y305" s="212"/>
      <c r="Z305" s="175"/>
      <c r="AC305" s="529" t="s">
        <v>750</v>
      </c>
      <c r="AE305" s="239">
        <f t="shared" si="279"/>
        <v>4</v>
      </c>
      <c r="AG305" s="145">
        <f t="shared" si="280"/>
        <v>3697427.5569422911</v>
      </c>
      <c r="AI305" s="262">
        <f t="shared" ref="AI305:AI326" si="288">(VLOOKUP($AE305,func,AI$382))*$AG305</f>
        <v>1281898.1339918924</v>
      </c>
      <c r="AJ305" s="262"/>
      <c r="AK305" s="262">
        <f t="shared" ref="AK305:AK326" si="289">(VLOOKUP($AE305,func,AK$382))*$AG305</f>
        <v>0</v>
      </c>
      <c r="AL305" s="262"/>
      <c r="AM305" s="262">
        <f t="shared" ref="AM305:AM326" si="290">(VLOOKUP($AE305,func,AM$382))*$AG305</f>
        <v>1934863.8405479009</v>
      </c>
      <c r="AN305" s="262"/>
      <c r="AO305" s="262">
        <f t="shared" ref="AO305:AO326" si="291">(VLOOKUP($AE305,func,AO$382))*$AG305</f>
        <v>0</v>
      </c>
      <c r="AP305" s="262"/>
      <c r="AQ305" s="262">
        <f t="shared" ref="AQ305:AQ326" si="292">(VLOOKUP($AE305,func,AQ$382))*$AG305</f>
        <v>0</v>
      </c>
      <c r="AR305" s="262"/>
      <c r="AS305" s="262">
        <f t="shared" ref="AS305:AS326" si="293">(VLOOKUP($AE305,func,AS$382))*$AG305</f>
        <v>0</v>
      </c>
      <c r="AT305" s="262"/>
      <c r="AU305" s="262">
        <f t="shared" ref="AU305:AU326" si="294">(VLOOKUP($AE305,func,AU$382))*$AG305</f>
        <v>0</v>
      </c>
      <c r="AV305" s="262"/>
      <c r="AW305" s="262">
        <f t="shared" ref="AW305:AW326" si="295">(VLOOKUP($AE305,func,AW$382))*$AG305</f>
        <v>217038.99759251246</v>
      </c>
      <c r="AX305" s="262"/>
      <c r="AY305" s="262">
        <f t="shared" ref="AY305:AY326" si="296">(VLOOKUP($AE305,func,AY$382))*$AG305</f>
        <v>263626.58480998536</v>
      </c>
      <c r="BA305" s="175"/>
      <c r="BB305" s="145"/>
      <c r="BC305" s="145"/>
      <c r="BD305" s="145"/>
    </row>
    <row r="306" spans="1:56">
      <c r="A306" s="514"/>
      <c r="B306" s="515"/>
      <c r="F306" s="216" t="s">
        <v>753</v>
      </c>
      <c r="G306" s="144"/>
      <c r="H306" s="144">
        <v>4</v>
      </c>
      <c r="J306" s="313">
        <v>6485904.4691641778</v>
      </c>
      <c r="K306" s="146"/>
      <c r="L306" s="260">
        <f t="shared" si="281"/>
        <v>3050969.4622948291</v>
      </c>
      <c r="M306" s="212"/>
      <c r="N306" s="260">
        <f t="shared" si="282"/>
        <v>1846537.0023710416</v>
      </c>
      <c r="O306" s="212"/>
      <c r="P306" s="260">
        <f t="shared" si="283"/>
        <v>212737.66658858501</v>
      </c>
      <c r="Q306" s="212"/>
      <c r="R306" s="260">
        <f t="shared" si="284"/>
        <v>532492.75691837899</v>
      </c>
      <c r="S306" s="212"/>
      <c r="T306" s="260">
        <f t="shared" si="285"/>
        <v>0</v>
      </c>
      <c r="U306" s="212"/>
      <c r="V306" s="260">
        <f t="shared" si="286"/>
        <v>380722.59233993723</v>
      </c>
      <c r="W306" s="212"/>
      <c r="X306" s="260">
        <f t="shared" si="287"/>
        <v>462444.9886514059</v>
      </c>
      <c r="Y306" s="212"/>
      <c r="Z306" s="175"/>
      <c r="AC306" s="216" t="s">
        <v>753</v>
      </c>
      <c r="AE306" s="239">
        <f t="shared" si="279"/>
        <v>4</v>
      </c>
      <c r="AG306" s="145">
        <f t="shared" si="280"/>
        <v>6485904.4691641778</v>
      </c>
      <c r="AI306" s="262">
        <f t="shared" si="288"/>
        <v>2248663.0794592206</v>
      </c>
      <c r="AJ306" s="262"/>
      <c r="AK306" s="262">
        <f t="shared" si="289"/>
        <v>0</v>
      </c>
      <c r="AL306" s="262"/>
      <c r="AM306" s="262">
        <f t="shared" si="290"/>
        <v>3394073.808713614</v>
      </c>
      <c r="AN306" s="262"/>
      <c r="AO306" s="262">
        <f t="shared" si="291"/>
        <v>0</v>
      </c>
      <c r="AP306" s="262"/>
      <c r="AQ306" s="262">
        <f t="shared" si="292"/>
        <v>0</v>
      </c>
      <c r="AR306" s="262"/>
      <c r="AS306" s="262">
        <f t="shared" si="293"/>
        <v>0</v>
      </c>
      <c r="AT306" s="262"/>
      <c r="AU306" s="262">
        <f t="shared" si="294"/>
        <v>0</v>
      </c>
      <c r="AV306" s="262"/>
      <c r="AW306" s="262">
        <f t="shared" si="295"/>
        <v>380722.59233993723</v>
      </c>
      <c r="AX306" s="262"/>
      <c r="AY306" s="262">
        <f t="shared" si="296"/>
        <v>462444.9886514059</v>
      </c>
      <c r="BA306" s="175"/>
      <c r="BB306" s="145"/>
      <c r="BC306" s="145"/>
      <c r="BD306" s="145"/>
    </row>
    <row r="307" spans="1:56">
      <c r="A307" s="514"/>
      <c r="B307" s="515"/>
      <c r="F307" s="216" t="s">
        <v>751</v>
      </c>
      <c r="G307" s="144"/>
      <c r="H307" s="144">
        <v>4</v>
      </c>
      <c r="J307" s="313">
        <v>50269469.98255311</v>
      </c>
      <c r="K307" s="146"/>
      <c r="L307" s="260">
        <f t="shared" si="281"/>
        <v>23646758.679792982</v>
      </c>
      <c r="M307" s="212"/>
      <c r="N307" s="260">
        <f t="shared" si="282"/>
        <v>14311718.10403287</v>
      </c>
      <c r="O307" s="212"/>
      <c r="P307" s="260">
        <f t="shared" si="283"/>
        <v>1648838.6154277418</v>
      </c>
      <c r="Q307" s="212"/>
      <c r="R307" s="260">
        <f t="shared" si="284"/>
        <v>4127123.4855676107</v>
      </c>
      <c r="S307" s="212"/>
      <c r="T307" s="260">
        <f t="shared" si="285"/>
        <v>0</v>
      </c>
      <c r="U307" s="212"/>
      <c r="V307" s="260">
        <f t="shared" si="286"/>
        <v>2950817.8879758674</v>
      </c>
      <c r="W307" s="212"/>
      <c r="X307" s="260">
        <f t="shared" si="287"/>
        <v>3584213.2097560368</v>
      </c>
      <c r="Y307" s="212"/>
      <c r="Z307" s="175"/>
      <c r="AC307" s="216" t="s">
        <v>751</v>
      </c>
      <c r="AE307" s="239">
        <f t="shared" si="279"/>
        <v>4</v>
      </c>
      <c r="AG307" s="145">
        <f t="shared" si="280"/>
        <v>50269469.98255311</v>
      </c>
      <c r="AI307" s="262">
        <f t="shared" si="288"/>
        <v>17428425.242951162</v>
      </c>
      <c r="AJ307" s="262"/>
      <c r="AK307" s="262">
        <f t="shared" si="289"/>
        <v>0</v>
      </c>
      <c r="AL307" s="262"/>
      <c r="AM307" s="262">
        <f t="shared" si="290"/>
        <v>26306013.64187004</v>
      </c>
      <c r="AN307" s="262"/>
      <c r="AO307" s="262">
        <f t="shared" si="291"/>
        <v>0</v>
      </c>
      <c r="AP307" s="262"/>
      <c r="AQ307" s="262">
        <f t="shared" si="292"/>
        <v>0</v>
      </c>
      <c r="AR307" s="262"/>
      <c r="AS307" s="262">
        <f t="shared" si="293"/>
        <v>0</v>
      </c>
      <c r="AT307" s="262"/>
      <c r="AU307" s="262">
        <f t="shared" si="294"/>
        <v>0</v>
      </c>
      <c r="AV307" s="262"/>
      <c r="AW307" s="262">
        <f t="shared" si="295"/>
        <v>2950817.8879758674</v>
      </c>
      <c r="AX307" s="262"/>
      <c r="AY307" s="262">
        <f t="shared" si="296"/>
        <v>3584213.2097560368</v>
      </c>
      <c r="BA307" s="175"/>
      <c r="BB307" s="145"/>
      <c r="BC307" s="145"/>
      <c r="BD307" s="145"/>
    </row>
    <row r="308" spans="1:56">
      <c r="A308" s="514"/>
      <c r="B308" s="515"/>
      <c r="F308" s="216" t="s">
        <v>752</v>
      </c>
      <c r="G308" s="144"/>
      <c r="H308" s="144">
        <v>3</v>
      </c>
      <c r="J308" s="313">
        <v>46510308.432293095</v>
      </c>
      <c r="K308" s="146"/>
      <c r="L308" s="260">
        <f t="shared" si="281"/>
        <v>21599387.235956911</v>
      </c>
      <c r="M308" s="212"/>
      <c r="N308" s="260">
        <f t="shared" si="282"/>
        <v>13255437.90320353</v>
      </c>
      <c r="O308" s="212"/>
      <c r="P308" s="260">
        <f t="shared" si="283"/>
        <v>1706928.3194651566</v>
      </c>
      <c r="Q308" s="212"/>
      <c r="R308" s="260">
        <f t="shared" si="284"/>
        <v>4492895.7945595123</v>
      </c>
      <c r="S308" s="212"/>
      <c r="T308" s="260">
        <f t="shared" si="285"/>
        <v>1367403.067909417</v>
      </c>
      <c r="U308" s="212"/>
      <c r="V308" s="260">
        <f t="shared" si="286"/>
        <v>1846459.2447620358</v>
      </c>
      <c r="W308" s="212"/>
      <c r="X308" s="260">
        <f t="shared" si="287"/>
        <v>2241796.8664365271</v>
      </c>
      <c r="Y308" s="212"/>
      <c r="Z308" s="175"/>
      <c r="AC308" s="216" t="s">
        <v>752</v>
      </c>
      <c r="AE308" s="239">
        <f t="shared" si="279"/>
        <v>3</v>
      </c>
      <c r="AG308" s="145">
        <f t="shared" si="280"/>
        <v>46510308.432293095</v>
      </c>
      <c r="AI308" s="262">
        <f t="shared" si="288"/>
        <v>25799268.087392978</v>
      </c>
      <c r="AJ308" s="262"/>
      <c r="AK308" s="262">
        <f t="shared" si="289"/>
        <v>16771617.22068489</v>
      </c>
      <c r="AL308" s="262"/>
      <c r="AM308" s="262">
        <f t="shared" si="290"/>
        <v>0</v>
      </c>
      <c r="AN308" s="262"/>
      <c r="AO308" s="262">
        <f t="shared" si="291"/>
        <v>0</v>
      </c>
      <c r="AP308" s="262"/>
      <c r="AQ308" s="262">
        <f t="shared" si="292"/>
        <v>0</v>
      </c>
      <c r="AR308" s="262"/>
      <c r="AS308" s="262">
        <f t="shared" si="293"/>
        <v>0</v>
      </c>
      <c r="AT308" s="262"/>
      <c r="AU308" s="262">
        <f t="shared" si="294"/>
        <v>0</v>
      </c>
      <c r="AV308" s="262"/>
      <c r="AW308" s="262">
        <f t="shared" si="295"/>
        <v>1781344.8129568256</v>
      </c>
      <c r="AX308" s="262"/>
      <c r="AY308" s="262">
        <f t="shared" si="296"/>
        <v>2158078.3112583994</v>
      </c>
      <c r="BA308" s="175"/>
      <c r="BB308" s="145"/>
      <c r="BC308" s="145"/>
      <c r="BD308" s="145"/>
    </row>
    <row r="309" spans="1:56">
      <c r="A309" s="514"/>
      <c r="B309" s="515"/>
      <c r="F309" s="216" t="s">
        <v>754</v>
      </c>
      <c r="G309" s="144"/>
      <c r="H309" s="144">
        <v>3</v>
      </c>
      <c r="J309" s="313">
        <v>77388326.920000032</v>
      </c>
      <c r="K309" s="146"/>
      <c r="L309" s="260">
        <f t="shared" si="281"/>
        <v>35939139.021648012</v>
      </c>
      <c r="M309" s="212"/>
      <c r="N309" s="260">
        <f t="shared" si="282"/>
        <v>22055673.172200006</v>
      </c>
      <c r="O309" s="212"/>
      <c r="P309" s="260">
        <f t="shared" si="283"/>
        <v>2840151.5979640014</v>
      </c>
      <c r="Q309" s="212"/>
      <c r="R309" s="260">
        <f t="shared" si="284"/>
        <v>7475712.3804720026</v>
      </c>
      <c r="S309" s="212"/>
      <c r="T309" s="260">
        <f t="shared" si="285"/>
        <v>2275216.8114480008</v>
      </c>
      <c r="U309" s="212"/>
      <c r="V309" s="260">
        <f t="shared" si="286"/>
        <v>3072316.5787240011</v>
      </c>
      <c r="W309" s="212"/>
      <c r="X309" s="260">
        <f t="shared" si="287"/>
        <v>3730117.3575440017</v>
      </c>
      <c r="Y309" s="212"/>
      <c r="Z309" s="175"/>
      <c r="AC309" s="216" t="s">
        <v>754</v>
      </c>
      <c r="AE309" s="239">
        <f t="shared" si="279"/>
        <v>3</v>
      </c>
      <c r="AG309" s="145">
        <f t="shared" si="280"/>
        <v>77388326.920000032</v>
      </c>
      <c r="AI309" s="262">
        <f t="shared" si="288"/>
        <v>42927304.942524016</v>
      </c>
      <c r="AJ309" s="262"/>
      <c r="AK309" s="262">
        <f t="shared" si="289"/>
        <v>27906230.687352009</v>
      </c>
      <c r="AL309" s="262"/>
      <c r="AM309" s="262">
        <f t="shared" si="290"/>
        <v>0</v>
      </c>
      <c r="AN309" s="262"/>
      <c r="AO309" s="262">
        <f t="shared" si="291"/>
        <v>0</v>
      </c>
      <c r="AP309" s="262"/>
      <c r="AQ309" s="262">
        <f t="shared" si="292"/>
        <v>0</v>
      </c>
      <c r="AR309" s="262"/>
      <c r="AS309" s="262">
        <f t="shared" si="293"/>
        <v>0</v>
      </c>
      <c r="AT309" s="262"/>
      <c r="AU309" s="262">
        <f t="shared" si="294"/>
        <v>0</v>
      </c>
      <c r="AV309" s="262"/>
      <c r="AW309" s="262">
        <f t="shared" si="295"/>
        <v>2963972.9210360013</v>
      </c>
      <c r="AX309" s="262"/>
      <c r="AY309" s="262">
        <f t="shared" si="296"/>
        <v>3590818.3690880011</v>
      </c>
      <c r="BA309" s="175"/>
      <c r="BB309" s="145"/>
      <c r="BC309" s="145"/>
      <c r="BD309" s="145"/>
    </row>
    <row r="310" spans="1:56">
      <c r="A310" s="551"/>
      <c r="B310" s="552"/>
      <c r="D310" s="488">
        <v>333</v>
      </c>
      <c r="F310" s="216" t="s">
        <v>610</v>
      </c>
      <c r="H310" s="144">
        <v>10</v>
      </c>
      <c r="J310" s="313">
        <v>8576274.0723275729</v>
      </c>
      <c r="K310" s="146"/>
      <c r="L310" s="260">
        <f t="shared" si="281"/>
        <v>7066849.8355979202</v>
      </c>
      <c r="M310" s="212"/>
      <c r="N310" s="260">
        <f t="shared" si="282"/>
        <v>970834.22498748126</v>
      </c>
      <c r="O310" s="212"/>
      <c r="P310" s="260">
        <f t="shared" si="283"/>
        <v>10291.528886793087</v>
      </c>
      <c r="Q310" s="212"/>
      <c r="R310" s="260">
        <f t="shared" si="284"/>
        <v>120067.83701258602</v>
      </c>
      <c r="S310" s="212"/>
      <c r="T310" s="260">
        <f t="shared" si="285"/>
        <v>5145.7644433965434</v>
      </c>
      <c r="U310" s="212"/>
      <c r="V310" s="260">
        <f t="shared" si="286"/>
        <v>403084.88139939593</v>
      </c>
      <c r="W310" s="212"/>
      <c r="X310" s="260">
        <f t="shared" si="287"/>
        <v>0</v>
      </c>
      <c r="Y310" s="212"/>
      <c r="Z310" s="175"/>
      <c r="AC310" s="216" t="s">
        <v>610</v>
      </c>
      <c r="AE310" s="239">
        <f t="shared" si="279"/>
        <v>10</v>
      </c>
      <c r="AG310" s="145">
        <f t="shared" si="280"/>
        <v>8576274.0723275729</v>
      </c>
      <c r="AI310" s="262">
        <f t="shared" si="288"/>
        <v>0</v>
      </c>
      <c r="AJ310" s="262"/>
      <c r="AK310" s="262">
        <f t="shared" si="289"/>
        <v>0</v>
      </c>
      <c r="AL310" s="262"/>
      <c r="AM310" s="262">
        <f t="shared" si="290"/>
        <v>0</v>
      </c>
      <c r="AN310" s="262"/>
      <c r="AO310" s="262">
        <f t="shared" si="291"/>
        <v>0</v>
      </c>
      <c r="AP310" s="262"/>
      <c r="AQ310" s="262">
        <f t="shared" si="292"/>
        <v>8173189.190928177</v>
      </c>
      <c r="AR310" s="262"/>
      <c r="AS310" s="262">
        <f t="shared" si="293"/>
        <v>0</v>
      </c>
      <c r="AT310" s="262"/>
      <c r="AU310" s="262">
        <f t="shared" si="294"/>
        <v>0</v>
      </c>
      <c r="AV310" s="262"/>
      <c r="AW310" s="262">
        <f t="shared" si="295"/>
        <v>403084.88139939593</v>
      </c>
      <c r="AX310" s="262"/>
      <c r="AY310" s="262">
        <f t="shared" si="296"/>
        <v>0</v>
      </c>
      <c r="BA310" s="175"/>
      <c r="BB310" s="145"/>
      <c r="BC310" s="145"/>
      <c r="BD310" s="145"/>
    </row>
    <row r="311" spans="1:56">
      <c r="A311" s="514"/>
      <c r="B311" s="515"/>
      <c r="D311" s="488">
        <v>334</v>
      </c>
      <c r="F311" s="216" t="s">
        <v>611</v>
      </c>
      <c r="H311" s="144">
        <v>9</v>
      </c>
      <c r="J311" s="313">
        <v>26394093.616844207</v>
      </c>
      <c r="K311" s="146"/>
      <c r="L311" s="260">
        <f t="shared" si="281"/>
        <v>21827915.421130158</v>
      </c>
      <c r="M311" s="212"/>
      <c r="N311" s="260">
        <f t="shared" si="282"/>
        <v>3462905.0825299602</v>
      </c>
      <c r="O311" s="212"/>
      <c r="P311" s="260">
        <f t="shared" si="283"/>
        <v>108215.78382906126</v>
      </c>
      <c r="Q311" s="212"/>
      <c r="R311" s="260">
        <f t="shared" si="284"/>
        <v>625540.01871920773</v>
      </c>
      <c r="S311" s="212"/>
      <c r="T311" s="260">
        <f t="shared" si="285"/>
        <v>63345.824680426093</v>
      </c>
      <c r="U311" s="212"/>
      <c r="V311" s="260">
        <f t="shared" si="286"/>
        <v>306171.48595539277</v>
      </c>
      <c r="W311" s="212"/>
      <c r="X311" s="260">
        <f t="shared" si="287"/>
        <v>0</v>
      </c>
      <c r="Y311" s="212"/>
      <c r="Z311" s="175"/>
      <c r="AC311" s="216" t="s">
        <v>611</v>
      </c>
      <c r="AE311" s="239">
        <f t="shared" si="279"/>
        <v>9</v>
      </c>
      <c r="AG311" s="145">
        <f t="shared" si="280"/>
        <v>26394093.616844207</v>
      </c>
      <c r="AI311" s="262">
        <f t="shared" si="288"/>
        <v>0</v>
      </c>
      <c r="AJ311" s="262"/>
      <c r="AK311" s="262">
        <f t="shared" si="289"/>
        <v>0</v>
      </c>
      <c r="AL311" s="262"/>
      <c r="AM311" s="262">
        <f t="shared" si="290"/>
        <v>0</v>
      </c>
      <c r="AN311" s="262"/>
      <c r="AO311" s="262">
        <f t="shared" si="291"/>
        <v>26087922.130888812</v>
      </c>
      <c r="AP311" s="262"/>
      <c r="AQ311" s="262">
        <f t="shared" si="292"/>
        <v>0</v>
      </c>
      <c r="AR311" s="262"/>
      <c r="AS311" s="262">
        <f t="shared" si="293"/>
        <v>0</v>
      </c>
      <c r="AT311" s="262"/>
      <c r="AU311" s="262">
        <f t="shared" si="294"/>
        <v>0</v>
      </c>
      <c r="AV311" s="262"/>
      <c r="AW311" s="262">
        <f t="shared" si="295"/>
        <v>306171.48595539277</v>
      </c>
      <c r="AX311" s="262"/>
      <c r="AY311" s="262">
        <f t="shared" si="296"/>
        <v>0</v>
      </c>
      <c r="BA311" s="175"/>
      <c r="BB311" s="145"/>
      <c r="BC311" s="145"/>
      <c r="BD311" s="145"/>
    </row>
    <row r="312" spans="1:56">
      <c r="A312" s="514"/>
      <c r="B312" s="515"/>
      <c r="D312" s="488">
        <v>334</v>
      </c>
      <c r="F312" s="216" t="s">
        <v>612</v>
      </c>
      <c r="H312" s="144">
        <v>9</v>
      </c>
      <c r="J312" s="313">
        <v>12607261.981526522</v>
      </c>
      <c r="K312" s="146"/>
      <c r="L312" s="260">
        <f t="shared" si="281"/>
        <v>10426205.658722432</v>
      </c>
      <c r="M312" s="212"/>
      <c r="N312" s="260">
        <f t="shared" si="282"/>
        <v>1654072.7719762798</v>
      </c>
      <c r="O312" s="212"/>
      <c r="P312" s="260">
        <f t="shared" si="283"/>
        <v>51689.774124258744</v>
      </c>
      <c r="Q312" s="212"/>
      <c r="R312" s="260">
        <f t="shared" si="284"/>
        <v>298792.10896217858</v>
      </c>
      <c r="S312" s="212"/>
      <c r="T312" s="260">
        <f t="shared" si="285"/>
        <v>30257.428755663652</v>
      </c>
      <c r="U312" s="212"/>
      <c r="V312" s="260">
        <f t="shared" si="286"/>
        <v>146244.23898570763</v>
      </c>
      <c r="W312" s="212"/>
      <c r="X312" s="260">
        <f t="shared" si="287"/>
        <v>0</v>
      </c>
      <c r="Y312" s="212"/>
      <c r="Z312" s="175"/>
      <c r="AC312" s="216" t="s">
        <v>612</v>
      </c>
      <c r="AE312" s="239">
        <f t="shared" si="279"/>
        <v>9</v>
      </c>
      <c r="AG312" s="145">
        <f t="shared" si="280"/>
        <v>12607261.981526522</v>
      </c>
      <c r="AI312" s="262">
        <f t="shared" si="288"/>
        <v>0</v>
      </c>
      <c r="AJ312" s="262"/>
      <c r="AK312" s="262">
        <f t="shared" si="289"/>
        <v>0</v>
      </c>
      <c r="AL312" s="262"/>
      <c r="AM312" s="262">
        <f t="shared" si="290"/>
        <v>0</v>
      </c>
      <c r="AN312" s="262"/>
      <c r="AO312" s="262">
        <f t="shared" si="291"/>
        <v>12461017.742540814</v>
      </c>
      <c r="AP312" s="262"/>
      <c r="AQ312" s="262">
        <f t="shared" si="292"/>
        <v>0</v>
      </c>
      <c r="AR312" s="262"/>
      <c r="AS312" s="262">
        <f t="shared" si="293"/>
        <v>0</v>
      </c>
      <c r="AT312" s="262"/>
      <c r="AU312" s="262">
        <f t="shared" si="294"/>
        <v>0</v>
      </c>
      <c r="AV312" s="262"/>
      <c r="AW312" s="262">
        <f t="shared" si="295"/>
        <v>146244.23898570763</v>
      </c>
      <c r="AX312" s="262"/>
      <c r="AY312" s="262">
        <f t="shared" si="296"/>
        <v>0</v>
      </c>
      <c r="BA312" s="175"/>
      <c r="BB312" s="145"/>
      <c r="BC312" s="145"/>
      <c r="BD312" s="145"/>
    </row>
    <row r="313" spans="1:56">
      <c r="A313" s="514"/>
      <c r="B313" s="515"/>
      <c r="D313" s="488">
        <v>335</v>
      </c>
      <c r="F313" s="216" t="s">
        <v>755</v>
      </c>
      <c r="H313" s="144">
        <v>8</v>
      </c>
      <c r="J313" s="313">
        <v>9034173.7128936723</v>
      </c>
      <c r="K313" s="146"/>
      <c r="L313" s="260">
        <f t="shared" si="281"/>
        <v>0</v>
      </c>
      <c r="M313" s="212"/>
      <c r="N313" s="260">
        <f t="shared" si="282"/>
        <v>0</v>
      </c>
      <c r="O313" s="212"/>
      <c r="P313" s="260">
        <f t="shared" si="283"/>
        <v>0</v>
      </c>
      <c r="Q313" s="212"/>
      <c r="R313" s="260">
        <f t="shared" si="284"/>
        <v>0</v>
      </c>
      <c r="S313" s="212"/>
      <c r="T313" s="260">
        <f t="shared" si="285"/>
        <v>0</v>
      </c>
      <c r="U313" s="212"/>
      <c r="V313" s="260">
        <f t="shared" si="286"/>
        <v>0</v>
      </c>
      <c r="W313" s="212"/>
      <c r="X313" s="260">
        <f t="shared" si="287"/>
        <v>9034173.7128936723</v>
      </c>
      <c r="Y313" s="212"/>
      <c r="Z313" s="175"/>
      <c r="AC313" s="216" t="s">
        <v>755</v>
      </c>
      <c r="AE313" s="239">
        <f t="shared" si="279"/>
        <v>8</v>
      </c>
      <c r="AG313" s="145">
        <f t="shared" si="280"/>
        <v>9034173.7128936723</v>
      </c>
      <c r="AI313" s="262">
        <f t="shared" si="288"/>
        <v>0</v>
      </c>
      <c r="AJ313" s="262"/>
      <c r="AK313" s="262">
        <f t="shared" si="289"/>
        <v>0</v>
      </c>
      <c r="AL313" s="262"/>
      <c r="AM313" s="262">
        <f t="shared" si="290"/>
        <v>0</v>
      </c>
      <c r="AN313" s="262"/>
      <c r="AO313" s="262">
        <f t="shared" si="291"/>
        <v>0</v>
      </c>
      <c r="AP313" s="262"/>
      <c r="AQ313" s="262">
        <f t="shared" si="292"/>
        <v>0</v>
      </c>
      <c r="AR313" s="262"/>
      <c r="AS313" s="262">
        <f t="shared" si="293"/>
        <v>0</v>
      </c>
      <c r="AT313" s="262"/>
      <c r="AU313" s="262">
        <f t="shared" si="294"/>
        <v>0</v>
      </c>
      <c r="AV313" s="262"/>
      <c r="AW313" s="262">
        <f t="shared" si="295"/>
        <v>0</v>
      </c>
      <c r="AX313" s="262"/>
      <c r="AY313" s="262">
        <f t="shared" si="296"/>
        <v>9034173.7128936723</v>
      </c>
      <c r="BA313" s="175"/>
      <c r="BB313" s="145"/>
      <c r="BC313" s="145"/>
      <c r="BD313" s="145"/>
    </row>
    <row r="314" spans="1:56">
      <c r="A314" s="514"/>
      <c r="B314" s="515"/>
      <c r="D314" s="488">
        <v>304.5</v>
      </c>
      <c r="F314" s="216" t="s">
        <v>756</v>
      </c>
      <c r="H314" s="144">
        <v>15</v>
      </c>
      <c r="J314" s="313">
        <v>10802913.858178874</v>
      </c>
      <c r="K314" s="146"/>
      <c r="L314" s="260">
        <f t="shared" si="281"/>
        <v>7025134.881973722</v>
      </c>
      <c r="M314" s="212"/>
      <c r="N314" s="260">
        <f t="shared" si="282"/>
        <v>2224319.9633990303</v>
      </c>
      <c r="O314" s="212"/>
      <c r="P314" s="260">
        <f t="shared" si="283"/>
        <v>222540.02547848481</v>
      </c>
      <c r="Q314" s="212"/>
      <c r="R314" s="260">
        <f t="shared" si="284"/>
        <v>623328.12961692107</v>
      </c>
      <c r="S314" s="212"/>
      <c r="T314" s="260">
        <f t="shared" si="285"/>
        <v>150160.50262868634</v>
      </c>
      <c r="U314" s="212"/>
      <c r="V314" s="260">
        <f t="shared" si="286"/>
        <v>176087.49588831564</v>
      </c>
      <c r="W314" s="212"/>
      <c r="X314" s="260">
        <f t="shared" si="287"/>
        <v>381342.85919371422</v>
      </c>
      <c r="Y314" s="212"/>
      <c r="Z314" s="175"/>
      <c r="AC314" s="216" t="s">
        <v>756</v>
      </c>
      <c r="AE314" s="239">
        <f t="shared" si="279"/>
        <v>15</v>
      </c>
      <c r="AG314" s="145">
        <f t="shared" si="280"/>
        <v>10802913.858178874</v>
      </c>
      <c r="AI314" s="262">
        <f t="shared" si="288"/>
        <v>3174976.3829187714</v>
      </c>
      <c r="AJ314" s="262"/>
      <c r="AK314" s="262">
        <f t="shared" si="289"/>
        <v>1637721.7408999174</v>
      </c>
      <c r="AL314" s="262"/>
      <c r="AM314" s="262">
        <f t="shared" si="290"/>
        <v>514218.69964931445</v>
      </c>
      <c r="AN314" s="262"/>
      <c r="AO314" s="262">
        <f t="shared" si="291"/>
        <v>1959648.573873648</v>
      </c>
      <c r="AP314" s="262"/>
      <c r="AQ314" s="262">
        <f t="shared" si="292"/>
        <v>531503.36182240059</v>
      </c>
      <c r="AR314" s="262"/>
      <c r="AS314" s="262">
        <f t="shared" si="293"/>
        <v>1899152.2562678463</v>
      </c>
      <c r="AT314" s="262"/>
      <c r="AU314" s="262">
        <f t="shared" si="294"/>
        <v>546627.44122385106</v>
      </c>
      <c r="AV314" s="262"/>
      <c r="AW314" s="262">
        <f t="shared" si="295"/>
        <v>157722.54232941158</v>
      </c>
      <c r="AX314" s="262"/>
      <c r="AY314" s="262">
        <f t="shared" si="296"/>
        <v>381342.85919371422</v>
      </c>
      <c r="BA314" s="175"/>
      <c r="BB314" s="145"/>
      <c r="BC314" s="145"/>
      <c r="BD314" s="145"/>
    </row>
    <row r="315" spans="1:56">
      <c r="A315" s="514"/>
      <c r="B315" s="515"/>
      <c r="D315" s="488">
        <v>340.1</v>
      </c>
      <c r="F315" s="216" t="s">
        <v>618</v>
      </c>
      <c r="H315" s="144">
        <v>15</v>
      </c>
      <c r="J315" s="313">
        <v>232116.21177240653</v>
      </c>
      <c r="K315" s="146"/>
      <c r="L315" s="260">
        <f t="shared" si="281"/>
        <v>150945.17251559597</v>
      </c>
      <c r="M315" s="212"/>
      <c r="N315" s="260">
        <f t="shared" si="282"/>
        <v>47792.728003938508</v>
      </c>
      <c r="O315" s="212"/>
      <c r="P315" s="260">
        <f t="shared" si="283"/>
        <v>4781.5939625115743</v>
      </c>
      <c r="Q315" s="212"/>
      <c r="R315" s="260">
        <f t="shared" si="284"/>
        <v>13393.105419267857</v>
      </c>
      <c r="S315" s="212"/>
      <c r="T315" s="260">
        <f t="shared" si="285"/>
        <v>3226.4153436364504</v>
      </c>
      <c r="U315" s="212"/>
      <c r="V315" s="260">
        <f t="shared" si="286"/>
        <v>3783.4942518902262</v>
      </c>
      <c r="W315" s="212"/>
      <c r="X315" s="260">
        <f t="shared" si="287"/>
        <v>8193.7022755659509</v>
      </c>
      <c r="Y315" s="212"/>
      <c r="Z315" s="175"/>
      <c r="AC315" s="216" t="s">
        <v>618</v>
      </c>
      <c r="AE315" s="239">
        <f t="shared" si="279"/>
        <v>15</v>
      </c>
      <c r="AG315" s="145">
        <f t="shared" si="280"/>
        <v>232116.21177240653</v>
      </c>
      <c r="AI315" s="262">
        <f t="shared" si="288"/>
        <v>68218.954639910284</v>
      </c>
      <c r="AJ315" s="262"/>
      <c r="AK315" s="262">
        <f t="shared" si="289"/>
        <v>35188.817704696834</v>
      </c>
      <c r="AL315" s="262"/>
      <c r="AM315" s="262">
        <f t="shared" si="290"/>
        <v>11048.731680366553</v>
      </c>
      <c r="AN315" s="262"/>
      <c r="AO315" s="262">
        <f t="shared" si="291"/>
        <v>42105.880815514545</v>
      </c>
      <c r="AP315" s="262"/>
      <c r="AQ315" s="262">
        <f t="shared" si="292"/>
        <v>11420.117619202401</v>
      </c>
      <c r="AR315" s="262"/>
      <c r="AS315" s="262">
        <f t="shared" si="293"/>
        <v>40806.03002958907</v>
      </c>
      <c r="AT315" s="262"/>
      <c r="AU315" s="262">
        <f t="shared" si="294"/>
        <v>11745.08031568377</v>
      </c>
      <c r="AV315" s="262"/>
      <c r="AW315" s="262">
        <f t="shared" si="295"/>
        <v>3388.8966918771353</v>
      </c>
      <c r="AX315" s="262"/>
      <c r="AY315" s="262">
        <f t="shared" si="296"/>
        <v>8193.7022755659509</v>
      </c>
      <c r="BA315" s="175"/>
      <c r="BB315" s="145"/>
      <c r="BC315" s="145"/>
      <c r="BD315" s="145"/>
    </row>
    <row r="316" spans="1:56">
      <c r="A316" s="514"/>
      <c r="B316" s="515"/>
      <c r="D316" s="488">
        <v>340.2</v>
      </c>
      <c r="F316" s="216" t="s">
        <v>757</v>
      </c>
      <c r="H316" s="144">
        <v>15</v>
      </c>
      <c r="J316" s="313">
        <v>-837136.4987775702</v>
      </c>
      <c r="K316" s="146"/>
      <c r="L316" s="260">
        <f t="shared" si="281"/>
        <v>-544389.86515505391</v>
      </c>
      <c r="M316" s="212"/>
      <c r="N316" s="260">
        <f t="shared" si="282"/>
        <v>-172366.40509830171</v>
      </c>
      <c r="O316" s="212"/>
      <c r="P316" s="260">
        <f t="shared" si="283"/>
        <v>-17245.011874817945</v>
      </c>
      <c r="Q316" s="212"/>
      <c r="R316" s="260">
        <f t="shared" si="284"/>
        <v>-48302.775979465805</v>
      </c>
      <c r="S316" s="212"/>
      <c r="T316" s="260">
        <f t="shared" si="285"/>
        <v>-11636.197333008226</v>
      </c>
      <c r="U316" s="212"/>
      <c r="V316" s="260">
        <f t="shared" si="286"/>
        <v>-13645.324930074394</v>
      </c>
      <c r="W316" s="212"/>
      <c r="X316" s="260">
        <f t="shared" si="287"/>
        <v>-29550.918406848228</v>
      </c>
      <c r="Y316" s="212"/>
      <c r="Z316" s="175"/>
      <c r="AC316" s="216" t="s">
        <v>757</v>
      </c>
      <c r="AE316" s="239">
        <f t="shared" si="279"/>
        <v>15</v>
      </c>
      <c r="AG316" s="145">
        <f t="shared" si="280"/>
        <v>-837136.4987775702</v>
      </c>
      <c r="AI316" s="262">
        <f t="shared" si="288"/>
        <v>-246034.41699072788</v>
      </c>
      <c r="AJ316" s="262"/>
      <c r="AK316" s="262">
        <f t="shared" si="289"/>
        <v>-126909.89321467966</v>
      </c>
      <c r="AL316" s="262"/>
      <c r="AM316" s="262">
        <f t="shared" si="290"/>
        <v>-39847.697341812345</v>
      </c>
      <c r="AN316" s="262"/>
      <c r="AO316" s="262">
        <f t="shared" si="291"/>
        <v>-151856.56087825124</v>
      </c>
      <c r="AP316" s="262"/>
      <c r="AQ316" s="262">
        <f t="shared" si="292"/>
        <v>-41187.115739856454</v>
      </c>
      <c r="AR316" s="262"/>
      <c r="AS316" s="262">
        <f t="shared" si="293"/>
        <v>-147168.59648509684</v>
      </c>
      <c r="AT316" s="262"/>
      <c r="AU316" s="262">
        <f t="shared" si="294"/>
        <v>-42359.106838145053</v>
      </c>
      <c r="AV316" s="262"/>
      <c r="AW316" s="262">
        <f t="shared" si="295"/>
        <v>-12222.192882152525</v>
      </c>
      <c r="AX316" s="262"/>
      <c r="AY316" s="262">
        <f t="shared" si="296"/>
        <v>-29550.918406848228</v>
      </c>
      <c r="BA316" s="175"/>
      <c r="BB316" s="145"/>
      <c r="BC316" s="145"/>
      <c r="BD316" s="145"/>
    </row>
    <row r="317" spans="1:56">
      <c r="A317" s="514"/>
      <c r="B317" s="212"/>
      <c r="D317" s="488">
        <v>340.3</v>
      </c>
      <c r="F317" s="216" t="s">
        <v>774</v>
      </c>
      <c r="H317" s="144">
        <v>13</v>
      </c>
      <c r="J317" s="313">
        <v>3142918.7157586906</v>
      </c>
      <c r="K317" s="146"/>
      <c r="L317" s="260">
        <f t="shared" si="281"/>
        <v>2827369.676696518</v>
      </c>
      <c r="M317" s="212"/>
      <c r="N317" s="260">
        <f t="shared" si="282"/>
        <v>225347.27191989811</v>
      </c>
      <c r="O317" s="212"/>
      <c r="P317" s="260">
        <f t="shared" si="283"/>
        <v>1257.1674863034764</v>
      </c>
      <c r="Q317" s="212"/>
      <c r="R317" s="260">
        <f t="shared" si="284"/>
        <v>19486.096037703883</v>
      </c>
      <c r="S317" s="212"/>
      <c r="T317" s="260">
        <f t="shared" si="285"/>
        <v>628.58374315173819</v>
      </c>
      <c r="U317" s="212"/>
      <c r="V317" s="260">
        <f t="shared" si="286"/>
        <v>67887.044260387716</v>
      </c>
      <c r="W317" s="212"/>
      <c r="X317" s="260">
        <f t="shared" si="287"/>
        <v>942.87561472760706</v>
      </c>
      <c r="Y317" s="212"/>
      <c r="Z317" s="175"/>
      <c r="AC317" s="216" t="s">
        <v>774</v>
      </c>
      <c r="AE317" s="239">
        <f t="shared" si="279"/>
        <v>13</v>
      </c>
      <c r="AG317" s="145">
        <f t="shared" si="280"/>
        <v>3142918.7157586906</v>
      </c>
      <c r="AI317" s="262">
        <f t="shared" si="288"/>
        <v>0</v>
      </c>
      <c r="AJ317" s="262"/>
      <c r="AK317" s="262">
        <f t="shared" si="289"/>
        <v>0</v>
      </c>
      <c r="AL317" s="262"/>
      <c r="AM317" s="262">
        <f t="shared" si="290"/>
        <v>0</v>
      </c>
      <c r="AN317" s="262"/>
      <c r="AO317" s="262">
        <f t="shared" si="291"/>
        <v>0</v>
      </c>
      <c r="AP317" s="262"/>
      <c r="AQ317" s="262">
        <f t="shared" si="292"/>
        <v>0</v>
      </c>
      <c r="AR317" s="262"/>
      <c r="AS317" s="262">
        <f t="shared" si="293"/>
        <v>3074088.7958835755</v>
      </c>
      <c r="AT317" s="262"/>
      <c r="AU317" s="262">
        <f t="shared" si="294"/>
        <v>0</v>
      </c>
      <c r="AV317" s="262"/>
      <c r="AW317" s="262">
        <f t="shared" si="295"/>
        <v>67887.044260387716</v>
      </c>
      <c r="AX317" s="262"/>
      <c r="AY317" s="262">
        <f t="shared" si="296"/>
        <v>942.87561472760706</v>
      </c>
      <c r="BA317" s="175"/>
      <c r="BB317" s="145"/>
      <c r="BC317" s="145"/>
      <c r="BD317" s="145"/>
    </row>
    <row r="318" spans="1:56">
      <c r="A318" s="514"/>
      <c r="B318" s="515"/>
      <c r="D318" s="488">
        <v>340.3</v>
      </c>
      <c r="F318" s="216" t="s">
        <v>775</v>
      </c>
      <c r="H318" s="144">
        <v>15</v>
      </c>
      <c r="J318" s="313">
        <v>6828270.1032726858</v>
      </c>
      <c r="K318" s="146"/>
      <c r="L318" s="260">
        <f t="shared" si="281"/>
        <v>4440424.0481582275</v>
      </c>
      <c r="M318" s="212"/>
      <c r="N318" s="260">
        <f t="shared" si="282"/>
        <v>1405940.814263846</v>
      </c>
      <c r="O318" s="212"/>
      <c r="P318" s="260">
        <f t="shared" si="283"/>
        <v>140662.36412741733</v>
      </c>
      <c r="Q318" s="212"/>
      <c r="R318" s="260">
        <f t="shared" si="284"/>
        <v>393991.18495883397</v>
      </c>
      <c r="S318" s="212"/>
      <c r="T318" s="260">
        <f t="shared" si="285"/>
        <v>94912.954435490334</v>
      </c>
      <c r="U318" s="212"/>
      <c r="V318" s="260">
        <f t="shared" si="286"/>
        <v>111300.80268334477</v>
      </c>
      <c r="W318" s="212"/>
      <c r="X318" s="260">
        <f t="shared" si="287"/>
        <v>241037.93464552579</v>
      </c>
      <c r="Y318" s="212"/>
      <c r="Z318" s="175"/>
      <c r="AC318" s="216" t="s">
        <v>775</v>
      </c>
      <c r="AE318" s="239">
        <f t="shared" si="279"/>
        <v>15</v>
      </c>
      <c r="AG318" s="145">
        <f t="shared" si="280"/>
        <v>6828270.1032726858</v>
      </c>
      <c r="AI318" s="262">
        <f t="shared" si="288"/>
        <v>2006828.5833518424</v>
      </c>
      <c r="AJ318" s="262"/>
      <c r="AK318" s="262">
        <f t="shared" si="289"/>
        <v>1035165.7476561392</v>
      </c>
      <c r="AL318" s="262"/>
      <c r="AM318" s="262">
        <f t="shared" si="290"/>
        <v>325025.65691577987</v>
      </c>
      <c r="AN318" s="262"/>
      <c r="AO318" s="262">
        <f t="shared" si="291"/>
        <v>1238648.1967336652</v>
      </c>
      <c r="AP318" s="262"/>
      <c r="AQ318" s="262">
        <f t="shared" si="292"/>
        <v>335950.88908101612</v>
      </c>
      <c r="AR318" s="262"/>
      <c r="AS318" s="262">
        <f t="shared" si="293"/>
        <v>1200409.8841553382</v>
      </c>
      <c r="AT318" s="262"/>
      <c r="AU318" s="262">
        <f t="shared" si="294"/>
        <v>345510.46722559788</v>
      </c>
      <c r="AV318" s="262"/>
      <c r="AW318" s="262">
        <f t="shared" si="295"/>
        <v>99692.743507781212</v>
      </c>
      <c r="AX318" s="262"/>
      <c r="AY318" s="262">
        <f t="shared" si="296"/>
        <v>241037.93464552579</v>
      </c>
      <c r="BA318" s="175"/>
      <c r="BB318" s="145"/>
      <c r="BC318" s="145"/>
      <c r="BD318" s="145"/>
    </row>
    <row r="319" spans="1:56">
      <c r="A319" s="514"/>
      <c r="B319" s="515"/>
      <c r="D319" s="488">
        <v>341</v>
      </c>
      <c r="F319" s="216" t="s">
        <v>758</v>
      </c>
      <c r="H319" s="144">
        <v>15</v>
      </c>
      <c r="J319" s="313">
        <v>2817241.3294299031</v>
      </c>
      <c r="K319" s="146"/>
      <c r="L319" s="260">
        <f t="shared" si="281"/>
        <v>1832052.036528266</v>
      </c>
      <c r="M319" s="212"/>
      <c r="N319" s="260">
        <f t="shared" si="282"/>
        <v>580069.98972961702</v>
      </c>
      <c r="O319" s="212"/>
      <c r="P319" s="260">
        <f t="shared" si="283"/>
        <v>58035.171386256006</v>
      </c>
      <c r="Q319" s="212"/>
      <c r="R319" s="260">
        <f t="shared" si="284"/>
        <v>162554.82470810541</v>
      </c>
      <c r="S319" s="212"/>
      <c r="T319" s="260">
        <f t="shared" si="285"/>
        <v>39159.654479075652</v>
      </c>
      <c r="U319" s="212"/>
      <c r="V319" s="260">
        <f t="shared" si="286"/>
        <v>45921.033669707416</v>
      </c>
      <c r="W319" s="212"/>
      <c r="X319" s="260">
        <f t="shared" si="287"/>
        <v>99448.61892887557</v>
      </c>
      <c r="Y319" s="212"/>
      <c r="Z319" s="175"/>
      <c r="AC319" s="216" t="s">
        <v>758</v>
      </c>
      <c r="AE319" s="239">
        <f t="shared" si="279"/>
        <v>15</v>
      </c>
      <c r="AG319" s="145">
        <f t="shared" si="280"/>
        <v>2817241.3294299031</v>
      </c>
      <c r="AI319" s="262">
        <f t="shared" si="288"/>
        <v>827987.22671944846</v>
      </c>
      <c r="AJ319" s="262"/>
      <c r="AK319" s="262">
        <f t="shared" si="289"/>
        <v>427093.78554157336</v>
      </c>
      <c r="AL319" s="262"/>
      <c r="AM319" s="262">
        <f t="shared" si="290"/>
        <v>134100.68728086341</v>
      </c>
      <c r="AN319" s="262"/>
      <c r="AO319" s="262">
        <f t="shared" si="291"/>
        <v>511047.57715858443</v>
      </c>
      <c r="AP319" s="262"/>
      <c r="AQ319" s="262">
        <f t="shared" si="292"/>
        <v>138608.27340795123</v>
      </c>
      <c r="AR319" s="262"/>
      <c r="AS319" s="262">
        <f t="shared" si="293"/>
        <v>495271.02571377699</v>
      </c>
      <c r="AT319" s="262"/>
      <c r="AU319" s="262">
        <f t="shared" si="294"/>
        <v>142552.41126915309</v>
      </c>
      <c r="AV319" s="262"/>
      <c r="AW319" s="262">
        <f t="shared" si="295"/>
        <v>41131.723409676582</v>
      </c>
      <c r="AX319" s="262"/>
      <c r="AY319" s="262">
        <f t="shared" si="296"/>
        <v>99448.61892887557</v>
      </c>
      <c r="BA319" s="175"/>
      <c r="BB319" s="145"/>
      <c r="BC319" s="145"/>
      <c r="BD319" s="145"/>
    </row>
    <row r="320" spans="1:56">
      <c r="A320" s="514"/>
      <c r="B320" s="515"/>
      <c r="D320" s="488">
        <v>342</v>
      </c>
      <c r="F320" s="216" t="s">
        <v>630</v>
      </c>
      <c r="H320" s="144">
        <v>15</v>
      </c>
      <c r="J320" s="313">
        <v>2485.0987509259212</v>
      </c>
      <c r="K320" s="146"/>
      <c r="L320" s="260">
        <f t="shared" si="281"/>
        <v>1616.0597177271266</v>
      </c>
      <c r="M320" s="212"/>
      <c r="N320" s="260">
        <f t="shared" si="282"/>
        <v>511.68183281564717</v>
      </c>
      <c r="O320" s="212"/>
      <c r="P320" s="260">
        <f t="shared" si="283"/>
        <v>51.193034269073976</v>
      </c>
      <c r="Q320" s="212"/>
      <c r="R320" s="260">
        <f t="shared" si="284"/>
        <v>143.39019792842566</v>
      </c>
      <c r="S320" s="212"/>
      <c r="T320" s="260">
        <f t="shared" si="285"/>
        <v>34.542872637870303</v>
      </c>
      <c r="U320" s="212"/>
      <c r="V320" s="260">
        <f t="shared" si="286"/>
        <v>40.507109640092509</v>
      </c>
      <c r="W320" s="212"/>
      <c r="X320" s="260">
        <f t="shared" si="287"/>
        <v>87.723985907685019</v>
      </c>
      <c r="Y320" s="212"/>
      <c r="Z320" s="175"/>
      <c r="AC320" s="216" t="s">
        <v>630</v>
      </c>
      <c r="AE320" s="239">
        <f t="shared" si="279"/>
        <v>15</v>
      </c>
      <c r="AG320" s="145">
        <f t="shared" si="280"/>
        <v>2485.0987509259212</v>
      </c>
      <c r="AI320" s="262">
        <f t="shared" si="288"/>
        <v>730.37052289712824</v>
      </c>
      <c r="AJ320" s="262"/>
      <c r="AK320" s="262">
        <f t="shared" si="289"/>
        <v>376.74097064036971</v>
      </c>
      <c r="AL320" s="262"/>
      <c r="AM320" s="262">
        <f t="shared" si="290"/>
        <v>118.29070054407386</v>
      </c>
      <c r="AN320" s="262"/>
      <c r="AO320" s="262">
        <f t="shared" si="291"/>
        <v>450.79691341796212</v>
      </c>
      <c r="AP320" s="262"/>
      <c r="AQ320" s="262">
        <f t="shared" si="292"/>
        <v>122.26685854555532</v>
      </c>
      <c r="AR320" s="262"/>
      <c r="AS320" s="262">
        <f t="shared" si="293"/>
        <v>436.88036041277695</v>
      </c>
      <c r="AT320" s="262"/>
      <c r="AU320" s="262">
        <f t="shared" si="294"/>
        <v>125.74599679685161</v>
      </c>
      <c r="AV320" s="262"/>
      <c r="AW320" s="262">
        <f t="shared" si="295"/>
        <v>36.282441763518449</v>
      </c>
      <c r="AX320" s="262"/>
      <c r="AY320" s="262">
        <f t="shared" si="296"/>
        <v>87.723985907685019</v>
      </c>
      <c r="BA320" s="175"/>
      <c r="BB320" s="145"/>
      <c r="BC320" s="145"/>
      <c r="BD320" s="145"/>
    </row>
    <row r="321" spans="1:56">
      <c r="A321" s="551"/>
      <c r="B321" s="552"/>
      <c r="D321" s="488">
        <v>343</v>
      </c>
      <c r="F321" s="216" t="s">
        <v>631</v>
      </c>
      <c r="H321" s="144">
        <v>15</v>
      </c>
      <c r="J321" s="313">
        <v>1431910.8703493739</v>
      </c>
      <c r="K321" s="146"/>
      <c r="L321" s="260">
        <f t="shared" si="281"/>
        <v>931171.63898819778</v>
      </c>
      <c r="M321" s="212"/>
      <c r="N321" s="260">
        <f t="shared" si="282"/>
        <v>294830.44820493611</v>
      </c>
      <c r="O321" s="212"/>
      <c r="P321" s="260">
        <f t="shared" si="283"/>
        <v>29497.363929197101</v>
      </c>
      <c r="Q321" s="212"/>
      <c r="R321" s="260">
        <f t="shared" si="284"/>
        <v>82621.25721915887</v>
      </c>
      <c r="S321" s="212"/>
      <c r="T321" s="260">
        <f t="shared" si="285"/>
        <v>19903.561097856295</v>
      </c>
      <c r="U321" s="212"/>
      <c r="V321" s="260">
        <f t="shared" si="286"/>
        <v>23340.147186694794</v>
      </c>
      <c r="W321" s="212"/>
      <c r="X321" s="260">
        <f t="shared" si="287"/>
        <v>50546.453723332896</v>
      </c>
      <c r="Y321" s="212"/>
      <c r="Z321" s="175"/>
      <c r="AC321" s="216" t="s">
        <v>631</v>
      </c>
      <c r="AE321" s="239">
        <f t="shared" si="279"/>
        <v>15</v>
      </c>
      <c r="AG321" s="145">
        <f t="shared" si="280"/>
        <v>1431910.8703493739</v>
      </c>
      <c r="AI321" s="262">
        <f t="shared" si="288"/>
        <v>420838.60479568096</v>
      </c>
      <c r="AJ321" s="262"/>
      <c r="AK321" s="262">
        <f t="shared" si="289"/>
        <v>217077.68794496509</v>
      </c>
      <c r="AL321" s="262"/>
      <c r="AM321" s="262">
        <f t="shared" si="290"/>
        <v>68158.957428630209</v>
      </c>
      <c r="AN321" s="262"/>
      <c r="AO321" s="262">
        <f t="shared" si="291"/>
        <v>259748.63188137644</v>
      </c>
      <c r="AP321" s="262"/>
      <c r="AQ321" s="262">
        <f t="shared" si="292"/>
        <v>70450.014821189194</v>
      </c>
      <c r="AR321" s="262"/>
      <c r="AS321" s="262">
        <f t="shared" si="293"/>
        <v>251729.93100741995</v>
      </c>
      <c r="AT321" s="262"/>
      <c r="AU321" s="262">
        <f t="shared" si="294"/>
        <v>72454.690039678317</v>
      </c>
      <c r="AV321" s="262"/>
      <c r="AW321" s="262">
        <f t="shared" si="295"/>
        <v>20905.89870710086</v>
      </c>
      <c r="AX321" s="262"/>
      <c r="AY321" s="262">
        <f t="shared" si="296"/>
        <v>50546.453723332896</v>
      </c>
      <c r="BA321" s="175"/>
      <c r="BB321" s="145"/>
      <c r="BC321" s="145"/>
      <c r="BD321" s="145"/>
    </row>
    <row r="322" spans="1:56">
      <c r="A322" s="551"/>
      <c r="B322" s="552"/>
      <c r="D322" s="488">
        <v>344</v>
      </c>
      <c r="F322" s="216" t="s">
        <v>632</v>
      </c>
      <c r="H322" s="144">
        <v>2</v>
      </c>
      <c r="J322" s="313">
        <v>519230.54546329973</v>
      </c>
      <c r="K322" s="146"/>
      <c r="L322" s="260">
        <f t="shared" si="281"/>
        <v>263405.65571353195</v>
      </c>
      <c r="M322" s="212"/>
      <c r="N322" s="260">
        <f t="shared" si="282"/>
        <v>161688.39185727155</v>
      </c>
      <c r="O322" s="212"/>
      <c r="P322" s="260">
        <f t="shared" si="283"/>
        <v>20821.14487307832</v>
      </c>
      <c r="Q322" s="212"/>
      <c r="R322" s="260">
        <f t="shared" si="284"/>
        <v>54830.745600924449</v>
      </c>
      <c r="S322" s="212"/>
      <c r="T322" s="260">
        <f t="shared" si="285"/>
        <v>16667.300509371918</v>
      </c>
      <c r="U322" s="212"/>
      <c r="V322" s="260">
        <f t="shared" si="286"/>
        <v>830.76887274127955</v>
      </c>
      <c r="W322" s="212"/>
      <c r="X322" s="260">
        <f t="shared" si="287"/>
        <v>986.53803638026943</v>
      </c>
      <c r="Y322" s="212"/>
      <c r="Z322" s="175"/>
      <c r="AC322" s="216" t="s">
        <v>632</v>
      </c>
      <c r="AE322" s="239">
        <f t="shared" si="279"/>
        <v>2</v>
      </c>
      <c r="AG322" s="145">
        <f t="shared" si="280"/>
        <v>519230.54546329973</v>
      </c>
      <c r="AI322" s="262">
        <f t="shared" si="288"/>
        <v>312888.32669618435</v>
      </c>
      <c r="AJ322" s="262"/>
      <c r="AK322" s="262">
        <f t="shared" si="289"/>
        <v>204524.91185799375</v>
      </c>
      <c r="AL322" s="262"/>
      <c r="AM322" s="262">
        <f t="shared" si="290"/>
        <v>0</v>
      </c>
      <c r="AN322" s="262"/>
      <c r="AO322" s="262">
        <f t="shared" si="291"/>
        <v>0</v>
      </c>
      <c r="AP322" s="262"/>
      <c r="AQ322" s="262">
        <f t="shared" si="292"/>
        <v>0</v>
      </c>
      <c r="AR322" s="262"/>
      <c r="AS322" s="262">
        <f t="shared" si="293"/>
        <v>0</v>
      </c>
      <c r="AT322" s="262"/>
      <c r="AU322" s="262">
        <f t="shared" si="294"/>
        <v>0</v>
      </c>
      <c r="AV322" s="262"/>
      <c r="AW322" s="262">
        <f t="shared" si="295"/>
        <v>830.76887274127955</v>
      </c>
      <c r="AX322" s="262"/>
      <c r="AY322" s="262">
        <f t="shared" si="296"/>
        <v>986.53803638026943</v>
      </c>
      <c r="BA322" s="175"/>
      <c r="BB322" s="145"/>
      <c r="BC322" s="145"/>
      <c r="BD322" s="145"/>
    </row>
    <row r="323" spans="1:56" ht="15" customHeight="1">
      <c r="A323" s="514"/>
      <c r="B323" s="515"/>
      <c r="D323" s="488">
        <v>345</v>
      </c>
      <c r="F323" s="216" t="s">
        <v>633</v>
      </c>
      <c r="H323" s="144">
        <v>15</v>
      </c>
      <c r="J323" s="313">
        <v>508657.89297190076</v>
      </c>
      <c r="K323" s="146"/>
      <c r="L323" s="260">
        <f t="shared" si="281"/>
        <v>330780.22779962706</v>
      </c>
      <c r="M323" s="212"/>
      <c r="N323" s="260">
        <f t="shared" si="282"/>
        <v>104732.66016291437</v>
      </c>
      <c r="O323" s="212"/>
      <c r="P323" s="260">
        <f t="shared" si="283"/>
        <v>10478.352595221155</v>
      </c>
      <c r="Q323" s="212"/>
      <c r="R323" s="260">
        <f t="shared" si="284"/>
        <v>29349.560424478674</v>
      </c>
      <c r="S323" s="212"/>
      <c r="T323" s="260">
        <f t="shared" si="285"/>
        <v>7070.3447123094202</v>
      </c>
      <c r="U323" s="212"/>
      <c r="V323" s="260">
        <f t="shared" si="286"/>
        <v>8291.1236554419811</v>
      </c>
      <c r="W323" s="212"/>
      <c r="X323" s="260">
        <f t="shared" si="287"/>
        <v>17955.623621908097</v>
      </c>
      <c r="Y323" s="212"/>
      <c r="Z323" s="175"/>
      <c r="AC323" s="216" t="s">
        <v>633</v>
      </c>
      <c r="AE323" s="239">
        <f t="shared" si="279"/>
        <v>15</v>
      </c>
      <c r="AG323" s="145">
        <f t="shared" si="280"/>
        <v>508657.89297190076</v>
      </c>
      <c r="AI323" s="262">
        <f t="shared" si="288"/>
        <v>149494.55474444164</v>
      </c>
      <c r="AJ323" s="262"/>
      <c r="AK323" s="262">
        <f t="shared" si="289"/>
        <v>77112.536574540165</v>
      </c>
      <c r="AL323" s="262"/>
      <c r="AM323" s="262">
        <f t="shared" si="290"/>
        <v>24212.115705462478</v>
      </c>
      <c r="AN323" s="262"/>
      <c r="AO323" s="262">
        <f t="shared" si="291"/>
        <v>92270.541785102803</v>
      </c>
      <c r="AP323" s="262"/>
      <c r="AQ323" s="262">
        <f t="shared" si="292"/>
        <v>25025.968334217516</v>
      </c>
      <c r="AR323" s="262"/>
      <c r="AS323" s="262">
        <f t="shared" si="293"/>
        <v>89422.057584460155</v>
      </c>
      <c r="AT323" s="262"/>
      <c r="AU323" s="262">
        <f t="shared" si="294"/>
        <v>25738.089384378178</v>
      </c>
      <c r="AV323" s="262"/>
      <c r="AW323" s="262">
        <f t="shared" si="295"/>
        <v>7426.4052373897512</v>
      </c>
      <c r="AX323" s="262"/>
      <c r="AY323" s="262">
        <f t="shared" si="296"/>
        <v>17955.623621908097</v>
      </c>
      <c r="BA323" s="175"/>
      <c r="BB323" s="145"/>
      <c r="BC323" s="145"/>
      <c r="BD323" s="145"/>
    </row>
    <row r="324" spans="1:56">
      <c r="A324" s="514"/>
      <c r="B324" s="515"/>
      <c r="D324" s="488">
        <v>346</v>
      </c>
      <c r="F324" s="216" t="s">
        <v>634</v>
      </c>
      <c r="H324" s="144">
        <v>15</v>
      </c>
      <c r="J324" s="313">
        <v>3729655.0761444685</v>
      </c>
      <c r="K324" s="146"/>
      <c r="L324" s="260">
        <f t="shared" si="281"/>
        <v>2425394.696016748</v>
      </c>
      <c r="M324" s="212"/>
      <c r="N324" s="260">
        <f t="shared" si="282"/>
        <v>767935.98017814604</v>
      </c>
      <c r="O324" s="212"/>
      <c r="P324" s="260">
        <f t="shared" si="283"/>
        <v>76830.894568576055</v>
      </c>
      <c r="Q324" s="212"/>
      <c r="R324" s="260">
        <f t="shared" si="284"/>
        <v>215201.09789353583</v>
      </c>
      <c r="S324" s="212"/>
      <c r="T324" s="260">
        <f t="shared" si="285"/>
        <v>51842.20555840811</v>
      </c>
      <c r="U324" s="212"/>
      <c r="V324" s="260">
        <f t="shared" si="286"/>
        <v>60793.377741154829</v>
      </c>
      <c r="W324" s="212"/>
      <c r="X324" s="260">
        <f t="shared" si="287"/>
        <v>131656.82418789974</v>
      </c>
      <c r="Y324" s="212"/>
      <c r="Z324" s="175"/>
      <c r="AC324" s="216" t="s">
        <v>634</v>
      </c>
      <c r="AE324" s="239">
        <f t="shared" si="279"/>
        <v>15</v>
      </c>
      <c r="AG324" s="145">
        <f t="shared" si="280"/>
        <v>3729655.0761444685</v>
      </c>
      <c r="AI324" s="262">
        <f t="shared" si="288"/>
        <v>1096145.6268788592</v>
      </c>
      <c r="AJ324" s="262"/>
      <c r="AK324" s="262">
        <f t="shared" si="289"/>
        <v>565415.70954350149</v>
      </c>
      <c r="AL324" s="262"/>
      <c r="AM324" s="262">
        <f t="shared" si="290"/>
        <v>177531.5816244767</v>
      </c>
      <c r="AN324" s="262"/>
      <c r="AO324" s="262">
        <f t="shared" si="291"/>
        <v>676559.43081260659</v>
      </c>
      <c r="AP324" s="262"/>
      <c r="AQ324" s="262">
        <f t="shared" si="292"/>
        <v>183499.02974630785</v>
      </c>
      <c r="AR324" s="262"/>
      <c r="AS324" s="262">
        <f t="shared" si="293"/>
        <v>655673.36238619755</v>
      </c>
      <c r="AT324" s="262"/>
      <c r="AU324" s="262">
        <f t="shared" si="294"/>
        <v>188720.54685291011</v>
      </c>
      <c r="AV324" s="262"/>
      <c r="AW324" s="262">
        <f t="shared" si="295"/>
        <v>54452.96411170924</v>
      </c>
      <c r="AX324" s="262"/>
      <c r="AY324" s="262">
        <f t="shared" si="296"/>
        <v>131656.82418789974</v>
      </c>
      <c r="BA324" s="175"/>
      <c r="BB324" s="145"/>
      <c r="BC324" s="145"/>
      <c r="BD324" s="145"/>
    </row>
    <row r="325" spans="1:56">
      <c r="A325" s="514"/>
      <c r="B325" s="515"/>
      <c r="D325" s="488">
        <v>347</v>
      </c>
      <c r="F325" s="216" t="s">
        <v>635</v>
      </c>
      <c r="H325" s="144">
        <v>15</v>
      </c>
      <c r="J325" s="313">
        <v>833878.51214030362</v>
      </c>
      <c r="K325" s="146"/>
      <c r="L325" s="260">
        <f t="shared" si="281"/>
        <v>542271.19644483947</v>
      </c>
      <c r="M325" s="212"/>
      <c r="N325" s="260">
        <f t="shared" si="282"/>
        <v>171695.58564968852</v>
      </c>
      <c r="O325" s="212"/>
      <c r="P325" s="260">
        <f t="shared" si="283"/>
        <v>17177.897350090254</v>
      </c>
      <c r="Q325" s="212"/>
      <c r="R325" s="260">
        <f t="shared" si="284"/>
        <v>48114.790150495523</v>
      </c>
      <c r="S325" s="212"/>
      <c r="T325" s="260">
        <f t="shared" si="285"/>
        <v>11590.911318750219</v>
      </c>
      <c r="U325" s="212"/>
      <c r="V325" s="260">
        <f t="shared" si="286"/>
        <v>13592.219747886948</v>
      </c>
      <c r="W325" s="212"/>
      <c r="X325" s="260">
        <f t="shared" si="287"/>
        <v>29435.911478552716</v>
      </c>
      <c r="Y325" s="212"/>
      <c r="Z325" s="175"/>
      <c r="AC325" s="216" t="s">
        <v>635</v>
      </c>
      <c r="AE325" s="239">
        <f t="shared" ref="AE325:AE326" si="297">+H325</f>
        <v>15</v>
      </c>
      <c r="AG325" s="145">
        <f t="shared" ref="AG325:AG326" si="298">+J325</f>
        <v>833878.51214030362</v>
      </c>
      <c r="AI325" s="262">
        <f t="shared" si="288"/>
        <v>245076.89471803524</v>
      </c>
      <c r="AJ325" s="262"/>
      <c r="AK325" s="262">
        <f t="shared" si="289"/>
        <v>126415.98244047003</v>
      </c>
      <c r="AL325" s="262"/>
      <c r="AM325" s="262">
        <f t="shared" si="290"/>
        <v>39692.617177878456</v>
      </c>
      <c r="AN325" s="262"/>
      <c r="AO325" s="262">
        <f t="shared" si="291"/>
        <v>151265.56210225107</v>
      </c>
      <c r="AP325" s="262"/>
      <c r="AQ325" s="262">
        <f t="shared" si="292"/>
        <v>41026.822797302935</v>
      </c>
      <c r="AR325" s="262"/>
      <c r="AS325" s="262">
        <f t="shared" si="293"/>
        <v>146595.84243426539</v>
      </c>
      <c r="AT325" s="262"/>
      <c r="AU325" s="262">
        <f t="shared" si="294"/>
        <v>42194.252714299364</v>
      </c>
      <c r="AV325" s="262"/>
      <c r="AW325" s="262">
        <f t="shared" si="295"/>
        <v>12174.626277248433</v>
      </c>
      <c r="AX325" s="262"/>
      <c r="AY325" s="262">
        <f t="shared" si="296"/>
        <v>29435.911478552716</v>
      </c>
      <c r="BA325" s="175"/>
      <c r="BB325" s="145"/>
      <c r="BC325" s="145"/>
      <c r="BD325" s="145"/>
    </row>
    <row r="326" spans="1:56">
      <c r="A326" s="514"/>
      <c r="B326" s="515"/>
      <c r="D326" s="488">
        <v>348</v>
      </c>
      <c r="F326" s="216" t="s">
        <v>636</v>
      </c>
      <c r="H326" s="144">
        <v>15</v>
      </c>
      <c r="J326" s="389">
        <v>161416.6788358952</v>
      </c>
      <c r="K326" s="146"/>
      <c r="L326" s="549">
        <f t="shared" si="281"/>
        <v>104969.26624698265</v>
      </c>
      <c r="M326" s="146"/>
      <c r="N326" s="549">
        <f t="shared" si="282"/>
        <v>33235.694172310825</v>
      </c>
      <c r="O326" s="146"/>
      <c r="P326" s="549">
        <f t="shared" si="283"/>
        <v>3325.1835840194412</v>
      </c>
      <c r="Q326" s="146"/>
      <c r="R326" s="549">
        <f t="shared" si="284"/>
        <v>9313.7423688311537</v>
      </c>
      <c r="S326" s="146"/>
      <c r="T326" s="549">
        <f t="shared" si="285"/>
        <v>2243.6918358189432</v>
      </c>
      <c r="U326" s="146"/>
      <c r="V326" s="549">
        <f t="shared" si="286"/>
        <v>2631.0918650250915</v>
      </c>
      <c r="W326" s="146"/>
      <c r="X326" s="549">
        <f t="shared" si="287"/>
        <v>5698.0087629071004</v>
      </c>
      <c r="Y326" s="212"/>
      <c r="Z326" s="175"/>
      <c r="AC326" s="216" t="s">
        <v>636</v>
      </c>
      <c r="AE326" s="239">
        <f t="shared" si="297"/>
        <v>15</v>
      </c>
      <c r="AG326" s="263">
        <f t="shared" si="298"/>
        <v>161416.6788358952</v>
      </c>
      <c r="AI326" s="509">
        <f t="shared" si="288"/>
        <v>47440.3619098696</v>
      </c>
      <c r="AK326" s="509">
        <f t="shared" si="289"/>
        <v>24470.768511521714</v>
      </c>
      <c r="AM326" s="509">
        <f t="shared" si="290"/>
        <v>7683.4339125886127</v>
      </c>
      <c r="AO326" s="509">
        <f t="shared" si="291"/>
        <v>29280.985540831392</v>
      </c>
      <c r="AQ326" s="509">
        <f t="shared" si="292"/>
        <v>7941.7005987260445</v>
      </c>
      <c r="AS326" s="509">
        <f t="shared" si="293"/>
        <v>28377.05213935038</v>
      </c>
      <c r="AU326" s="509">
        <f t="shared" si="294"/>
        <v>8167.6839490962975</v>
      </c>
      <c r="AW326" s="509">
        <f t="shared" si="295"/>
        <v>2356.6835110040702</v>
      </c>
      <c r="AY326" s="509">
        <f t="shared" si="296"/>
        <v>5698.0087629071004</v>
      </c>
      <c r="BA326" s="175"/>
      <c r="BB326" s="145"/>
      <c r="BC326" s="145"/>
      <c r="BD326" s="145"/>
    </row>
    <row r="327" spans="1:56">
      <c r="A327" s="514"/>
      <c r="B327" s="515"/>
      <c r="F327" s="216"/>
      <c r="J327" s="313"/>
      <c r="K327" s="146"/>
      <c r="L327" s="386"/>
      <c r="M327" s="146"/>
      <c r="N327" s="386"/>
      <c r="O327" s="146"/>
      <c r="P327" s="386"/>
      <c r="Q327" s="146"/>
      <c r="R327" s="386"/>
      <c r="S327" s="146"/>
      <c r="T327" s="386"/>
      <c r="U327" s="146"/>
      <c r="V327" s="386"/>
      <c r="W327" s="146"/>
      <c r="X327" s="386"/>
      <c r="Z327" s="175"/>
      <c r="AC327" s="216"/>
      <c r="AE327" s="239"/>
      <c r="AG327" s="387"/>
      <c r="AH327" s="146"/>
      <c r="AI327" s="386"/>
      <c r="AJ327" s="146"/>
      <c r="AK327" s="386"/>
      <c r="AL327" s="146"/>
      <c r="AM327" s="386"/>
      <c r="AN327" s="146"/>
      <c r="AO327" s="386"/>
      <c r="AP327" s="146"/>
      <c r="AQ327" s="386"/>
      <c r="AR327" s="146"/>
      <c r="AS327" s="386"/>
      <c r="AT327" s="146"/>
      <c r="AU327" s="386"/>
      <c r="AV327" s="146"/>
      <c r="AW327" s="386"/>
      <c r="AX327" s="146"/>
      <c r="AY327" s="386"/>
      <c r="BA327" s="175"/>
      <c r="BB327" s="145"/>
      <c r="BC327" s="145"/>
      <c r="BD327" s="145"/>
    </row>
    <row r="328" spans="1:56">
      <c r="A328" s="514"/>
      <c r="B328" s="515"/>
      <c r="F328" s="529" t="s">
        <v>528</v>
      </c>
      <c r="J328" s="312"/>
      <c r="L328" s="312"/>
      <c r="M328" s="529"/>
      <c r="N328" s="312"/>
      <c r="O328" s="529"/>
      <c r="P328" s="312"/>
      <c r="Q328" s="529"/>
      <c r="R328" s="312"/>
      <c r="S328" s="529"/>
      <c r="T328" s="312"/>
      <c r="U328" s="529"/>
      <c r="V328" s="312"/>
      <c r="W328" s="529"/>
      <c r="X328" s="312"/>
      <c r="Z328" s="175"/>
      <c r="AC328" s="529" t="s">
        <v>122</v>
      </c>
      <c r="AD328" s="140"/>
      <c r="AE328" s="144"/>
      <c r="AG328" s="312"/>
      <c r="AH328" s="146"/>
      <c r="AI328" s="386"/>
      <c r="AJ328" s="146"/>
      <c r="AK328" s="386"/>
      <c r="AL328" s="146"/>
      <c r="AM328" s="386"/>
      <c r="AN328" s="146"/>
      <c r="AO328" s="386"/>
      <c r="AP328" s="146"/>
      <c r="AQ328" s="386"/>
      <c r="AR328" s="146"/>
      <c r="AS328" s="386"/>
      <c r="AT328" s="146"/>
      <c r="AU328" s="386"/>
      <c r="AV328" s="146"/>
      <c r="AW328" s="386"/>
      <c r="AX328" s="146"/>
      <c r="AY328" s="386"/>
      <c r="BA328" s="175"/>
      <c r="BB328" s="145"/>
      <c r="BC328" s="145"/>
      <c r="BD328" s="145"/>
    </row>
    <row r="329" spans="1:56">
      <c r="A329" s="514"/>
      <c r="B329" s="515"/>
      <c r="F329" s="529" t="s">
        <v>529</v>
      </c>
      <c r="J329" s="312">
        <f>SUM(J278:J328)</f>
        <v>424701959.00324911</v>
      </c>
      <c r="L329" s="312">
        <f>SUM(L278:L328)</f>
        <v>221490830.37092417</v>
      </c>
      <c r="M329" s="529"/>
      <c r="N329" s="312">
        <f>SUM(N278:N328)</f>
        <v>110891469.59304041</v>
      </c>
      <c r="O329" s="529"/>
      <c r="P329" s="312">
        <f>SUM(P278:P328)</f>
        <v>13149502.423546733</v>
      </c>
      <c r="Q329" s="529"/>
      <c r="R329" s="312">
        <f>SUM(R278:R328)</f>
        <v>34962429.040149912</v>
      </c>
      <c r="S329" s="529"/>
      <c r="T329" s="312">
        <f>SUM(T278:T328)</f>
        <v>8498942.1294715758</v>
      </c>
      <c r="U329" s="529"/>
      <c r="V329" s="312">
        <f>SUM(V278:V328)</f>
        <v>12364845.857524306</v>
      </c>
      <c r="W329" s="529"/>
      <c r="X329" s="312">
        <f>SUM(X278:X328)</f>
        <v>23343939.58859216</v>
      </c>
      <c r="Z329" s="175"/>
      <c r="AC329" s="529" t="s">
        <v>123</v>
      </c>
      <c r="AD329" s="140"/>
      <c r="AE329" s="144"/>
      <c r="AG329" s="312">
        <f>SUM(AG278:AG328)</f>
        <v>424701959.00324911</v>
      </c>
      <c r="AI329" s="312">
        <f>SUM(AI278:AI328)</f>
        <v>182850770.8627086</v>
      </c>
      <c r="AK329" s="312">
        <f>SUM(AK278:AK328)</f>
        <v>98316792.286627114</v>
      </c>
      <c r="AM329" s="312">
        <f>SUM(AM278:AM328)</f>
        <v>46277112.554200388</v>
      </c>
      <c r="AO329" s="312">
        <f>SUM(AO278:AO328)</f>
        <v>43412926.838433489</v>
      </c>
      <c r="AQ329" s="312">
        <f>SUM(AQ278:AQ328)</f>
        <v>9489575.6697957851</v>
      </c>
      <c r="AS329" s="312">
        <f>SUM(AS278:AS328)</f>
        <v>7744652.9773904271</v>
      </c>
      <c r="AU329" s="312">
        <f>SUM(AU278:AU328)</f>
        <v>1343210.6570191535</v>
      </c>
      <c r="AW329" s="312">
        <f>SUM(AW278:AW328)</f>
        <v>12146842.456264824</v>
      </c>
      <c r="AY329" s="312">
        <f>SUM(AY278:AY328)</f>
        <v>23120074.700809546</v>
      </c>
      <c r="BA329" s="175"/>
      <c r="BB329" s="145"/>
      <c r="BC329" s="145"/>
      <c r="BD329" s="145"/>
    </row>
    <row r="330" spans="1:56">
      <c r="A330" s="514"/>
      <c r="B330" s="515"/>
      <c r="F330" s="529"/>
      <c r="J330" s="256"/>
      <c r="K330" s="146"/>
      <c r="L330" s="386"/>
      <c r="M330" s="387"/>
      <c r="N330" s="386"/>
      <c r="O330" s="387"/>
      <c r="P330" s="386"/>
      <c r="Q330" s="387"/>
      <c r="R330" s="386"/>
      <c r="S330" s="387"/>
      <c r="T330" s="386"/>
      <c r="U330" s="387"/>
      <c r="V330" s="386"/>
      <c r="W330" s="387"/>
      <c r="X330" s="386"/>
      <c r="Z330" s="175"/>
      <c r="AE330" s="239"/>
      <c r="AG330" s="387"/>
      <c r="AH330" s="146"/>
      <c r="AI330" s="386"/>
      <c r="AJ330" s="386"/>
      <c r="AK330" s="386"/>
      <c r="AL330" s="386"/>
      <c r="AM330" s="386"/>
      <c r="AN330" s="386"/>
      <c r="AO330" s="386"/>
      <c r="AP330" s="386"/>
      <c r="AQ330" s="386"/>
      <c r="AR330" s="386"/>
      <c r="AS330" s="386"/>
      <c r="AT330" s="386"/>
      <c r="AU330" s="386"/>
      <c r="AV330" s="386"/>
      <c r="AW330" s="386"/>
      <c r="AX330" s="386"/>
      <c r="AY330" s="386"/>
      <c r="BA330" s="175"/>
      <c r="BB330" s="145"/>
      <c r="BC330" s="145"/>
      <c r="BD330" s="145"/>
    </row>
    <row r="331" spans="1:56">
      <c r="A331" s="514"/>
      <c r="B331" s="515"/>
      <c r="F331" s="393" t="s">
        <v>124</v>
      </c>
      <c r="J331" s="256"/>
      <c r="K331" s="146"/>
      <c r="L331" s="386"/>
      <c r="M331" s="387"/>
      <c r="N331" s="386"/>
      <c r="O331" s="387"/>
      <c r="P331" s="386"/>
      <c r="Q331" s="387"/>
      <c r="R331" s="386"/>
      <c r="S331" s="387"/>
      <c r="T331" s="386"/>
      <c r="U331" s="387"/>
      <c r="V331" s="386"/>
      <c r="W331" s="387"/>
      <c r="X331" s="386"/>
      <c r="Z331" s="175"/>
      <c r="AC331" s="393" t="s">
        <v>124</v>
      </c>
      <c r="AE331" s="239"/>
      <c r="AG331" s="387"/>
      <c r="AH331" s="146"/>
      <c r="AI331" s="386"/>
      <c r="AJ331" s="386"/>
      <c r="AK331" s="386"/>
      <c r="AL331" s="386"/>
      <c r="AM331" s="386"/>
      <c r="AN331" s="386"/>
      <c r="AO331" s="386"/>
      <c r="AP331" s="386"/>
      <c r="AQ331" s="386"/>
      <c r="AR331" s="386"/>
      <c r="AS331" s="386"/>
      <c r="AT331" s="386"/>
      <c r="AU331" s="386"/>
      <c r="AV331" s="386"/>
      <c r="AW331" s="386"/>
      <c r="AX331" s="386"/>
      <c r="AY331" s="386"/>
      <c r="BA331" s="175"/>
      <c r="BB331" s="145"/>
      <c r="BC331" s="145"/>
      <c r="BD331" s="145"/>
    </row>
    <row r="332" spans="1:56">
      <c r="A332" s="514"/>
      <c r="B332" s="515"/>
      <c r="F332" s="394" t="s">
        <v>125</v>
      </c>
      <c r="H332" s="144">
        <v>17</v>
      </c>
      <c r="J332" s="312"/>
      <c r="K332" s="146"/>
      <c r="L332" s="260">
        <f t="shared" ref="L332:L346" si="299">(VLOOKUP($H332,Factors,L$382))*$J332</f>
        <v>0</v>
      </c>
      <c r="M332" s="212"/>
      <c r="N332" s="260">
        <f t="shared" ref="N332:N346" si="300">(VLOOKUP($H332,Factors,N$382))*$J332</f>
        <v>0</v>
      </c>
      <c r="O332" s="212"/>
      <c r="P332" s="260">
        <f t="shared" ref="P332:P346" si="301">(VLOOKUP($H332,Factors,P$382))*$J332</f>
        <v>0</v>
      </c>
      <c r="Q332" s="212"/>
      <c r="R332" s="260">
        <f t="shared" ref="R332:R346" si="302">(VLOOKUP($H332,Factors,R$382))*$J332</f>
        <v>0</v>
      </c>
      <c r="S332" s="212"/>
      <c r="T332" s="260">
        <f t="shared" ref="T332:T346" si="303">(VLOOKUP($H332,Factors,T$382))*$J332</f>
        <v>0</v>
      </c>
      <c r="U332" s="212"/>
      <c r="V332" s="260">
        <f t="shared" ref="V332:V346" si="304">(VLOOKUP($H332,Factors,V$382))*$J332</f>
        <v>0</v>
      </c>
      <c r="W332" s="212"/>
      <c r="X332" s="260">
        <f t="shared" ref="X332:X346" si="305">(VLOOKUP($H332,Factors,X$382))*$J332</f>
        <v>0</v>
      </c>
      <c r="Y332" s="212"/>
      <c r="Z332" s="175"/>
      <c r="AC332" s="394" t="s">
        <v>125</v>
      </c>
      <c r="AE332" s="239">
        <f t="shared" ref="AE332:AE349" si="306">+H332</f>
        <v>17</v>
      </c>
      <c r="AG332" s="145">
        <f t="shared" ref="AG332:AG349" si="307">+J332</f>
        <v>0</v>
      </c>
      <c r="AI332" s="262">
        <f t="shared" ref="AI332:AI346" si="308">(VLOOKUP($AE332,func,AI$382))*$AG332</f>
        <v>0</v>
      </c>
      <c r="AJ332" s="262"/>
      <c r="AK332" s="262">
        <f t="shared" ref="AK332:AK346" si="309">(VLOOKUP($AE332,func,AK$382))*$AG332</f>
        <v>0</v>
      </c>
      <c r="AL332" s="262"/>
      <c r="AM332" s="262">
        <f t="shared" ref="AM332:AM346" si="310">(VLOOKUP($AE332,func,AM$382))*$AG332</f>
        <v>0</v>
      </c>
      <c r="AN332" s="262"/>
      <c r="AO332" s="262">
        <f t="shared" ref="AO332:AO346" si="311">(VLOOKUP($AE332,func,AO$382))*$AG332</f>
        <v>0</v>
      </c>
      <c r="AP332" s="262"/>
      <c r="AQ332" s="262">
        <f t="shared" ref="AQ332:AQ346" si="312">(VLOOKUP($AE332,func,AQ$382))*$AG332</f>
        <v>0</v>
      </c>
      <c r="AR332" s="262"/>
      <c r="AS332" s="262">
        <f t="shared" ref="AS332:AS346" si="313">(VLOOKUP($AE332,func,AS$382))*$AG332</f>
        <v>0</v>
      </c>
      <c r="AT332" s="262"/>
      <c r="AU332" s="262">
        <f t="shared" ref="AU332:AU346" si="314">(VLOOKUP($AE332,func,AU$382))*$AG332</f>
        <v>0</v>
      </c>
      <c r="AV332" s="262"/>
      <c r="AW332" s="262">
        <f t="shared" ref="AW332:AW346" si="315">(VLOOKUP($AE332,func,AW$382))*$AG332</f>
        <v>0</v>
      </c>
      <c r="AX332" s="262"/>
      <c r="AY332" s="262">
        <f t="shared" ref="AY332:AY346" si="316">(VLOOKUP($AE332,func,AY$382))*$AG332</f>
        <v>0</v>
      </c>
      <c r="BA332" s="175"/>
      <c r="BB332" s="145"/>
      <c r="BC332" s="145"/>
      <c r="BD332" s="145"/>
    </row>
    <row r="333" spans="1:56">
      <c r="A333" s="514"/>
      <c r="B333" s="515"/>
      <c r="F333" s="394" t="s">
        <v>126</v>
      </c>
      <c r="H333" s="144">
        <v>2</v>
      </c>
      <c r="J333" s="312">
        <v>303046.56538461539</v>
      </c>
      <c r="K333" s="146"/>
      <c r="L333" s="260">
        <f t="shared" si="299"/>
        <v>153735.52261961537</v>
      </c>
      <c r="M333" s="212"/>
      <c r="N333" s="260">
        <f t="shared" si="300"/>
        <v>94368.700460769236</v>
      </c>
      <c r="O333" s="212"/>
      <c r="P333" s="260">
        <f t="shared" si="301"/>
        <v>12152.167271923077</v>
      </c>
      <c r="Q333" s="212"/>
      <c r="R333" s="260">
        <f t="shared" si="302"/>
        <v>32001.717304615384</v>
      </c>
      <c r="S333" s="212"/>
      <c r="T333" s="260">
        <f t="shared" si="303"/>
        <v>9727.7947488461523</v>
      </c>
      <c r="U333" s="212"/>
      <c r="V333" s="260">
        <f t="shared" si="304"/>
        <v>484.87450461538464</v>
      </c>
      <c r="W333" s="212"/>
      <c r="X333" s="260">
        <f t="shared" si="305"/>
        <v>575.78847423076922</v>
      </c>
      <c r="Y333" s="212"/>
      <c r="Z333" s="175"/>
      <c r="AC333" s="394" t="s">
        <v>126</v>
      </c>
      <c r="AE333" s="239">
        <f t="shared" si="306"/>
        <v>2</v>
      </c>
      <c r="AG333" s="145">
        <f t="shared" si="307"/>
        <v>303046.56538461539</v>
      </c>
      <c r="AI333" s="262">
        <f t="shared" si="308"/>
        <v>182615.86030076921</v>
      </c>
      <c r="AJ333" s="262"/>
      <c r="AK333" s="262">
        <f t="shared" si="309"/>
        <v>119370.04210499999</v>
      </c>
      <c r="AL333" s="262"/>
      <c r="AM333" s="262">
        <f t="shared" si="310"/>
        <v>0</v>
      </c>
      <c r="AN333" s="262"/>
      <c r="AO333" s="262">
        <f t="shared" si="311"/>
        <v>0</v>
      </c>
      <c r="AP333" s="262"/>
      <c r="AQ333" s="262">
        <f t="shared" si="312"/>
        <v>0</v>
      </c>
      <c r="AR333" s="262"/>
      <c r="AS333" s="262">
        <f t="shared" si="313"/>
        <v>0</v>
      </c>
      <c r="AT333" s="262"/>
      <c r="AU333" s="262">
        <f t="shared" si="314"/>
        <v>0</v>
      </c>
      <c r="AV333" s="262"/>
      <c r="AW333" s="262">
        <f t="shared" si="315"/>
        <v>484.87450461538464</v>
      </c>
      <c r="AX333" s="262"/>
      <c r="AY333" s="262">
        <f t="shared" si="316"/>
        <v>575.78847423076922</v>
      </c>
      <c r="BA333" s="175"/>
      <c r="BB333" s="145"/>
      <c r="BC333" s="145"/>
      <c r="BD333" s="145"/>
    </row>
    <row r="334" spans="1:56">
      <c r="A334" s="514"/>
      <c r="B334" s="515"/>
      <c r="F334" s="394" t="s">
        <v>127</v>
      </c>
      <c r="H334" s="144">
        <v>3</v>
      </c>
      <c r="J334" s="312">
        <v>3429981.814609</v>
      </c>
      <c r="K334" s="146"/>
      <c r="L334" s="260">
        <f t="shared" si="299"/>
        <v>1592883.5547044196</v>
      </c>
      <c r="M334" s="212"/>
      <c r="N334" s="260">
        <f t="shared" si="300"/>
        <v>977544.81716356496</v>
      </c>
      <c r="O334" s="212"/>
      <c r="P334" s="260">
        <f t="shared" si="301"/>
        <v>125880.33259615031</v>
      </c>
      <c r="Q334" s="212"/>
      <c r="R334" s="260">
        <f t="shared" si="302"/>
        <v>331336.24329122936</v>
      </c>
      <c r="S334" s="212"/>
      <c r="T334" s="260">
        <f t="shared" si="303"/>
        <v>100841.46534950459</v>
      </c>
      <c r="U334" s="212"/>
      <c r="V334" s="260">
        <f t="shared" si="304"/>
        <v>136170.2780399773</v>
      </c>
      <c r="W334" s="212"/>
      <c r="X334" s="260">
        <f t="shared" si="305"/>
        <v>165325.12346415379</v>
      </c>
      <c r="Y334" s="212"/>
      <c r="Z334" s="175"/>
      <c r="AC334" s="394" t="s">
        <v>127</v>
      </c>
      <c r="AE334" s="239">
        <f t="shared" si="306"/>
        <v>3</v>
      </c>
      <c r="AG334" s="145">
        <f t="shared" si="307"/>
        <v>3429981.814609</v>
      </c>
      <c r="AI334" s="262">
        <f t="shared" si="308"/>
        <v>1902610.9125636122</v>
      </c>
      <c r="AJ334" s="262"/>
      <c r="AK334" s="262">
        <f t="shared" si="309"/>
        <v>1236851.4423480053</v>
      </c>
      <c r="AL334" s="262"/>
      <c r="AM334" s="262">
        <f t="shared" si="310"/>
        <v>0</v>
      </c>
      <c r="AN334" s="262"/>
      <c r="AO334" s="262">
        <f t="shared" si="311"/>
        <v>0</v>
      </c>
      <c r="AP334" s="262"/>
      <c r="AQ334" s="262">
        <f t="shared" si="312"/>
        <v>0</v>
      </c>
      <c r="AR334" s="262"/>
      <c r="AS334" s="262">
        <f t="shared" si="313"/>
        <v>0</v>
      </c>
      <c r="AT334" s="262"/>
      <c r="AU334" s="262">
        <f t="shared" si="314"/>
        <v>0</v>
      </c>
      <c r="AV334" s="262"/>
      <c r="AW334" s="262">
        <f t="shared" si="315"/>
        <v>131368.30349952471</v>
      </c>
      <c r="AX334" s="262"/>
      <c r="AY334" s="262">
        <f t="shared" si="316"/>
        <v>159151.15619785758</v>
      </c>
      <c r="BA334" s="175"/>
      <c r="BB334" s="145"/>
      <c r="BC334" s="145"/>
      <c r="BD334" s="145"/>
    </row>
    <row r="335" spans="1:56">
      <c r="A335" s="514"/>
      <c r="B335" s="515"/>
      <c r="F335" s="394" t="s">
        <v>128</v>
      </c>
      <c r="H335" s="144">
        <v>5</v>
      </c>
      <c r="J335" s="312">
        <v>1034854.4490384615</v>
      </c>
      <c r="K335" s="146"/>
      <c r="L335" s="260">
        <f t="shared" si="299"/>
        <v>436501.60660442314</v>
      </c>
      <c r="M335" s="212"/>
      <c r="N335" s="260">
        <f t="shared" si="300"/>
        <v>264198.34083951922</v>
      </c>
      <c r="O335" s="212"/>
      <c r="P335" s="260">
        <f t="shared" si="301"/>
        <v>30321.235356826925</v>
      </c>
      <c r="Q335" s="212"/>
      <c r="R335" s="260">
        <f t="shared" si="302"/>
        <v>76061.802004326921</v>
      </c>
      <c r="S335" s="212"/>
      <c r="T335" s="260">
        <f t="shared" si="303"/>
        <v>21524.972539999999</v>
      </c>
      <c r="U335" s="212"/>
      <c r="V335" s="260">
        <f t="shared" si="304"/>
        <v>93240.385858365378</v>
      </c>
      <c r="W335" s="212"/>
      <c r="X335" s="260">
        <f t="shared" si="305"/>
        <v>113006.10583500001</v>
      </c>
      <c r="Y335" s="212"/>
      <c r="Z335" s="175"/>
      <c r="AC335" s="394" t="s">
        <v>128</v>
      </c>
      <c r="AE335" s="239">
        <f t="shared" si="306"/>
        <v>5</v>
      </c>
      <c r="AG335" s="145">
        <f t="shared" si="307"/>
        <v>1034854.4490384615</v>
      </c>
      <c r="AI335" s="262">
        <f t="shared" si="308"/>
        <v>330325.54013307689</v>
      </c>
      <c r="AJ335" s="262"/>
      <c r="AK335" s="262">
        <f t="shared" si="309"/>
        <v>0</v>
      </c>
      <c r="AL335" s="262"/>
      <c r="AM335" s="262">
        <f t="shared" si="310"/>
        <v>498282.41721201921</v>
      </c>
      <c r="AN335" s="262"/>
      <c r="AO335" s="262">
        <f t="shared" si="311"/>
        <v>0</v>
      </c>
      <c r="AP335" s="262"/>
      <c r="AQ335" s="262">
        <f t="shared" si="312"/>
        <v>0</v>
      </c>
      <c r="AR335" s="262"/>
      <c r="AS335" s="262">
        <f t="shared" si="313"/>
        <v>0</v>
      </c>
      <c r="AT335" s="262"/>
      <c r="AU335" s="262">
        <f t="shared" si="314"/>
        <v>0</v>
      </c>
      <c r="AV335" s="262"/>
      <c r="AW335" s="262">
        <f t="shared" si="315"/>
        <v>93240.385858365378</v>
      </c>
      <c r="AX335" s="262"/>
      <c r="AY335" s="262">
        <f t="shared" si="316"/>
        <v>113006.10583500001</v>
      </c>
      <c r="BA335" s="175"/>
      <c r="BB335" s="145"/>
      <c r="BC335" s="145"/>
      <c r="BD335" s="145"/>
    </row>
    <row r="336" spans="1:56">
      <c r="A336" s="514"/>
      <c r="B336" s="515"/>
      <c r="F336" s="394" t="s">
        <v>129</v>
      </c>
      <c r="H336" s="144">
        <v>4</v>
      </c>
      <c r="J336" s="312">
        <v>877859.87396153843</v>
      </c>
      <c r="K336" s="146"/>
      <c r="L336" s="260">
        <f t="shared" si="299"/>
        <v>412945.28471150767</v>
      </c>
      <c r="M336" s="212"/>
      <c r="N336" s="260">
        <f t="shared" si="300"/>
        <v>249926.70611684999</v>
      </c>
      <c r="O336" s="212"/>
      <c r="P336" s="260">
        <f t="shared" si="301"/>
        <v>28793.803865938458</v>
      </c>
      <c r="Q336" s="212"/>
      <c r="R336" s="260">
        <f t="shared" si="302"/>
        <v>72072.295652242305</v>
      </c>
      <c r="S336" s="212"/>
      <c r="T336" s="260">
        <f t="shared" si="303"/>
        <v>0</v>
      </c>
      <c r="U336" s="212"/>
      <c r="V336" s="260">
        <f t="shared" si="304"/>
        <v>51530.374601542302</v>
      </c>
      <c r="W336" s="212"/>
      <c r="X336" s="260">
        <f t="shared" si="305"/>
        <v>62591.409013457691</v>
      </c>
      <c r="Y336" s="212"/>
      <c r="Z336" s="175"/>
      <c r="AC336" s="394" t="s">
        <v>129</v>
      </c>
      <c r="AE336" s="239">
        <f t="shared" si="306"/>
        <v>4</v>
      </c>
      <c r="AG336" s="145">
        <f t="shared" si="307"/>
        <v>877859.87396153843</v>
      </c>
      <c r="AI336" s="262">
        <f t="shared" si="308"/>
        <v>304354.01830246538</v>
      </c>
      <c r="AJ336" s="262"/>
      <c r="AK336" s="262">
        <f t="shared" si="309"/>
        <v>0</v>
      </c>
      <c r="AL336" s="262"/>
      <c r="AM336" s="262">
        <f t="shared" si="310"/>
        <v>459384.07204407302</v>
      </c>
      <c r="AN336" s="262"/>
      <c r="AO336" s="262">
        <f t="shared" si="311"/>
        <v>0</v>
      </c>
      <c r="AP336" s="262"/>
      <c r="AQ336" s="262">
        <f t="shared" si="312"/>
        <v>0</v>
      </c>
      <c r="AR336" s="262"/>
      <c r="AS336" s="262">
        <f t="shared" si="313"/>
        <v>0</v>
      </c>
      <c r="AT336" s="262"/>
      <c r="AU336" s="262">
        <f t="shared" si="314"/>
        <v>0</v>
      </c>
      <c r="AV336" s="262"/>
      <c r="AW336" s="262">
        <f t="shared" si="315"/>
        <v>51530.374601542302</v>
      </c>
      <c r="AX336" s="262"/>
      <c r="AY336" s="262">
        <f t="shared" si="316"/>
        <v>62591.409013457691</v>
      </c>
      <c r="BA336" s="175"/>
      <c r="BB336" s="145"/>
      <c r="BC336" s="145"/>
      <c r="BD336" s="145"/>
    </row>
    <row r="337" spans="1:56">
      <c r="A337" s="514"/>
      <c r="B337" s="515"/>
      <c r="F337" s="394" t="s">
        <v>735</v>
      </c>
      <c r="H337" s="144">
        <v>6</v>
      </c>
      <c r="J337" s="312">
        <v>291990.62482692313</v>
      </c>
      <c r="K337" s="146"/>
      <c r="L337" s="260">
        <f t="shared" si="299"/>
        <v>141440.25866616154</v>
      </c>
      <c r="M337" s="212"/>
      <c r="N337" s="260">
        <f t="shared" si="300"/>
        <v>86458.424011251933</v>
      </c>
      <c r="O337" s="212"/>
      <c r="P337" s="260">
        <f t="shared" si="301"/>
        <v>10832.852181078848</v>
      </c>
      <c r="Q337" s="212"/>
      <c r="R337" s="260">
        <f t="shared" si="302"/>
        <v>28206.294358280771</v>
      </c>
      <c r="S337" s="212"/>
      <c r="T337" s="260">
        <f t="shared" si="303"/>
        <v>6657.3862460538476</v>
      </c>
      <c r="U337" s="212"/>
      <c r="V337" s="260">
        <f t="shared" si="304"/>
        <v>8292.5337450846182</v>
      </c>
      <c r="W337" s="212"/>
      <c r="X337" s="260">
        <f t="shared" si="305"/>
        <v>10102.87561901154</v>
      </c>
      <c r="Y337" s="212"/>
      <c r="Z337" s="175"/>
      <c r="AC337" s="394" t="s">
        <v>735</v>
      </c>
      <c r="AE337" s="239">
        <f t="shared" si="306"/>
        <v>6</v>
      </c>
      <c r="AG337" s="145">
        <f t="shared" si="307"/>
        <v>291990.62482692313</v>
      </c>
      <c r="AI337" s="262">
        <f t="shared" si="308"/>
        <v>151645.75147036227</v>
      </c>
      <c r="AJ337" s="262"/>
      <c r="AK337" s="262">
        <f t="shared" si="309"/>
        <v>81728.175889055798</v>
      </c>
      <c r="AL337" s="262"/>
      <c r="AM337" s="262">
        <f t="shared" si="310"/>
        <v>40216.616253411681</v>
      </c>
      <c r="AN337" s="262"/>
      <c r="AO337" s="262">
        <f t="shared" si="311"/>
        <v>0</v>
      </c>
      <c r="AP337" s="262"/>
      <c r="AQ337" s="262">
        <f t="shared" si="312"/>
        <v>0</v>
      </c>
      <c r="AR337" s="262"/>
      <c r="AS337" s="262">
        <f t="shared" si="313"/>
        <v>0</v>
      </c>
      <c r="AT337" s="262"/>
      <c r="AU337" s="262">
        <f t="shared" si="314"/>
        <v>0</v>
      </c>
      <c r="AV337" s="262"/>
      <c r="AW337" s="262">
        <f t="shared" si="315"/>
        <v>8307.0865578259891</v>
      </c>
      <c r="AX337" s="262"/>
      <c r="AY337" s="262">
        <f t="shared" si="316"/>
        <v>10092.994656267398</v>
      </c>
      <c r="BA337" s="175"/>
      <c r="BB337" s="145"/>
      <c r="BC337" s="145"/>
      <c r="BD337" s="145"/>
    </row>
    <row r="338" spans="1:56">
      <c r="A338" s="514"/>
      <c r="B338" s="515"/>
      <c r="F338" s="394" t="s">
        <v>130</v>
      </c>
      <c r="H338" s="144">
        <v>9</v>
      </c>
      <c r="J338" s="312">
        <v>165783.11024679511</v>
      </c>
      <c r="K338" s="146"/>
      <c r="L338" s="260">
        <f t="shared" si="299"/>
        <v>137102.63217409956</v>
      </c>
      <c r="M338" s="212"/>
      <c r="N338" s="260">
        <f t="shared" si="300"/>
        <v>21750.74406437952</v>
      </c>
      <c r="O338" s="212"/>
      <c r="P338" s="260">
        <f t="shared" si="301"/>
        <v>679.71075201186</v>
      </c>
      <c r="Q338" s="212"/>
      <c r="R338" s="260">
        <f t="shared" si="302"/>
        <v>3929.059712849044</v>
      </c>
      <c r="S338" s="212"/>
      <c r="T338" s="260">
        <f t="shared" si="303"/>
        <v>397.87946459230824</v>
      </c>
      <c r="U338" s="212"/>
      <c r="V338" s="260">
        <f t="shared" si="304"/>
        <v>1923.0840788628232</v>
      </c>
      <c r="W338" s="212"/>
      <c r="X338" s="260">
        <f t="shared" si="305"/>
        <v>0</v>
      </c>
      <c r="Y338" s="212"/>
      <c r="Z338" s="175"/>
      <c r="AC338" s="394" t="s">
        <v>130</v>
      </c>
      <c r="AE338" s="239">
        <f t="shared" si="306"/>
        <v>9</v>
      </c>
      <c r="AG338" s="145">
        <f t="shared" si="307"/>
        <v>165783.11024679511</v>
      </c>
      <c r="AI338" s="262">
        <f t="shared" si="308"/>
        <v>0</v>
      </c>
      <c r="AJ338" s="262"/>
      <c r="AK338" s="262">
        <f t="shared" si="309"/>
        <v>0</v>
      </c>
      <c r="AL338" s="262"/>
      <c r="AM338" s="262">
        <f t="shared" si="310"/>
        <v>0</v>
      </c>
      <c r="AN338" s="262"/>
      <c r="AO338" s="262">
        <f t="shared" si="311"/>
        <v>163860.02616793229</v>
      </c>
      <c r="AP338" s="262"/>
      <c r="AQ338" s="262">
        <f t="shared" si="312"/>
        <v>0</v>
      </c>
      <c r="AR338" s="262"/>
      <c r="AS338" s="262">
        <f t="shared" si="313"/>
        <v>0</v>
      </c>
      <c r="AT338" s="262"/>
      <c r="AU338" s="262">
        <f t="shared" si="314"/>
        <v>0</v>
      </c>
      <c r="AV338" s="262"/>
      <c r="AW338" s="262">
        <f t="shared" si="315"/>
        <v>1923.0840788628232</v>
      </c>
      <c r="AX338" s="262"/>
      <c r="AY338" s="262">
        <f t="shared" si="316"/>
        <v>0</v>
      </c>
      <c r="BA338" s="175"/>
      <c r="BB338" s="145"/>
      <c r="BC338" s="145"/>
      <c r="BD338" s="145"/>
    </row>
    <row r="339" spans="1:56">
      <c r="A339" s="514"/>
      <c r="B339" s="515"/>
      <c r="F339" s="394" t="s">
        <v>131</v>
      </c>
      <c r="H339" s="144">
        <v>10</v>
      </c>
      <c r="J339" s="312">
        <v>49089.860553846156</v>
      </c>
      <c r="K339" s="146"/>
      <c r="L339" s="260">
        <f t="shared" si="299"/>
        <v>40450.045096369235</v>
      </c>
      <c r="M339" s="212"/>
      <c r="N339" s="260">
        <f t="shared" si="300"/>
        <v>5556.9722146953845</v>
      </c>
      <c r="O339" s="212"/>
      <c r="P339" s="260">
        <f t="shared" si="301"/>
        <v>58.907832664615384</v>
      </c>
      <c r="Q339" s="212"/>
      <c r="R339" s="260">
        <f t="shared" si="302"/>
        <v>687.2580477538462</v>
      </c>
      <c r="S339" s="212"/>
      <c r="T339" s="260">
        <f t="shared" si="303"/>
        <v>29.453916332307692</v>
      </c>
      <c r="U339" s="212"/>
      <c r="V339" s="260">
        <f t="shared" si="304"/>
        <v>2307.2234460307695</v>
      </c>
      <c r="W339" s="212"/>
      <c r="X339" s="260">
        <f t="shared" si="305"/>
        <v>0</v>
      </c>
      <c r="Y339" s="212"/>
      <c r="Z339" s="175"/>
      <c r="AC339" s="394" t="s">
        <v>131</v>
      </c>
      <c r="AE339" s="239">
        <f t="shared" si="306"/>
        <v>10</v>
      </c>
      <c r="AG339" s="145">
        <f t="shared" si="307"/>
        <v>49089.860553846156</v>
      </c>
      <c r="AI339" s="262">
        <f t="shared" si="308"/>
        <v>0</v>
      </c>
      <c r="AJ339" s="262"/>
      <c r="AK339" s="262">
        <f t="shared" si="309"/>
        <v>0</v>
      </c>
      <c r="AL339" s="262"/>
      <c r="AM339" s="262">
        <f t="shared" si="310"/>
        <v>0</v>
      </c>
      <c r="AN339" s="262"/>
      <c r="AO339" s="262">
        <f t="shared" si="311"/>
        <v>0</v>
      </c>
      <c r="AP339" s="262"/>
      <c r="AQ339" s="262">
        <f t="shared" si="312"/>
        <v>46782.637107815382</v>
      </c>
      <c r="AR339" s="262"/>
      <c r="AS339" s="262">
        <f t="shared" si="313"/>
        <v>0</v>
      </c>
      <c r="AT339" s="262"/>
      <c r="AU339" s="262">
        <f t="shared" si="314"/>
        <v>0</v>
      </c>
      <c r="AV339" s="262"/>
      <c r="AW339" s="262">
        <f t="shared" si="315"/>
        <v>2307.2234460307695</v>
      </c>
      <c r="AX339" s="262"/>
      <c r="AY339" s="262">
        <f t="shared" si="316"/>
        <v>0</v>
      </c>
      <c r="BA339" s="175"/>
      <c r="BB339" s="145"/>
      <c r="BC339" s="145"/>
      <c r="BD339" s="145"/>
    </row>
    <row r="340" spans="1:56">
      <c r="A340" s="514"/>
      <c r="B340" s="515"/>
      <c r="F340" s="394" t="s">
        <v>132</v>
      </c>
      <c r="H340" s="144">
        <v>8</v>
      </c>
      <c r="J340" s="312">
        <v>81474.576184615391</v>
      </c>
      <c r="K340" s="146"/>
      <c r="L340" s="260">
        <f t="shared" si="299"/>
        <v>0</v>
      </c>
      <c r="M340" s="212"/>
      <c r="N340" s="260">
        <f t="shared" si="300"/>
        <v>0</v>
      </c>
      <c r="O340" s="212"/>
      <c r="P340" s="260">
        <f t="shared" si="301"/>
        <v>0</v>
      </c>
      <c r="Q340" s="212"/>
      <c r="R340" s="260">
        <f t="shared" si="302"/>
        <v>0</v>
      </c>
      <c r="S340" s="212"/>
      <c r="T340" s="260">
        <f t="shared" si="303"/>
        <v>0</v>
      </c>
      <c r="U340" s="212"/>
      <c r="V340" s="260">
        <f t="shared" si="304"/>
        <v>0</v>
      </c>
      <c r="W340" s="212"/>
      <c r="X340" s="260">
        <f t="shared" si="305"/>
        <v>81474.576184615391</v>
      </c>
      <c r="Y340" s="212"/>
      <c r="Z340" s="175"/>
      <c r="AC340" s="394" t="s">
        <v>132</v>
      </c>
      <c r="AE340" s="239">
        <f t="shared" si="306"/>
        <v>8</v>
      </c>
      <c r="AG340" s="145">
        <f t="shared" si="307"/>
        <v>81474.576184615391</v>
      </c>
      <c r="AI340" s="262">
        <f t="shared" si="308"/>
        <v>0</v>
      </c>
      <c r="AJ340" s="262"/>
      <c r="AK340" s="262">
        <f t="shared" si="309"/>
        <v>0</v>
      </c>
      <c r="AL340" s="262"/>
      <c r="AM340" s="262">
        <f t="shared" si="310"/>
        <v>0</v>
      </c>
      <c r="AN340" s="262"/>
      <c r="AO340" s="262">
        <f t="shared" si="311"/>
        <v>0</v>
      </c>
      <c r="AP340" s="262"/>
      <c r="AQ340" s="262">
        <f t="shared" si="312"/>
        <v>0</v>
      </c>
      <c r="AR340" s="262"/>
      <c r="AS340" s="262">
        <f t="shared" si="313"/>
        <v>0</v>
      </c>
      <c r="AT340" s="262"/>
      <c r="AU340" s="262">
        <f t="shared" si="314"/>
        <v>0</v>
      </c>
      <c r="AV340" s="262"/>
      <c r="AW340" s="262">
        <f t="shared" si="315"/>
        <v>0</v>
      </c>
      <c r="AX340" s="262"/>
      <c r="AY340" s="262">
        <f t="shared" si="316"/>
        <v>81474.576184615391</v>
      </c>
      <c r="BA340" s="175"/>
      <c r="BB340" s="145"/>
      <c r="BC340" s="145"/>
      <c r="BD340" s="145"/>
    </row>
    <row r="341" spans="1:56">
      <c r="A341" s="514"/>
      <c r="B341" s="515"/>
      <c r="F341" s="394" t="s">
        <v>133</v>
      </c>
      <c r="H341" s="144">
        <v>15</v>
      </c>
      <c r="J341" s="312">
        <v>617186.62882692309</v>
      </c>
      <c r="K341" s="146"/>
      <c r="L341" s="260">
        <f t="shared" si="299"/>
        <v>401356.46472614806</v>
      </c>
      <c r="M341" s="212"/>
      <c r="N341" s="260">
        <f t="shared" si="300"/>
        <v>127078.72687546346</v>
      </c>
      <c r="O341" s="212"/>
      <c r="P341" s="260">
        <f t="shared" si="301"/>
        <v>12714.044553834616</v>
      </c>
      <c r="Q341" s="212"/>
      <c r="R341" s="260">
        <f t="shared" si="302"/>
        <v>35611.668483313464</v>
      </c>
      <c r="S341" s="212"/>
      <c r="T341" s="260">
        <f t="shared" si="303"/>
        <v>8578.8941406942304</v>
      </c>
      <c r="U341" s="212"/>
      <c r="V341" s="260">
        <f t="shared" si="304"/>
        <v>10060.142049878845</v>
      </c>
      <c r="W341" s="212"/>
      <c r="X341" s="260">
        <f t="shared" si="305"/>
        <v>21786.687997590383</v>
      </c>
      <c r="Y341" s="212"/>
      <c r="Z341" s="175"/>
      <c r="AC341" s="394" t="s">
        <v>133</v>
      </c>
      <c r="AE341" s="239">
        <f t="shared" si="306"/>
        <v>15</v>
      </c>
      <c r="AG341" s="145">
        <f t="shared" si="307"/>
        <v>617186.62882692309</v>
      </c>
      <c r="AI341" s="262">
        <f t="shared" si="308"/>
        <v>181391.15021223269</v>
      </c>
      <c r="AJ341" s="262"/>
      <c r="AK341" s="262">
        <f t="shared" si="309"/>
        <v>93565.492930161548</v>
      </c>
      <c r="AL341" s="262"/>
      <c r="AM341" s="262">
        <f t="shared" si="310"/>
        <v>29378.083532161541</v>
      </c>
      <c r="AN341" s="262"/>
      <c r="AO341" s="262">
        <f t="shared" si="311"/>
        <v>111957.65446920384</v>
      </c>
      <c r="AP341" s="262"/>
      <c r="AQ341" s="262">
        <f t="shared" si="312"/>
        <v>30365.582138284615</v>
      </c>
      <c r="AR341" s="262"/>
      <c r="AS341" s="262">
        <f t="shared" si="313"/>
        <v>108501.40934777309</v>
      </c>
      <c r="AT341" s="262"/>
      <c r="AU341" s="262">
        <f t="shared" si="314"/>
        <v>31229.643418642307</v>
      </c>
      <c r="AV341" s="262"/>
      <c r="AW341" s="262">
        <f t="shared" si="315"/>
        <v>9010.9247808730779</v>
      </c>
      <c r="AX341" s="262"/>
      <c r="AY341" s="262">
        <f t="shared" si="316"/>
        <v>21786.687997590383</v>
      </c>
      <c r="BA341" s="175"/>
      <c r="BB341" s="145"/>
      <c r="BC341" s="145"/>
      <c r="BD341" s="145"/>
    </row>
    <row r="342" spans="1:56">
      <c r="A342" s="551"/>
      <c r="B342" s="552"/>
      <c r="F342" s="394" t="s">
        <v>134</v>
      </c>
      <c r="H342" s="144" t="s">
        <v>4</v>
      </c>
      <c r="J342" s="312">
        <v>3946000</v>
      </c>
      <c r="K342" s="146"/>
      <c r="L342" s="260">
        <f t="shared" ca="1" si="299"/>
        <v>2524650.8000000003</v>
      </c>
      <c r="M342" s="212"/>
      <c r="N342" s="260">
        <f t="shared" ca="1" si="300"/>
        <v>849179.2</v>
      </c>
      <c r="O342" s="212"/>
      <c r="P342" s="260">
        <f t="shared" ca="1" si="301"/>
        <v>91547.199999999997</v>
      </c>
      <c r="Q342" s="212"/>
      <c r="R342" s="260">
        <f t="shared" ca="1" si="302"/>
        <v>251360.2</v>
      </c>
      <c r="S342" s="212"/>
      <c r="T342" s="260">
        <f t="shared" ca="1" si="303"/>
        <v>65898.2</v>
      </c>
      <c r="U342" s="212"/>
      <c r="V342" s="260">
        <f t="shared" ca="1" si="304"/>
        <v>55638.6</v>
      </c>
      <c r="W342" s="212"/>
      <c r="X342" s="260">
        <f t="shared" ca="1" si="305"/>
        <v>107725.8</v>
      </c>
      <c r="Y342" s="212"/>
      <c r="Z342" s="175"/>
      <c r="AC342" s="394" t="s">
        <v>134</v>
      </c>
      <c r="AE342" s="239" t="str">
        <f t="shared" si="306"/>
        <v>15A</v>
      </c>
      <c r="AG342" s="145">
        <f t="shared" si="307"/>
        <v>3946000</v>
      </c>
      <c r="AI342" s="262">
        <f t="shared" ca="1" si="308"/>
        <v>1562616</v>
      </c>
      <c r="AJ342" s="262"/>
      <c r="AK342" s="262">
        <f t="shared" ca="1" si="309"/>
        <v>460892.8</v>
      </c>
      <c r="AL342" s="262"/>
      <c r="AM342" s="262">
        <f t="shared" ca="1" si="310"/>
        <v>140083</v>
      </c>
      <c r="AN342" s="262"/>
      <c r="AO342" s="262">
        <f t="shared" ca="1" si="311"/>
        <v>566251</v>
      </c>
      <c r="AP342" s="262"/>
      <c r="AQ342" s="262">
        <f t="shared" ca="1" si="312"/>
        <v>146791.19999999998</v>
      </c>
      <c r="AR342" s="262"/>
      <c r="AS342" s="262">
        <f t="shared" ca="1" si="313"/>
        <v>784859.4</v>
      </c>
      <c r="AT342" s="262"/>
      <c r="AU342" s="262">
        <f t="shared" ca="1" si="314"/>
        <v>125877.40000000002</v>
      </c>
      <c r="AV342" s="262"/>
      <c r="AW342" s="262">
        <f t="shared" ca="1" si="315"/>
        <v>50903.4</v>
      </c>
      <c r="AX342" s="262"/>
      <c r="AY342" s="262">
        <f t="shared" ca="1" si="316"/>
        <v>107725.8</v>
      </c>
      <c r="BA342" s="175"/>
      <c r="BB342" s="145"/>
      <c r="BC342" s="145"/>
      <c r="BD342" s="145"/>
    </row>
    <row r="343" spans="1:56">
      <c r="A343" s="551"/>
      <c r="B343" s="552"/>
      <c r="F343" s="394" t="s">
        <v>763</v>
      </c>
      <c r="H343" s="144">
        <v>17</v>
      </c>
      <c r="J343" s="312">
        <v>727080.97500000009</v>
      </c>
      <c r="K343" s="146"/>
      <c r="L343" s="260">
        <f t="shared" si="299"/>
        <v>378736.4798775001</v>
      </c>
      <c r="M343" s="212"/>
      <c r="N343" s="260">
        <f t="shared" si="300"/>
        <v>189913.55067000003</v>
      </c>
      <c r="O343" s="212"/>
      <c r="P343" s="260">
        <f t="shared" si="301"/>
        <v>22539.510225000002</v>
      </c>
      <c r="Q343" s="212"/>
      <c r="R343" s="260">
        <f t="shared" si="302"/>
        <v>59911.472340000008</v>
      </c>
      <c r="S343" s="212"/>
      <c r="T343" s="260">
        <f t="shared" si="303"/>
        <v>14541.619500000003</v>
      </c>
      <c r="U343" s="212"/>
      <c r="V343" s="260">
        <f t="shared" si="304"/>
        <v>21376.180665000004</v>
      </c>
      <c r="W343" s="212"/>
      <c r="X343" s="260">
        <f t="shared" si="305"/>
        <v>40062.161722500008</v>
      </c>
      <c r="Y343" s="212"/>
      <c r="Z343" s="175"/>
      <c r="AC343" s="394" t="s">
        <v>763</v>
      </c>
      <c r="AE343" s="239">
        <f t="shared" ref="AE343" si="317">+H343</f>
        <v>17</v>
      </c>
      <c r="AG343" s="145">
        <f t="shared" si="307"/>
        <v>727080.97500000009</v>
      </c>
      <c r="AI343" s="262">
        <f t="shared" si="308"/>
        <v>313226.48403000005</v>
      </c>
      <c r="AJ343" s="262"/>
      <c r="AK343" s="262">
        <f t="shared" si="309"/>
        <v>168246.53761500001</v>
      </c>
      <c r="AL343" s="262"/>
      <c r="AM343" s="262">
        <f t="shared" si="310"/>
        <v>79688.074860000008</v>
      </c>
      <c r="AN343" s="262"/>
      <c r="AO343" s="262">
        <f t="shared" si="311"/>
        <v>73580.594670000006</v>
      </c>
      <c r="AP343" s="262"/>
      <c r="AQ343" s="262">
        <f t="shared" si="312"/>
        <v>16141.197645000002</v>
      </c>
      <c r="AR343" s="262"/>
      <c r="AS343" s="262">
        <f t="shared" si="313"/>
        <v>13232.873745000003</v>
      </c>
      <c r="AT343" s="262"/>
      <c r="AU343" s="262">
        <f t="shared" si="314"/>
        <v>2326.6591200000003</v>
      </c>
      <c r="AV343" s="262"/>
      <c r="AW343" s="262">
        <f t="shared" si="315"/>
        <v>20939.932080000002</v>
      </c>
      <c r="AX343" s="262"/>
      <c r="AY343" s="262">
        <f t="shared" si="316"/>
        <v>39698.621235000006</v>
      </c>
      <c r="BA343" s="175"/>
      <c r="BB343" s="145"/>
      <c r="BC343" s="145"/>
      <c r="BD343" s="145"/>
    </row>
    <row r="344" spans="1:56">
      <c r="A344" s="514"/>
      <c r="B344" s="515"/>
      <c r="F344" s="394" t="s">
        <v>135</v>
      </c>
      <c r="H344" s="144">
        <v>17</v>
      </c>
      <c r="J344" s="312">
        <v>-57007043.560000002</v>
      </c>
      <c r="K344" s="146"/>
      <c r="L344" s="260">
        <f t="shared" si="299"/>
        <v>-29694968.990404002</v>
      </c>
      <c r="M344" s="212"/>
      <c r="N344" s="260">
        <f t="shared" si="300"/>
        <v>-14890239.777872</v>
      </c>
      <c r="O344" s="212"/>
      <c r="P344" s="260">
        <f t="shared" si="301"/>
        <v>-1767218.35036</v>
      </c>
      <c r="Q344" s="212"/>
      <c r="R344" s="260">
        <f t="shared" si="302"/>
        <v>-4697380.3893440003</v>
      </c>
      <c r="S344" s="212"/>
      <c r="T344" s="260">
        <f t="shared" si="303"/>
        <v>-1140140.8712000002</v>
      </c>
      <c r="U344" s="212"/>
      <c r="V344" s="260">
        <f t="shared" si="304"/>
        <v>-1676007.080664</v>
      </c>
      <c r="W344" s="212"/>
      <c r="X344" s="260">
        <f t="shared" si="305"/>
        <v>-3141088.1001560003</v>
      </c>
      <c r="Y344" s="212"/>
      <c r="Z344" s="175"/>
      <c r="AC344" s="394" t="s">
        <v>135</v>
      </c>
      <c r="AE344" s="239">
        <f t="shared" si="306"/>
        <v>17</v>
      </c>
      <c r="AG344" s="145">
        <f t="shared" si="307"/>
        <v>-57007043.560000002</v>
      </c>
      <c r="AI344" s="262">
        <f t="shared" si="308"/>
        <v>-24558634.365648001</v>
      </c>
      <c r="AJ344" s="262"/>
      <c r="AK344" s="262">
        <f t="shared" si="309"/>
        <v>-13191429.879784001</v>
      </c>
      <c r="AL344" s="262"/>
      <c r="AM344" s="262">
        <f t="shared" si="310"/>
        <v>-6247971.9741760008</v>
      </c>
      <c r="AN344" s="262"/>
      <c r="AO344" s="262">
        <f t="shared" si="311"/>
        <v>-5769112.8082720004</v>
      </c>
      <c r="AP344" s="262"/>
      <c r="AQ344" s="262">
        <f t="shared" si="312"/>
        <v>-1265556.3670320001</v>
      </c>
      <c r="AR344" s="262"/>
      <c r="AS344" s="262">
        <f t="shared" si="313"/>
        <v>-1037528.1927920001</v>
      </c>
      <c r="AT344" s="262"/>
      <c r="AU344" s="262">
        <f t="shared" si="314"/>
        <v>-182422.53939200001</v>
      </c>
      <c r="AV344" s="262"/>
      <c r="AW344" s="262">
        <f t="shared" si="315"/>
        <v>-1641802.8545280001</v>
      </c>
      <c r="AX344" s="262"/>
      <c r="AY344" s="262">
        <f t="shared" si="316"/>
        <v>-3112584.5783760003</v>
      </c>
      <c r="BA344" s="175"/>
      <c r="BB344" s="145"/>
      <c r="BC344" s="145"/>
      <c r="BD344" s="145"/>
    </row>
    <row r="345" spans="1:56">
      <c r="A345" s="514"/>
      <c r="B345" s="515"/>
      <c r="F345" s="394" t="s">
        <v>136</v>
      </c>
      <c r="H345" s="144">
        <v>17</v>
      </c>
      <c r="J345" s="312">
        <v>-55276</v>
      </c>
      <c r="K345" s="146"/>
      <c r="L345" s="260">
        <f t="shared" si="299"/>
        <v>-28793.268400000001</v>
      </c>
      <c r="M345" s="212"/>
      <c r="N345" s="260">
        <f t="shared" si="300"/>
        <v>-14438.091199999999</v>
      </c>
      <c r="O345" s="212"/>
      <c r="P345" s="260">
        <f t="shared" si="301"/>
        <v>-1713.556</v>
      </c>
      <c r="Q345" s="212"/>
      <c r="R345" s="260">
        <f t="shared" si="302"/>
        <v>-4554.7424000000001</v>
      </c>
      <c r="S345" s="212"/>
      <c r="T345" s="260">
        <f t="shared" si="303"/>
        <v>-1105.52</v>
      </c>
      <c r="U345" s="212"/>
      <c r="V345" s="260">
        <f t="shared" si="304"/>
        <v>-1625.1143999999999</v>
      </c>
      <c r="W345" s="212"/>
      <c r="X345" s="260">
        <f t="shared" si="305"/>
        <v>-3045.7076000000002</v>
      </c>
      <c r="Y345" s="212"/>
      <c r="Z345" s="175"/>
      <c r="AC345" s="394" t="s">
        <v>136</v>
      </c>
      <c r="AE345" s="239">
        <f t="shared" si="306"/>
        <v>17</v>
      </c>
      <c r="AG345" s="145">
        <f t="shared" si="307"/>
        <v>-55276</v>
      </c>
      <c r="AI345" s="262">
        <f t="shared" si="308"/>
        <v>-23812.900799999999</v>
      </c>
      <c r="AJ345" s="262"/>
      <c r="AK345" s="262">
        <f t="shared" si="309"/>
        <v>-12790.866399999999</v>
      </c>
      <c r="AL345" s="262"/>
      <c r="AM345" s="262">
        <f t="shared" si="310"/>
        <v>-6058.2496000000001</v>
      </c>
      <c r="AN345" s="262"/>
      <c r="AO345" s="262">
        <f t="shared" si="311"/>
        <v>-5593.9312</v>
      </c>
      <c r="AP345" s="262"/>
      <c r="AQ345" s="262">
        <f t="shared" si="312"/>
        <v>-1227.1272000000001</v>
      </c>
      <c r="AR345" s="262"/>
      <c r="AS345" s="262">
        <f t="shared" si="313"/>
        <v>-1006.0232000000001</v>
      </c>
      <c r="AT345" s="262"/>
      <c r="AU345" s="262">
        <f t="shared" si="314"/>
        <v>-176.88320000000002</v>
      </c>
      <c r="AV345" s="262"/>
      <c r="AW345" s="262">
        <f t="shared" si="315"/>
        <v>-1591.9487999999999</v>
      </c>
      <c r="AX345" s="262"/>
      <c r="AY345" s="262">
        <f t="shared" si="316"/>
        <v>-3018.0696000000003</v>
      </c>
      <c r="BA345" s="175"/>
      <c r="BB345" s="145"/>
      <c r="BC345" s="145"/>
      <c r="BD345" s="145"/>
    </row>
    <row r="346" spans="1:56">
      <c r="A346" s="514"/>
      <c r="B346" s="515"/>
      <c r="F346" s="394" t="s">
        <v>764</v>
      </c>
      <c r="H346" s="144">
        <v>5</v>
      </c>
      <c r="J346" s="312">
        <v>4644233</v>
      </c>
      <c r="K346" s="146"/>
      <c r="L346" s="260">
        <f t="shared" si="299"/>
        <v>1958937.4794000003</v>
      </c>
      <c r="M346" s="212"/>
      <c r="N346" s="260">
        <f t="shared" si="300"/>
        <v>1185672.6848999998</v>
      </c>
      <c r="O346" s="212"/>
      <c r="P346" s="260">
        <f t="shared" si="301"/>
        <v>136076.0269</v>
      </c>
      <c r="Q346" s="212"/>
      <c r="R346" s="260">
        <f t="shared" si="302"/>
        <v>341351.12549999997</v>
      </c>
      <c r="S346" s="212"/>
      <c r="T346" s="260">
        <f t="shared" si="303"/>
        <v>96600.046399999992</v>
      </c>
      <c r="U346" s="212"/>
      <c r="V346" s="260">
        <f t="shared" si="304"/>
        <v>418445.3933</v>
      </c>
      <c r="W346" s="212"/>
      <c r="X346" s="260">
        <f t="shared" si="305"/>
        <v>507150.24360000005</v>
      </c>
      <c r="Y346" s="212"/>
      <c r="Z346" s="175"/>
      <c r="AC346" s="394" t="s">
        <v>764</v>
      </c>
      <c r="AE346" s="239">
        <f t="shared" si="306"/>
        <v>5</v>
      </c>
      <c r="AG346" s="145">
        <f t="shared" si="307"/>
        <v>4644233</v>
      </c>
      <c r="AI346" s="262">
        <f t="shared" si="308"/>
        <v>1482439.1735999999</v>
      </c>
      <c r="AJ346" s="262"/>
      <c r="AK346" s="262">
        <f t="shared" si="309"/>
        <v>0</v>
      </c>
      <c r="AL346" s="262"/>
      <c r="AM346" s="262">
        <f t="shared" si="310"/>
        <v>2236198.1894999999</v>
      </c>
      <c r="AN346" s="262"/>
      <c r="AO346" s="262">
        <f t="shared" si="311"/>
        <v>0</v>
      </c>
      <c r="AP346" s="262"/>
      <c r="AQ346" s="262">
        <f t="shared" si="312"/>
        <v>0</v>
      </c>
      <c r="AR346" s="262"/>
      <c r="AS346" s="262">
        <f t="shared" si="313"/>
        <v>0</v>
      </c>
      <c r="AT346" s="262"/>
      <c r="AU346" s="262">
        <f t="shared" si="314"/>
        <v>0</v>
      </c>
      <c r="AV346" s="262"/>
      <c r="AW346" s="262">
        <f t="shared" si="315"/>
        <v>418445.3933</v>
      </c>
      <c r="AX346" s="262"/>
      <c r="AY346" s="262">
        <f t="shared" si="316"/>
        <v>507150.24360000005</v>
      </c>
      <c r="BA346" s="175"/>
      <c r="BB346" s="145"/>
      <c r="BC346" s="145"/>
      <c r="BD346" s="145"/>
    </row>
    <row r="347" spans="1:56">
      <c r="A347" s="514"/>
      <c r="B347" s="515"/>
      <c r="F347" s="394" t="s">
        <v>137</v>
      </c>
      <c r="J347" s="312"/>
      <c r="K347" s="146"/>
      <c r="L347" s="260"/>
      <c r="M347" s="212"/>
      <c r="N347" s="260"/>
      <c r="O347" s="212"/>
      <c r="P347" s="260"/>
      <c r="Q347" s="212"/>
      <c r="R347" s="260"/>
      <c r="S347" s="212"/>
      <c r="T347" s="260"/>
      <c r="U347" s="212"/>
      <c r="V347" s="260"/>
      <c r="W347" s="212"/>
      <c r="X347" s="260"/>
      <c r="Y347" s="212"/>
      <c r="Z347" s="175"/>
      <c r="AC347" s="394" t="s">
        <v>137</v>
      </c>
      <c r="AE347" s="239"/>
      <c r="AG347" s="145"/>
      <c r="AI347" s="262"/>
      <c r="AJ347" s="262"/>
      <c r="AK347" s="262"/>
      <c r="AL347" s="262"/>
      <c r="AM347" s="262"/>
      <c r="AN347" s="262"/>
      <c r="AO347" s="262"/>
      <c r="AP347" s="262"/>
      <c r="AQ347" s="262"/>
      <c r="AR347" s="262"/>
      <c r="AS347" s="262"/>
      <c r="AT347" s="262"/>
      <c r="AU347" s="262"/>
      <c r="AV347" s="262"/>
      <c r="AW347" s="262"/>
      <c r="AX347" s="262"/>
      <c r="AY347" s="262"/>
      <c r="BA347" s="175"/>
      <c r="BB347" s="145"/>
      <c r="BC347" s="145"/>
      <c r="BD347" s="145"/>
    </row>
    <row r="348" spans="1:56">
      <c r="A348" s="514"/>
      <c r="B348" s="515"/>
      <c r="F348" s="394" t="s">
        <v>776</v>
      </c>
      <c r="H348" s="144">
        <v>2</v>
      </c>
      <c r="J348" s="313">
        <v>1536404</v>
      </c>
      <c r="K348" s="146"/>
      <c r="L348" s="260">
        <f>(VLOOKUP($H348,Factors,L$382))*$J348</f>
        <v>779417.74919999996</v>
      </c>
      <c r="M348" s="212"/>
      <c r="N348" s="260">
        <f>(VLOOKUP($H348,Factors,N$382))*$J348</f>
        <v>478436.20559999999</v>
      </c>
      <c r="O348" s="212"/>
      <c r="P348" s="260">
        <f>(VLOOKUP($H348,Factors,P$382))*$J348</f>
        <v>61609.800400000007</v>
      </c>
      <c r="Q348" s="212"/>
      <c r="R348" s="260">
        <f>(VLOOKUP($H348,Factors,R$382))*$J348</f>
        <v>162244.26240000001</v>
      </c>
      <c r="S348" s="212"/>
      <c r="T348" s="260">
        <f>(VLOOKUP($H348,Factors,T$382))*$J348</f>
        <v>49318.568399999996</v>
      </c>
      <c r="U348" s="212"/>
      <c r="V348" s="260">
        <f>(VLOOKUP($H348,Factors,V$382))*$J348</f>
        <v>2458.2464</v>
      </c>
      <c r="W348" s="212"/>
      <c r="X348" s="260">
        <f>(VLOOKUP($H348,Factors,X$382))*$J348</f>
        <v>2919.1676000000002</v>
      </c>
      <c r="Y348" s="212"/>
      <c r="Z348" s="175"/>
      <c r="AC348" s="394" t="s">
        <v>138</v>
      </c>
      <c r="AE348" s="239">
        <f t="shared" si="306"/>
        <v>2</v>
      </c>
      <c r="AG348" s="145">
        <f t="shared" si="307"/>
        <v>1536404</v>
      </c>
      <c r="AI348" s="262">
        <f>(VLOOKUP($AE348,func,AI$382))*$AG348</f>
        <v>925837.05039999983</v>
      </c>
      <c r="AJ348" s="262"/>
      <c r="AK348" s="262">
        <f>(VLOOKUP($AE348,func,AK$382))*$AG348</f>
        <v>605189.53559999994</v>
      </c>
      <c r="AL348" s="262"/>
      <c r="AM348" s="262">
        <f>(VLOOKUP($AE348,func,AM$382))*$AG348</f>
        <v>0</v>
      </c>
      <c r="AN348" s="262"/>
      <c r="AO348" s="262">
        <f>(VLOOKUP($AE348,func,AO$382))*$AG348</f>
        <v>0</v>
      </c>
      <c r="AP348" s="262"/>
      <c r="AQ348" s="262">
        <f>(VLOOKUP($AE348,func,AQ$382))*$AG348</f>
        <v>0</v>
      </c>
      <c r="AR348" s="262"/>
      <c r="AS348" s="262">
        <f>(VLOOKUP($AE348,func,AS$382))*$AG348</f>
        <v>0</v>
      </c>
      <c r="AT348" s="262"/>
      <c r="AU348" s="262">
        <f>(VLOOKUP($AE348,func,AU$382))*$AG348</f>
        <v>0</v>
      </c>
      <c r="AV348" s="262"/>
      <c r="AW348" s="262">
        <f>(VLOOKUP($AE348,func,AW$382))*$AG348</f>
        <v>2458.2464</v>
      </c>
      <c r="AX348" s="262"/>
      <c r="AY348" s="262">
        <f>(VLOOKUP($AE348,func,AY$382))*$AG348</f>
        <v>2919.1676000000002</v>
      </c>
      <c r="BA348" s="175"/>
      <c r="BB348" s="145"/>
      <c r="BC348" s="145"/>
      <c r="BD348" s="145"/>
    </row>
    <row r="349" spans="1:56">
      <c r="A349" s="551"/>
      <c r="B349" s="552"/>
      <c r="F349" s="394" t="s">
        <v>139</v>
      </c>
      <c r="H349" s="144">
        <v>17</v>
      </c>
      <c r="J349" s="389">
        <v>650080.54458333319</v>
      </c>
      <c r="K349" s="146"/>
      <c r="L349" s="549">
        <f>(VLOOKUP($H349,Factors,L$382))*$J349</f>
        <v>338626.95567345829</v>
      </c>
      <c r="M349" s="212"/>
      <c r="N349" s="549">
        <f>(VLOOKUP($H349,Factors,N$382))*$J349</f>
        <v>169801.03824516662</v>
      </c>
      <c r="O349" s="212"/>
      <c r="P349" s="549">
        <f>(VLOOKUP($H349,Factors,P$382))*$J349</f>
        <v>20152.496882083327</v>
      </c>
      <c r="Q349" s="212"/>
      <c r="R349" s="549">
        <f>(VLOOKUP($H349,Factors,R$382))*$J349</f>
        <v>53566.636873666655</v>
      </c>
      <c r="S349" s="212"/>
      <c r="T349" s="549">
        <f>(VLOOKUP($H349,Factors,T$382))*$J349</f>
        <v>13001.610891666664</v>
      </c>
      <c r="U349" s="212"/>
      <c r="V349" s="549">
        <f>(VLOOKUP($H349,Factors,V$382))*$J349</f>
        <v>19112.368010749997</v>
      </c>
      <c r="W349" s="212"/>
      <c r="X349" s="549">
        <f>(VLOOKUP($H349,Factors,X$382))*$J349</f>
        <v>35819.438006541663</v>
      </c>
      <c r="Y349" s="212"/>
      <c r="Z349" s="175"/>
      <c r="AC349" s="394" t="s">
        <v>139</v>
      </c>
      <c r="AE349" s="239">
        <f t="shared" si="306"/>
        <v>17</v>
      </c>
      <c r="AG349" s="263">
        <f t="shared" si="307"/>
        <v>650080.54458333319</v>
      </c>
      <c r="AI349" s="509">
        <f>(VLOOKUP($AE349,func,AI$382))*$AG349</f>
        <v>280054.69860649994</v>
      </c>
      <c r="AK349" s="509">
        <f>(VLOOKUP($AE349,func,AK$382))*$AG349</f>
        <v>150428.63801658331</v>
      </c>
      <c r="AM349" s="509">
        <f>(VLOOKUP($AE349,func,AM$382))*$AG349</f>
        <v>71248.827686333316</v>
      </c>
      <c r="AO349" s="509">
        <f>(VLOOKUP($AE349,func,AO$382))*$AG349</f>
        <v>65788.151111833315</v>
      </c>
      <c r="AQ349" s="509">
        <f>(VLOOKUP($AE349,func,AQ$382))*$AG349</f>
        <v>14431.788089749998</v>
      </c>
      <c r="AS349" s="509">
        <f>(VLOOKUP($AE349,func,AS$382))*$AG349</f>
        <v>11831.465911416664</v>
      </c>
      <c r="AU349" s="509">
        <f>(VLOOKUP($AE349,func,AU$382))*$AG349</f>
        <v>2080.2577426666662</v>
      </c>
      <c r="AW349" s="509">
        <f>(VLOOKUP($AE349,func,AW$382))*$AG349</f>
        <v>18722.319683999995</v>
      </c>
      <c r="AY349" s="509">
        <f>(VLOOKUP($AE349,func,AY$382))*$AG349</f>
        <v>35494.397734249993</v>
      </c>
      <c r="BA349" s="175"/>
      <c r="BB349" s="145"/>
      <c r="BC349" s="145"/>
      <c r="BD349" s="145"/>
    </row>
    <row r="350" spans="1:56">
      <c r="A350" s="514"/>
      <c r="B350" s="515"/>
      <c r="F350" s="529"/>
      <c r="J350" s="256"/>
      <c r="L350" s="256"/>
      <c r="M350" s="529"/>
      <c r="N350" s="256"/>
      <c r="O350" s="529"/>
      <c r="P350" s="256"/>
      <c r="Q350" s="529"/>
      <c r="R350" s="256"/>
      <c r="S350" s="529"/>
      <c r="T350" s="256"/>
      <c r="U350" s="529"/>
      <c r="V350" s="256"/>
      <c r="W350" s="529"/>
      <c r="X350" s="256"/>
      <c r="Z350" s="175"/>
      <c r="AE350" s="239"/>
      <c r="AG350" s="387"/>
      <c r="AI350" s="387"/>
      <c r="AK350" s="387"/>
      <c r="AM350" s="387"/>
      <c r="AO350" s="387"/>
      <c r="AQ350" s="387"/>
      <c r="AS350" s="387"/>
      <c r="AU350" s="387"/>
      <c r="AW350" s="387"/>
      <c r="AY350" s="387"/>
      <c r="BA350" s="175"/>
      <c r="BB350" s="145"/>
      <c r="BC350" s="145"/>
      <c r="BD350" s="145"/>
    </row>
    <row r="351" spans="1:56">
      <c r="A351" s="514"/>
      <c r="B351" s="515"/>
      <c r="F351" s="529" t="s">
        <v>284</v>
      </c>
      <c r="J351" s="256">
        <f>SUM(J332:J350)</f>
        <v>-38707253.536783949</v>
      </c>
      <c r="L351" s="256">
        <f ca="1">SUM(L332:L350)</f>
        <v>-20426977.425350294</v>
      </c>
      <c r="M351" s="529"/>
      <c r="N351" s="256">
        <f ca="1">SUM(N332:N350)</f>
        <v>-10204791.757910339</v>
      </c>
      <c r="O351" s="529"/>
      <c r="P351" s="256">
        <f ca="1">SUM(P332:P350)</f>
        <v>-1215573.817542488</v>
      </c>
      <c r="Q351" s="529"/>
      <c r="R351" s="256">
        <f ca="1">SUM(R332:R350)</f>
        <v>-3253595.0957757225</v>
      </c>
      <c r="S351" s="529"/>
      <c r="T351" s="256">
        <f ca="1">SUM(T332:T350)</f>
        <v>-754128.49960231013</v>
      </c>
      <c r="U351" s="529"/>
      <c r="V351" s="256">
        <f ca="1">SUM(V332:V350)</f>
        <v>-856592.51036389265</v>
      </c>
      <c r="W351" s="529"/>
      <c r="X351" s="256">
        <f ca="1">SUM(X332:X350)</f>
        <v>-1995594.4302388986</v>
      </c>
      <c r="Z351" s="175"/>
      <c r="AC351" s="529" t="s">
        <v>284</v>
      </c>
      <c r="AD351" s="140"/>
      <c r="AE351" s="144"/>
      <c r="AG351" s="256">
        <f>SUM(AG332:AG350)</f>
        <v>-38707253.536783949</v>
      </c>
      <c r="AI351" s="256">
        <f ca="1">SUM(AI332:AI350)</f>
        <v>-16965330.626828987</v>
      </c>
      <c r="AK351" s="256">
        <f ca="1">SUM(AK332:AK350)</f>
        <v>-10287948.081680195</v>
      </c>
      <c r="AM351" s="256">
        <f ca="1">SUM(AM332:AM350)</f>
        <v>-2699550.9426880018</v>
      </c>
      <c r="AO351" s="256">
        <f ca="1">SUM(AO332:AO350)</f>
        <v>-4793269.3130530315</v>
      </c>
      <c r="AQ351" s="256">
        <f ca="1">SUM(AQ332:AQ350)</f>
        <v>-1012271.0892511501</v>
      </c>
      <c r="AS351" s="256">
        <f ca="1">SUM(AS332:AS350)</f>
        <v>-120109.06698781039</v>
      </c>
      <c r="AU351" s="256">
        <f ca="1">SUM(AU332:AU350)</f>
        <v>-21085.462310691008</v>
      </c>
      <c r="AW351" s="256">
        <f ca="1">SUM(AW332:AW350)</f>
        <v>-833753.25453635957</v>
      </c>
      <c r="AY351" s="256">
        <f ca="1">SUM(AY332:AY350)</f>
        <v>-1973935.6994477308</v>
      </c>
      <c r="BA351" s="175"/>
      <c r="BB351" s="145"/>
      <c r="BC351" s="145"/>
      <c r="BD351" s="145"/>
    </row>
    <row r="352" spans="1:56">
      <c r="A352" s="514"/>
      <c r="B352" s="515"/>
      <c r="F352" s="529"/>
      <c r="J352" s="256"/>
      <c r="L352" s="256"/>
      <c r="M352" s="529"/>
      <c r="N352" s="256"/>
      <c r="O352" s="529"/>
      <c r="P352" s="256"/>
      <c r="Q352" s="529"/>
      <c r="R352" s="256"/>
      <c r="S352" s="529"/>
      <c r="T352" s="256"/>
      <c r="U352" s="529"/>
      <c r="V352" s="256"/>
      <c r="W352" s="529"/>
      <c r="X352" s="256"/>
      <c r="Z352" s="175"/>
      <c r="AD352" s="140"/>
      <c r="AE352" s="144"/>
      <c r="AG352" s="256"/>
      <c r="AI352" s="256"/>
      <c r="AK352" s="256"/>
      <c r="AM352" s="256"/>
      <c r="AO352" s="256"/>
      <c r="AQ352" s="256"/>
      <c r="AS352" s="256"/>
      <c r="AU352" s="256"/>
      <c r="AW352" s="256"/>
      <c r="AY352" s="256"/>
      <c r="BA352" s="175"/>
      <c r="BB352" s="145"/>
      <c r="BC352" s="145"/>
      <c r="BD352" s="145"/>
    </row>
    <row r="353" spans="1:56" ht="13.5" thickBot="1">
      <c r="A353" s="514"/>
      <c r="B353" s="515"/>
      <c r="F353" s="529" t="s">
        <v>285</v>
      </c>
      <c r="J353" s="395">
        <f>J329+J351</f>
        <v>385994705.46646518</v>
      </c>
      <c r="L353" s="395">
        <f ca="1">L329+L351</f>
        <v>201063852.94557387</v>
      </c>
      <c r="M353" s="529"/>
      <c r="N353" s="395">
        <f ca="1">N329+N351</f>
        <v>100686677.83513007</v>
      </c>
      <c r="O353" s="529"/>
      <c r="P353" s="395">
        <f ca="1">P329+P351</f>
        <v>11933928.606004246</v>
      </c>
      <c r="Q353" s="529"/>
      <c r="R353" s="395">
        <f ca="1">R329+R351</f>
        <v>31708833.944374189</v>
      </c>
      <c r="S353" s="529"/>
      <c r="T353" s="395">
        <f ca="1">T329+T351</f>
        <v>7744813.6298692655</v>
      </c>
      <c r="U353" s="529"/>
      <c r="V353" s="395">
        <f ca="1">V329+V351</f>
        <v>11508253.347160414</v>
      </c>
      <c r="W353" s="529"/>
      <c r="X353" s="395">
        <f ca="1">X329+X351</f>
        <v>21348345.158353262</v>
      </c>
      <c r="Z353" s="175"/>
      <c r="AC353" s="529" t="s">
        <v>285</v>
      </c>
      <c r="AD353" s="140"/>
      <c r="AE353" s="144"/>
      <c r="AG353" s="395">
        <f>AG329+AG351</f>
        <v>385994705.46646518</v>
      </c>
      <c r="AI353" s="395">
        <f ca="1">AI329+AI351</f>
        <v>165885440.2358796</v>
      </c>
      <c r="AK353" s="395">
        <f ca="1">AK329+AK351</f>
        <v>88028844.20494692</v>
      </c>
      <c r="AM353" s="395">
        <f ca="1">AM329+AM351</f>
        <v>43577561.611512385</v>
      </c>
      <c r="AO353" s="395">
        <f ca="1">AO329+AO351</f>
        <v>38619657.525380455</v>
      </c>
      <c r="AQ353" s="395">
        <f ca="1">AQ329+AQ351</f>
        <v>8477304.5805446357</v>
      </c>
      <c r="AS353" s="395">
        <f ca="1">AS329+AS351</f>
        <v>7624543.9104026165</v>
      </c>
      <c r="AU353" s="395">
        <f ca="1">AU329+AU351</f>
        <v>1322125.1947084626</v>
      </c>
      <c r="AW353" s="395">
        <f ca="1">AW329+AW351</f>
        <v>11313089.201728463</v>
      </c>
      <c r="AY353" s="395">
        <f ca="1">AY329+AY351</f>
        <v>21146139.001361813</v>
      </c>
      <c r="BA353" s="175"/>
      <c r="BB353" s="145"/>
      <c r="BC353" s="145"/>
      <c r="BD353" s="145"/>
    </row>
    <row r="354" spans="1:56" ht="13.5" thickTop="1">
      <c r="A354" s="514"/>
      <c r="B354" s="515"/>
      <c r="C354" s="478"/>
      <c r="D354" s="489"/>
      <c r="E354" s="478"/>
      <c r="F354" s="385"/>
      <c r="G354" s="257"/>
      <c r="H354" s="562"/>
      <c r="J354" s="386"/>
      <c r="K354" s="146"/>
      <c r="L354" s="386"/>
      <c r="M354" s="387"/>
      <c r="N354" s="386"/>
      <c r="O354" s="387"/>
      <c r="P354" s="386"/>
      <c r="Q354" s="387"/>
      <c r="R354" s="386"/>
      <c r="S354" s="387"/>
      <c r="T354" s="386"/>
      <c r="U354" s="387"/>
      <c r="V354" s="386"/>
      <c r="W354" s="387"/>
      <c r="X354" s="386"/>
      <c r="Z354" s="175"/>
      <c r="AC354" s="385"/>
      <c r="AE354" s="239"/>
      <c r="AG354" s="387"/>
      <c r="AH354" s="146"/>
      <c r="AI354" s="386"/>
      <c r="AJ354" s="386"/>
      <c r="AK354" s="386"/>
      <c r="AL354" s="386"/>
      <c r="AM354" s="386"/>
      <c r="AN354" s="386"/>
      <c r="AO354" s="386"/>
      <c r="AP354" s="386"/>
      <c r="AQ354" s="386"/>
      <c r="AR354" s="386"/>
      <c r="AS354" s="386"/>
      <c r="AT354" s="386"/>
      <c r="AU354" s="386"/>
      <c r="AV354" s="386"/>
      <c r="AW354" s="386"/>
      <c r="AX354" s="386"/>
      <c r="AY354" s="386"/>
      <c r="BA354" s="175"/>
    </row>
    <row r="355" spans="1:56">
      <c r="A355" s="514"/>
      <c r="B355" s="515"/>
      <c r="C355" s="478"/>
      <c r="D355" s="489"/>
      <c r="E355" s="478"/>
      <c r="F355" s="385"/>
      <c r="G355" s="257"/>
      <c r="H355" s="562"/>
      <c r="J355" s="386"/>
      <c r="K355" s="146"/>
      <c r="L355" s="386"/>
      <c r="M355" s="387"/>
      <c r="N355" s="386"/>
      <c r="O355" s="387"/>
      <c r="P355" s="386"/>
      <c r="Q355" s="387"/>
      <c r="R355" s="386"/>
      <c r="S355" s="387"/>
      <c r="T355" s="386"/>
      <c r="U355" s="387"/>
      <c r="V355" s="386"/>
      <c r="W355" s="387"/>
      <c r="X355" s="386"/>
      <c r="Z355" s="175"/>
      <c r="AC355" s="385"/>
      <c r="AE355" s="239"/>
      <c r="AG355" s="387"/>
      <c r="AH355" s="146"/>
      <c r="AI355" s="386"/>
      <c r="AJ355" s="386"/>
      <c r="AK355" s="386"/>
      <c r="AL355" s="386"/>
      <c r="AM355" s="386"/>
      <c r="AN355" s="386"/>
      <c r="AO355" s="386"/>
      <c r="AP355" s="386"/>
      <c r="AQ355" s="386"/>
      <c r="AR355" s="386"/>
      <c r="AS355" s="386"/>
      <c r="AT355" s="386"/>
      <c r="AU355" s="386"/>
      <c r="AV355" s="386"/>
      <c r="AW355" s="386"/>
      <c r="AX355" s="386"/>
      <c r="AY355" s="386"/>
      <c r="BA355" s="175"/>
    </row>
    <row r="356" spans="1:56">
      <c r="A356" s="146"/>
      <c r="B356" s="146"/>
      <c r="C356" s="478"/>
      <c r="D356" s="489"/>
      <c r="E356" s="478"/>
      <c r="F356" s="257"/>
      <c r="G356" s="257"/>
      <c r="H356" s="562"/>
      <c r="J356" s="560"/>
      <c r="K356" s="560"/>
      <c r="L356" s="560"/>
      <c r="M356" s="560"/>
      <c r="N356" s="560"/>
      <c r="O356" s="560"/>
      <c r="P356" s="560"/>
      <c r="Q356" s="560"/>
      <c r="R356" s="560"/>
      <c r="S356" s="560"/>
      <c r="T356" s="560"/>
      <c r="U356" s="560"/>
      <c r="V356" s="560"/>
      <c r="W356" s="560"/>
      <c r="X356" s="560"/>
      <c r="Z356" s="175"/>
      <c r="AC356" s="257"/>
      <c r="AG356" s="560"/>
      <c r="AH356" s="560"/>
      <c r="AI356" s="560"/>
      <c r="AJ356" s="560"/>
      <c r="AK356" s="560"/>
      <c r="AL356" s="560"/>
      <c r="AM356" s="560"/>
      <c r="AN356" s="560"/>
      <c r="AO356" s="560"/>
      <c r="AP356" s="560"/>
      <c r="AQ356" s="560"/>
      <c r="AR356" s="560"/>
      <c r="AS356" s="560"/>
      <c r="AT356" s="560"/>
      <c r="AU356" s="560"/>
      <c r="AV356" s="560"/>
      <c r="AW356" s="560"/>
      <c r="AX356" s="560"/>
      <c r="AY356" s="560"/>
      <c r="BA356" s="175"/>
    </row>
    <row r="357" spans="1:56">
      <c r="AA357" s="175"/>
      <c r="AC357" s="140"/>
      <c r="AG357" s="146"/>
      <c r="AH357" s="146"/>
      <c r="AI357" s="146"/>
      <c r="AJ357" s="146"/>
      <c r="AK357" s="146"/>
      <c r="AL357" s="146"/>
      <c r="AM357" s="146"/>
      <c r="AN357" s="146"/>
      <c r="AO357" s="146"/>
      <c r="AP357" s="146"/>
      <c r="AQ357" s="146"/>
      <c r="AR357" s="146"/>
      <c r="AS357" s="146"/>
      <c r="AT357" s="146"/>
      <c r="AU357" s="146"/>
      <c r="AV357" s="146"/>
      <c r="AW357" s="146"/>
      <c r="AX357" s="146"/>
      <c r="AY357" s="146"/>
    </row>
    <row r="358" spans="1:56">
      <c r="AA358" s="175"/>
      <c r="AQ358" s="437">
        <f ca="1">+AS368+AU368</f>
        <v>0.23080000000000001</v>
      </c>
      <c r="AS358" s="437">
        <f ca="1">+AS374+AU374</f>
        <v>2.3100000000000002E-2</v>
      </c>
    </row>
    <row r="359" spans="1:56">
      <c r="AA359" s="175"/>
    </row>
    <row r="360" spans="1:56">
      <c r="AA360" s="175"/>
    </row>
    <row r="361" spans="1:56">
      <c r="F361" s="218" t="s">
        <v>168</v>
      </c>
      <c r="J361" s="145">
        <f>+J82+J83+J84</f>
        <v>899123.91010348836</v>
      </c>
      <c r="L361" s="145">
        <f>+L82+L83+L84</f>
        <v>677990.38683673646</v>
      </c>
      <c r="M361" s="529"/>
      <c r="N361" s="145">
        <f>+N82+N83+N84</f>
        <v>146112.10487757792</v>
      </c>
      <c r="O361" s="529"/>
      <c r="P361" s="145">
        <f>+P82+P83+P84</f>
        <v>9092.4843048024959</v>
      </c>
      <c r="Q361" s="529"/>
      <c r="R361" s="145">
        <f>+R82+R83+R84</f>
        <v>32559.68945802734</v>
      </c>
      <c r="S361" s="529"/>
      <c r="T361" s="145">
        <f>+T82+T83+T84</f>
        <v>2817.0235725470488</v>
      </c>
      <c r="U361" s="529"/>
      <c r="V361" s="145">
        <f>+V82+V83+V84</f>
        <v>18362.937310009638</v>
      </c>
      <c r="W361" s="529"/>
      <c r="X361" s="145">
        <f>+X82+X83+X84</f>
        <v>12189.28374378739</v>
      </c>
      <c r="Z361" s="175">
        <f>SUM(L361:X361)-J361</f>
        <v>0</v>
      </c>
      <c r="AA361" s="175"/>
      <c r="AC361" s="218" t="s">
        <v>168</v>
      </c>
      <c r="AD361" s="140"/>
      <c r="AE361" s="144"/>
      <c r="AG361" s="145">
        <f>+AG82+AG83+AG84</f>
        <v>899123.91010348836</v>
      </c>
      <c r="AI361" s="145">
        <f>+AI82+AI83+AI84</f>
        <v>71284.397713667902</v>
      </c>
      <c r="AK361" s="145">
        <f>+AK82+AK83+AK84</f>
        <v>13582.344743077378</v>
      </c>
      <c r="AM361" s="145">
        <f>+AM82+AM83+AM84</f>
        <v>76196.770711164179</v>
      </c>
      <c r="AO361" s="145">
        <f>+AO82+AO83+AO84</f>
        <v>707113.83964242262</v>
      </c>
      <c r="AQ361" s="145">
        <f>+AQ82+AQ83+AQ84</f>
        <v>394.33623935925687</v>
      </c>
      <c r="AS361" s="145">
        <f>+AS82+AS83+AS84</f>
        <v>0</v>
      </c>
      <c r="AU361" s="145">
        <f>+AU82+AU83+AU84</f>
        <v>0</v>
      </c>
      <c r="AW361" s="145">
        <f>+AW82+AW83+AW84</f>
        <v>18362.937310009638</v>
      </c>
      <c r="AY361" s="145">
        <f>+AY82+AY83+AY84</f>
        <v>12189.28374378739</v>
      </c>
      <c r="BA361" s="175">
        <f>SUM(AI361:AY361)-AG361</f>
        <v>0</v>
      </c>
    </row>
    <row r="362" spans="1:56">
      <c r="F362" s="218" t="s">
        <v>165</v>
      </c>
      <c r="L362" s="437">
        <f>ROUND(L361/$J361,4)</f>
        <v>0.75409999999999999</v>
      </c>
      <c r="M362" s="437"/>
      <c r="N362" s="437">
        <f>ROUND(N361/$J361,4)</f>
        <v>0.16250000000000001</v>
      </c>
      <c r="O362" s="437"/>
      <c r="P362" s="437">
        <f t="shared" ref="P362:X362" si="318">ROUND(P361/$J361,4)</f>
        <v>1.01E-2</v>
      </c>
      <c r="Q362" s="437"/>
      <c r="R362" s="437">
        <f t="shared" si="318"/>
        <v>3.6200000000000003E-2</v>
      </c>
      <c r="S362" s="437"/>
      <c r="T362" s="437">
        <f t="shared" si="318"/>
        <v>3.0999999999999999E-3</v>
      </c>
      <c r="U362" s="437"/>
      <c r="V362" s="437">
        <f t="shared" si="318"/>
        <v>2.0400000000000001E-2</v>
      </c>
      <c r="W362" s="437"/>
      <c r="X362" s="437">
        <f t="shared" si="318"/>
        <v>1.3599999999999999E-2</v>
      </c>
      <c r="Z362" s="437">
        <f>SUM(L362:X362)</f>
        <v>0.99999999999999989</v>
      </c>
      <c r="AA362" s="175"/>
      <c r="AC362" s="218" t="s">
        <v>165</v>
      </c>
      <c r="AD362" s="140"/>
      <c r="AE362" s="144"/>
      <c r="AG362" s="145"/>
      <c r="AI362" s="437">
        <f>ROUND(AI361/$J361,4)+0.0001</f>
        <v>7.9399999999999998E-2</v>
      </c>
      <c r="AJ362" s="437"/>
      <c r="AK362" s="437">
        <f>ROUND(AK361/$J361,4)</f>
        <v>1.5100000000000001E-2</v>
      </c>
      <c r="AL362" s="437"/>
      <c r="AM362" s="437">
        <f>ROUND(AM361/$J361,4)</f>
        <v>8.4699999999999998E-2</v>
      </c>
      <c r="AN362" s="437"/>
      <c r="AO362" s="437">
        <f>ROUND(AO361/$J361,4)</f>
        <v>0.78639999999999999</v>
      </c>
      <c r="AP362" s="437"/>
      <c r="AQ362" s="437">
        <f>ROUND(AQ361/$J361,4)</f>
        <v>4.0000000000000002E-4</v>
      </c>
      <c r="AR362" s="437"/>
      <c r="AS362" s="437">
        <f>ROUND(AS361/$J361,4)</f>
        <v>0</v>
      </c>
      <c r="AT362" s="437"/>
      <c r="AU362" s="437">
        <f>ROUND(AU361/$J361,4)</f>
        <v>0</v>
      </c>
      <c r="AV362" s="437"/>
      <c r="AW362" s="437">
        <f>ROUND(AW361/$J361,4)</f>
        <v>2.0400000000000001E-2</v>
      </c>
      <c r="AX362" s="437"/>
      <c r="AY362" s="437">
        <f>ROUND(AY361/$J361,4)</f>
        <v>1.3599999999999999E-2</v>
      </c>
      <c r="BA362" s="437">
        <f>SUM(AI362:AY362)</f>
        <v>0.99999999999999989</v>
      </c>
    </row>
    <row r="363" spans="1:56">
      <c r="F363" s="218" t="s">
        <v>169</v>
      </c>
      <c r="J363" s="145">
        <f>+J102+J103+J104+J105+J106+J110</f>
        <v>1010022.8284044156</v>
      </c>
      <c r="L363" s="145">
        <f>+L102+L103+L104+L105+L106+L110</f>
        <v>525913.20419917197</v>
      </c>
      <c r="M363" s="529"/>
      <c r="N363" s="145">
        <f>+N102+N103+N104+N105+N106+N110</f>
        <v>171942.871849016</v>
      </c>
      <c r="O363" s="529"/>
      <c r="P363" s="145">
        <f>+P102+P103+P104+P105+P106+P110</f>
        <v>15667.837953916987</v>
      </c>
      <c r="Q363" s="529"/>
      <c r="R363" s="145">
        <f>+R102+R103+R104+R105+R106+R110</f>
        <v>43963.951849064855</v>
      </c>
      <c r="S363" s="529"/>
      <c r="T363" s="145">
        <f>+T102+T103+T104+T105+T106+T110</f>
        <v>3031.4570235334718</v>
      </c>
      <c r="U363" s="529"/>
      <c r="V363" s="145">
        <f>+V102+V103+V104+V105+V106+V110</f>
        <v>41280.263195860942</v>
      </c>
      <c r="W363" s="529"/>
      <c r="X363" s="145">
        <f>+X102+X103+X104+X105+X106+X110</f>
        <v>208223.24233385132</v>
      </c>
      <c r="Z363" s="175">
        <f>SUM(L363:X363)-J363</f>
        <v>0</v>
      </c>
      <c r="AA363" s="175"/>
      <c r="AC363" s="218" t="s">
        <v>169</v>
      </c>
      <c r="AD363" s="140"/>
      <c r="AE363" s="144"/>
      <c r="AG363" s="145">
        <f>+AG102+AG103+AG104+AG105+AG106+AG110</f>
        <v>1010022.8284044156</v>
      </c>
      <c r="AI363" s="145">
        <f>+AI102+AI103+AI104+AI105+AI106+AI110</f>
        <v>174663.12437924446</v>
      </c>
      <c r="AK363" s="145">
        <f>+AK102+AK103+AK104+AK105+AK106+AK110</f>
        <v>33141.340239375364</v>
      </c>
      <c r="AM363" s="145">
        <f>+AM102+AM103+AM104+AM105+AM106+AM110</f>
        <v>187019.11273185769</v>
      </c>
      <c r="AO363" s="145">
        <f>+AO102+AO103+AO104+AO105+AO106+AO110</f>
        <v>39106.465092273596</v>
      </c>
      <c r="AQ363" s="145">
        <f>+AQ102+AQ103+AQ104+AQ105+AQ106+AQ110</f>
        <v>326589.28043195221</v>
      </c>
      <c r="AS363" s="145">
        <f>+AS102+AS103+AS104+AS105+AS106+AS110</f>
        <v>0</v>
      </c>
      <c r="AU363" s="145">
        <f>+AU102+AU103+AU104+AU105+AU106+AU110</f>
        <v>0</v>
      </c>
      <c r="AW363" s="145">
        <f>+AW102+AW103+AW104+AW105+AW106+AW110</f>
        <v>41280.263195860942</v>
      </c>
      <c r="AY363" s="145">
        <f>+AY102+AY103+AY104+AY105+AY106+AY110</f>
        <v>208223.24233385132</v>
      </c>
      <c r="BA363" s="175">
        <f>SUM(AI363:AY363)-AG363</f>
        <v>0</v>
      </c>
    </row>
    <row r="364" spans="1:56">
      <c r="F364" s="218" t="s">
        <v>166</v>
      </c>
      <c r="J364" s="437"/>
      <c r="K364" s="437"/>
      <c r="L364" s="437">
        <f>ROUND(L363/$J363,4)</f>
        <v>0.52070000000000005</v>
      </c>
      <c r="M364" s="437"/>
      <c r="N364" s="437">
        <f>ROUND(N363/$J363,4)</f>
        <v>0.17019999999999999</v>
      </c>
      <c r="O364" s="437"/>
      <c r="P364" s="437">
        <f>ROUND(P363/$J363,4)</f>
        <v>1.55E-2</v>
      </c>
      <c r="Q364" s="437"/>
      <c r="R364" s="437">
        <f>ROUND(R363/$J363,4)</f>
        <v>4.3499999999999997E-2</v>
      </c>
      <c r="S364" s="437"/>
      <c r="T364" s="437">
        <f>ROUND(T363/$J363,4)</f>
        <v>3.0000000000000001E-3</v>
      </c>
      <c r="U364" s="437"/>
      <c r="V364" s="437">
        <f>ROUND(V363/$J363,4)</f>
        <v>4.0899999999999999E-2</v>
      </c>
      <c r="W364" s="437"/>
      <c r="X364" s="437">
        <f>ROUND(X363/$J363,4)</f>
        <v>0.20619999999999999</v>
      </c>
      <c r="Z364" s="437">
        <f>SUM(L364:X364)</f>
        <v>1</v>
      </c>
      <c r="AA364" s="175"/>
      <c r="AC364" s="218" t="s">
        <v>166</v>
      </c>
      <c r="AD364" s="140"/>
      <c r="AE364" s="144"/>
      <c r="AG364" s="437"/>
      <c r="AH364" s="437"/>
      <c r="AI364" s="437">
        <f>ROUND(AI363/$J363,4)</f>
        <v>0.1729</v>
      </c>
      <c r="AJ364" s="437"/>
      <c r="AK364" s="437">
        <f>ROUND(AK363/$J363,4)</f>
        <v>3.2800000000000003E-2</v>
      </c>
      <c r="AL364" s="437"/>
      <c r="AM364" s="437">
        <f>ROUND(AM363/$J363,4)</f>
        <v>0.1852</v>
      </c>
      <c r="AN364" s="437"/>
      <c r="AO364" s="437">
        <f>ROUND(AO363/$J363,4)</f>
        <v>3.8699999999999998E-2</v>
      </c>
      <c r="AP364" s="437"/>
      <c r="AQ364" s="437">
        <f>ROUND(AQ363/$J363,4)</f>
        <v>0.32329999999999998</v>
      </c>
      <c r="AR364" s="437"/>
      <c r="AS364" s="437">
        <f>ROUND(AS363/$J363,4)</f>
        <v>0</v>
      </c>
      <c r="AT364" s="437"/>
      <c r="AU364" s="437">
        <f>ROUND(AU363/$J363,4)</f>
        <v>0</v>
      </c>
      <c r="AV364" s="437"/>
      <c r="AW364" s="437">
        <f>ROUND(AW363/$J363,4)</f>
        <v>4.0899999999999999E-2</v>
      </c>
      <c r="AX364" s="437"/>
      <c r="AY364" s="437">
        <f>ROUND(AY363/$J363,4)</f>
        <v>0.20619999999999999</v>
      </c>
      <c r="BA364" s="437">
        <f>SUM(AI364:AY364)</f>
        <v>1</v>
      </c>
    </row>
    <row r="365" spans="1:56">
      <c r="F365" s="218" t="s">
        <v>170</v>
      </c>
      <c r="J365" s="145">
        <f>+J29-J14-J15-J19+J40-J32+J75-J47-J48+J114+J132</f>
        <v>10927699.591770306</v>
      </c>
      <c r="L365" s="145">
        <f>+L29-L14-L15-L19+L40-L32+L75-L47-L48+L114+L132</f>
        <v>7105966.3427720852</v>
      </c>
      <c r="M365" s="529"/>
      <c r="N365" s="145">
        <f>+N29-N14-N15-N19+N40-N32+N75-N47-N48+N114+N132</f>
        <v>2250541.4051998174</v>
      </c>
      <c r="O365" s="529"/>
      <c r="P365" s="145">
        <f>+P29-P14-P15-P19+P40-P32+P75-P47-P48+P114+P132</f>
        <v>225349.55665491903</v>
      </c>
      <c r="Q365" s="529"/>
      <c r="R365" s="145">
        <f>+R29-R14-R15-R19+R40-R32+R75-R47-R48+R114+R132</f>
        <v>630319.24252400897</v>
      </c>
      <c r="S365" s="529"/>
      <c r="T365" s="145">
        <f>+T29-T14-T15-T19+T40-T32+T75-T47-T48+T114+T132</f>
        <v>152106.26190970858</v>
      </c>
      <c r="U365" s="529"/>
      <c r="V365" s="145">
        <f>+V29-V14-V15-V19+V40-V32+V75-V47-V48+V114+V132</f>
        <v>177754.08310984171</v>
      </c>
      <c r="W365" s="529"/>
      <c r="X365" s="145">
        <f>+X29-X14-X15-X19+X40-X32+X75-X47-X48+X114+X132</f>
        <v>385662.69959992624</v>
      </c>
      <c r="Z365" s="175">
        <f>SUM(L365:X365)-J365</f>
        <v>0</v>
      </c>
      <c r="AA365" s="175"/>
      <c r="AC365" s="218" t="s">
        <v>170</v>
      </c>
      <c r="AD365" s="140"/>
      <c r="AE365" s="144"/>
      <c r="AG365" s="145">
        <f>+AG29-AG14-AG15-AG19+AG40-AG32+AG75-AG47-AG48+AG114+AG132</f>
        <v>10927699.591770306</v>
      </c>
      <c r="AI365" s="145">
        <f>+AI29-AI14-AI15-AI19+AI40-AI32+AI75-AI47-AI48+AI114+AI132</f>
        <v>3213203.7583815269</v>
      </c>
      <c r="AK365" s="145">
        <f>+AK29-AK14-AK15-AK19+AK40-AK32+AK75-AK47-AK48+AK114+AK132</f>
        <v>1656183.7290491494</v>
      </c>
      <c r="AM365" s="145">
        <f>+AM29-AM14-AM15-AM19+AM40-AM32+AM75-AM47-AM48+AM114+AM132</f>
        <v>519759.55210132373</v>
      </c>
      <c r="AO365" s="145">
        <f>+AO29-AO14-AO15-AO19+AO40-AO32+AO75-AO47-AO48+AO114+AO132</f>
        <v>1981867.7407337723</v>
      </c>
      <c r="AQ365" s="145">
        <f>+AQ29-AQ14-AQ15-AQ19+AQ40-AQ32+AQ75-AQ47-AQ48+AQ114+AQ132</f>
        <v>537333.08672870765</v>
      </c>
      <c r="AS365" s="145">
        <f>+AS29-AS14-AS15-AS19+AS40-AS32+AS75-AS47-AS48+AS114+AS132</f>
        <v>1921203.2732634093</v>
      </c>
      <c r="AU365" s="145">
        <f>+AU29-AU14-AU15-AU19+AU40-AU32+AU75-AU47-AU48+AU114+AU132</f>
        <v>552734.51937874407</v>
      </c>
      <c r="AW365" s="145">
        <f>+AW29-AW14-AW15-AW19+AW40-AW32+AW75-AW47-AW48+AW114+AW132</f>
        <v>159752.71078762022</v>
      </c>
      <c r="AY365" s="145">
        <f>+AY29-AY14-AY15-AY19+AY40-AY32+AY75-AY47-AY48+AY114+AY132</f>
        <v>385661.22134605382</v>
      </c>
      <c r="BA365" s="175">
        <f>SUM(AI365:AY365)-AG365</f>
        <v>0</v>
      </c>
      <c r="BB365" s="145"/>
    </row>
    <row r="366" spans="1:56">
      <c r="F366" s="218" t="s">
        <v>167</v>
      </c>
      <c r="L366" s="437">
        <f>ROUND(L365/$J365,4)</f>
        <v>0.65029999999999999</v>
      </c>
      <c r="M366" s="437"/>
      <c r="N366" s="437">
        <f>ROUND(N365/$J365,4)</f>
        <v>0.2059</v>
      </c>
      <c r="O366" s="437"/>
      <c r="P366" s="437">
        <f>ROUND(P365/$J365,4)</f>
        <v>2.06E-2</v>
      </c>
      <c r="Q366" s="437"/>
      <c r="R366" s="437">
        <f>ROUND(R365/$J365,4)</f>
        <v>5.7700000000000001E-2</v>
      </c>
      <c r="S366" s="437"/>
      <c r="T366" s="437">
        <f>ROUND(T365/$J365,4)</f>
        <v>1.3899999999999999E-2</v>
      </c>
      <c r="U366" s="437"/>
      <c r="V366" s="437">
        <f>ROUND(V365/$J365,4)</f>
        <v>1.6299999999999999E-2</v>
      </c>
      <c r="W366" s="437"/>
      <c r="X366" s="437">
        <f>ROUND(X365/$J365,4)</f>
        <v>3.5299999999999998E-2</v>
      </c>
      <c r="Z366" s="437">
        <f>SUM(L366:X366)</f>
        <v>0.99999999999999989</v>
      </c>
      <c r="AA366" s="175"/>
      <c r="AC366" s="218" t="s">
        <v>167</v>
      </c>
      <c r="AD366" s="140"/>
      <c r="AE366" s="144"/>
      <c r="AG366" s="145"/>
      <c r="AI366" s="437">
        <f>ROUND(AI365/$J365,4)-0.0001</f>
        <v>0.29389999999999999</v>
      </c>
      <c r="AJ366" s="437"/>
      <c r="AK366" s="437">
        <f>ROUND(AK365/$J365,4)</f>
        <v>0.15160000000000001</v>
      </c>
      <c r="AL366" s="437"/>
      <c r="AM366" s="437">
        <f>ROUND(AM365/$J365,4)</f>
        <v>4.7600000000000003E-2</v>
      </c>
      <c r="AN366" s="437"/>
      <c r="AO366" s="437">
        <f>ROUND(AO365/$J365,4)</f>
        <v>0.18140000000000001</v>
      </c>
      <c r="AP366" s="437"/>
      <c r="AQ366" s="437">
        <f>ROUND(AQ365/$J365,4)</f>
        <v>4.9200000000000001E-2</v>
      </c>
      <c r="AR366" s="437"/>
      <c r="AS366" s="437">
        <f>ROUND(AS365/$J365,4)</f>
        <v>0.17580000000000001</v>
      </c>
      <c r="AT366" s="437"/>
      <c r="AU366" s="437">
        <f>ROUND(AU365/$J365,4)</f>
        <v>5.0599999999999999E-2</v>
      </c>
      <c r="AV366" s="437"/>
      <c r="AW366" s="437">
        <f>ROUND(AW365/$J365,4)</f>
        <v>1.46E-2</v>
      </c>
      <c r="AX366" s="437"/>
      <c r="AY366" s="437">
        <f>ROUND(AY365/$J365,4)</f>
        <v>3.5299999999999998E-2</v>
      </c>
      <c r="BA366" s="437">
        <f>SUM(AI366:AY366)</f>
        <v>0.99999999999999989</v>
      </c>
    </row>
    <row r="367" spans="1:56">
      <c r="F367" s="218" t="s">
        <v>5</v>
      </c>
      <c r="J367" s="145">
        <f>+J173</f>
        <v>33963110.528954171</v>
      </c>
      <c r="L367" s="145">
        <f ca="1">+L173</f>
        <v>21733297.828000203</v>
      </c>
      <c r="M367" s="529"/>
      <c r="N367" s="145">
        <f ca="1">+N173</f>
        <v>7307386.0771020912</v>
      </c>
      <c r="O367" s="529"/>
      <c r="P367" s="145">
        <f ca="1">+P173</f>
        <v>789250.17960936797</v>
      </c>
      <c r="Q367" s="529"/>
      <c r="R367" s="145">
        <f ca="1">+R173</f>
        <v>2163484.5201696185</v>
      </c>
      <c r="S367" s="529"/>
      <c r="T367" s="145">
        <f ca="1">+T173</f>
        <v>565808.20086405321</v>
      </c>
      <c r="U367" s="529"/>
      <c r="V367" s="145">
        <f ca="1">+V173</f>
        <v>477799.9070641367</v>
      </c>
      <c r="W367" s="529"/>
      <c r="X367" s="145">
        <f ca="1">+X173</f>
        <v>926083.81614469457</v>
      </c>
      <c r="Z367" s="175">
        <f ca="1">SUM(L367:X367)-J367</f>
        <v>0</v>
      </c>
      <c r="AA367" s="175"/>
      <c r="AC367" s="218" t="s">
        <v>5</v>
      </c>
      <c r="AD367" s="140"/>
      <c r="AE367" s="144"/>
      <c r="AG367" s="145">
        <f>+AG173</f>
        <v>33963110.528954171</v>
      </c>
      <c r="AI367" s="145">
        <f ca="1">+AI173</f>
        <v>13456852.370803837</v>
      </c>
      <c r="AK367" s="145">
        <f ca="1">+AK173</f>
        <v>3966288.9541965416</v>
      </c>
      <c r="AM367" s="145">
        <f ca="1">+AM173</f>
        <v>1204817.9443186526</v>
      </c>
      <c r="AO367" s="145">
        <f ca="1">+AO173</f>
        <v>4874393.0368047915</v>
      </c>
      <c r="AQ367" s="145">
        <f ca="1">+AQ173</f>
        <v>1262493.9778536931</v>
      </c>
      <c r="AS367" s="145">
        <f ca="1">+AS173</f>
        <v>6753618.7973824237</v>
      </c>
      <c r="AU367" s="145">
        <f ca="1">+AU173</f>
        <v>1079317.6192474321</v>
      </c>
      <c r="AW367" s="145">
        <f ca="1">+AW173</f>
        <v>439327.98906996998</v>
      </c>
      <c r="AY367" s="145">
        <f ca="1">+AY173</f>
        <v>925999.83927682228</v>
      </c>
      <c r="BA367" s="175">
        <f ca="1">SUM(AI367:AY367)-AG367</f>
        <v>0</v>
      </c>
    </row>
    <row r="368" spans="1:56">
      <c r="F368" s="218" t="s">
        <v>6</v>
      </c>
      <c r="L368" s="437">
        <f ca="1">+ROUND(L367/$J$367,4)-0.0001</f>
        <v>0.63980000000000004</v>
      </c>
      <c r="M368" s="529"/>
      <c r="N368" s="437">
        <f ca="1">+ROUND(N367/$J$367,4)</f>
        <v>0.2152</v>
      </c>
      <c r="O368" s="529"/>
      <c r="P368" s="437">
        <f ca="1">+ROUND(P367/$J$367,4)</f>
        <v>2.3199999999999998E-2</v>
      </c>
      <c r="Q368" s="529"/>
      <c r="R368" s="437">
        <f ca="1">+ROUND(R367/$J$367,4)</f>
        <v>6.3700000000000007E-2</v>
      </c>
      <c r="S368" s="529"/>
      <c r="T368" s="437">
        <f ca="1">+ROUND(T367/$J$367,4)</f>
        <v>1.67E-2</v>
      </c>
      <c r="U368" s="529"/>
      <c r="V368" s="437">
        <f ca="1">+ROUND(V367/$J$367,4)</f>
        <v>1.41E-2</v>
      </c>
      <c r="W368" s="529"/>
      <c r="X368" s="437">
        <f ca="1">+ROUND(X367/$J$367,4)</f>
        <v>2.7300000000000001E-2</v>
      </c>
      <c r="Z368" s="437">
        <f ca="1">SUM(L368:X368)</f>
        <v>1</v>
      </c>
      <c r="AA368" s="175"/>
      <c r="AC368" s="218" t="s">
        <v>6</v>
      </c>
      <c r="AD368" s="140"/>
      <c r="AE368" s="144"/>
      <c r="AG368" s="145"/>
      <c r="AI368" s="437">
        <f ca="1">+ROUND(AI367/$AG$367,4)-0.0002</f>
        <v>0.39600000000000002</v>
      </c>
      <c r="AK368" s="437">
        <f ca="1">+ROUND(AK367/$AG$367,4)</f>
        <v>0.1168</v>
      </c>
      <c r="AM368" s="437">
        <f ca="1">+ROUND(AM367/$AG$367,4)</f>
        <v>3.5499999999999997E-2</v>
      </c>
      <c r="AO368" s="437">
        <f ca="1">+ROUND(AO367/$AG$367,4)</f>
        <v>0.14349999999999999</v>
      </c>
      <c r="AQ368" s="437">
        <f ca="1">+ROUND(AQ367/$AG$367,4)</f>
        <v>3.7199999999999997E-2</v>
      </c>
      <c r="AS368" s="437">
        <f ca="1">+ROUND(AS367/$AG$367,4)</f>
        <v>0.19889999999999999</v>
      </c>
      <c r="AU368" s="437">
        <f ca="1">+ROUND(AU367/$AG$367,4)+0.0001</f>
        <v>3.1900000000000005E-2</v>
      </c>
      <c r="AW368" s="437">
        <f ca="1">+ROUND(AW367/$AG$367,4)</f>
        <v>1.29E-2</v>
      </c>
      <c r="AY368" s="437">
        <f ca="1">+ROUND(AY367/$AG$367,4)</f>
        <v>2.7300000000000001E-2</v>
      </c>
      <c r="BA368" s="437">
        <f ca="1">SUM(AI368:AY368)</f>
        <v>1</v>
      </c>
    </row>
    <row r="369" spans="6:53">
      <c r="F369" s="218" t="s">
        <v>171</v>
      </c>
      <c r="J369" s="212">
        <f>+J24+J45+J46+J67+J68+J79+J80+J100+J117+J119+J137+J82+J83+J84+J101+J102+J103+J104+J105+J106+J36</f>
        <v>6880212.6971408213</v>
      </c>
      <c r="L369" s="212">
        <f>+L24+L45+L46+L67+L68+L79+L80+L100+L117+L119+L137+L82+L83+L84+L101+L102+L103+L104+L105+L106+L36</f>
        <v>4318701.0510372501</v>
      </c>
      <c r="M369" s="529"/>
      <c r="N369" s="212">
        <f>+N24+N45+N46+N67+N68+N79+N80+N100+N117+N119+N137+N82+N83+N84+N101+N102+N103+N104+N105+N106+N36</f>
        <v>1498356.7546554774</v>
      </c>
      <c r="O369" s="529"/>
      <c r="P369" s="212">
        <f>+P24+P45+P46+P67+P68+P79+P80+P100+P117+P119+P137+P82+P83+P84+P101+P102+P103+P104+P105+P106+P36</f>
        <v>156181.03025641461</v>
      </c>
      <c r="Q369" s="529"/>
      <c r="R369" s="212">
        <f>+R24+R45+R46+R67+R68+R79+R80+R100+R117+R119+R137+R82+R83+R84+R101+R102+R103+R104+R105+R106+R36</f>
        <v>439436.19908016233</v>
      </c>
      <c r="S369" s="529"/>
      <c r="T369" s="212">
        <f>+T24+T45+T46+T67+T68+T79+T80+T100+T117+T119+T137+T82+T83+T84+T101+T102+T103+T104+T105+T106+T36</f>
        <v>107395.91023412287</v>
      </c>
      <c r="U369" s="529"/>
      <c r="V369" s="212">
        <f>+V24+V45+V46+V67+V68+V79+V80+V100+V117+V119+V137+V82+V83+V84+V101+V102+V103+V104+V105+V106+V36</f>
        <v>97353.154221936245</v>
      </c>
      <c r="W369" s="529"/>
      <c r="X369" s="212">
        <f>+X24+X45+X46+X67+X68+X79+X80+X100+X117+X119+X137+X82+X83+X84+X101+X102+X103+X104+X105+X106+X36</f>
        <v>262788.59765545902</v>
      </c>
      <c r="Z369" s="212">
        <f>+Z24+Z45+Z46+Z67+Z68+Z79+Z80+Z100+Z117+Z119+Z137+Z82+Z83+Z84+Z101+Z102+Z103+Z104+Z105+Z106+Z36</f>
        <v>0</v>
      </c>
      <c r="AA369" s="175"/>
      <c r="AC369" s="218" t="s">
        <v>171</v>
      </c>
      <c r="AD369" s="140"/>
      <c r="AE369" s="144"/>
      <c r="AG369" s="212">
        <f>+AG24+AG45+AG46+AG67+AG68+AG79+AG80+AG100+AG117+AG119+AG137+AG82+AG83+AG84+AG101+AG102+AG103+AG104+AG105+AG106+AG36</f>
        <v>6880212.6971408213</v>
      </c>
      <c r="AI369" s="212">
        <f>+AI24+AI45+AI46+AI67+AI68+AI79+AI80+AI100+AI117+AI119+AI137+AI82+AI83+AI84+AI101+AI102+AI103+AI104+AI105+AI106+AI36</f>
        <v>2143920.2653667647</v>
      </c>
      <c r="AK369" s="212">
        <f>+AK24+AK45+AK46+AK67+AK68+AK79+AK80+AK100+AK117+AK119+AK137+AK82+AK83+AK84+AK101+AK102+AK103+AK104+AK105+AK106+AK36</f>
        <v>1254178.2217444892</v>
      </c>
      <c r="AM369" s="212">
        <f>+AM24+AM45+AM46+AM67+AM68+AM79+AM80+AM100+AM117+AM119+AM137+AM82+AM83+AM84+AM101+AM102+AM103+AM104+AM105+AM106+AM36</f>
        <v>315435.61760793783</v>
      </c>
      <c r="AO369" s="212">
        <f>+AO24+AO45+AO46+AO67+AO68+AO79+AO80+AO100+AO117+AO119+AO137+AO82+AO83+AO84+AO101+AO102+AO103+AO104+AO105+AO106+AO36</f>
        <v>1767027.9050603902</v>
      </c>
      <c r="AQ369" s="212">
        <f>+AQ24+AQ45+AQ46+AQ67+AQ68+AQ79+AQ80+AQ100+AQ117+AQ119+AQ137+AQ82+AQ83+AQ84+AQ101+AQ102+AQ103+AQ104+AQ105+AQ106+AQ36</f>
        <v>377943.28641040024</v>
      </c>
      <c r="AS369" s="212">
        <f>+AS24+AS45+AS46+AS67+AS68+AS79+AS80+AS100+AS117+AS119+AS137+AS82+AS83+AS84+AS101+AS102+AS103+AS104+AS105+AS106+AS36</f>
        <v>640946.47605518857</v>
      </c>
      <c r="AU369" s="212">
        <f>+AU24+AU45+AU46+AU67+AU68+AU79+AU80+AU100+AU117+AU119+AU137+AU82+AU83+AU84+AU101+AU102+AU103+AU104+AU105+AU106+AU36</f>
        <v>26580.832098887666</v>
      </c>
      <c r="AW369" s="212">
        <f>+AW24+AW45+AW46+AW67+AW68+AW79+AW80+AW100+AW117+AW119+AW137+AW82+AW83+AW84+AW101+AW102+AW103+AW104+AW105+AW106+AW36</f>
        <v>91392.97339517725</v>
      </c>
      <c r="AY369" s="212">
        <f>+AY24+AY45+AY46+AY67+AY68+AY79+AY80+AY100+AY117+AY119+AY137+AY82+AY83+AY84+AY101+AY102+AY103+AY104+AY105+AY106+AY36</f>
        <v>262787.11940158659</v>
      </c>
      <c r="BA369" s="175">
        <f>SUM(AI369:AY369)-AG369</f>
        <v>0</v>
      </c>
    </row>
    <row r="370" spans="6:53">
      <c r="F370" s="218" t="s">
        <v>172</v>
      </c>
      <c r="L370" s="437">
        <f>ROUND(L369/$J369,4)</f>
        <v>0.62770000000000004</v>
      </c>
      <c r="M370" s="437"/>
      <c r="N370" s="437">
        <f>ROUND(N369/$J369,4)</f>
        <v>0.21779999999999999</v>
      </c>
      <c r="O370" s="437"/>
      <c r="P370" s="437">
        <f>ROUND(P369/$J369,4)</f>
        <v>2.2700000000000001E-2</v>
      </c>
      <c r="Q370" s="437"/>
      <c r="R370" s="437">
        <f>ROUND(R369/$J369,4)</f>
        <v>6.3899999999999998E-2</v>
      </c>
      <c r="S370" s="437"/>
      <c r="T370" s="437">
        <f>ROUND(T369/$J369,4)</f>
        <v>1.5599999999999999E-2</v>
      </c>
      <c r="U370" s="437"/>
      <c r="V370" s="437">
        <f>ROUND(V369/$J369,4)</f>
        <v>1.41E-2</v>
      </c>
      <c r="W370" s="437"/>
      <c r="X370" s="437">
        <f>ROUND(X369/$J369,4)</f>
        <v>3.8199999999999998E-2</v>
      </c>
      <c r="Z370" s="437">
        <f>SUM(L370:X370)</f>
        <v>1</v>
      </c>
      <c r="AA370" s="175"/>
      <c r="AC370" s="218" t="s">
        <v>172</v>
      </c>
      <c r="AD370" s="140"/>
      <c r="AE370" s="144"/>
      <c r="AG370" s="145"/>
      <c r="AI370" s="437">
        <f>ROUND(AI369/$J369,4)</f>
        <v>0.31159999999999999</v>
      </c>
      <c r="AJ370" s="437"/>
      <c r="AK370" s="437">
        <f>ROUND(AK369/$J369,4)</f>
        <v>0.18229999999999999</v>
      </c>
      <c r="AL370" s="437"/>
      <c r="AM370" s="437">
        <f>ROUND(AM369/$J369,4)</f>
        <v>4.58E-2</v>
      </c>
      <c r="AN370" s="437"/>
      <c r="AO370" s="437">
        <f>ROUND(AO369/$J369,4)</f>
        <v>0.25679999999999997</v>
      </c>
      <c r="AP370" s="437"/>
      <c r="AQ370" s="437">
        <f>ROUND(AQ369/$J369,4)</f>
        <v>5.4899999999999997E-2</v>
      </c>
      <c r="AR370" s="437"/>
      <c r="AS370" s="437">
        <f>ROUND(AS369/$J369,4)</f>
        <v>9.3200000000000005E-2</v>
      </c>
      <c r="AT370" s="437"/>
      <c r="AU370" s="437">
        <f>ROUND(AU369/$J369,4)</f>
        <v>3.8999999999999998E-3</v>
      </c>
      <c r="AV370" s="437"/>
      <c r="AW370" s="437">
        <f>ROUND(AW369/$J369,4)</f>
        <v>1.3299999999999999E-2</v>
      </c>
      <c r="AX370" s="437"/>
      <c r="AY370" s="437">
        <f>ROUND(AY369/$J369,4)</f>
        <v>3.8199999999999998E-2</v>
      </c>
      <c r="BA370" s="437">
        <f>SUM(AI370:AY370)</f>
        <v>0.99999999999999989</v>
      </c>
    </row>
    <row r="371" spans="6:53">
      <c r="F371" s="218" t="s">
        <v>173</v>
      </c>
      <c r="J371" s="145">
        <f>+SUM(J281:J326)+SUM(J333:J341)</f>
        <v>431011553.10505271</v>
      </c>
      <c r="L371" s="145">
        <f>+SUM(L281:L326)+SUM(L333:L341)</f>
        <v>224525088.06521407</v>
      </c>
      <c r="M371" s="529"/>
      <c r="N371" s="145">
        <f>+SUM(N281:N326)+SUM(N333:N341)</f>
        <v>112576867.93222909</v>
      </c>
      <c r="O371" s="529"/>
      <c r="P371" s="145">
        <f>+SUM(P281:P326)+SUM(P333:P341)</f>
        <v>13354143.602500454</v>
      </c>
      <c r="Q371" s="529"/>
      <c r="R371" s="145">
        <f>+SUM(R281:R326)+SUM(R333:R341)</f>
        <v>35497701.490693793</v>
      </c>
      <c r="S371" s="529"/>
      <c r="T371" s="145">
        <f>+SUM(T281:T326)+SUM(T333:T341)</f>
        <v>8635866.5078410134</v>
      </c>
      <c r="U371" s="529"/>
      <c r="V371" s="145">
        <f>+SUM(V281:V326)+SUM(V333:V341)</f>
        <v>12652929.555834884</v>
      </c>
      <c r="W371" s="529"/>
      <c r="X371" s="145">
        <f>+SUM(X281:X326)+SUM(X333:X341)</f>
        <v>23768955.950739432</v>
      </c>
      <c r="Z371" s="175">
        <f>SUM(L371:X371)-J371</f>
        <v>0</v>
      </c>
      <c r="AA371" s="175"/>
      <c r="AC371" s="218" t="s">
        <v>173</v>
      </c>
      <c r="AD371" s="140"/>
      <c r="AE371" s="144"/>
      <c r="AG371" s="145">
        <f>+SUM(AG281:AG326)+SUM(AG333:AG341)</f>
        <v>431011553.10505271</v>
      </c>
      <c r="AI371" s="145">
        <f>+SUM(AI281:AI326)+SUM(AI333:AI341)</f>
        <v>185670361.19418308</v>
      </c>
      <c r="AK371" s="145">
        <f>+SUM(AK281:AK326)+SUM(AK333:AK341)</f>
        <v>99722964.214716062</v>
      </c>
      <c r="AM371" s="145">
        <f>+SUM(AM281:AM326)+SUM(AM333:AM341)</f>
        <v>47245006.338401571</v>
      </c>
      <c r="AO371" s="145">
        <f>+SUM(AO281:AO326)+SUM(AO333:AO341)</f>
        <v>43633927.170805506</v>
      </c>
      <c r="AQ371" s="145">
        <f>+SUM(AQ281:AQ326)+SUM(AQ333:AQ341)</f>
        <v>9554698.7395212781</v>
      </c>
      <c r="AS371" s="145">
        <f>+SUM(AS281:AS326)+SUM(AS333:AS341)</f>
        <v>7843295.9308249084</v>
      </c>
      <c r="AU371" s="145">
        <f>+SUM(AU281:AU326)+SUM(AU333:AU341)</f>
        <v>1372706.9455519421</v>
      </c>
      <c r="AW371" s="145">
        <f>+SUM(AW281:AW326)+SUM(AW333:AW341)</f>
        <v>12429414.51961978</v>
      </c>
      <c r="AY371" s="145">
        <f>+SUM(AY281:AY326)+SUM(AY333:AY341)</f>
        <v>23539178.051428691</v>
      </c>
      <c r="BA371" s="175">
        <f>SUM(AI371:AY371)-AG371</f>
        <v>0</v>
      </c>
    </row>
    <row r="372" spans="6:53">
      <c r="F372" s="218" t="s">
        <v>174</v>
      </c>
      <c r="L372" s="437">
        <f>ROUND(L371/$J371,4)</f>
        <v>0.52090000000000003</v>
      </c>
      <c r="M372" s="437"/>
      <c r="N372" s="437">
        <f>ROUND(N371/$J371,4)</f>
        <v>0.26119999999999999</v>
      </c>
      <c r="O372" s="437"/>
      <c r="P372" s="437">
        <f>ROUND(P371/$J371,4)</f>
        <v>3.1E-2</v>
      </c>
      <c r="Q372" s="437"/>
      <c r="R372" s="437">
        <f>ROUND(R371/$J371,4)</f>
        <v>8.2400000000000001E-2</v>
      </c>
      <c r="S372" s="437"/>
      <c r="T372" s="437">
        <f>ROUND(T371/$J371,4)</f>
        <v>0.02</v>
      </c>
      <c r="U372" s="437"/>
      <c r="V372" s="437">
        <f>ROUND(V371/$J371,4)</f>
        <v>2.9399999999999999E-2</v>
      </c>
      <c r="W372" s="437"/>
      <c r="X372" s="437">
        <f>ROUND(X371/$J371,4)</f>
        <v>5.5100000000000003E-2</v>
      </c>
      <c r="Z372" s="437">
        <f>SUM(L372:X372)</f>
        <v>1</v>
      </c>
      <c r="AA372" s="175"/>
      <c r="AC372" s="218" t="s">
        <v>174</v>
      </c>
      <c r="AD372" s="140"/>
      <c r="AE372" s="144"/>
      <c r="AG372" s="145"/>
      <c r="AI372" s="437">
        <f>ROUND(AI371/$J371,4)</f>
        <v>0.43080000000000002</v>
      </c>
      <c r="AJ372" s="437"/>
      <c r="AK372" s="437">
        <f>ROUND(AK371/$J371,4)</f>
        <v>0.23139999999999999</v>
      </c>
      <c r="AL372" s="437"/>
      <c r="AM372" s="437">
        <f>ROUND(AM371/$J371,4)</f>
        <v>0.1096</v>
      </c>
      <c r="AN372" s="437"/>
      <c r="AO372" s="437">
        <f>ROUND(AO371/$J371,4)</f>
        <v>0.1012</v>
      </c>
      <c r="AP372" s="437"/>
      <c r="AQ372" s="437">
        <f>ROUND(AQ371/$J371,4)</f>
        <v>2.2200000000000001E-2</v>
      </c>
      <c r="AR372" s="437"/>
      <c r="AS372" s="437">
        <f>ROUND(AS371/$J371,4)</f>
        <v>1.8200000000000001E-2</v>
      </c>
      <c r="AT372" s="437"/>
      <c r="AU372" s="437">
        <f>ROUND(AU371/$J371,4)</f>
        <v>3.2000000000000002E-3</v>
      </c>
      <c r="AV372" s="437"/>
      <c r="AW372" s="437">
        <f>ROUND(AW371/$J371,4)</f>
        <v>2.8799999999999999E-2</v>
      </c>
      <c r="AX372" s="437"/>
      <c r="AY372" s="437">
        <f>ROUND(AY371/$J371,4)</f>
        <v>5.4600000000000003E-2</v>
      </c>
      <c r="BA372" s="437">
        <f>SUM(AI372:AY372)</f>
        <v>1</v>
      </c>
    </row>
    <row r="373" spans="6:53">
      <c r="F373" s="218" t="s">
        <v>176</v>
      </c>
      <c r="J373" s="145">
        <f>+J353</f>
        <v>385994705.46646518</v>
      </c>
      <c r="L373" s="145">
        <f ca="1">+L353</f>
        <v>201063852.94557387</v>
      </c>
      <c r="M373" s="529"/>
      <c r="N373" s="145">
        <f ca="1">+N353</f>
        <v>100686677.83513007</v>
      </c>
      <c r="O373" s="529"/>
      <c r="P373" s="145">
        <f ca="1">+P353</f>
        <v>11933928.606004246</v>
      </c>
      <c r="Q373" s="529"/>
      <c r="R373" s="145">
        <f ca="1">+R353</f>
        <v>31708833.944374189</v>
      </c>
      <c r="S373" s="529"/>
      <c r="T373" s="145">
        <f ca="1">+T353</f>
        <v>7744813.6298692655</v>
      </c>
      <c r="U373" s="529"/>
      <c r="V373" s="145">
        <f ca="1">+V353</f>
        <v>11508253.347160414</v>
      </c>
      <c r="W373" s="529"/>
      <c r="X373" s="145">
        <f ca="1">+X353</f>
        <v>21348345.158353262</v>
      </c>
      <c r="Z373" s="175">
        <f ca="1">SUM(L373:X373)-J373</f>
        <v>0</v>
      </c>
      <c r="AA373" s="175"/>
      <c r="AC373" s="218" t="s">
        <v>176</v>
      </c>
      <c r="AD373" s="140"/>
      <c r="AE373" s="144"/>
      <c r="AG373" s="145">
        <f>+AG353</f>
        <v>385994705.46646518</v>
      </c>
      <c r="AI373" s="145">
        <f t="shared" ref="AI373" ca="1" si="319">+AI353</f>
        <v>165885440.2358796</v>
      </c>
      <c r="AK373" s="145">
        <f t="shared" ref="AK373" ca="1" si="320">+AK353</f>
        <v>88028844.20494692</v>
      </c>
      <c r="AM373" s="145">
        <f t="shared" ref="AM373" ca="1" si="321">+AM353</f>
        <v>43577561.611512385</v>
      </c>
      <c r="AO373" s="145">
        <f t="shared" ref="AO373" ca="1" si="322">+AO353</f>
        <v>38619657.525380455</v>
      </c>
      <c r="AQ373" s="145">
        <f t="shared" ref="AQ373" ca="1" si="323">+AQ353</f>
        <v>8477304.5805446357</v>
      </c>
      <c r="AS373" s="145">
        <f t="shared" ref="AS373" ca="1" si="324">+AS353</f>
        <v>7624543.9104026165</v>
      </c>
      <c r="AU373" s="145">
        <f t="shared" ref="AU373" ca="1" si="325">+AU353</f>
        <v>1322125.1947084626</v>
      </c>
      <c r="AW373" s="145">
        <f t="shared" ref="AW373" ca="1" si="326">+AW353</f>
        <v>11313089.201728463</v>
      </c>
      <c r="AY373" s="145">
        <f t="shared" ref="AY373" ca="1" si="327">+AY353</f>
        <v>21146139.001361813</v>
      </c>
      <c r="BA373" s="175">
        <f ca="1">SUM(AI373:AY373)-AG373</f>
        <v>0</v>
      </c>
    </row>
    <row r="374" spans="6:53">
      <c r="F374" s="218" t="s">
        <v>175</v>
      </c>
      <c r="L374" s="437">
        <f ca="1">ROUND(L373/$J373,4)+0.0001</f>
        <v>0.52100000000000002</v>
      </c>
      <c r="M374" s="437"/>
      <c r="N374" s="437">
        <f ca="1">ROUND(N373/$J373,4)</f>
        <v>0.26079999999999998</v>
      </c>
      <c r="O374" s="437"/>
      <c r="P374" s="437">
        <f ca="1">ROUND(P373/$J373,4)</f>
        <v>3.09E-2</v>
      </c>
      <c r="Q374" s="437"/>
      <c r="R374" s="437">
        <f ca="1">ROUND(R373/$J373,4)</f>
        <v>8.2100000000000006E-2</v>
      </c>
      <c r="S374" s="437"/>
      <c r="T374" s="437">
        <f ca="1">ROUND(T373/$J373,4)</f>
        <v>2.01E-2</v>
      </c>
      <c r="U374" s="437"/>
      <c r="V374" s="437">
        <f ca="1">ROUND(V373/$J373,4)</f>
        <v>2.98E-2</v>
      </c>
      <c r="W374" s="437"/>
      <c r="X374" s="437">
        <f ca="1">ROUND(X373/$J373,4)</f>
        <v>5.5300000000000002E-2</v>
      </c>
      <c r="Z374" s="437">
        <f ca="1">SUM(L374:X374)</f>
        <v>1</v>
      </c>
      <c r="AA374" s="175"/>
      <c r="AC374" s="218" t="s">
        <v>175</v>
      </c>
      <c r="AD374" s="140"/>
      <c r="AE374" s="144"/>
      <c r="AG374" s="145"/>
      <c r="AI374" s="437">
        <f ca="1">ROUND(AI373/$J373,4)-0.0001</f>
        <v>0.42970000000000003</v>
      </c>
      <c r="AJ374" s="437"/>
      <c r="AK374" s="437">
        <f ca="1">ROUND(AK373/$J373,4)</f>
        <v>0.2281</v>
      </c>
      <c r="AL374" s="437"/>
      <c r="AM374" s="437">
        <f ca="1">ROUND(AM373/$J373,4)</f>
        <v>0.1129</v>
      </c>
      <c r="AN374" s="437"/>
      <c r="AO374" s="437">
        <f ca="1">ROUND(AO373/$J373,4)</f>
        <v>0.10009999999999999</v>
      </c>
      <c r="AP374" s="437"/>
      <c r="AQ374" s="437">
        <f ca="1">ROUND(AQ373/$J373,4)</f>
        <v>2.1999999999999999E-2</v>
      </c>
      <c r="AR374" s="437"/>
      <c r="AS374" s="437">
        <f ca="1">ROUND(AS373/$J373,4)-0.0001</f>
        <v>1.9700000000000002E-2</v>
      </c>
      <c r="AT374" s="437"/>
      <c r="AU374" s="437">
        <f ca="1">ROUND(AU373/$J373,4)</f>
        <v>3.3999999999999998E-3</v>
      </c>
      <c r="AV374" s="437"/>
      <c r="AW374" s="437">
        <f ca="1">ROUND(AW373/$J373,4)</f>
        <v>2.93E-2</v>
      </c>
      <c r="AX374" s="437"/>
      <c r="AY374" s="437">
        <f ca="1">ROUND(AY373/$J373,4)</f>
        <v>5.4800000000000001E-2</v>
      </c>
      <c r="BA374" s="437">
        <f ca="1">SUM(AI374:AY374)</f>
        <v>1</v>
      </c>
    </row>
    <row r="375" spans="6:53">
      <c r="F375" s="218" t="s">
        <v>177</v>
      </c>
      <c r="J375" s="145">
        <f>+J29+J40+J75+J114+J132+SUM(J137:J149)+SUM(J151:J166)+J236+J243+J246+J247+J250+J256+J259+J248</f>
        <v>96058673.883967474</v>
      </c>
      <c r="L375" s="145">
        <f ca="1">+L29+L40+L75+L114+L132+SUM(L137:L149)+SUM(L151:L166)+L236+L243+L246+L247+L250+L256+L259+L248</f>
        <v>54773143.089791238</v>
      </c>
      <c r="M375" s="529"/>
      <c r="N375" s="145">
        <f ca="1">+N29+N40+N75+N114+N132+SUM(N137:N149)+SUM(N151:N166)+N236+N243+N246+N247+N250+N256+N259+N248</f>
        <v>23271041.064904161</v>
      </c>
      <c r="O375" s="529"/>
      <c r="P375" s="145">
        <f ca="1">+P29+P40+P75+P114+P132+SUM(P137:P149)+SUM(P151:P166)+P236+P243+P246+P247+P250+P256+P259+P248</f>
        <v>2662430.1431740271</v>
      </c>
      <c r="Q375" s="529"/>
      <c r="R375" s="145">
        <f ca="1">+R29+R40+R75+R114+R132+SUM(R137:R149)+SUM(R151:R166)+R236+R243+R246+R247+R250+R256+R259+R248</f>
        <v>7159783.4905580385</v>
      </c>
      <c r="S375" s="529"/>
      <c r="T375" s="145">
        <f ca="1">+T29+T40+T75+T114+T132+SUM(T137:T149)+SUM(T151:T166)+T236+T243+T246+T247+T250+T256+T259+T248</f>
        <v>1791367.1415050142</v>
      </c>
      <c r="U375" s="529"/>
      <c r="V375" s="145">
        <f ca="1">+V29+V40+V75+V114+V132+SUM(V137:V149)+SUM(V151:V166)+V236+V243+V246+V247+V250+V256+V259+V248</f>
        <v>2256543.9200387881</v>
      </c>
      <c r="W375" s="529"/>
      <c r="X375" s="145">
        <f ca="1">+X29+X40+X75+X114+X132+SUM(X137:X149)+SUM(X151:X166)+X236+X243+X246+X247+X250+X256+X259+X248</f>
        <v>4144365.0339962021</v>
      </c>
      <c r="Z375" s="175">
        <f ca="1">SUM(L375:X375)-J375</f>
        <v>0</v>
      </c>
      <c r="AA375" s="175"/>
      <c r="AC375" s="218" t="s">
        <v>177</v>
      </c>
      <c r="AD375" s="140"/>
      <c r="AE375" s="144"/>
      <c r="AG375" s="145">
        <f>+AG29+AG40+AG75+AG114+AG132+SUM(AG137:AG149)+SUM(AG151:AG166)+AG236+AG243+AG246+AG247+AG250+AG256+AG259+AG248</f>
        <v>96058673.883967474</v>
      </c>
      <c r="AI375" s="145">
        <f ca="1">+AI29+AI40+AI75+AI114+AI132+SUM(AI137:AI149)+SUM(AI151:AI166)+AI236+AI243+AI246+AI247+AI250+AI256+AI259+AI248</f>
        <v>39522958.397473298</v>
      </c>
      <c r="AK375" s="145">
        <f ca="1">+AK29+AK40+AK75+AK114+AK132+SUM(AK137:AK149)+SUM(AK151:AK166)+AK236+AK243+AK246+AK247+AK250+AK256+AK259+AK248</f>
        <v>17926460.360511802</v>
      </c>
      <c r="AM375" s="145">
        <f ca="1">+AM29+AM40+AM75+AM114+AM132+SUM(AM137:AM149)+SUM(AM151:AM166)+AM236+AM243+AM246+AM247+AM250+AM256+AM259+AM248</f>
        <v>7778987.0228530448</v>
      </c>
      <c r="AO375" s="145">
        <f ca="1">+AO29+AO40+AO75+AO114+AO132+SUM(AO137:AO149)+SUM(AO151:AO166)+AO236+AO243+AO246+AO247+AO250+AO256+AO259+AO248</f>
        <v>11439088.26055425</v>
      </c>
      <c r="AQ375" s="145">
        <f ca="1">+AQ29+AQ40+AQ75+AQ114+AQ132+SUM(AQ137:AQ149)+SUM(AQ151:AQ166)+AQ236+AQ243+AQ246+AQ247+AQ250+AQ256+AQ259+AQ248</f>
        <v>3284783.8619673564</v>
      </c>
      <c r="AS375" s="145">
        <f ca="1">+AS29+AS40+AS75+AS114+AS132+SUM(AS137:AS149)+SUM(AS151:AS166)+AS236+AS243+AS246+AS247+AS250+AS256+AS259+AS248</f>
        <v>8456378.6679418478</v>
      </c>
      <c r="AU375" s="145">
        <f ca="1">+AU29+AU40+AU75+AU114+AU132+SUM(AU137:AU149)+SUM(AU151:AU166)+AU236+AU243+AU246+AU247+AU250+AU256+AU259+AU248</f>
        <v>1347460.2213853099</v>
      </c>
      <c r="AW375" s="145">
        <f ca="1">+AW29+AW40+AW75+AW114+AW132+SUM(AW137:AW149)+SUM(AW151:AW166)+AW236+AW243+AW246+AW247+AW250+AW256+AW259+AW248</f>
        <v>2186751.4650184782</v>
      </c>
      <c r="AY375" s="145">
        <f ca="1">+AY29+AY40+AY75+AY114+AY132+SUM(AY137:AY149)+SUM(AY151:AY166)+AY236+AY243+AY246+AY247+AY250+AY256+AY259+AY248</f>
        <v>4115805.6262620846</v>
      </c>
      <c r="BA375" s="175">
        <f ca="1">SUM(AI375:AY375)-AG375</f>
        <v>0</v>
      </c>
    </row>
    <row r="376" spans="6:53">
      <c r="F376" s="218" t="s">
        <v>178</v>
      </c>
      <c r="L376" s="437">
        <f ca="1">ROUND(L375/$J375,4)+0.0001</f>
        <v>0.57030000000000003</v>
      </c>
      <c r="M376" s="437"/>
      <c r="N376" s="437">
        <f ca="1">ROUND(N375/$J375,4)</f>
        <v>0.24229999999999999</v>
      </c>
      <c r="O376" s="437"/>
      <c r="P376" s="437">
        <f ca="1">ROUND(P375/$J375,4)</f>
        <v>2.7699999999999999E-2</v>
      </c>
      <c r="Q376" s="437"/>
      <c r="R376" s="437">
        <f ca="1">ROUND(R375/$J375,4)</f>
        <v>7.4499999999999997E-2</v>
      </c>
      <c r="S376" s="437"/>
      <c r="T376" s="437">
        <f ca="1">ROUND(T375/$J375,4)</f>
        <v>1.8599999999999998E-2</v>
      </c>
      <c r="U376" s="437"/>
      <c r="V376" s="437">
        <f ca="1">ROUND(V375/$J375,4)</f>
        <v>2.35E-2</v>
      </c>
      <c r="W376" s="437"/>
      <c r="X376" s="437">
        <f ca="1">ROUND(X375/$J375,4)</f>
        <v>4.3099999999999999E-2</v>
      </c>
      <c r="Z376" s="437">
        <f ca="1">SUM(L376:X376)</f>
        <v>0.99999999999999989</v>
      </c>
      <c r="AA376" s="175"/>
      <c r="AC376" s="218" t="s">
        <v>178</v>
      </c>
      <c r="AD376" s="140"/>
      <c r="AE376" s="144"/>
      <c r="AG376" s="145"/>
      <c r="AI376" s="437">
        <f ca="1">ROUND(AI375/$J375,4)+0.0001</f>
        <v>0.41149999999999998</v>
      </c>
      <c r="AJ376" s="437"/>
      <c r="AK376" s="437">
        <f ca="1">ROUND(AK375/$J375,4)</f>
        <v>0.18659999999999999</v>
      </c>
      <c r="AL376" s="437"/>
      <c r="AM376" s="437">
        <f ca="1">ROUND(AM375/$J375,4)</f>
        <v>8.1000000000000003E-2</v>
      </c>
      <c r="AN376" s="437"/>
      <c r="AO376" s="437">
        <f ca="1">ROUND(AO375/$J375,4)</f>
        <v>0.1191</v>
      </c>
      <c r="AP376" s="437"/>
      <c r="AQ376" s="437">
        <f ca="1">ROUND(AQ375/$J375,4)</f>
        <v>3.4200000000000001E-2</v>
      </c>
      <c r="AR376" s="437"/>
      <c r="AS376" s="437">
        <f ca="1">ROUND(AS375/$J375,4)</f>
        <v>8.7999999999999995E-2</v>
      </c>
      <c r="AT376" s="437"/>
      <c r="AU376" s="437">
        <f ca="1">ROUND(AU375/$J375,4)</f>
        <v>1.4E-2</v>
      </c>
      <c r="AV376" s="437"/>
      <c r="AW376" s="437">
        <f ca="1">ROUND(AW375/$J375,4)</f>
        <v>2.2800000000000001E-2</v>
      </c>
      <c r="AX376" s="437"/>
      <c r="AY376" s="437">
        <f ca="1">ROUND(AY375/$J375,4)</f>
        <v>4.2799999999999998E-2</v>
      </c>
      <c r="BA376" s="437">
        <f ca="1">SUM(AI376:AY376)</f>
        <v>0.99999999999999989</v>
      </c>
    </row>
    <row r="377" spans="6:53">
      <c r="F377" s="218"/>
      <c r="L377" s="437"/>
      <c r="M377" s="437"/>
      <c r="N377" s="437"/>
      <c r="O377" s="437"/>
      <c r="P377" s="437"/>
      <c r="Q377" s="437"/>
      <c r="R377" s="437"/>
      <c r="S377" s="437"/>
      <c r="T377" s="437"/>
      <c r="U377" s="437"/>
      <c r="V377" s="437"/>
      <c r="W377" s="437"/>
      <c r="X377" s="437"/>
      <c r="Z377" s="437"/>
      <c r="AA377" s="175"/>
    </row>
    <row r="378" spans="6:53">
      <c r="F378" s="218"/>
      <c r="L378" s="437"/>
      <c r="M378" s="437"/>
      <c r="N378" s="437"/>
      <c r="O378" s="437"/>
      <c r="P378" s="437"/>
      <c r="Q378" s="437"/>
      <c r="R378" s="437"/>
      <c r="S378" s="437"/>
      <c r="T378" s="437"/>
      <c r="U378" s="437"/>
      <c r="V378" s="437"/>
      <c r="W378" s="437"/>
      <c r="X378" s="437"/>
      <c r="Z378" s="437"/>
      <c r="AA378" s="175"/>
    </row>
    <row r="379" spans="6:53">
      <c r="F379" s="218"/>
      <c r="L379" s="437"/>
      <c r="M379" s="437"/>
      <c r="N379" s="437"/>
      <c r="O379" s="437"/>
      <c r="P379" s="437"/>
      <c r="Q379" s="437"/>
      <c r="R379" s="437"/>
      <c r="S379" s="437"/>
      <c r="T379" s="437"/>
      <c r="U379" s="437"/>
      <c r="V379" s="437"/>
      <c r="W379" s="437"/>
      <c r="X379" s="437"/>
      <c r="Z379" s="437"/>
      <c r="AA379" s="175"/>
    </row>
    <row r="380" spans="6:53">
      <c r="AB380" s="142"/>
      <c r="AC380" s="142"/>
      <c r="AD380" s="142"/>
      <c r="AE380" s="142"/>
      <c r="AF380" s="142"/>
      <c r="AG380" s="142"/>
      <c r="AH380" s="142"/>
      <c r="AI380" s="142"/>
      <c r="AJ380" s="142"/>
      <c r="AK380" s="142"/>
      <c r="AL380" s="142"/>
      <c r="AM380" s="142"/>
      <c r="AN380" s="142"/>
      <c r="AO380" s="142"/>
    </row>
    <row r="381" spans="6:53">
      <c r="L381" s="563" t="s">
        <v>193</v>
      </c>
      <c r="AB381" s="142"/>
      <c r="AC381" s="142"/>
      <c r="AD381" s="142"/>
      <c r="AE381" s="142"/>
      <c r="AF381" s="142"/>
      <c r="AG381" s="142"/>
      <c r="AH381" s="142"/>
      <c r="AI381" s="142"/>
      <c r="AJ381" s="142"/>
      <c r="AK381" s="142"/>
      <c r="AL381" s="142"/>
      <c r="AM381" s="142"/>
      <c r="AN381" s="142"/>
      <c r="AO381" s="142"/>
    </row>
    <row r="382" spans="6:53">
      <c r="K382" s="142"/>
      <c r="L382" s="147">
        <v>2</v>
      </c>
      <c r="M382" s="142"/>
      <c r="N382" s="142">
        <v>4</v>
      </c>
      <c r="O382" s="142"/>
      <c r="P382" s="142">
        <v>6</v>
      </c>
      <c r="Q382" s="142"/>
      <c r="R382" s="142">
        <v>8</v>
      </c>
      <c r="S382" s="142"/>
      <c r="T382" s="142">
        <v>10</v>
      </c>
      <c r="U382" s="142"/>
      <c r="V382" s="142">
        <v>12</v>
      </c>
      <c r="W382" s="142"/>
      <c r="X382" s="142">
        <v>14</v>
      </c>
      <c r="Y382" s="142"/>
      <c r="Z382" s="142">
        <v>20</v>
      </c>
      <c r="AI382" s="529">
        <v>2</v>
      </c>
      <c r="AK382" s="529">
        <v>4</v>
      </c>
      <c r="AM382" s="529">
        <v>6</v>
      </c>
      <c r="AO382" s="529">
        <v>8</v>
      </c>
      <c r="AQ382" s="529">
        <v>10</v>
      </c>
      <c r="AS382" s="529">
        <v>12</v>
      </c>
      <c r="AU382" s="529">
        <v>14</v>
      </c>
      <c r="AW382" s="529">
        <v>16</v>
      </c>
      <c r="AY382" s="529">
        <v>18</v>
      </c>
    </row>
    <row r="383" spans="6:53">
      <c r="L383" s="544" t="s">
        <v>212</v>
      </c>
      <c r="M383" s="142"/>
      <c r="N383" s="528" t="s">
        <v>213</v>
      </c>
      <c r="O383" s="142"/>
      <c r="P383" s="528" t="s">
        <v>214</v>
      </c>
      <c r="Q383" s="142"/>
      <c r="R383" s="528" t="s">
        <v>197</v>
      </c>
      <c r="S383" s="142"/>
      <c r="T383" s="528" t="s">
        <v>339</v>
      </c>
      <c r="U383" s="534"/>
      <c r="V383" s="528" t="s">
        <v>149</v>
      </c>
      <c r="W383" s="142"/>
      <c r="X383" s="528" t="s">
        <v>150</v>
      </c>
      <c r="Y383" s="142"/>
      <c r="Z383" s="528" t="s">
        <v>341</v>
      </c>
      <c r="AI383" s="142"/>
      <c r="AJ383" s="142"/>
      <c r="AK383" s="142"/>
      <c r="AL383" s="142"/>
      <c r="AM383" s="142"/>
      <c r="AN383" s="142"/>
      <c r="AO383" s="142"/>
      <c r="AP383" s="142"/>
      <c r="AQ383" s="142"/>
      <c r="AR383" s="142"/>
      <c r="AS383" s="142" t="s">
        <v>447</v>
      </c>
      <c r="AT383" s="142"/>
      <c r="AU383" s="142" t="s">
        <v>570</v>
      </c>
      <c r="AV383" s="142"/>
      <c r="AW383" s="142" t="s">
        <v>569</v>
      </c>
      <c r="AX383" s="142"/>
      <c r="AY383" s="142" t="s">
        <v>150</v>
      </c>
    </row>
    <row r="384" spans="6:53">
      <c r="L384" s="147"/>
      <c r="M384" s="529"/>
      <c r="N384" s="529"/>
      <c r="O384" s="529"/>
      <c r="P384" s="529"/>
      <c r="Q384" s="529"/>
      <c r="R384" s="529"/>
      <c r="S384" s="529"/>
      <c r="T384" s="529"/>
      <c r="U384" s="529"/>
      <c r="V384" s="529"/>
      <c r="W384" s="529"/>
      <c r="X384" s="529"/>
      <c r="AI384" s="142" t="s">
        <v>444</v>
      </c>
      <c r="AJ384" s="142"/>
      <c r="AK384" s="142" t="s">
        <v>445</v>
      </c>
      <c r="AL384" s="142"/>
      <c r="AM384" s="142" t="s">
        <v>446</v>
      </c>
      <c r="AN384" s="142"/>
      <c r="AO384" s="142" t="s">
        <v>400</v>
      </c>
      <c r="AP384" s="142"/>
      <c r="AQ384" s="142" t="s">
        <v>346</v>
      </c>
      <c r="AR384" s="142"/>
      <c r="AS384" s="142" t="s">
        <v>448</v>
      </c>
      <c r="AT384" s="142"/>
      <c r="AU384" s="142" t="s">
        <v>571</v>
      </c>
      <c r="AV384" s="142"/>
      <c r="AW384" s="142" t="s">
        <v>342</v>
      </c>
      <c r="AX384" s="142"/>
      <c r="AY384" s="142" t="s">
        <v>342</v>
      </c>
    </row>
    <row r="385" spans="11:53">
      <c r="L385" s="147"/>
      <c r="M385" s="529"/>
      <c r="O385" s="529"/>
      <c r="Q385" s="529"/>
      <c r="S385" s="529"/>
      <c r="U385" s="529"/>
      <c r="W385" s="529"/>
      <c r="Z385" s="145"/>
    </row>
    <row r="386" spans="11:53">
      <c r="K386" s="529">
        <v>1</v>
      </c>
      <c r="L386" s="564">
        <f>'F 1-2'!K16</f>
        <v>0.495</v>
      </c>
      <c r="M386" s="564"/>
      <c r="N386" s="564">
        <f>'F 1-2'!K17</f>
        <v>0.311</v>
      </c>
      <c r="O386" s="564"/>
      <c r="P386" s="564">
        <f>'F 1-2'!K18</f>
        <v>4.3099999999999999E-2</v>
      </c>
      <c r="Q386" s="564"/>
      <c r="R386" s="564">
        <f>'F 1-2'!K19</f>
        <v>0.1106</v>
      </c>
      <c r="S386" s="564"/>
      <c r="T386" s="564">
        <f>'F 1-2'!K20</f>
        <v>3.4500000000000003E-2</v>
      </c>
      <c r="U386" s="564"/>
      <c r="V386" s="564">
        <f>'F 1-2'!K21</f>
        <v>2.5999999999999999E-3</v>
      </c>
      <c r="W386" s="564"/>
      <c r="X386" s="564">
        <f>'F 1-2'!K22</f>
        <v>3.2000000000000002E-3</v>
      </c>
      <c r="Y386" s="154"/>
      <c r="Z386" s="154">
        <f t="shared" ref="Z386:Z395" si="328">SUM(L386:Y386)</f>
        <v>1.0000000000000002</v>
      </c>
      <c r="AA386" s="529" t="str">
        <f>IF(Z386=1,"ok","&lt;&lt;&lt;&lt;??")</f>
        <v>ok</v>
      </c>
      <c r="AH386" s="529">
        <v>1</v>
      </c>
      <c r="AI386" s="565">
        <f>1-AW386-AY386</f>
        <v>0.99419999999999997</v>
      </c>
      <c r="AJ386" s="565"/>
      <c r="AK386" s="565">
        <v>0</v>
      </c>
      <c r="AL386" s="565"/>
      <c r="AM386" s="565">
        <v>0</v>
      </c>
      <c r="AN386" s="565"/>
      <c r="AO386" s="565">
        <v>0</v>
      </c>
      <c r="AP386" s="565"/>
      <c r="AQ386" s="565">
        <v>0</v>
      </c>
      <c r="AR386" s="565"/>
      <c r="AS386" s="565">
        <v>0</v>
      </c>
      <c r="AT386" s="565"/>
      <c r="AU386" s="565"/>
      <c r="AV386" s="565"/>
      <c r="AW386" s="565">
        <f>+'F 1-2'!K21</f>
        <v>2.5999999999999999E-3</v>
      </c>
      <c r="AX386" s="565"/>
      <c r="AY386" s="565">
        <f>+'F 1-2'!K22</f>
        <v>3.2000000000000002E-3</v>
      </c>
      <c r="AZ386" s="565"/>
      <c r="BA386" s="565">
        <f>SUM(AI386:AY386)</f>
        <v>1</v>
      </c>
    </row>
    <row r="387" spans="11:53">
      <c r="K387" s="529">
        <v>2</v>
      </c>
      <c r="L387" s="564">
        <f>'F 1-2'!M39</f>
        <v>0.50729999999999997</v>
      </c>
      <c r="M387" s="564"/>
      <c r="N387" s="564">
        <f>'F 1-2'!M40</f>
        <v>0.31140000000000001</v>
      </c>
      <c r="O387" s="564"/>
      <c r="P387" s="564">
        <f>'F 1-2'!M41</f>
        <v>4.0100000000000004E-2</v>
      </c>
      <c r="Q387" s="564"/>
      <c r="R387" s="564">
        <f>'F 1-2'!M42</f>
        <v>0.1056</v>
      </c>
      <c r="S387" s="564"/>
      <c r="T387" s="564">
        <f>'F 1-2'!M43</f>
        <v>3.2099999999999997E-2</v>
      </c>
      <c r="U387" s="564"/>
      <c r="V387" s="564">
        <f>'F 1-2'!M44</f>
        <v>1.6000000000000001E-3</v>
      </c>
      <c r="W387" s="564"/>
      <c r="X387" s="564">
        <f>'F 1-2'!M45</f>
        <v>1.9E-3</v>
      </c>
      <c r="Y387" s="154"/>
      <c r="Z387" s="154">
        <f t="shared" si="328"/>
        <v>1</v>
      </c>
      <c r="AA387" s="529" t="str">
        <f t="shared" ref="AA387:AA406" si="329">IF(Z387=1,"ok","&lt;&lt;&lt;&lt;??")</f>
        <v>ok</v>
      </c>
      <c r="AH387" s="529">
        <v>2</v>
      </c>
      <c r="AI387" s="565">
        <f>+'F 2 B'!H33-'COS 1'!AW387-AY387</f>
        <v>0.60259999999999991</v>
      </c>
      <c r="AJ387" s="565"/>
      <c r="AK387" s="565">
        <f>+'F 2 B'!H35</f>
        <v>0.39389999999999997</v>
      </c>
      <c r="AL387" s="565"/>
      <c r="AM387" s="565">
        <v>0</v>
      </c>
      <c r="AN387" s="565"/>
      <c r="AO387" s="565">
        <v>0</v>
      </c>
      <c r="AP387" s="565"/>
      <c r="AQ387" s="565">
        <v>0</v>
      </c>
      <c r="AR387" s="565"/>
      <c r="AS387" s="565">
        <v>0</v>
      </c>
      <c r="AT387" s="565"/>
      <c r="AU387" s="565"/>
      <c r="AV387" s="565"/>
      <c r="AW387" s="565">
        <f>+'F 1-2'!G44</f>
        <v>1.6000000000000001E-3</v>
      </c>
      <c r="AX387" s="565"/>
      <c r="AY387" s="565">
        <f>+'F 1-2'!M45</f>
        <v>1.9E-3</v>
      </c>
      <c r="AZ387" s="565"/>
      <c r="BA387" s="565">
        <f>SUM(AI387:AY387)</f>
        <v>1</v>
      </c>
    </row>
    <row r="388" spans="11:53">
      <c r="K388" s="529">
        <v>3</v>
      </c>
      <c r="L388" s="564">
        <f>'F 3-4'!P19</f>
        <v>0.46439999999999998</v>
      </c>
      <c r="M388" s="564"/>
      <c r="N388" s="564">
        <f>'F 3-4'!P20</f>
        <v>0.28499999999999998</v>
      </c>
      <c r="O388" s="564"/>
      <c r="P388" s="564">
        <f>'F 3-4'!P21</f>
        <v>3.6700000000000003E-2</v>
      </c>
      <c r="Q388" s="564"/>
      <c r="R388" s="564">
        <f>'F 3-4'!P22</f>
        <v>9.6599999999999991E-2</v>
      </c>
      <c r="S388" s="564"/>
      <c r="T388" s="564">
        <f>'F 3-4'!P23</f>
        <v>2.9399999999999999E-2</v>
      </c>
      <c r="U388" s="564"/>
      <c r="V388" s="564">
        <f>'F 3-4'!P24</f>
        <v>3.9699999999999999E-2</v>
      </c>
      <c r="W388" s="564"/>
      <c r="X388" s="564">
        <f>'F 3-4'!P25</f>
        <v>4.82E-2</v>
      </c>
      <c r="Y388" s="154"/>
      <c r="Z388" s="154">
        <f t="shared" si="328"/>
        <v>0.99999999999999989</v>
      </c>
      <c r="AA388" s="529" t="str">
        <f t="shared" si="329"/>
        <v>ok</v>
      </c>
      <c r="AH388" s="529">
        <v>3</v>
      </c>
      <c r="AI388" s="565">
        <f>+'F 3-4'!F17</f>
        <v>0.55469999999999997</v>
      </c>
      <c r="AJ388" s="565"/>
      <c r="AK388" s="565">
        <f>+'F 3-4'!J17</f>
        <v>0.36059999999999998</v>
      </c>
      <c r="AL388" s="565"/>
      <c r="AM388" s="565">
        <v>0</v>
      </c>
      <c r="AN388" s="565"/>
      <c r="AO388" s="565">
        <v>0</v>
      </c>
      <c r="AP388" s="565"/>
      <c r="AQ388" s="565">
        <v>0</v>
      </c>
      <c r="AR388" s="565"/>
      <c r="AS388" s="565">
        <v>0</v>
      </c>
      <c r="AT388" s="565"/>
      <c r="AU388" s="565"/>
      <c r="AV388" s="565"/>
      <c r="AW388" s="565">
        <f>+'F 3-4'!N24</f>
        <v>3.8300000000000001E-2</v>
      </c>
      <c r="AX388" s="565"/>
      <c r="AY388" s="565">
        <f>+'F 3-4'!N25</f>
        <v>4.6399999999999997E-2</v>
      </c>
      <c r="AZ388" s="565"/>
      <c r="BA388" s="565">
        <f t="shared" ref="BA388:BA406" si="330">SUM(AI388:AY388)</f>
        <v>1</v>
      </c>
    </row>
    <row r="389" spans="11:53">
      <c r="K389" s="529">
        <v>4</v>
      </c>
      <c r="L389" s="564">
        <f>'F 3-4'!R49</f>
        <v>0.47039999999999998</v>
      </c>
      <c r="M389" s="564"/>
      <c r="N389" s="564">
        <f>'F 3-4'!R50</f>
        <v>0.28470000000000001</v>
      </c>
      <c r="O389" s="564"/>
      <c r="P389" s="564">
        <f>'F 3-4'!R51</f>
        <v>3.2799999999999996E-2</v>
      </c>
      <c r="Q389" s="564"/>
      <c r="R389" s="564">
        <f>'F 3-4'!R52</f>
        <v>8.2100000000000006E-2</v>
      </c>
      <c r="S389" s="564"/>
      <c r="T389" s="564">
        <f>'F 3-4'!R53</f>
        <v>0</v>
      </c>
      <c r="U389" s="564"/>
      <c r="V389" s="564">
        <f>'F 3-4'!R54</f>
        <v>5.8699999999999995E-2</v>
      </c>
      <c r="W389" s="564"/>
      <c r="X389" s="564">
        <f>'F 3-4'!R55</f>
        <v>7.1300000000000002E-2</v>
      </c>
      <c r="Y389" s="154"/>
      <c r="Z389" s="154">
        <f t="shared" si="328"/>
        <v>1</v>
      </c>
      <c r="AA389" s="529" t="str">
        <f t="shared" si="329"/>
        <v>ok</v>
      </c>
      <c r="AH389" s="529">
        <v>4</v>
      </c>
      <c r="AI389" s="565">
        <f>+'F 3-4'!H47-'F 3-4'!H54-'F 3-4'!H55</f>
        <v>0.34670000000000001</v>
      </c>
      <c r="AJ389" s="565"/>
      <c r="AK389" s="565">
        <v>0</v>
      </c>
      <c r="AL389" s="565"/>
      <c r="AM389" s="565">
        <f>+'F 3-4'!L47</f>
        <v>0.52329999999999999</v>
      </c>
      <c r="AN389" s="565"/>
      <c r="AO389" s="565">
        <v>0</v>
      </c>
      <c r="AP389" s="565"/>
      <c r="AQ389" s="565">
        <v>0</v>
      </c>
      <c r="AR389" s="565"/>
      <c r="AS389" s="565">
        <v>0</v>
      </c>
      <c r="AT389" s="565"/>
      <c r="AU389" s="565"/>
      <c r="AV389" s="565"/>
      <c r="AW389" s="565">
        <f>+'F 3-4'!R54</f>
        <v>5.8699999999999995E-2</v>
      </c>
      <c r="AX389" s="565"/>
      <c r="AY389" s="565">
        <f>+'F 3-4'!R55</f>
        <v>7.1300000000000002E-2</v>
      </c>
      <c r="AZ389" s="565"/>
      <c r="BA389" s="565">
        <f t="shared" si="330"/>
        <v>1</v>
      </c>
    </row>
    <row r="390" spans="11:53">
      <c r="K390" s="529">
        <v>5</v>
      </c>
      <c r="L390" s="564">
        <f>'F 5'!R18</f>
        <v>0.42180000000000006</v>
      </c>
      <c r="M390" s="564"/>
      <c r="N390" s="564">
        <f>'F 5'!R19</f>
        <v>0.25529999999999997</v>
      </c>
      <c r="O390" s="564"/>
      <c r="P390" s="564">
        <f>'F 5'!R20</f>
        <v>2.93E-2</v>
      </c>
      <c r="Q390" s="564"/>
      <c r="R390" s="564">
        <f>'F 5'!R21</f>
        <v>7.3499999999999996E-2</v>
      </c>
      <c r="S390" s="564"/>
      <c r="T390" s="564">
        <f>'F 5'!R22</f>
        <v>2.0799999999999999E-2</v>
      </c>
      <c r="U390" s="564"/>
      <c r="V390" s="564">
        <f>'F 5'!R23</f>
        <v>9.01E-2</v>
      </c>
      <c r="W390" s="564"/>
      <c r="X390" s="564">
        <f>'F 5'!R24</f>
        <v>0.10920000000000001</v>
      </c>
      <c r="Y390" s="154"/>
      <c r="Z390" s="154">
        <f t="shared" si="328"/>
        <v>1</v>
      </c>
      <c r="AA390" s="529" t="str">
        <f t="shared" si="329"/>
        <v>ok</v>
      </c>
      <c r="AH390" s="529">
        <v>5</v>
      </c>
      <c r="AI390" s="565">
        <f>+'F 5'!H16-'F 5'!H23-'F 5'!H24</f>
        <v>0.31919999999999998</v>
      </c>
      <c r="AJ390" s="565"/>
      <c r="AK390" s="565">
        <v>0</v>
      </c>
      <c r="AL390" s="565"/>
      <c r="AM390" s="565">
        <f>+'F 5'!L16</f>
        <v>0.48149999999999998</v>
      </c>
      <c r="AN390" s="565"/>
      <c r="AO390" s="565">
        <v>0</v>
      </c>
      <c r="AP390" s="565"/>
      <c r="AQ390" s="565">
        <v>0</v>
      </c>
      <c r="AR390" s="565"/>
      <c r="AS390" s="565">
        <v>0</v>
      </c>
      <c r="AT390" s="565"/>
      <c r="AU390" s="565"/>
      <c r="AV390" s="565"/>
      <c r="AW390" s="565">
        <f>+'F 5'!R23</f>
        <v>9.01E-2</v>
      </c>
      <c r="AX390" s="565"/>
      <c r="AY390" s="565">
        <f>+'F 5'!R24</f>
        <v>0.10920000000000001</v>
      </c>
      <c r="AZ390" s="565"/>
      <c r="BA390" s="565">
        <f t="shared" si="330"/>
        <v>0.99999999999999989</v>
      </c>
    </row>
    <row r="391" spans="11:53">
      <c r="K391" s="529">
        <v>6</v>
      </c>
      <c r="L391" s="564">
        <f>'F6-7'!P18</f>
        <v>0.48439999999999994</v>
      </c>
      <c r="M391" s="564"/>
      <c r="N391" s="564">
        <f>'F6-7'!P19</f>
        <v>0.29609999999999997</v>
      </c>
      <c r="O391" s="564"/>
      <c r="P391" s="564">
        <f>'F6-7'!P20</f>
        <v>3.7100000000000001E-2</v>
      </c>
      <c r="Q391" s="564"/>
      <c r="R391" s="564">
        <f>'F6-7'!P21</f>
        <v>9.6599999999999991E-2</v>
      </c>
      <c r="S391" s="564"/>
      <c r="T391" s="564">
        <f>'F6-7'!P22</f>
        <v>2.2800000000000001E-2</v>
      </c>
      <c r="U391" s="564"/>
      <c r="V391" s="564">
        <f>'F6-7'!P23</f>
        <v>2.8400000000000002E-2</v>
      </c>
      <c r="W391" s="564"/>
      <c r="X391" s="564">
        <f>'F6-7'!P24</f>
        <v>3.4599999999999999E-2</v>
      </c>
      <c r="Y391" s="154"/>
      <c r="Z391" s="154">
        <f t="shared" si="328"/>
        <v>1</v>
      </c>
      <c r="AA391" s="529" t="str">
        <f t="shared" si="329"/>
        <v>ok</v>
      </c>
      <c r="AH391" s="529">
        <v>6</v>
      </c>
      <c r="AI391" s="565">
        <f>+'F6-7'!Y18</f>
        <v>0.51935144</v>
      </c>
      <c r="AJ391" s="565"/>
      <c r="AK391" s="565">
        <f>+'F6-7'!Y19</f>
        <v>0.27990000000000004</v>
      </c>
      <c r="AL391" s="565"/>
      <c r="AM391" s="565">
        <f>+'F6-7'!Y20</f>
        <v>0.13773256</v>
      </c>
      <c r="AN391" s="565"/>
      <c r="AO391" s="565"/>
      <c r="AP391" s="565"/>
      <c r="AQ391" s="565"/>
      <c r="AR391" s="565"/>
      <c r="AS391" s="565"/>
      <c r="AT391" s="565"/>
      <c r="AU391" s="565"/>
      <c r="AV391" s="565"/>
      <c r="AW391" s="565">
        <f>+'F6-7'!Y21</f>
        <v>2.8449839999999997E-2</v>
      </c>
      <c r="AX391" s="565"/>
      <c r="AY391" s="565">
        <f>+'F6-7'!Y22</f>
        <v>3.4566159999999999E-2</v>
      </c>
      <c r="AZ391" s="565"/>
      <c r="BA391" s="565">
        <f t="shared" si="330"/>
        <v>1</v>
      </c>
    </row>
    <row r="392" spans="11:53">
      <c r="K392" s="529">
        <v>7</v>
      </c>
      <c r="L392" s="564">
        <f>'F6-7'!N61</f>
        <v>0.46919999999999995</v>
      </c>
      <c r="M392" s="564"/>
      <c r="N392" s="564">
        <f>'F6-7'!N62</f>
        <v>0.2848</v>
      </c>
      <c r="O392" s="564"/>
      <c r="P392" s="564">
        <f>'F6-7'!N63</f>
        <v>3.3600000000000005E-2</v>
      </c>
      <c r="Q392" s="564"/>
      <c r="R392" s="564">
        <f>'F6-7'!N64</f>
        <v>8.5099999999999995E-2</v>
      </c>
      <c r="S392" s="564"/>
      <c r="T392" s="564">
        <f>'F6-7'!N65</f>
        <v>6.0000000000000001E-3</v>
      </c>
      <c r="U392" s="564"/>
      <c r="V392" s="564">
        <f>'F6-7'!N66</f>
        <v>5.4800000000000001E-2</v>
      </c>
      <c r="W392" s="564"/>
      <c r="X392" s="564">
        <f>'F6-7'!N67</f>
        <v>6.6500000000000004E-2</v>
      </c>
      <c r="Y392" s="154"/>
      <c r="Z392" s="154">
        <f t="shared" si="328"/>
        <v>0.99999999999999989</v>
      </c>
      <c r="AA392" s="529" t="str">
        <f t="shared" si="329"/>
        <v>ok</v>
      </c>
      <c r="AH392" s="529">
        <v>7</v>
      </c>
      <c r="AI392" s="565">
        <f>+'F6-7'!Y60</f>
        <v>0.38889999999999997</v>
      </c>
      <c r="AJ392" s="565"/>
      <c r="AK392" s="565">
        <f>+'F6-7'!Y61</f>
        <v>7.4099999999999999E-2</v>
      </c>
      <c r="AL392" s="565"/>
      <c r="AM392" s="565">
        <f>+'F6-7'!Y62</f>
        <v>0.41570000000000001</v>
      </c>
      <c r="AN392" s="565"/>
      <c r="AO392" s="565"/>
      <c r="AP392" s="565"/>
      <c r="AQ392" s="565"/>
      <c r="AR392" s="565"/>
      <c r="AS392" s="565"/>
      <c r="AT392" s="565"/>
      <c r="AU392" s="565"/>
      <c r="AV392" s="565"/>
      <c r="AW392" s="565">
        <f>+'F6-7'!Y63</f>
        <v>5.4800000000000001E-2</v>
      </c>
      <c r="AX392" s="565"/>
      <c r="AY392" s="565">
        <f>+'F6-7'!Y64</f>
        <v>6.6500000000000004E-2</v>
      </c>
      <c r="AZ392" s="565"/>
      <c r="BA392" s="565">
        <f t="shared" si="330"/>
        <v>1</v>
      </c>
    </row>
    <row r="393" spans="11:53">
      <c r="K393" s="529">
        <v>8</v>
      </c>
      <c r="L393" s="564">
        <v>0</v>
      </c>
      <c r="M393" s="564"/>
      <c r="N393" s="564">
        <v>0</v>
      </c>
      <c r="O393" s="564"/>
      <c r="P393" s="564">
        <v>0</v>
      </c>
      <c r="Q393" s="564"/>
      <c r="R393" s="564">
        <v>0</v>
      </c>
      <c r="S393" s="564"/>
      <c r="T393" s="564">
        <v>0</v>
      </c>
      <c r="U393" s="564"/>
      <c r="V393" s="564">
        <v>0</v>
      </c>
      <c r="W393" s="564"/>
      <c r="X393" s="564">
        <v>1</v>
      </c>
      <c r="Y393" s="154"/>
      <c r="Z393" s="154">
        <f t="shared" si="328"/>
        <v>1</v>
      </c>
      <c r="AA393" s="529" t="str">
        <f t="shared" si="329"/>
        <v>ok</v>
      </c>
      <c r="AH393" s="529">
        <v>8</v>
      </c>
      <c r="AI393" s="565">
        <v>0</v>
      </c>
      <c r="AJ393" s="565"/>
      <c r="AK393" s="565">
        <v>0</v>
      </c>
      <c r="AL393" s="565"/>
      <c r="AM393" s="565">
        <v>0</v>
      </c>
      <c r="AN393" s="565"/>
      <c r="AO393" s="565">
        <v>0</v>
      </c>
      <c r="AP393" s="565"/>
      <c r="AQ393" s="565">
        <v>0</v>
      </c>
      <c r="AR393" s="565"/>
      <c r="AS393" s="565">
        <v>0</v>
      </c>
      <c r="AT393" s="565"/>
      <c r="AU393" s="565"/>
      <c r="AV393" s="565"/>
      <c r="AW393" s="565">
        <v>0</v>
      </c>
      <c r="AX393" s="565"/>
      <c r="AY393" s="565">
        <v>1</v>
      </c>
      <c r="AZ393" s="565"/>
      <c r="BA393" s="565">
        <f t="shared" si="330"/>
        <v>1</v>
      </c>
    </row>
    <row r="394" spans="11:53">
      <c r="K394" s="529">
        <v>9</v>
      </c>
      <c r="L394" s="564">
        <f>'F8-10'!F29</f>
        <v>0.82699999999999996</v>
      </c>
      <c r="M394" s="564"/>
      <c r="N394" s="564">
        <f>'F8-10'!F30</f>
        <v>0.13120000000000001</v>
      </c>
      <c r="O394" s="564"/>
      <c r="P394" s="564">
        <f>'F8-10'!F31</f>
        <v>4.1000000000000003E-3</v>
      </c>
      <c r="Q394" s="564"/>
      <c r="R394" s="564">
        <f>'F8-10'!F32</f>
        <v>2.3699999999999999E-2</v>
      </c>
      <c r="S394" s="564"/>
      <c r="T394" s="564">
        <f>'F8-10'!F33</f>
        <v>2.3999999999999998E-3</v>
      </c>
      <c r="U394" s="564"/>
      <c r="V394" s="564">
        <f>'F8-10'!F34</f>
        <v>1.1599999999999999E-2</v>
      </c>
      <c r="W394" s="564"/>
      <c r="X394" s="564">
        <v>0</v>
      </c>
      <c r="Y394" s="154"/>
      <c r="Z394" s="154">
        <f t="shared" si="328"/>
        <v>1</v>
      </c>
      <c r="AA394" s="529" t="str">
        <f t="shared" si="329"/>
        <v>ok</v>
      </c>
      <c r="AH394" s="529">
        <v>9</v>
      </c>
      <c r="AI394" s="565">
        <v>0</v>
      </c>
      <c r="AJ394" s="565"/>
      <c r="AK394" s="565">
        <v>0</v>
      </c>
      <c r="AL394" s="565"/>
      <c r="AM394" s="565">
        <v>0</v>
      </c>
      <c r="AN394" s="565"/>
      <c r="AO394" s="565">
        <f>1-AW394</f>
        <v>0.98839999999999995</v>
      </c>
      <c r="AP394" s="565"/>
      <c r="AQ394" s="565">
        <v>0</v>
      </c>
      <c r="AR394" s="565"/>
      <c r="AS394" s="565"/>
      <c r="AT394" s="565"/>
      <c r="AU394" s="565"/>
      <c r="AV394" s="565"/>
      <c r="AW394" s="565">
        <f>+'F8-10'!F34</f>
        <v>1.1599999999999999E-2</v>
      </c>
      <c r="AX394" s="565"/>
      <c r="AY394" s="565">
        <v>0</v>
      </c>
      <c r="AZ394" s="565"/>
      <c r="BA394" s="565">
        <f t="shared" si="330"/>
        <v>1</v>
      </c>
    </row>
    <row r="395" spans="11:53">
      <c r="K395" s="529">
        <v>10</v>
      </c>
      <c r="L395" s="564">
        <f>'F8-10'!F52</f>
        <v>0.82400000000000007</v>
      </c>
      <c r="M395" s="564"/>
      <c r="N395" s="564">
        <f>'F8-10'!F53</f>
        <v>0.1132</v>
      </c>
      <c r="O395" s="564"/>
      <c r="P395" s="564">
        <f>'F8-10'!F54</f>
        <v>1.1999999999999999E-3</v>
      </c>
      <c r="Q395" s="564"/>
      <c r="R395" s="564">
        <f>'F8-10'!F55</f>
        <v>1.4E-2</v>
      </c>
      <c r="S395" s="564"/>
      <c r="T395" s="564">
        <f>'F8-10'!F56</f>
        <v>5.9999999999999995E-4</v>
      </c>
      <c r="U395" s="564"/>
      <c r="V395" s="564">
        <f>'F8-10'!F57</f>
        <v>4.7E-2</v>
      </c>
      <c r="W395" s="564"/>
      <c r="X395" s="564">
        <v>0</v>
      </c>
      <c r="Y395" s="154"/>
      <c r="Z395" s="154">
        <f t="shared" si="328"/>
        <v>1</v>
      </c>
      <c r="AA395" s="529" t="str">
        <f t="shared" si="329"/>
        <v>ok</v>
      </c>
      <c r="AH395" s="529">
        <v>10</v>
      </c>
      <c r="AI395" s="565">
        <v>0</v>
      </c>
      <c r="AJ395" s="565"/>
      <c r="AK395" s="565">
        <v>0</v>
      </c>
      <c r="AL395" s="565"/>
      <c r="AM395" s="565">
        <v>0</v>
      </c>
      <c r="AN395" s="565"/>
      <c r="AO395" s="565">
        <v>0</v>
      </c>
      <c r="AP395" s="565"/>
      <c r="AQ395" s="565">
        <f>1-AW395</f>
        <v>0.95299999999999996</v>
      </c>
      <c r="AR395" s="565"/>
      <c r="AS395" s="565">
        <v>0</v>
      </c>
      <c r="AT395" s="565"/>
      <c r="AU395" s="565"/>
      <c r="AV395" s="565"/>
      <c r="AW395" s="565">
        <f>+'F8-10'!F57</f>
        <v>4.7E-2</v>
      </c>
      <c r="AX395" s="565"/>
      <c r="AY395" s="565">
        <v>0</v>
      </c>
      <c r="AZ395" s="565"/>
      <c r="BA395" s="565">
        <f t="shared" si="330"/>
        <v>1</v>
      </c>
    </row>
    <row r="396" spans="11:53">
      <c r="K396" s="529">
        <v>11</v>
      </c>
      <c r="L396" s="565">
        <f>+L362</f>
        <v>0.75409999999999999</v>
      </c>
      <c r="M396" s="565"/>
      <c r="N396" s="565">
        <f>+N362</f>
        <v>0.16250000000000001</v>
      </c>
      <c r="O396" s="565"/>
      <c r="P396" s="565">
        <f>+P362</f>
        <v>1.01E-2</v>
      </c>
      <c r="Q396" s="565"/>
      <c r="R396" s="565">
        <f>+R362</f>
        <v>3.6200000000000003E-2</v>
      </c>
      <c r="S396" s="565"/>
      <c r="T396" s="565">
        <f>+T362</f>
        <v>3.0999999999999999E-3</v>
      </c>
      <c r="U396" s="565"/>
      <c r="V396" s="565">
        <f>+V362</f>
        <v>2.0400000000000001E-2</v>
      </c>
      <c r="W396" s="565"/>
      <c r="X396" s="565">
        <f>+X362</f>
        <v>1.3599999999999999E-2</v>
      </c>
      <c r="Y396" s="270"/>
      <c r="Z396" s="154">
        <f t="shared" ref="Z396:Z406" si="331">SUM(L396:Y396)</f>
        <v>0.99999999999999989</v>
      </c>
      <c r="AA396" s="529" t="str">
        <f t="shared" si="329"/>
        <v>ok</v>
      </c>
      <c r="AH396" s="529">
        <v>11</v>
      </c>
      <c r="AI396" s="565">
        <f>+AI362</f>
        <v>7.9399999999999998E-2</v>
      </c>
      <c r="AJ396" s="565">
        <f t="shared" ref="AJ396:AW396" si="332">+AJ362</f>
        <v>0</v>
      </c>
      <c r="AK396" s="565">
        <f t="shared" si="332"/>
        <v>1.5100000000000001E-2</v>
      </c>
      <c r="AL396" s="565">
        <f t="shared" si="332"/>
        <v>0</v>
      </c>
      <c r="AM396" s="565">
        <f t="shared" si="332"/>
        <v>8.4699999999999998E-2</v>
      </c>
      <c r="AN396" s="565">
        <f t="shared" si="332"/>
        <v>0</v>
      </c>
      <c r="AO396" s="565">
        <f t="shared" si="332"/>
        <v>0.78639999999999999</v>
      </c>
      <c r="AP396" s="565">
        <f t="shared" si="332"/>
        <v>0</v>
      </c>
      <c r="AQ396" s="565">
        <f t="shared" si="332"/>
        <v>4.0000000000000002E-4</v>
      </c>
      <c r="AR396" s="565">
        <f t="shared" si="332"/>
        <v>0</v>
      </c>
      <c r="AS396" s="565">
        <f t="shared" si="332"/>
        <v>0</v>
      </c>
      <c r="AT396" s="565"/>
      <c r="AU396" s="565"/>
      <c r="AV396" s="565">
        <f t="shared" si="332"/>
        <v>0</v>
      </c>
      <c r="AW396" s="565">
        <f t="shared" si="332"/>
        <v>2.0400000000000001E-2</v>
      </c>
      <c r="AX396" s="565">
        <f>+AX362</f>
        <v>0</v>
      </c>
      <c r="AY396" s="565">
        <f>+'F11-12'!F24</f>
        <v>1.3599999999999999E-2</v>
      </c>
      <c r="AZ396" s="565"/>
      <c r="BA396" s="565">
        <f t="shared" si="330"/>
        <v>0.99999999999999989</v>
      </c>
    </row>
    <row r="397" spans="11:53">
      <c r="K397" s="529">
        <v>12</v>
      </c>
      <c r="L397" s="565">
        <f>+L364</f>
        <v>0.52070000000000005</v>
      </c>
      <c r="M397" s="565"/>
      <c r="N397" s="565">
        <f>+N364</f>
        <v>0.17019999999999999</v>
      </c>
      <c r="O397" s="565"/>
      <c r="P397" s="565">
        <f>+P364</f>
        <v>1.55E-2</v>
      </c>
      <c r="Q397" s="565"/>
      <c r="R397" s="565">
        <f>+R364</f>
        <v>4.3499999999999997E-2</v>
      </c>
      <c r="S397" s="565"/>
      <c r="T397" s="565">
        <f>+T364</f>
        <v>3.0000000000000001E-3</v>
      </c>
      <c r="U397" s="565"/>
      <c r="V397" s="565">
        <f>+V364</f>
        <v>4.0899999999999999E-2</v>
      </c>
      <c r="W397" s="565"/>
      <c r="X397" s="565">
        <f>+X364</f>
        <v>0.20619999999999999</v>
      </c>
      <c r="Y397" s="270"/>
      <c r="Z397" s="154">
        <f t="shared" si="331"/>
        <v>1</v>
      </c>
      <c r="AA397" s="529" t="str">
        <f t="shared" si="329"/>
        <v>ok</v>
      </c>
      <c r="AH397" s="529">
        <v>12</v>
      </c>
      <c r="AI397" s="565">
        <f>+AI364</f>
        <v>0.1729</v>
      </c>
      <c r="AJ397" s="565">
        <f t="shared" ref="AJ397:AW397" si="333">+AJ364</f>
        <v>0</v>
      </c>
      <c r="AK397" s="565">
        <f t="shared" si="333"/>
        <v>3.2800000000000003E-2</v>
      </c>
      <c r="AL397" s="565">
        <f t="shared" si="333"/>
        <v>0</v>
      </c>
      <c r="AM397" s="565">
        <f t="shared" si="333"/>
        <v>0.1852</v>
      </c>
      <c r="AN397" s="565">
        <f t="shared" si="333"/>
        <v>0</v>
      </c>
      <c r="AO397" s="565">
        <f t="shared" si="333"/>
        <v>3.8699999999999998E-2</v>
      </c>
      <c r="AP397" s="565">
        <f t="shared" si="333"/>
        <v>0</v>
      </c>
      <c r="AQ397" s="565">
        <f t="shared" si="333"/>
        <v>0.32329999999999998</v>
      </c>
      <c r="AR397" s="565">
        <f t="shared" si="333"/>
        <v>0</v>
      </c>
      <c r="AS397" s="565">
        <f t="shared" si="333"/>
        <v>0</v>
      </c>
      <c r="AT397" s="565"/>
      <c r="AU397" s="565"/>
      <c r="AV397" s="565">
        <f t="shared" si="333"/>
        <v>0</v>
      </c>
      <c r="AW397" s="565">
        <f t="shared" si="333"/>
        <v>4.0899999999999999E-2</v>
      </c>
      <c r="AX397" s="565">
        <f>+AX364</f>
        <v>0</v>
      </c>
      <c r="AY397" s="565">
        <f>+'F11-12'!F69</f>
        <v>0.20619999999999999</v>
      </c>
      <c r="AZ397" s="565"/>
      <c r="BA397" s="565">
        <f t="shared" si="330"/>
        <v>1</v>
      </c>
    </row>
    <row r="398" spans="11:53">
      <c r="K398" s="529">
        <v>13</v>
      </c>
      <c r="L398" s="564">
        <f>+'F13-14'!F15</f>
        <v>0.89959999999999996</v>
      </c>
      <c r="M398" s="564"/>
      <c r="N398" s="564">
        <f>+'F13-14'!F16</f>
        <v>7.17E-2</v>
      </c>
      <c r="O398" s="564"/>
      <c r="P398" s="564">
        <f>+'F13-14'!F17</f>
        <v>4.0000000000000002E-4</v>
      </c>
      <c r="Q398" s="564"/>
      <c r="R398" s="564">
        <f>+'F13-14'!F18</f>
        <v>6.1999999999999998E-3</v>
      </c>
      <c r="S398" s="564"/>
      <c r="T398" s="564">
        <f>+'F13-14'!F19</f>
        <v>2.0000000000000001E-4</v>
      </c>
      <c r="U398" s="564"/>
      <c r="V398" s="564">
        <f>+'F13-14'!F20</f>
        <v>2.1600000000000001E-2</v>
      </c>
      <c r="W398" s="564"/>
      <c r="X398" s="564">
        <f>+'F13-14'!F21</f>
        <v>2.9999999999999997E-4</v>
      </c>
      <c r="Y398" s="154"/>
      <c r="Z398" s="154">
        <f t="shared" si="331"/>
        <v>0.99999999999999978</v>
      </c>
      <c r="AA398" s="529" t="str">
        <f t="shared" si="329"/>
        <v>ok</v>
      </c>
      <c r="AH398" s="529">
        <v>13</v>
      </c>
      <c r="AI398" s="565">
        <v>0</v>
      </c>
      <c r="AJ398" s="565"/>
      <c r="AK398" s="565">
        <v>0</v>
      </c>
      <c r="AL398" s="565"/>
      <c r="AM398" s="565">
        <v>0</v>
      </c>
      <c r="AN398" s="565">
        <v>0</v>
      </c>
      <c r="AO398" s="565">
        <v>0</v>
      </c>
      <c r="AP398" s="565"/>
      <c r="AQ398" s="565">
        <v>0</v>
      </c>
      <c r="AR398" s="565"/>
      <c r="AS398" s="565">
        <f>1-AW398-AY398</f>
        <v>0.97810000000000008</v>
      </c>
      <c r="AT398" s="565"/>
      <c r="AU398" s="565"/>
      <c r="AV398" s="565"/>
      <c r="AW398" s="565">
        <f>+'F13-14'!F20</f>
        <v>2.1600000000000001E-2</v>
      </c>
      <c r="AX398" s="565"/>
      <c r="AY398" s="565">
        <f>+'F13-14'!F21</f>
        <v>2.9999999999999997E-4</v>
      </c>
      <c r="AZ398" s="565"/>
      <c r="BA398" s="565">
        <f t="shared" si="330"/>
        <v>1</v>
      </c>
    </row>
    <row r="399" spans="11:53">
      <c r="K399" s="529">
        <v>14</v>
      </c>
      <c r="L399" s="564">
        <f>+'F13-14'!F35</f>
        <v>0.90790000000000004</v>
      </c>
      <c r="M399" s="564"/>
      <c r="N399" s="564">
        <f>+'F13-14'!F36</f>
        <v>7.2400000000000006E-2</v>
      </c>
      <c r="O399" s="564"/>
      <c r="P399" s="564">
        <f>+'F13-14'!F37</f>
        <v>4.0000000000000002E-4</v>
      </c>
      <c r="Q399" s="564"/>
      <c r="R399" s="564">
        <f>+'F13-14'!F38</f>
        <v>6.1999999999999998E-3</v>
      </c>
      <c r="S399" s="564"/>
      <c r="T399" s="564">
        <f>+'F13-14'!F39</f>
        <v>2.0000000000000001E-4</v>
      </c>
      <c r="U399" s="564"/>
      <c r="V399" s="564">
        <f>+'F13-14'!F40</f>
        <v>1.29E-2</v>
      </c>
      <c r="W399" s="564"/>
      <c r="X399" s="564">
        <v>0</v>
      </c>
      <c r="Y399" s="270"/>
      <c r="Z399" s="154">
        <f t="shared" si="331"/>
        <v>1</v>
      </c>
      <c r="AA399" s="529" t="str">
        <f t="shared" si="329"/>
        <v>ok</v>
      </c>
      <c r="AH399" s="529">
        <v>14</v>
      </c>
      <c r="AI399" s="565">
        <v>0</v>
      </c>
      <c r="AJ399" s="565"/>
      <c r="AK399" s="565">
        <v>0</v>
      </c>
      <c r="AL399" s="565"/>
      <c r="AM399" s="565">
        <v>0</v>
      </c>
      <c r="AN399" s="565">
        <v>0</v>
      </c>
      <c r="AO399" s="565">
        <v>0</v>
      </c>
      <c r="AP399" s="565"/>
      <c r="AQ399" s="565">
        <v>0</v>
      </c>
      <c r="AR399" s="565"/>
      <c r="AS399" s="565">
        <v>1</v>
      </c>
      <c r="AT399" s="565"/>
      <c r="AU399" s="565"/>
      <c r="AV399" s="565"/>
      <c r="AW399" s="565">
        <v>0</v>
      </c>
      <c r="AX399" s="565"/>
      <c r="AY399" s="565">
        <v>0</v>
      </c>
      <c r="AZ399" s="565"/>
      <c r="BA399" s="565">
        <f t="shared" si="330"/>
        <v>1</v>
      </c>
    </row>
    <row r="400" spans="11:53">
      <c r="K400" s="529">
        <v>15</v>
      </c>
      <c r="L400" s="565">
        <f t="shared" ref="L400:X400" si="334">+L366</f>
        <v>0.65029999999999999</v>
      </c>
      <c r="M400" s="565">
        <f t="shared" si="334"/>
        <v>0</v>
      </c>
      <c r="N400" s="565">
        <f t="shared" si="334"/>
        <v>0.2059</v>
      </c>
      <c r="O400" s="565">
        <f t="shared" si="334"/>
        <v>0</v>
      </c>
      <c r="P400" s="565">
        <f t="shared" si="334"/>
        <v>2.06E-2</v>
      </c>
      <c r="Q400" s="565">
        <f t="shared" si="334"/>
        <v>0</v>
      </c>
      <c r="R400" s="565">
        <f t="shared" si="334"/>
        <v>5.7700000000000001E-2</v>
      </c>
      <c r="S400" s="565">
        <f t="shared" si="334"/>
        <v>0</v>
      </c>
      <c r="T400" s="565">
        <f t="shared" si="334"/>
        <v>1.3899999999999999E-2</v>
      </c>
      <c r="U400" s="565">
        <f t="shared" si="334"/>
        <v>0</v>
      </c>
      <c r="V400" s="565">
        <f t="shared" si="334"/>
        <v>1.6299999999999999E-2</v>
      </c>
      <c r="W400" s="565">
        <f t="shared" si="334"/>
        <v>0</v>
      </c>
      <c r="X400" s="565">
        <f t="shared" si="334"/>
        <v>3.5299999999999998E-2</v>
      </c>
      <c r="Y400" s="270"/>
      <c r="Z400" s="154">
        <f t="shared" si="331"/>
        <v>0.99999999999999989</v>
      </c>
      <c r="AA400" s="529" t="str">
        <f t="shared" si="329"/>
        <v>ok</v>
      </c>
      <c r="AH400" s="529">
        <v>15</v>
      </c>
      <c r="AI400" s="565">
        <f>+AI366</f>
        <v>0.29389999999999999</v>
      </c>
      <c r="AJ400" s="565">
        <f t="shared" ref="AJ400:AW400" si="335">+AJ366</f>
        <v>0</v>
      </c>
      <c r="AK400" s="565">
        <f t="shared" si="335"/>
        <v>0.15160000000000001</v>
      </c>
      <c r="AL400" s="565">
        <f t="shared" si="335"/>
        <v>0</v>
      </c>
      <c r="AM400" s="565">
        <f t="shared" si="335"/>
        <v>4.7600000000000003E-2</v>
      </c>
      <c r="AN400" s="565">
        <f t="shared" si="335"/>
        <v>0</v>
      </c>
      <c r="AO400" s="565">
        <f t="shared" si="335"/>
        <v>0.18140000000000001</v>
      </c>
      <c r="AP400" s="565">
        <f t="shared" si="335"/>
        <v>0</v>
      </c>
      <c r="AQ400" s="565">
        <f t="shared" si="335"/>
        <v>4.9200000000000001E-2</v>
      </c>
      <c r="AR400" s="565">
        <f t="shared" si="335"/>
        <v>0</v>
      </c>
      <c r="AS400" s="565">
        <f t="shared" si="335"/>
        <v>0.17580000000000001</v>
      </c>
      <c r="AT400" s="565">
        <f>+AT366</f>
        <v>0</v>
      </c>
      <c r="AU400" s="565">
        <f>+AU366</f>
        <v>5.0599999999999999E-2</v>
      </c>
      <c r="AV400" s="565">
        <f t="shared" si="335"/>
        <v>0</v>
      </c>
      <c r="AW400" s="565">
        <f t="shared" si="335"/>
        <v>1.46E-2</v>
      </c>
      <c r="AX400" s="565">
        <f>+AX366</f>
        <v>0</v>
      </c>
      <c r="AY400" s="565">
        <f>+AY366</f>
        <v>3.5299999999999998E-2</v>
      </c>
      <c r="AZ400" s="565"/>
      <c r="BA400" s="565">
        <f t="shared" si="330"/>
        <v>0.99999999999999989</v>
      </c>
    </row>
    <row r="401" spans="10:53">
      <c r="K401" s="529" t="s">
        <v>4</v>
      </c>
      <c r="L401" s="565">
        <f ca="1">+L368</f>
        <v>0.63980000000000004</v>
      </c>
      <c r="M401" s="565"/>
      <c r="N401" s="565">
        <f ca="1">+N368</f>
        <v>0.2152</v>
      </c>
      <c r="O401" s="565"/>
      <c r="P401" s="565">
        <f ca="1">+P368</f>
        <v>2.3199999999999998E-2</v>
      </c>
      <c r="Q401" s="565"/>
      <c r="R401" s="565">
        <f ca="1">+R368</f>
        <v>6.3700000000000007E-2</v>
      </c>
      <c r="S401" s="565"/>
      <c r="T401" s="565">
        <f ca="1">+T368</f>
        <v>1.67E-2</v>
      </c>
      <c r="U401" s="565"/>
      <c r="V401" s="565">
        <f ca="1">+V368</f>
        <v>1.41E-2</v>
      </c>
      <c r="W401" s="565"/>
      <c r="X401" s="565">
        <f ca="1">+X368</f>
        <v>2.7300000000000001E-2</v>
      </c>
      <c r="Y401" s="270"/>
      <c r="Z401" s="154">
        <f ca="1">SUM(L401:Y401)</f>
        <v>1</v>
      </c>
      <c r="AA401" s="529" t="str">
        <f t="shared" ca="1" si="329"/>
        <v>ok</v>
      </c>
      <c r="AH401" s="529" t="s">
        <v>4</v>
      </c>
      <c r="AI401" s="565">
        <f ca="1">+AI368</f>
        <v>0.39600000000000002</v>
      </c>
      <c r="AJ401" s="565"/>
      <c r="AK401" s="565">
        <f ca="1">+AK368</f>
        <v>0.1168</v>
      </c>
      <c r="AL401" s="565"/>
      <c r="AM401" s="565">
        <f ca="1">+AM368</f>
        <v>3.5499999999999997E-2</v>
      </c>
      <c r="AN401" s="565"/>
      <c r="AO401" s="565">
        <f ca="1">+AO368</f>
        <v>0.14349999999999999</v>
      </c>
      <c r="AP401" s="565"/>
      <c r="AQ401" s="565">
        <f ca="1">+AQ368</f>
        <v>3.7199999999999997E-2</v>
      </c>
      <c r="AR401" s="565"/>
      <c r="AS401" s="565">
        <f ca="1">+AS368</f>
        <v>0.19889999999999999</v>
      </c>
      <c r="AT401" s="565"/>
      <c r="AU401" s="565">
        <f ca="1">+AU368</f>
        <v>3.1900000000000005E-2</v>
      </c>
      <c r="AV401" s="565"/>
      <c r="AW401" s="565">
        <f ca="1">+AW368</f>
        <v>1.29E-2</v>
      </c>
      <c r="AX401" s="565"/>
      <c r="AY401" s="565">
        <f ca="1">+AY368</f>
        <v>2.7300000000000001E-2</v>
      </c>
      <c r="AZ401" s="565"/>
      <c r="BA401" s="565">
        <f t="shared" ca="1" si="330"/>
        <v>1</v>
      </c>
    </row>
    <row r="402" spans="10:53">
      <c r="K402" s="529">
        <v>16</v>
      </c>
      <c r="L402" s="565">
        <f t="shared" ref="L402:X402" si="336">+L370</f>
        <v>0.62770000000000004</v>
      </c>
      <c r="M402" s="565">
        <f t="shared" si="336"/>
        <v>0</v>
      </c>
      <c r="N402" s="565">
        <f t="shared" si="336"/>
        <v>0.21779999999999999</v>
      </c>
      <c r="O402" s="565">
        <f t="shared" si="336"/>
        <v>0</v>
      </c>
      <c r="P402" s="565">
        <f t="shared" si="336"/>
        <v>2.2700000000000001E-2</v>
      </c>
      <c r="Q402" s="565">
        <f t="shared" si="336"/>
        <v>0</v>
      </c>
      <c r="R402" s="565">
        <f t="shared" si="336"/>
        <v>6.3899999999999998E-2</v>
      </c>
      <c r="S402" s="565">
        <f t="shared" si="336"/>
        <v>0</v>
      </c>
      <c r="T402" s="565">
        <f t="shared" si="336"/>
        <v>1.5599999999999999E-2</v>
      </c>
      <c r="U402" s="565">
        <f t="shared" si="336"/>
        <v>0</v>
      </c>
      <c r="V402" s="565">
        <f t="shared" si="336"/>
        <v>1.41E-2</v>
      </c>
      <c r="W402" s="565">
        <f t="shared" si="336"/>
        <v>0</v>
      </c>
      <c r="X402" s="565">
        <f t="shared" si="336"/>
        <v>3.8199999999999998E-2</v>
      </c>
      <c r="Y402" s="270"/>
      <c r="Z402" s="154">
        <f t="shared" si="331"/>
        <v>1</v>
      </c>
      <c r="AA402" s="529" t="str">
        <f t="shared" si="329"/>
        <v>ok</v>
      </c>
      <c r="AH402" s="529">
        <v>16</v>
      </c>
      <c r="AI402" s="565">
        <f>+AI370</f>
        <v>0.31159999999999999</v>
      </c>
      <c r="AJ402" s="565">
        <f t="shared" ref="AJ402:AW402" si="337">+AJ370</f>
        <v>0</v>
      </c>
      <c r="AK402" s="565">
        <f t="shared" si="337"/>
        <v>0.18229999999999999</v>
      </c>
      <c r="AL402" s="565">
        <f t="shared" si="337"/>
        <v>0</v>
      </c>
      <c r="AM402" s="565">
        <f t="shared" si="337"/>
        <v>4.58E-2</v>
      </c>
      <c r="AN402" s="565">
        <f t="shared" si="337"/>
        <v>0</v>
      </c>
      <c r="AO402" s="565">
        <f t="shared" si="337"/>
        <v>0.25679999999999997</v>
      </c>
      <c r="AP402" s="565">
        <f t="shared" si="337"/>
        <v>0</v>
      </c>
      <c r="AQ402" s="565">
        <f t="shared" si="337"/>
        <v>5.4899999999999997E-2</v>
      </c>
      <c r="AR402" s="565">
        <f t="shared" si="337"/>
        <v>0</v>
      </c>
      <c r="AS402" s="565">
        <f t="shared" si="337"/>
        <v>9.3200000000000005E-2</v>
      </c>
      <c r="AT402" s="565">
        <f>+AT370</f>
        <v>0</v>
      </c>
      <c r="AU402" s="565">
        <f>+AU370</f>
        <v>3.8999999999999998E-3</v>
      </c>
      <c r="AV402" s="565">
        <f t="shared" si="337"/>
        <v>0</v>
      </c>
      <c r="AW402" s="565">
        <f t="shared" si="337"/>
        <v>1.3299999999999999E-2</v>
      </c>
      <c r="AX402" s="565">
        <f>+AX370</f>
        <v>0</v>
      </c>
      <c r="AY402" s="565">
        <f>+AY370</f>
        <v>3.8199999999999998E-2</v>
      </c>
      <c r="AZ402" s="565"/>
      <c r="BA402" s="565">
        <f t="shared" si="330"/>
        <v>0.99999999999999989</v>
      </c>
    </row>
    <row r="403" spans="10:53">
      <c r="K403" s="529">
        <v>17</v>
      </c>
      <c r="L403" s="565">
        <f t="shared" ref="L403:X403" si="338">+L372</f>
        <v>0.52090000000000003</v>
      </c>
      <c r="M403" s="565">
        <f t="shared" si="338"/>
        <v>0</v>
      </c>
      <c r="N403" s="565">
        <f t="shared" si="338"/>
        <v>0.26119999999999999</v>
      </c>
      <c r="O403" s="565">
        <f t="shared" si="338"/>
        <v>0</v>
      </c>
      <c r="P403" s="565">
        <f t="shared" si="338"/>
        <v>3.1E-2</v>
      </c>
      <c r="Q403" s="565">
        <f t="shared" si="338"/>
        <v>0</v>
      </c>
      <c r="R403" s="565">
        <f t="shared" si="338"/>
        <v>8.2400000000000001E-2</v>
      </c>
      <c r="S403" s="565">
        <f t="shared" si="338"/>
        <v>0</v>
      </c>
      <c r="T403" s="565">
        <f t="shared" si="338"/>
        <v>0.02</v>
      </c>
      <c r="U403" s="565">
        <f t="shared" si="338"/>
        <v>0</v>
      </c>
      <c r="V403" s="565">
        <f t="shared" si="338"/>
        <v>2.9399999999999999E-2</v>
      </c>
      <c r="W403" s="565">
        <f t="shared" si="338"/>
        <v>0</v>
      </c>
      <c r="X403" s="565">
        <f t="shared" si="338"/>
        <v>5.5100000000000003E-2</v>
      </c>
      <c r="Y403" s="270"/>
      <c r="Z403" s="154">
        <f t="shared" si="331"/>
        <v>1</v>
      </c>
      <c r="AA403" s="529" t="str">
        <f t="shared" si="329"/>
        <v>ok</v>
      </c>
      <c r="AH403" s="529">
        <v>17</v>
      </c>
      <c r="AI403" s="565">
        <f>+AI372</f>
        <v>0.43080000000000002</v>
      </c>
      <c r="AJ403" s="565">
        <f t="shared" ref="AJ403:AW403" si="339">+AJ372</f>
        <v>0</v>
      </c>
      <c r="AK403" s="565">
        <f t="shared" si="339"/>
        <v>0.23139999999999999</v>
      </c>
      <c r="AL403" s="565">
        <f t="shared" si="339"/>
        <v>0</v>
      </c>
      <c r="AM403" s="565">
        <f t="shared" si="339"/>
        <v>0.1096</v>
      </c>
      <c r="AN403" s="565">
        <f t="shared" si="339"/>
        <v>0</v>
      </c>
      <c r="AO403" s="565">
        <f t="shared" si="339"/>
        <v>0.1012</v>
      </c>
      <c r="AP403" s="565">
        <f t="shared" si="339"/>
        <v>0</v>
      </c>
      <c r="AQ403" s="565">
        <f t="shared" si="339"/>
        <v>2.2200000000000001E-2</v>
      </c>
      <c r="AR403" s="565">
        <f t="shared" si="339"/>
        <v>0</v>
      </c>
      <c r="AS403" s="565">
        <f t="shared" si="339"/>
        <v>1.8200000000000001E-2</v>
      </c>
      <c r="AT403" s="565">
        <f>+AT372</f>
        <v>0</v>
      </c>
      <c r="AU403" s="565">
        <f>+AU372</f>
        <v>3.2000000000000002E-3</v>
      </c>
      <c r="AV403" s="565">
        <f t="shared" si="339"/>
        <v>0</v>
      </c>
      <c r="AW403" s="565">
        <f t="shared" si="339"/>
        <v>2.8799999999999999E-2</v>
      </c>
      <c r="AX403" s="565">
        <f>+AX372</f>
        <v>0</v>
      </c>
      <c r="AY403" s="565">
        <f>+AY372</f>
        <v>5.4600000000000003E-2</v>
      </c>
      <c r="AZ403" s="565"/>
      <c r="BA403" s="565">
        <f t="shared" si="330"/>
        <v>1</v>
      </c>
    </row>
    <row r="404" spans="10:53">
      <c r="K404" s="529">
        <v>18</v>
      </c>
      <c r="L404" s="564">
        <f ca="1">+L374</f>
        <v>0.52100000000000002</v>
      </c>
      <c r="M404" s="564"/>
      <c r="N404" s="564">
        <f ca="1">+N374</f>
        <v>0.26079999999999998</v>
      </c>
      <c r="O404" s="564"/>
      <c r="P404" s="564">
        <f ca="1">+P374</f>
        <v>3.09E-2</v>
      </c>
      <c r="Q404" s="564"/>
      <c r="R404" s="564">
        <f ca="1">+R374</f>
        <v>8.2100000000000006E-2</v>
      </c>
      <c r="S404" s="564"/>
      <c r="T404" s="564">
        <f ca="1">+T374</f>
        <v>2.01E-2</v>
      </c>
      <c r="U404" s="564"/>
      <c r="V404" s="564">
        <f ca="1">+V374</f>
        <v>2.98E-2</v>
      </c>
      <c r="W404" s="564"/>
      <c r="X404" s="564">
        <f ca="1">+X374</f>
        <v>5.5300000000000002E-2</v>
      </c>
      <c r="Y404" s="270"/>
      <c r="Z404" s="154">
        <f t="shared" ca="1" si="331"/>
        <v>1</v>
      </c>
      <c r="AA404" s="529" t="str">
        <f t="shared" ca="1" si="329"/>
        <v>ok</v>
      </c>
      <c r="AH404" s="529">
        <v>18</v>
      </c>
      <c r="AI404" s="565">
        <f ca="1">+AI374</f>
        <v>0.42970000000000003</v>
      </c>
      <c r="AJ404" s="565">
        <f t="shared" ref="AJ404:AW404" si="340">+AJ374</f>
        <v>0</v>
      </c>
      <c r="AK404" s="565">
        <f t="shared" ca="1" si="340"/>
        <v>0.2281</v>
      </c>
      <c r="AL404" s="565">
        <f t="shared" si="340"/>
        <v>0</v>
      </c>
      <c r="AM404" s="565">
        <f t="shared" ca="1" si="340"/>
        <v>0.1129</v>
      </c>
      <c r="AN404" s="565">
        <f t="shared" si="340"/>
        <v>0</v>
      </c>
      <c r="AO404" s="565">
        <f t="shared" ca="1" si="340"/>
        <v>0.10009999999999999</v>
      </c>
      <c r="AP404" s="565">
        <f t="shared" si="340"/>
        <v>0</v>
      </c>
      <c r="AQ404" s="565">
        <f t="shared" ca="1" si="340"/>
        <v>2.1999999999999999E-2</v>
      </c>
      <c r="AR404" s="565">
        <f t="shared" si="340"/>
        <v>0</v>
      </c>
      <c r="AS404" s="565">
        <f t="shared" ca="1" si="340"/>
        <v>1.9700000000000002E-2</v>
      </c>
      <c r="AT404" s="565">
        <f>+AT374</f>
        <v>0</v>
      </c>
      <c r="AU404" s="565">
        <f ca="1">+AU374</f>
        <v>3.3999999999999998E-3</v>
      </c>
      <c r="AV404" s="565">
        <f t="shared" si="340"/>
        <v>0</v>
      </c>
      <c r="AW404" s="565">
        <f t="shared" ca="1" si="340"/>
        <v>2.93E-2</v>
      </c>
      <c r="AX404" s="565">
        <f>+AX374</f>
        <v>0</v>
      </c>
      <c r="AY404" s="565">
        <f ca="1">+AY374</f>
        <v>5.4800000000000001E-2</v>
      </c>
      <c r="AZ404" s="565"/>
      <c r="BA404" s="565">
        <f t="shared" ca="1" si="330"/>
        <v>1</v>
      </c>
    </row>
    <row r="405" spans="10:53">
      <c r="K405" s="529">
        <v>19</v>
      </c>
      <c r="L405" s="564">
        <f ca="1">+L376</f>
        <v>0.57030000000000003</v>
      </c>
      <c r="M405" s="564"/>
      <c r="N405" s="564">
        <f ca="1">+N376</f>
        <v>0.24229999999999999</v>
      </c>
      <c r="O405" s="564"/>
      <c r="P405" s="564">
        <f ca="1">+P376</f>
        <v>2.7699999999999999E-2</v>
      </c>
      <c r="Q405" s="564"/>
      <c r="R405" s="564">
        <f ca="1">+R376</f>
        <v>7.4499999999999997E-2</v>
      </c>
      <c r="S405" s="564"/>
      <c r="T405" s="564">
        <f ca="1">+T376</f>
        <v>1.8599999999999998E-2</v>
      </c>
      <c r="U405" s="564"/>
      <c r="V405" s="564">
        <f ca="1">+V376</f>
        <v>2.35E-2</v>
      </c>
      <c r="W405" s="564"/>
      <c r="X405" s="564">
        <f ca="1">+X376</f>
        <v>4.3099999999999999E-2</v>
      </c>
      <c r="Y405" s="270"/>
      <c r="Z405" s="154">
        <f t="shared" ca="1" si="331"/>
        <v>0.99999999999999989</v>
      </c>
      <c r="AA405" s="529" t="str">
        <f t="shared" ca="1" si="329"/>
        <v>ok</v>
      </c>
      <c r="AH405" s="529">
        <v>19</v>
      </c>
      <c r="AI405" s="565">
        <f ca="1">+AI376</f>
        <v>0.41149999999999998</v>
      </c>
      <c r="AJ405" s="565">
        <f t="shared" ref="AJ405:AW405" si="341">+AJ376</f>
        <v>0</v>
      </c>
      <c r="AK405" s="565">
        <f t="shared" ca="1" si="341"/>
        <v>0.18659999999999999</v>
      </c>
      <c r="AL405" s="565">
        <f t="shared" si="341"/>
        <v>0</v>
      </c>
      <c r="AM405" s="565">
        <f t="shared" ca="1" si="341"/>
        <v>8.1000000000000003E-2</v>
      </c>
      <c r="AN405" s="565">
        <f t="shared" si="341"/>
        <v>0</v>
      </c>
      <c r="AO405" s="565">
        <f t="shared" ca="1" si="341"/>
        <v>0.1191</v>
      </c>
      <c r="AP405" s="565">
        <f t="shared" si="341"/>
        <v>0</v>
      </c>
      <c r="AQ405" s="565">
        <f t="shared" ca="1" si="341"/>
        <v>3.4200000000000001E-2</v>
      </c>
      <c r="AR405" s="565">
        <f t="shared" si="341"/>
        <v>0</v>
      </c>
      <c r="AS405" s="565">
        <f t="shared" ca="1" si="341"/>
        <v>8.7999999999999995E-2</v>
      </c>
      <c r="AT405" s="565">
        <f>+AT376</f>
        <v>0</v>
      </c>
      <c r="AU405" s="565">
        <f ca="1">+AU376</f>
        <v>1.4E-2</v>
      </c>
      <c r="AV405" s="565">
        <f t="shared" si="341"/>
        <v>0</v>
      </c>
      <c r="AW405" s="565">
        <f t="shared" ca="1" si="341"/>
        <v>2.2800000000000001E-2</v>
      </c>
      <c r="AX405" s="565">
        <f>+AX376</f>
        <v>0</v>
      </c>
      <c r="AY405" s="565">
        <f ca="1">+AY376</f>
        <v>4.2799999999999998E-2</v>
      </c>
      <c r="AZ405" s="565"/>
      <c r="BA405" s="565">
        <f t="shared" ca="1" si="330"/>
        <v>0.99999999999999989</v>
      </c>
    </row>
    <row r="406" spans="10:53">
      <c r="K406" s="529">
        <v>20</v>
      </c>
      <c r="L406" s="564">
        <f>+'F 15-20'!F155</f>
        <v>0.82050000000000001</v>
      </c>
      <c r="M406" s="564"/>
      <c r="N406" s="564">
        <f>+'F 15-20'!F156</f>
        <v>0.15609999999999999</v>
      </c>
      <c r="O406" s="564"/>
      <c r="P406" s="564">
        <f>+'F 15-20'!F157</f>
        <v>0</v>
      </c>
      <c r="Q406" s="564"/>
      <c r="R406" s="564">
        <f>+'F 15-20'!F158</f>
        <v>0</v>
      </c>
      <c r="S406" s="564"/>
      <c r="T406" s="564">
        <f>+'F 15-20'!F159</f>
        <v>0</v>
      </c>
      <c r="U406" s="564"/>
      <c r="V406" s="564">
        <f>+'F 15-20'!F160</f>
        <v>2.3400000000000001E-2</v>
      </c>
      <c r="W406" s="564"/>
      <c r="X406" s="564">
        <v>0</v>
      </c>
      <c r="Y406" s="154"/>
      <c r="Z406" s="154">
        <f t="shared" si="331"/>
        <v>1</v>
      </c>
      <c r="AA406" s="529" t="str">
        <f t="shared" si="329"/>
        <v>ok</v>
      </c>
      <c r="AH406" s="529">
        <v>20</v>
      </c>
      <c r="AI406" s="565"/>
      <c r="AJ406" s="565"/>
      <c r="AK406" s="565"/>
      <c r="AL406" s="565"/>
      <c r="AM406" s="565"/>
      <c r="AN406" s="565"/>
      <c r="AO406" s="565"/>
      <c r="AP406" s="565"/>
      <c r="AQ406" s="565"/>
      <c r="AR406" s="565"/>
      <c r="AS406" s="565">
        <v>0</v>
      </c>
      <c r="AT406" s="565"/>
      <c r="AU406" s="565">
        <v>1</v>
      </c>
      <c r="AV406" s="565"/>
      <c r="AW406" s="565"/>
      <c r="AX406" s="565"/>
      <c r="AY406" s="565"/>
      <c r="AZ406" s="565"/>
      <c r="BA406" s="565">
        <f t="shared" si="330"/>
        <v>1</v>
      </c>
    </row>
    <row r="407" spans="10:53">
      <c r="L407" s="155"/>
      <c r="M407" s="154"/>
      <c r="N407" s="154"/>
      <c r="O407" s="154"/>
      <c r="P407" s="154"/>
      <c r="Q407" s="154"/>
      <c r="R407" s="154"/>
      <c r="S407" s="154"/>
      <c r="T407" s="154"/>
      <c r="U407" s="154"/>
      <c r="V407" s="154"/>
      <c r="W407" s="154"/>
      <c r="X407" s="154"/>
      <c r="Y407" s="154"/>
      <c r="Z407" s="154"/>
    </row>
    <row r="408" spans="10:53">
      <c r="L408" s="155"/>
      <c r="M408" s="154"/>
      <c r="N408" s="154"/>
      <c r="O408" s="154"/>
      <c r="P408" s="154"/>
      <c r="Q408" s="154"/>
      <c r="R408" s="154"/>
      <c r="S408" s="154"/>
      <c r="T408" s="154"/>
      <c r="U408" s="154"/>
      <c r="V408" s="154"/>
      <c r="W408" s="154"/>
      <c r="X408" s="154"/>
      <c r="Y408" s="154"/>
      <c r="Z408" s="154"/>
    </row>
    <row r="409" spans="10:53">
      <c r="L409" s="155"/>
      <c r="M409" s="154"/>
      <c r="N409" s="154"/>
      <c r="O409" s="154"/>
      <c r="P409" s="154"/>
      <c r="Q409" s="154"/>
      <c r="R409" s="154"/>
      <c r="S409" s="154"/>
      <c r="T409" s="154"/>
      <c r="U409" s="154"/>
      <c r="V409" s="154"/>
      <c r="W409" s="154"/>
      <c r="X409" s="154"/>
      <c r="Y409" s="154"/>
      <c r="Z409" s="154"/>
    </row>
    <row r="410" spans="10:53">
      <c r="L410" s="155" t="s">
        <v>456</v>
      </c>
      <c r="M410" s="154"/>
      <c r="N410" s="154"/>
      <c r="O410" s="154"/>
      <c r="P410" s="154"/>
      <c r="Q410" s="154"/>
      <c r="R410" s="154"/>
      <c r="S410" s="154"/>
      <c r="T410" s="154"/>
      <c r="U410" s="154"/>
      <c r="V410" s="154"/>
      <c r="W410" s="154"/>
      <c r="X410" s="154"/>
      <c r="Y410" s="154"/>
      <c r="Z410" s="154"/>
    </row>
    <row r="411" spans="10:53">
      <c r="J411" s="529">
        <v>2</v>
      </c>
      <c r="L411" s="155" t="str">
        <f>IF(AND('F 1-2'!E47=1,'F 1-2'!G47='F 1-2'!G37,'F 1-2'!I47=1,'F 1-2'!K47='F 1-2'!K37),"OK","&lt;&lt;&lt;&lt;??")</f>
        <v>OK</v>
      </c>
      <c r="M411" s="154"/>
      <c r="N411" s="154" t="str">
        <f>IF('F 2 B'!J23=1,"ok","&lt;&lt;&lt;&lt;??")</f>
        <v>ok</v>
      </c>
      <c r="O411" s="154"/>
      <c r="P411" s="154"/>
      <c r="Q411" s="154"/>
      <c r="R411" s="154"/>
      <c r="S411" s="154"/>
      <c r="T411" s="154"/>
      <c r="U411" s="154"/>
      <c r="V411" s="154"/>
      <c r="W411" s="154"/>
      <c r="X411" s="154"/>
      <c r="Y411" s="154"/>
      <c r="Z411" s="154"/>
    </row>
    <row r="412" spans="10:53">
      <c r="J412" s="529">
        <v>3</v>
      </c>
      <c r="L412" s="155" t="str">
        <f>IF(AND('F 3-4'!D27=1,'F 3-4'!F27='F 3-4'!F17,'F 3-4'!H27=1,'F 3-4'!J27='F 3-4'!J17,'F 3-4'!L27=1,'F 3-4'!N27='F 3-4'!N17),"OK","&lt;&lt;&lt;&lt;??")</f>
        <v>OK</v>
      </c>
      <c r="M412" s="154"/>
      <c r="N412" s="154" t="str">
        <f>IF('F 3B 4B'!I23=1,"OK","&lt;&lt;&lt;&lt;??")</f>
        <v>OK</v>
      </c>
      <c r="O412" s="154"/>
      <c r="P412" s="154"/>
      <c r="Q412" s="154"/>
      <c r="R412" s="154"/>
      <c r="S412" s="154"/>
      <c r="T412" s="154"/>
      <c r="U412" s="154"/>
      <c r="V412" s="154"/>
      <c r="W412" s="154"/>
      <c r="X412" s="154"/>
      <c r="Y412" s="154"/>
      <c r="Z412" s="154"/>
    </row>
    <row r="413" spans="10:53">
      <c r="J413" s="529">
        <v>4</v>
      </c>
      <c r="L413" s="155" t="str">
        <f>IF(AND('F 3-4'!F57=1,'F 3-4'!H57='F 3-4'!H47,'F 3-4'!J57=1,'F 3-4'!L57='F 3-4'!L47,'F 3-4'!N57=1,'F 3-4'!P57='F 3-4'!P47),"OK","&lt;&lt;&lt;&lt;??")</f>
        <v>OK</v>
      </c>
      <c r="M413" s="154"/>
      <c r="N413" s="154" t="str">
        <f>IF(AND('F 3B 4B'!K68=1,'F 3B 4B'!I52=1),"OK","&lt;&lt;&lt;&lt;??")</f>
        <v>OK</v>
      </c>
      <c r="O413" s="154"/>
      <c r="P413" s="154"/>
      <c r="Q413" s="154"/>
      <c r="R413" s="154"/>
      <c r="S413" s="154"/>
      <c r="T413" s="154"/>
      <c r="U413" s="154"/>
      <c r="V413" s="154"/>
      <c r="W413" s="154"/>
      <c r="X413" s="154"/>
      <c r="Y413" s="154"/>
      <c r="Z413" s="154"/>
    </row>
    <row r="414" spans="10:53">
      <c r="J414" s="529">
        <v>5</v>
      </c>
      <c r="L414" s="155" t="str">
        <f>IF(AND('F 5'!F26=1,'F 5'!H26='F 5'!H16,'F 5'!J26=1,'F 5'!L26='F 5'!L16,'F 5'!N26=1,'F 5'!P26='F 5'!P16),"OK","&lt;&lt;&lt;&lt;??")</f>
        <v>OK</v>
      </c>
      <c r="M414" s="154"/>
      <c r="N414" s="154" t="str">
        <f>IF(AND('F 5B'!F29=100,'F 5B'!J44=1),"OK","&lt;&lt;&lt;&lt;?")</f>
        <v>OK</v>
      </c>
      <c r="O414" s="154"/>
      <c r="P414" s="154"/>
      <c r="Q414" s="154"/>
      <c r="R414" s="154"/>
      <c r="S414" s="154"/>
      <c r="T414" s="154"/>
      <c r="U414" s="154"/>
      <c r="V414" s="154"/>
      <c r="W414" s="154"/>
      <c r="X414" s="154"/>
      <c r="Y414" s="154"/>
      <c r="Z414" s="154"/>
    </row>
    <row r="415" spans="10:53">
      <c r="J415" s="529">
        <v>6</v>
      </c>
      <c r="L415" s="155" t="str">
        <f>IF(AND('F6-7'!D26=1,'F6-7'!F26='F6-7'!F16,'F6-7'!H26=1,'F6-7'!J26='F6-7'!J16,'F6-7'!L26=1,'F6-7'!N26='F6-7'!N16),"OK","&lt;&lt;&lt;&lt;??")</f>
        <v>OK</v>
      </c>
      <c r="M415" s="154"/>
      <c r="N415" s="154"/>
      <c r="O415" s="154"/>
      <c r="P415" s="154"/>
      <c r="Q415" s="154"/>
      <c r="R415" s="154"/>
      <c r="S415" s="154"/>
      <c r="T415" s="154"/>
      <c r="U415" s="154"/>
      <c r="V415" s="154"/>
      <c r="W415" s="154"/>
      <c r="X415" s="154"/>
      <c r="Y415" s="154"/>
      <c r="Z415" s="154"/>
    </row>
    <row r="416" spans="10:53">
      <c r="J416" s="529">
        <v>7</v>
      </c>
      <c r="L416" s="155" t="str">
        <f>IF(AND('F6-7'!F69=1,'F6-7'!H69='F6-7'!H59,'F6-7'!J69=1,'F6-7'!L69='F6-7'!L59),"OK","&lt;&lt;&lt;&lt;??")</f>
        <v>OK</v>
      </c>
      <c r="M416" s="154"/>
      <c r="N416" s="154"/>
      <c r="O416" s="154"/>
      <c r="P416" s="154"/>
      <c r="Q416" s="154"/>
      <c r="R416" s="154"/>
      <c r="S416" s="154"/>
      <c r="T416" s="154"/>
      <c r="U416" s="154"/>
      <c r="V416" s="154"/>
      <c r="W416" s="154"/>
      <c r="X416" s="154"/>
      <c r="Y416" s="154"/>
      <c r="Z416" s="154"/>
    </row>
    <row r="417" spans="10:41">
      <c r="J417" s="155" t="s">
        <v>457</v>
      </c>
      <c r="K417" s="152"/>
      <c r="L417" s="155" t="str">
        <f ca="1">IF(AND('SCH-A'!F32=1,'SCH-A'!J32=1,'SCH-A'!N32=1),"ok","&lt;&lt;&lt;&lt;??")</f>
        <v>ok</v>
      </c>
      <c r="M417" s="152"/>
      <c r="N417" s="152"/>
      <c r="O417" s="152"/>
      <c r="P417" s="152"/>
      <c r="Q417" s="152"/>
      <c r="R417" s="152"/>
      <c r="S417" s="152"/>
      <c r="T417" s="152"/>
      <c r="U417" s="152"/>
      <c r="V417" s="152"/>
      <c r="W417" s="152"/>
      <c r="X417" s="152"/>
      <c r="Y417" s="152"/>
      <c r="Z417" s="152"/>
    </row>
    <row r="418" spans="10:41">
      <c r="AA418" s="155"/>
      <c r="AB418" s="152"/>
      <c r="AC418" s="152"/>
      <c r="AD418" s="152"/>
      <c r="AE418" s="152"/>
      <c r="AF418" s="152"/>
      <c r="AG418" s="152"/>
      <c r="AH418" s="152"/>
      <c r="AI418" s="152"/>
      <c r="AJ418" s="152"/>
      <c r="AK418" s="152"/>
      <c r="AL418" s="152"/>
      <c r="AM418" s="152"/>
      <c r="AN418" s="152"/>
      <c r="AO418" s="152"/>
    </row>
    <row r="419" spans="10:41">
      <c r="AA419" s="147"/>
    </row>
    <row r="420" spans="10:41">
      <c r="AA420" s="147"/>
    </row>
    <row r="421" spans="10:41">
      <c r="AA421" s="147"/>
    </row>
    <row r="422" spans="10:41">
      <c r="AA422" s="147"/>
    </row>
    <row r="423" spans="10:41">
      <c r="AA423" s="147"/>
    </row>
    <row r="424" spans="10:41">
      <c r="AA424" s="147"/>
    </row>
    <row r="425" spans="10:41">
      <c r="AA425" s="147"/>
    </row>
    <row r="426" spans="10:41">
      <c r="AA426" s="147"/>
    </row>
    <row r="427" spans="10:41">
      <c r="AA427" s="147"/>
    </row>
    <row r="428" spans="10:41">
      <c r="AA428" s="147"/>
    </row>
    <row r="429" spans="10:41">
      <c r="AA429" s="147"/>
    </row>
    <row r="430" spans="10:41">
      <c r="AA430" s="147"/>
    </row>
    <row r="431" spans="10:41">
      <c r="AA431" s="147"/>
    </row>
    <row r="432" spans="10:41">
      <c r="AA432" s="147"/>
    </row>
    <row r="433" spans="27:27">
      <c r="AA433" s="147"/>
    </row>
    <row r="434" spans="27:27">
      <c r="AA434" s="147"/>
    </row>
    <row r="435" spans="27:27">
      <c r="AA435" s="147"/>
    </row>
    <row r="436" spans="27:27">
      <c r="AA436" s="147"/>
    </row>
    <row r="437" spans="27:27">
      <c r="AA437" s="147"/>
    </row>
    <row r="438" spans="27:27">
      <c r="AA438" s="147"/>
    </row>
    <row r="439" spans="27:27">
      <c r="AA439" s="145"/>
    </row>
    <row r="440" spans="27:27">
      <c r="AA440" s="145"/>
    </row>
    <row r="441" spans="27:27">
      <c r="AA441" s="145"/>
    </row>
    <row r="442" spans="27:27">
      <c r="AA442" s="145"/>
    </row>
    <row r="443" spans="27:27">
      <c r="AA443" s="145"/>
    </row>
    <row r="444" spans="27:27">
      <c r="AA444" s="145"/>
    </row>
    <row r="445" spans="27:27">
      <c r="AA445" s="145"/>
    </row>
    <row r="446" spans="27:27">
      <c r="AA446" s="145"/>
    </row>
    <row r="447" spans="27:27">
      <c r="AA447" s="145"/>
    </row>
    <row r="448" spans="27:27">
      <c r="AA448" s="145"/>
    </row>
    <row r="449" spans="27:27">
      <c r="AA449" s="145"/>
    </row>
    <row r="450" spans="27:27">
      <c r="AA450" s="145"/>
    </row>
    <row r="451" spans="27:27">
      <c r="AA451" s="145"/>
    </row>
    <row r="452" spans="27:27">
      <c r="AA452" s="145"/>
    </row>
    <row r="453" spans="27:27">
      <c r="AA453" s="145"/>
    </row>
    <row r="454" spans="27:27">
      <c r="AA454" s="145"/>
    </row>
    <row r="455" spans="27:27">
      <c r="AA455" s="145"/>
    </row>
    <row r="456" spans="27:27">
      <c r="AA456" s="145"/>
    </row>
    <row r="457" spans="27:27">
      <c r="AA457" s="145"/>
    </row>
    <row r="458" spans="27:27">
      <c r="AA458" s="145"/>
    </row>
    <row r="459" spans="27:27">
      <c r="AA459" s="145"/>
    </row>
    <row r="460" spans="27:27">
      <c r="AA460" s="145"/>
    </row>
    <row r="461" spans="27:27">
      <c r="AA461" s="145"/>
    </row>
    <row r="462" spans="27:27">
      <c r="AA462" s="145"/>
    </row>
    <row r="463" spans="27:27">
      <c r="AA463" s="145"/>
    </row>
    <row r="464" spans="27:27">
      <c r="AA464" s="145"/>
    </row>
    <row r="465" spans="27:27">
      <c r="AA465" s="145"/>
    </row>
    <row r="466" spans="27:27">
      <c r="AA466" s="145"/>
    </row>
    <row r="467" spans="27:27">
      <c r="AA467" s="145"/>
    </row>
    <row r="468" spans="27:27">
      <c r="AA468" s="145"/>
    </row>
    <row r="469" spans="27:27">
      <c r="AA469" s="145"/>
    </row>
    <row r="470" spans="27:27">
      <c r="AA470" s="145"/>
    </row>
    <row r="471" spans="27:27">
      <c r="AA471" s="145"/>
    </row>
    <row r="472" spans="27:27">
      <c r="AA472" s="145"/>
    </row>
    <row r="473" spans="27:27">
      <c r="AA473" s="145"/>
    </row>
    <row r="474" spans="27:27">
      <c r="AA474" s="145"/>
    </row>
    <row r="475" spans="27:27">
      <c r="AA475" s="145"/>
    </row>
    <row r="476" spans="27:27">
      <c r="AA476" s="145"/>
    </row>
    <row r="477" spans="27:27">
      <c r="AA477" s="145"/>
    </row>
    <row r="478" spans="27:27">
      <c r="AA478" s="145"/>
    </row>
    <row r="479" spans="27:27">
      <c r="AA479" s="145"/>
    </row>
    <row r="480" spans="27:27">
      <c r="AA480" s="145"/>
    </row>
    <row r="481" spans="27:27">
      <c r="AA481" s="145"/>
    </row>
    <row r="482" spans="27:27">
      <c r="AA482" s="145"/>
    </row>
    <row r="483" spans="27:27">
      <c r="AA483" s="145"/>
    </row>
    <row r="484" spans="27:27">
      <c r="AA484" s="145"/>
    </row>
    <row r="485" spans="27:27">
      <c r="AA485" s="145"/>
    </row>
    <row r="486" spans="27:27">
      <c r="AA486" s="145"/>
    </row>
    <row r="487" spans="27:27">
      <c r="AA487" s="145"/>
    </row>
    <row r="488" spans="27:27">
      <c r="AA488" s="145"/>
    </row>
    <row r="489" spans="27:27">
      <c r="AA489" s="145"/>
    </row>
    <row r="490" spans="27:27">
      <c r="AA490" s="145"/>
    </row>
    <row r="491" spans="27:27">
      <c r="AA491" s="145"/>
    </row>
    <row r="492" spans="27:27">
      <c r="AA492" s="145"/>
    </row>
    <row r="493" spans="27:27">
      <c r="AA493" s="145"/>
    </row>
    <row r="494" spans="27:27">
      <c r="AA494" s="145"/>
    </row>
    <row r="495" spans="27:27">
      <c r="AA495" s="145"/>
    </row>
    <row r="496" spans="27:27">
      <c r="AA496" s="145"/>
    </row>
    <row r="497" spans="27:27">
      <c r="AA497" s="145"/>
    </row>
    <row r="498" spans="27:27">
      <c r="AA498" s="145"/>
    </row>
    <row r="499" spans="27:27">
      <c r="AA499" s="145"/>
    </row>
    <row r="500" spans="27:27">
      <c r="AA500" s="145"/>
    </row>
    <row r="501" spans="27:27">
      <c r="AA501" s="145"/>
    </row>
    <row r="502" spans="27:27">
      <c r="AA502" s="145"/>
    </row>
    <row r="503" spans="27:27">
      <c r="AA503" s="145"/>
    </row>
    <row r="504" spans="27:27">
      <c r="AA504" s="145"/>
    </row>
    <row r="505" spans="27:27">
      <c r="AA505" s="145"/>
    </row>
    <row r="506" spans="27:27">
      <c r="AA506" s="145"/>
    </row>
    <row r="507" spans="27:27">
      <c r="AA507" s="145"/>
    </row>
    <row r="508" spans="27:27">
      <c r="AA508" s="145"/>
    </row>
    <row r="509" spans="27:27">
      <c r="AA509" s="145"/>
    </row>
    <row r="510" spans="27:27">
      <c r="AA510" s="145"/>
    </row>
    <row r="511" spans="27:27">
      <c r="AA511" s="145"/>
    </row>
    <row r="512" spans="27:27">
      <c r="AA512" s="145"/>
    </row>
    <row r="513" spans="27:27">
      <c r="AA513" s="145"/>
    </row>
    <row r="514" spans="27:27">
      <c r="AA514" s="145"/>
    </row>
    <row r="515" spans="27:27">
      <c r="AA515" s="145"/>
    </row>
    <row r="516" spans="27:27">
      <c r="AA516" s="145"/>
    </row>
    <row r="517" spans="27:27">
      <c r="AA517" s="145"/>
    </row>
    <row r="518" spans="27:27">
      <c r="AA518" s="145"/>
    </row>
    <row r="519" spans="27:27">
      <c r="AA519" s="145"/>
    </row>
    <row r="520" spans="27:27">
      <c r="AA520" s="145"/>
    </row>
    <row r="521" spans="27:27">
      <c r="AA521" s="145"/>
    </row>
    <row r="522" spans="27:27">
      <c r="AA522" s="145"/>
    </row>
    <row r="523" spans="27:27">
      <c r="AA523" s="145"/>
    </row>
    <row r="524" spans="27:27">
      <c r="AA524" s="145"/>
    </row>
    <row r="525" spans="27:27">
      <c r="AA525" s="145"/>
    </row>
    <row r="526" spans="27:27">
      <c r="AA526" s="145"/>
    </row>
    <row r="527" spans="27:27">
      <c r="AA527" s="145"/>
    </row>
    <row r="528" spans="27:27">
      <c r="AA528" s="145"/>
    </row>
    <row r="529" spans="27:27">
      <c r="AA529" s="145"/>
    </row>
    <row r="530" spans="27:27">
      <c r="AA530" s="145"/>
    </row>
    <row r="531" spans="27:27">
      <c r="AA531" s="145"/>
    </row>
    <row r="532" spans="27:27">
      <c r="AA532" s="145"/>
    </row>
    <row r="533" spans="27:27">
      <c r="AA533" s="145"/>
    </row>
    <row r="534" spans="27:27">
      <c r="AA534" s="145"/>
    </row>
    <row r="535" spans="27:27">
      <c r="AA535" s="145"/>
    </row>
    <row r="536" spans="27:27">
      <c r="AA536" s="145"/>
    </row>
    <row r="537" spans="27:27">
      <c r="AA537" s="145"/>
    </row>
    <row r="538" spans="27:27">
      <c r="AA538" s="145"/>
    </row>
    <row r="539" spans="27:27">
      <c r="AA539" s="145"/>
    </row>
    <row r="540" spans="27:27">
      <c r="AA540" s="145"/>
    </row>
    <row r="541" spans="27:27">
      <c r="AA541" s="145"/>
    </row>
    <row r="542" spans="27:27">
      <c r="AA542" s="145"/>
    </row>
    <row r="543" spans="27:27">
      <c r="AA543" s="145"/>
    </row>
    <row r="544" spans="27:27">
      <c r="AA544" s="145"/>
    </row>
    <row r="545" spans="27:27">
      <c r="AA545" s="145"/>
    </row>
    <row r="546" spans="27:27">
      <c r="AA546" s="145"/>
    </row>
    <row r="547" spans="27:27">
      <c r="AA547" s="145"/>
    </row>
    <row r="548" spans="27:27">
      <c r="AA548" s="145"/>
    </row>
    <row r="549" spans="27:27">
      <c r="AA549" s="145"/>
    </row>
    <row r="550" spans="27:27">
      <c r="AA550" s="145"/>
    </row>
    <row r="551" spans="27:27">
      <c r="AA551" s="145"/>
    </row>
    <row r="552" spans="27:27">
      <c r="AA552" s="145"/>
    </row>
    <row r="553" spans="27:27">
      <c r="AA553" s="145"/>
    </row>
    <row r="554" spans="27:27">
      <c r="AA554" s="145"/>
    </row>
    <row r="555" spans="27:27">
      <c r="AA555" s="145"/>
    </row>
    <row r="556" spans="27:27">
      <c r="AA556" s="145"/>
    </row>
    <row r="557" spans="27:27">
      <c r="AA557" s="145"/>
    </row>
    <row r="558" spans="27:27">
      <c r="AA558" s="145"/>
    </row>
    <row r="559" spans="27:27">
      <c r="AA559" s="145"/>
    </row>
    <row r="560" spans="27:27">
      <c r="AA560" s="145"/>
    </row>
    <row r="561" spans="27:27">
      <c r="AA561" s="145"/>
    </row>
    <row r="562" spans="27:27">
      <c r="AA562" s="145"/>
    </row>
    <row r="563" spans="27:27">
      <c r="AA563" s="145"/>
    </row>
    <row r="564" spans="27:27">
      <c r="AA564" s="145"/>
    </row>
    <row r="565" spans="27:27">
      <c r="AA565" s="145"/>
    </row>
    <row r="566" spans="27:27">
      <c r="AA566" s="145"/>
    </row>
    <row r="567" spans="27:27">
      <c r="AA567" s="145"/>
    </row>
    <row r="568" spans="27:27">
      <c r="AA568" s="145"/>
    </row>
    <row r="569" spans="27:27">
      <c r="AA569" s="145"/>
    </row>
    <row r="570" spans="27:27">
      <c r="AA570" s="145"/>
    </row>
    <row r="571" spans="27:27">
      <c r="AA571" s="145"/>
    </row>
    <row r="572" spans="27:27">
      <c r="AA572" s="145"/>
    </row>
    <row r="573" spans="27:27">
      <c r="AA573" s="145"/>
    </row>
    <row r="574" spans="27:27">
      <c r="AA574" s="145"/>
    </row>
    <row r="575" spans="27:27">
      <c r="AA575" s="145"/>
    </row>
    <row r="576" spans="27:27">
      <c r="AA576" s="145"/>
    </row>
    <row r="577" spans="27:27">
      <c r="AA577" s="145"/>
    </row>
    <row r="578" spans="27:27">
      <c r="AA578" s="145"/>
    </row>
    <row r="579" spans="27:27">
      <c r="AA579" s="145"/>
    </row>
    <row r="580" spans="27:27">
      <c r="AA580" s="145"/>
    </row>
    <row r="581" spans="27:27">
      <c r="AA581" s="145"/>
    </row>
    <row r="582" spans="27:27">
      <c r="AA582" s="145"/>
    </row>
    <row r="583" spans="27:27">
      <c r="AA583" s="145"/>
    </row>
    <row r="584" spans="27:27">
      <c r="AA584" s="145"/>
    </row>
    <row r="585" spans="27:27">
      <c r="AA585" s="145"/>
    </row>
    <row r="586" spans="27:27">
      <c r="AA586" s="145"/>
    </row>
    <row r="587" spans="27:27">
      <c r="AA587" s="145"/>
    </row>
    <row r="588" spans="27:27">
      <c r="AA588" s="145"/>
    </row>
    <row r="589" spans="27:27">
      <c r="AA589" s="145"/>
    </row>
    <row r="590" spans="27:27">
      <c r="AA590" s="145"/>
    </row>
    <row r="591" spans="27:27">
      <c r="AA591" s="145"/>
    </row>
    <row r="592" spans="27:27">
      <c r="AA592" s="145"/>
    </row>
    <row r="593" spans="27:27">
      <c r="AA593" s="145"/>
    </row>
    <row r="594" spans="27:27">
      <c r="AA594" s="145"/>
    </row>
    <row r="595" spans="27:27">
      <c r="AA595" s="145"/>
    </row>
    <row r="596" spans="27:27">
      <c r="AA596" s="145"/>
    </row>
    <row r="597" spans="27:27">
      <c r="AA597" s="145"/>
    </row>
    <row r="598" spans="27:27">
      <c r="AA598" s="145"/>
    </row>
    <row r="599" spans="27:27">
      <c r="AA599" s="145"/>
    </row>
    <row r="600" spans="27:27">
      <c r="AA600" s="145"/>
    </row>
    <row r="601" spans="27:27">
      <c r="AA601" s="145"/>
    </row>
    <row r="602" spans="27:27">
      <c r="AA602" s="145"/>
    </row>
    <row r="603" spans="27:27">
      <c r="AA603" s="145"/>
    </row>
    <row r="604" spans="27:27">
      <c r="AA604" s="145"/>
    </row>
    <row r="605" spans="27:27">
      <c r="AA605" s="145"/>
    </row>
    <row r="606" spans="27:27">
      <c r="AA606" s="145"/>
    </row>
    <row r="607" spans="27:27">
      <c r="AA607" s="145"/>
    </row>
    <row r="608" spans="27:27">
      <c r="AA608" s="145"/>
    </row>
    <row r="609" spans="27:27">
      <c r="AA609" s="145"/>
    </row>
    <row r="610" spans="27:27">
      <c r="AA610" s="145"/>
    </row>
    <row r="611" spans="27:27">
      <c r="AA611" s="145"/>
    </row>
    <row r="612" spans="27:27">
      <c r="AA612" s="145"/>
    </row>
    <row r="613" spans="27:27">
      <c r="AA613" s="145"/>
    </row>
    <row r="614" spans="27:27">
      <c r="AA614" s="145"/>
    </row>
    <row r="615" spans="27:27">
      <c r="AA615" s="145"/>
    </row>
    <row r="616" spans="27:27">
      <c r="AA616" s="145"/>
    </row>
    <row r="617" spans="27:27">
      <c r="AA617" s="145"/>
    </row>
    <row r="618" spans="27:27">
      <c r="AA618" s="145"/>
    </row>
    <row r="619" spans="27:27">
      <c r="AA619" s="145"/>
    </row>
    <row r="620" spans="27:27">
      <c r="AA620" s="145"/>
    </row>
    <row r="621" spans="27:27">
      <c r="AA621" s="145"/>
    </row>
    <row r="622" spans="27:27">
      <c r="AA622" s="145"/>
    </row>
    <row r="623" spans="27:27">
      <c r="AA623" s="145"/>
    </row>
    <row r="624" spans="27:27">
      <c r="AA624" s="145"/>
    </row>
    <row r="625" spans="27:27">
      <c r="AA625" s="145"/>
    </row>
    <row r="626" spans="27:27">
      <c r="AA626" s="145"/>
    </row>
    <row r="627" spans="27:27">
      <c r="AA627" s="145"/>
    </row>
    <row r="628" spans="27:27">
      <c r="AA628" s="145"/>
    </row>
    <row r="629" spans="27:27">
      <c r="AA629" s="145"/>
    </row>
    <row r="630" spans="27:27">
      <c r="AA630" s="145"/>
    </row>
    <row r="631" spans="27:27">
      <c r="AA631" s="145"/>
    </row>
    <row r="632" spans="27:27">
      <c r="AA632" s="145"/>
    </row>
    <row r="633" spans="27:27">
      <c r="AA633" s="145"/>
    </row>
    <row r="634" spans="27:27">
      <c r="AA634" s="145"/>
    </row>
    <row r="635" spans="27:27">
      <c r="AA635" s="145"/>
    </row>
    <row r="636" spans="27:27">
      <c r="AA636" s="145"/>
    </row>
    <row r="637" spans="27:27">
      <c r="AA637" s="145"/>
    </row>
    <row r="638" spans="27:27">
      <c r="AA638" s="145"/>
    </row>
    <row r="639" spans="27:27">
      <c r="AA639" s="145"/>
    </row>
    <row r="640" spans="27:27">
      <c r="AA640" s="145"/>
    </row>
    <row r="641" spans="27:27">
      <c r="AA641" s="145"/>
    </row>
    <row r="642" spans="27:27">
      <c r="AA642" s="145"/>
    </row>
    <row r="643" spans="27:27">
      <c r="AA643" s="145"/>
    </row>
    <row r="644" spans="27:27">
      <c r="AA644" s="145"/>
    </row>
    <row r="645" spans="27:27">
      <c r="AA645" s="145"/>
    </row>
    <row r="646" spans="27:27">
      <c r="AA646" s="145"/>
    </row>
    <row r="647" spans="27:27">
      <c r="AA647" s="145"/>
    </row>
    <row r="648" spans="27:27">
      <c r="AA648" s="145"/>
    </row>
    <row r="649" spans="27:27">
      <c r="AA649" s="145"/>
    </row>
    <row r="650" spans="27:27">
      <c r="AA650" s="145"/>
    </row>
    <row r="651" spans="27:27">
      <c r="AA651" s="145"/>
    </row>
    <row r="652" spans="27:27">
      <c r="AA652" s="145"/>
    </row>
    <row r="653" spans="27:27">
      <c r="AA653" s="145"/>
    </row>
    <row r="654" spans="27:27">
      <c r="AA654" s="145"/>
    </row>
    <row r="655" spans="27:27">
      <c r="AA655" s="145"/>
    </row>
    <row r="656" spans="27:27">
      <c r="AA656" s="145"/>
    </row>
    <row r="657" spans="27:27">
      <c r="AA657" s="145"/>
    </row>
    <row r="658" spans="27:27">
      <c r="AA658" s="145"/>
    </row>
    <row r="659" spans="27:27">
      <c r="AA659" s="145"/>
    </row>
    <row r="660" spans="27:27">
      <c r="AA660" s="145"/>
    </row>
    <row r="661" spans="27:27">
      <c r="AA661" s="145"/>
    </row>
    <row r="662" spans="27:27">
      <c r="AA662" s="145"/>
    </row>
    <row r="663" spans="27:27">
      <c r="AA663" s="145"/>
    </row>
    <row r="664" spans="27:27">
      <c r="AA664" s="145"/>
    </row>
    <row r="665" spans="27:27">
      <c r="AA665" s="145"/>
    </row>
    <row r="666" spans="27:27">
      <c r="AA666" s="145"/>
    </row>
    <row r="667" spans="27:27">
      <c r="AA667" s="145"/>
    </row>
    <row r="668" spans="27:27">
      <c r="AA668" s="145"/>
    </row>
    <row r="669" spans="27:27">
      <c r="AA669" s="145"/>
    </row>
    <row r="670" spans="27:27">
      <c r="AA670" s="145"/>
    </row>
    <row r="671" spans="27:27">
      <c r="AA671" s="145"/>
    </row>
    <row r="672" spans="27:27">
      <c r="AA672" s="145"/>
    </row>
    <row r="673" spans="27:27">
      <c r="AA673" s="145"/>
    </row>
    <row r="674" spans="27:27">
      <c r="AA674" s="145"/>
    </row>
    <row r="675" spans="27:27">
      <c r="AA675" s="145"/>
    </row>
    <row r="676" spans="27:27">
      <c r="AA676" s="145"/>
    </row>
    <row r="677" spans="27:27">
      <c r="AA677" s="145"/>
    </row>
    <row r="678" spans="27:27">
      <c r="AA678" s="145"/>
    </row>
    <row r="679" spans="27:27">
      <c r="AA679" s="145"/>
    </row>
    <row r="680" spans="27:27">
      <c r="AA680" s="145"/>
    </row>
    <row r="681" spans="27:27">
      <c r="AA681" s="145"/>
    </row>
    <row r="682" spans="27:27">
      <c r="AA682" s="145"/>
    </row>
    <row r="683" spans="27:27">
      <c r="AA683" s="145"/>
    </row>
    <row r="684" spans="27:27">
      <c r="AA684" s="145"/>
    </row>
    <row r="685" spans="27:27">
      <c r="AA685" s="145"/>
    </row>
    <row r="686" spans="27:27">
      <c r="AA686" s="145"/>
    </row>
    <row r="687" spans="27:27">
      <c r="AA687" s="145"/>
    </row>
    <row r="688" spans="27:27">
      <c r="AA688" s="145"/>
    </row>
    <row r="689" spans="27:27">
      <c r="AA689" s="145"/>
    </row>
    <row r="690" spans="27:27">
      <c r="AA690" s="145"/>
    </row>
    <row r="691" spans="27:27">
      <c r="AA691" s="145"/>
    </row>
    <row r="692" spans="27:27">
      <c r="AA692" s="145"/>
    </row>
    <row r="693" spans="27:27">
      <c r="AA693" s="145"/>
    </row>
    <row r="694" spans="27:27">
      <c r="AA694" s="145"/>
    </row>
    <row r="695" spans="27:27">
      <c r="AA695" s="145"/>
    </row>
    <row r="696" spans="27:27">
      <c r="AA696" s="145"/>
    </row>
    <row r="697" spans="27:27">
      <c r="AA697" s="145"/>
    </row>
    <row r="698" spans="27:27">
      <c r="AA698" s="145"/>
    </row>
    <row r="699" spans="27:27">
      <c r="AA699" s="145"/>
    </row>
    <row r="700" spans="27:27">
      <c r="AA700" s="145"/>
    </row>
    <row r="701" spans="27:27">
      <c r="AA701" s="145"/>
    </row>
    <row r="702" spans="27:27">
      <c r="AA702" s="145"/>
    </row>
    <row r="703" spans="27:27">
      <c r="AA703" s="145"/>
    </row>
    <row r="704" spans="27:27">
      <c r="AA704" s="145"/>
    </row>
    <row r="705" spans="27:27">
      <c r="AA705" s="145"/>
    </row>
    <row r="706" spans="27:27">
      <c r="AA706" s="145"/>
    </row>
    <row r="707" spans="27:27">
      <c r="AA707" s="145"/>
    </row>
    <row r="708" spans="27:27">
      <c r="AA708" s="145"/>
    </row>
    <row r="709" spans="27:27">
      <c r="AA709" s="145"/>
    </row>
    <row r="710" spans="27:27">
      <c r="AA710" s="145"/>
    </row>
    <row r="711" spans="27:27">
      <c r="AA711" s="145"/>
    </row>
    <row r="712" spans="27:27">
      <c r="AA712" s="145"/>
    </row>
    <row r="713" spans="27:27">
      <c r="AA713" s="145"/>
    </row>
    <row r="714" spans="27:27">
      <c r="AA714" s="145"/>
    </row>
    <row r="715" spans="27:27">
      <c r="AA715" s="145"/>
    </row>
    <row r="716" spans="27:27">
      <c r="AA716" s="145"/>
    </row>
    <row r="717" spans="27:27">
      <c r="AA717" s="145"/>
    </row>
    <row r="718" spans="27:27">
      <c r="AA718" s="145"/>
    </row>
    <row r="719" spans="27:27">
      <c r="AA719" s="145"/>
    </row>
    <row r="720" spans="27:27">
      <c r="AA720" s="145"/>
    </row>
    <row r="721" spans="27:27">
      <c r="AA721" s="145"/>
    </row>
    <row r="722" spans="27:27">
      <c r="AA722" s="145"/>
    </row>
    <row r="723" spans="27:27">
      <c r="AA723" s="145"/>
    </row>
    <row r="724" spans="27:27">
      <c r="AA724" s="145"/>
    </row>
    <row r="725" spans="27:27">
      <c r="AA725" s="145"/>
    </row>
    <row r="726" spans="27:27">
      <c r="AA726" s="145"/>
    </row>
    <row r="727" spans="27:27">
      <c r="AA727" s="145"/>
    </row>
    <row r="728" spans="27:27">
      <c r="AA728" s="145"/>
    </row>
    <row r="729" spans="27:27">
      <c r="AA729" s="145"/>
    </row>
    <row r="730" spans="27:27">
      <c r="AA730" s="145"/>
    </row>
    <row r="731" spans="27:27">
      <c r="AA731" s="145"/>
    </row>
    <row r="732" spans="27:27">
      <c r="AA732" s="145"/>
    </row>
    <row r="733" spans="27:27">
      <c r="AA733" s="145"/>
    </row>
    <row r="734" spans="27:27">
      <c r="AA734" s="145"/>
    </row>
    <row r="735" spans="27:27">
      <c r="AA735" s="145"/>
    </row>
    <row r="736" spans="27:27">
      <c r="AA736" s="145"/>
    </row>
    <row r="737" spans="27:27">
      <c r="AA737" s="145"/>
    </row>
    <row r="738" spans="27:27">
      <c r="AA738" s="145"/>
    </row>
    <row r="739" spans="27:27">
      <c r="AA739" s="145"/>
    </row>
    <row r="740" spans="27:27">
      <c r="AA740" s="145"/>
    </row>
    <row r="741" spans="27:27">
      <c r="AA741" s="145"/>
    </row>
    <row r="742" spans="27:27">
      <c r="AA742" s="145"/>
    </row>
    <row r="743" spans="27:27">
      <c r="AA743" s="145"/>
    </row>
    <row r="744" spans="27:27">
      <c r="AA744" s="145"/>
    </row>
    <row r="745" spans="27:27">
      <c r="AA745" s="145"/>
    </row>
    <row r="746" spans="27:27">
      <c r="AA746" s="145"/>
    </row>
    <row r="747" spans="27:27">
      <c r="AA747" s="145"/>
    </row>
    <row r="748" spans="27:27">
      <c r="AA748" s="145"/>
    </row>
    <row r="749" spans="27:27">
      <c r="AA749" s="145"/>
    </row>
    <row r="750" spans="27:27">
      <c r="AA750" s="145"/>
    </row>
    <row r="751" spans="27:27">
      <c r="AA751" s="145"/>
    </row>
    <row r="752" spans="27:27">
      <c r="AA752" s="145"/>
    </row>
    <row r="753" spans="27:27">
      <c r="AA753" s="145"/>
    </row>
    <row r="754" spans="27:27">
      <c r="AA754" s="145"/>
    </row>
    <row r="755" spans="27:27">
      <c r="AA755" s="145"/>
    </row>
    <row r="756" spans="27:27">
      <c r="AA756" s="145"/>
    </row>
    <row r="757" spans="27:27">
      <c r="AA757" s="145"/>
    </row>
    <row r="758" spans="27:27">
      <c r="AA758" s="145"/>
    </row>
    <row r="759" spans="27:27">
      <c r="AA759" s="145"/>
    </row>
    <row r="760" spans="27:27">
      <c r="AA760" s="145"/>
    </row>
    <row r="761" spans="27:27">
      <c r="AA761" s="145"/>
    </row>
    <row r="762" spans="27:27">
      <c r="AA762" s="145"/>
    </row>
    <row r="763" spans="27:27">
      <c r="AA763" s="145"/>
    </row>
    <row r="764" spans="27:27">
      <c r="AA764" s="145"/>
    </row>
    <row r="765" spans="27:27">
      <c r="AA765" s="145"/>
    </row>
    <row r="766" spans="27:27">
      <c r="AA766" s="145"/>
    </row>
    <row r="767" spans="27:27">
      <c r="AA767" s="145"/>
    </row>
    <row r="768" spans="27:27">
      <c r="AA768" s="145"/>
    </row>
    <row r="769" spans="27:27">
      <c r="AA769" s="145"/>
    </row>
    <row r="770" spans="27:27">
      <c r="AA770" s="145"/>
    </row>
    <row r="771" spans="27:27">
      <c r="AA771" s="145"/>
    </row>
    <row r="772" spans="27:27">
      <c r="AA772" s="145"/>
    </row>
    <row r="773" spans="27:27">
      <c r="AA773" s="145"/>
    </row>
    <row r="774" spans="27:27">
      <c r="AA774" s="145"/>
    </row>
    <row r="775" spans="27:27">
      <c r="AA775" s="145"/>
    </row>
    <row r="776" spans="27:27">
      <c r="AA776" s="145"/>
    </row>
    <row r="777" spans="27:27">
      <c r="AA777" s="145"/>
    </row>
    <row r="778" spans="27:27">
      <c r="AA778" s="145"/>
    </row>
    <row r="779" spans="27:27">
      <c r="AA779" s="145"/>
    </row>
    <row r="780" spans="27:27">
      <c r="AA780" s="145"/>
    </row>
    <row r="781" spans="27:27">
      <c r="AA781" s="145"/>
    </row>
    <row r="782" spans="27:27">
      <c r="AA782" s="145"/>
    </row>
    <row r="783" spans="27:27">
      <c r="AA783" s="145"/>
    </row>
    <row r="784" spans="27:27">
      <c r="AA784" s="145"/>
    </row>
    <row r="785" spans="27:27">
      <c r="AA785" s="145"/>
    </row>
    <row r="786" spans="27:27">
      <c r="AA786" s="145"/>
    </row>
    <row r="787" spans="27:27">
      <c r="AA787" s="145"/>
    </row>
    <row r="788" spans="27:27">
      <c r="AA788" s="145"/>
    </row>
    <row r="789" spans="27:27">
      <c r="AA789" s="145"/>
    </row>
    <row r="790" spans="27:27">
      <c r="AA790" s="145"/>
    </row>
    <row r="791" spans="27:27">
      <c r="AA791" s="145"/>
    </row>
    <row r="792" spans="27:27">
      <c r="AA792" s="145"/>
    </row>
    <row r="793" spans="27:27">
      <c r="AA793" s="145"/>
    </row>
    <row r="794" spans="27:27">
      <c r="AA794" s="145"/>
    </row>
    <row r="795" spans="27:27">
      <c r="AA795" s="145"/>
    </row>
    <row r="796" spans="27:27">
      <c r="AA796" s="145"/>
    </row>
    <row r="797" spans="27:27">
      <c r="AA797" s="145"/>
    </row>
    <row r="798" spans="27:27">
      <c r="AA798" s="145"/>
    </row>
    <row r="799" spans="27:27">
      <c r="AA799" s="145"/>
    </row>
    <row r="800" spans="27:27">
      <c r="AA800" s="145"/>
    </row>
    <row r="801" spans="27:27">
      <c r="AA801" s="145"/>
    </row>
    <row r="802" spans="27:27">
      <c r="AA802" s="145"/>
    </row>
    <row r="803" spans="27:27">
      <c r="AA803" s="145"/>
    </row>
    <row r="804" spans="27:27">
      <c r="AA804" s="145"/>
    </row>
    <row r="805" spans="27:27">
      <c r="AA805" s="145"/>
    </row>
    <row r="806" spans="27:27">
      <c r="AA806" s="145"/>
    </row>
    <row r="807" spans="27:27">
      <c r="AA807" s="145"/>
    </row>
    <row r="808" spans="27:27">
      <c r="AA808" s="145"/>
    </row>
    <row r="809" spans="27:27">
      <c r="AA809" s="145"/>
    </row>
    <row r="810" spans="27:27">
      <c r="AA810" s="145"/>
    </row>
    <row r="811" spans="27:27">
      <c r="AA811" s="145"/>
    </row>
    <row r="812" spans="27:27">
      <c r="AA812" s="145"/>
    </row>
    <row r="813" spans="27:27">
      <c r="AA813" s="145"/>
    </row>
    <row r="814" spans="27:27">
      <c r="AA814" s="145"/>
    </row>
    <row r="815" spans="27:27">
      <c r="AA815" s="145"/>
    </row>
    <row r="816" spans="27:27">
      <c r="AA816" s="145"/>
    </row>
    <row r="817" spans="27:27">
      <c r="AA817" s="145"/>
    </row>
    <row r="818" spans="27:27">
      <c r="AA818" s="145"/>
    </row>
    <row r="819" spans="27:27">
      <c r="AA819" s="145"/>
    </row>
    <row r="820" spans="27:27">
      <c r="AA820" s="145"/>
    </row>
    <row r="821" spans="27:27">
      <c r="AA821" s="145"/>
    </row>
    <row r="822" spans="27:27">
      <c r="AA822" s="145"/>
    </row>
    <row r="823" spans="27:27">
      <c r="AA823" s="145"/>
    </row>
    <row r="824" spans="27:27">
      <c r="AA824" s="145"/>
    </row>
    <row r="825" spans="27:27">
      <c r="AA825" s="145"/>
    </row>
    <row r="826" spans="27:27">
      <c r="AA826" s="145"/>
    </row>
    <row r="827" spans="27:27">
      <c r="AA827" s="175"/>
    </row>
    <row r="828" spans="27:27">
      <c r="AA828" s="175"/>
    </row>
    <row r="829" spans="27:27">
      <c r="AA829" s="175"/>
    </row>
    <row r="830" spans="27:27">
      <c r="AA830" s="175"/>
    </row>
    <row r="831" spans="27:27">
      <c r="AA831" s="175"/>
    </row>
    <row r="832" spans="27:27">
      <c r="AA832" s="175"/>
    </row>
    <row r="833" spans="27:27">
      <c r="AA833" s="175"/>
    </row>
    <row r="834" spans="27:27">
      <c r="AA834" s="175"/>
    </row>
    <row r="835" spans="27:27">
      <c r="AA835" s="175"/>
    </row>
    <row r="836" spans="27:27">
      <c r="AA836" s="175"/>
    </row>
    <row r="837" spans="27:27">
      <c r="AA837" s="175"/>
    </row>
    <row r="838" spans="27:27">
      <c r="AA838" s="175"/>
    </row>
    <row r="839" spans="27:27">
      <c r="AA839" s="175"/>
    </row>
    <row r="840" spans="27:27">
      <c r="AA840" s="175"/>
    </row>
    <row r="841" spans="27:27">
      <c r="AA841" s="175"/>
    </row>
    <row r="842" spans="27:27">
      <c r="AA842" s="175"/>
    </row>
    <row r="843" spans="27:27">
      <c r="AA843" s="175"/>
    </row>
    <row r="844" spans="27:27">
      <c r="AA844" s="175"/>
    </row>
    <row r="845" spans="27:27">
      <c r="AA845" s="175"/>
    </row>
    <row r="846" spans="27:27">
      <c r="AA846" s="175"/>
    </row>
    <row r="847" spans="27:27">
      <c r="AA847" s="175"/>
    </row>
    <row r="848" spans="27:27">
      <c r="AA848" s="175"/>
    </row>
    <row r="849" spans="27:27">
      <c r="AA849" s="175"/>
    </row>
    <row r="850" spans="27:27">
      <c r="AA850" s="175"/>
    </row>
    <row r="851" spans="27:27">
      <c r="AA851" s="175"/>
    </row>
    <row r="852" spans="27:27">
      <c r="AA852" s="175"/>
    </row>
    <row r="853" spans="27:27">
      <c r="AA853" s="175"/>
    </row>
    <row r="854" spans="27:27">
      <c r="AA854" s="175"/>
    </row>
    <row r="855" spans="27:27">
      <c r="AA855" s="175"/>
    </row>
    <row r="856" spans="27:27">
      <c r="AA856" s="175"/>
    </row>
    <row r="857" spans="27:27">
      <c r="AA857" s="175"/>
    </row>
    <row r="858" spans="27:27">
      <c r="AA858" s="175"/>
    </row>
    <row r="859" spans="27:27">
      <c r="AA859" s="175"/>
    </row>
    <row r="860" spans="27:27">
      <c r="AA860" s="175"/>
    </row>
    <row r="861" spans="27:27">
      <c r="AA861" s="175"/>
    </row>
    <row r="862" spans="27:27">
      <c r="AA862" s="175"/>
    </row>
    <row r="863" spans="27:27">
      <c r="AA863" s="175"/>
    </row>
    <row r="864" spans="27:27">
      <c r="AA864" s="175"/>
    </row>
    <row r="865" spans="27:27">
      <c r="AA865" s="175"/>
    </row>
    <row r="866" spans="27:27">
      <c r="AA866" s="175"/>
    </row>
    <row r="867" spans="27:27">
      <c r="AA867" s="175"/>
    </row>
    <row r="868" spans="27:27">
      <c r="AA868" s="175"/>
    </row>
    <row r="869" spans="27:27">
      <c r="AA869" s="175"/>
    </row>
    <row r="870" spans="27:27">
      <c r="AA870" s="175"/>
    </row>
    <row r="871" spans="27:27">
      <c r="AA871" s="175"/>
    </row>
    <row r="872" spans="27:27">
      <c r="AA872" s="175"/>
    </row>
    <row r="873" spans="27:27">
      <c r="AA873" s="175"/>
    </row>
    <row r="874" spans="27:27">
      <c r="AA874" s="175"/>
    </row>
    <row r="875" spans="27:27">
      <c r="AA875" s="175"/>
    </row>
    <row r="876" spans="27:27">
      <c r="AA876" s="175"/>
    </row>
    <row r="877" spans="27:27">
      <c r="AA877" s="175"/>
    </row>
    <row r="878" spans="27:27">
      <c r="AA878" s="175"/>
    </row>
    <row r="879" spans="27:27">
      <c r="AA879" s="175"/>
    </row>
    <row r="880" spans="27:27">
      <c r="AA880" s="175"/>
    </row>
    <row r="881" spans="27:27">
      <c r="AA881" s="175"/>
    </row>
    <row r="882" spans="27:27">
      <c r="AA882" s="175"/>
    </row>
    <row r="883" spans="27:27">
      <c r="AA883" s="175"/>
    </row>
    <row r="884" spans="27:27">
      <c r="AA884" s="175"/>
    </row>
    <row r="885" spans="27:27">
      <c r="AA885" s="175"/>
    </row>
    <row r="886" spans="27:27">
      <c r="AA886" s="175"/>
    </row>
    <row r="887" spans="27:27">
      <c r="AA887" s="175"/>
    </row>
    <row r="888" spans="27:27">
      <c r="AA888" s="175"/>
    </row>
    <row r="889" spans="27:27">
      <c r="AA889" s="175"/>
    </row>
  </sheetData>
  <mergeCells count="5">
    <mergeCell ref="AC2:AU2"/>
    <mergeCell ref="V6:X6"/>
    <mergeCell ref="F1:X1"/>
    <mergeCell ref="F3:X3"/>
    <mergeCell ref="F2:X2"/>
  </mergeCells>
  <phoneticPr fontId="11" type="noConversion"/>
  <printOptions horizontalCentered="1"/>
  <pageMargins left="0.5" right="0.5" top="1" bottom="0.5" header="0.5" footer="0.5"/>
  <pageSetup scale="75" fitToHeight="0" orientation="landscape" r:id="rId1"/>
  <headerFooter alignWithMargins="0"/>
  <rowBreaks count="11" manualBreakCount="11">
    <brk id="34" min="5" max="23" man="1"/>
    <brk id="74" min="5" max="23" man="1"/>
    <brk id="97" min="5" max="23" man="1"/>
    <brk id="134" min="5" max="23" man="1"/>
    <brk id="173" min="5" max="23" man="1"/>
    <brk id="217" min="5" max="23" man="1"/>
    <brk id="221" min="28" max="50" man="1"/>
    <brk id="276" min="5" max="23" man="1"/>
    <brk id="276" min="28" max="50" man="1"/>
    <brk id="319" min="5" max="23" man="1"/>
    <brk id="330" min="28" max="50" man="1"/>
  </rowBreaks>
</worksheet>
</file>

<file path=xl/worksheets/sheet10.xml><?xml version="1.0" encoding="utf-8"?>
<worksheet xmlns="http://schemas.openxmlformats.org/spreadsheetml/2006/main" xmlns:r="http://schemas.openxmlformats.org/officeDocument/2006/relationships">
  <dimension ref="A1:AV86"/>
  <sheetViews>
    <sheetView workbookViewId="0">
      <selection activeCell="T37" sqref="T37"/>
    </sheetView>
  </sheetViews>
  <sheetFormatPr defaultRowHeight="12.75"/>
  <cols>
    <col min="2" max="2" width="6.77734375" style="137" customWidth="1"/>
    <col min="3" max="3" width="1.77734375" style="137" customWidth="1"/>
    <col min="4" max="4" width="7.77734375" style="137" customWidth="1"/>
    <col min="5" max="5" width="1.77734375" style="137" customWidth="1"/>
    <col min="6" max="6" width="7.77734375" style="137" customWidth="1"/>
    <col min="7" max="7" width="1.77734375" style="137" customWidth="1"/>
    <col min="8" max="8" width="8.88671875" style="137" customWidth="1"/>
    <col min="9" max="9" width="1.77734375" style="137" customWidth="1"/>
    <col min="10" max="10" width="7.77734375" style="137" customWidth="1"/>
    <col min="11" max="11" width="1.77734375" style="137" customWidth="1"/>
    <col min="12" max="12" width="7.77734375" style="137" customWidth="1"/>
    <col min="13" max="13" width="1.77734375" style="137" customWidth="1"/>
    <col min="14" max="14" width="7.77734375" style="137" customWidth="1"/>
    <col min="15" max="15" width="1.77734375" style="137" customWidth="1"/>
    <col min="16" max="16" width="7.77734375" style="137" customWidth="1"/>
    <col min="17" max="17" width="1.77734375" style="137" customWidth="1"/>
    <col min="18" max="18" width="7.77734375" style="137" customWidth="1"/>
    <col min="19" max="19" width="1.77734375" style="137" customWidth="1"/>
    <col min="20" max="20" width="7.77734375" style="137" customWidth="1"/>
    <col min="21" max="21" width="1.77734375" style="137" customWidth="1"/>
    <col min="22" max="22" width="7.77734375" style="137" customWidth="1"/>
    <col min="23" max="23" width="1.77734375" style="137" customWidth="1"/>
    <col min="24" max="24" width="7.77734375" style="137" customWidth="1"/>
    <col min="25" max="25" width="1.77734375" style="137" customWidth="1"/>
    <col min="26" max="26" width="7.77734375" style="137" customWidth="1"/>
    <col min="27" max="27" width="1.77734375" style="137" customWidth="1"/>
    <col min="28" max="28" width="7.77734375" style="137" customWidth="1"/>
    <col min="29" max="29" width="1.77734375" style="137" customWidth="1"/>
    <col min="30" max="30" width="7.77734375" style="137" customWidth="1"/>
    <col min="31" max="31" width="1.77734375" style="137" customWidth="1"/>
    <col min="32" max="32" width="8.88671875" style="137" customWidth="1"/>
    <col min="33" max="33" width="9.77734375" customWidth="1"/>
    <col min="38" max="38" width="1.77734375" customWidth="1"/>
    <col min="43" max="43" width="1.88671875" customWidth="1"/>
    <col min="45" max="45" width="10.109375" customWidth="1"/>
  </cols>
  <sheetData>
    <row r="1" spans="1:48" ht="15">
      <c r="B1" s="290" t="s">
        <v>198</v>
      </c>
      <c r="C1" s="275"/>
      <c r="D1" s="275"/>
      <c r="E1" s="275"/>
      <c r="F1" s="275"/>
      <c r="G1" s="275"/>
      <c r="H1" s="275"/>
      <c r="I1" s="275"/>
      <c r="J1" s="275"/>
      <c r="K1" s="275"/>
      <c r="L1" s="275"/>
      <c r="M1" s="275"/>
      <c r="N1" s="290"/>
      <c r="O1" s="275"/>
      <c r="P1" s="275"/>
      <c r="Q1" s="275"/>
      <c r="R1" s="275"/>
      <c r="S1" s="275"/>
      <c r="T1" s="275"/>
      <c r="U1" s="275"/>
      <c r="V1" s="275"/>
      <c r="W1" s="275"/>
      <c r="X1" s="275"/>
      <c r="Y1" s="275"/>
      <c r="Z1" s="275"/>
      <c r="AA1" s="275"/>
      <c r="AB1" s="275"/>
      <c r="AC1" s="275"/>
      <c r="AD1" s="275"/>
      <c r="AE1" s="275"/>
      <c r="AF1" s="275"/>
      <c r="AG1" s="365"/>
    </row>
    <row r="2" spans="1:48" ht="15">
      <c r="B2" s="290" t="s">
        <v>199</v>
      </c>
      <c r="C2" s="275"/>
      <c r="D2" s="275"/>
      <c r="E2" s="275"/>
      <c r="F2" s="275"/>
      <c r="G2" s="275"/>
      <c r="H2" s="275"/>
      <c r="I2" s="275"/>
      <c r="J2" s="275"/>
      <c r="K2" s="275"/>
      <c r="L2" s="275"/>
      <c r="M2" s="275"/>
      <c r="N2" s="290"/>
      <c r="O2" s="275"/>
      <c r="P2" s="275"/>
      <c r="Q2" s="275"/>
      <c r="R2" s="275"/>
      <c r="S2" s="275"/>
      <c r="T2" s="275"/>
      <c r="U2" s="275"/>
      <c r="V2" s="275"/>
      <c r="W2" s="275"/>
      <c r="X2" s="275"/>
      <c r="Y2" s="275"/>
      <c r="Z2" s="275"/>
      <c r="AA2" s="275"/>
      <c r="AB2" s="275"/>
      <c r="AC2" s="275"/>
      <c r="AD2" s="275"/>
      <c r="AE2" s="275"/>
      <c r="AF2" s="275"/>
      <c r="AG2" s="365"/>
    </row>
    <row r="3" spans="1:48" ht="15">
      <c r="B3" s="275" t="s">
        <v>397</v>
      </c>
      <c r="C3" s="275"/>
      <c r="D3" s="275"/>
      <c r="E3" s="275"/>
      <c r="F3" s="275"/>
      <c r="G3" s="275"/>
      <c r="H3" s="275"/>
      <c r="I3" s="275"/>
      <c r="J3" s="290"/>
      <c r="K3" s="275"/>
      <c r="L3" s="275"/>
      <c r="M3" s="275"/>
      <c r="N3" s="275"/>
      <c r="O3" s="275"/>
      <c r="P3" s="275"/>
      <c r="Q3" s="275"/>
      <c r="R3" s="275"/>
      <c r="S3" s="275"/>
      <c r="T3" s="275"/>
      <c r="U3" s="275"/>
      <c r="V3" s="275"/>
      <c r="W3" s="275"/>
      <c r="X3" s="275"/>
      <c r="Y3" s="275"/>
      <c r="Z3" s="275"/>
      <c r="AA3" s="275"/>
      <c r="AB3" s="275"/>
      <c r="AC3" s="275"/>
      <c r="AD3" s="275"/>
      <c r="AE3" s="275"/>
      <c r="AF3" s="275"/>
      <c r="AG3" s="365"/>
    </row>
    <row r="4" spans="1:48" ht="15">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365"/>
    </row>
    <row r="5" spans="1:48" ht="15">
      <c r="B5" s="277"/>
      <c r="C5" s="277"/>
      <c r="D5" s="277"/>
      <c r="E5" s="277"/>
      <c r="F5" s="276"/>
      <c r="G5" s="277"/>
      <c r="H5" s="277"/>
      <c r="I5" s="277"/>
      <c r="J5" s="276"/>
      <c r="K5" s="277"/>
      <c r="L5" s="277"/>
      <c r="M5" s="277"/>
      <c r="N5" s="276"/>
      <c r="O5" s="277"/>
      <c r="P5" s="277"/>
      <c r="Q5" s="277"/>
      <c r="R5" s="276"/>
      <c r="S5" s="277"/>
      <c r="T5" s="277"/>
      <c r="U5" s="277"/>
      <c r="V5" s="276"/>
      <c r="W5" s="277"/>
      <c r="X5" s="277"/>
      <c r="Y5" s="277"/>
      <c r="Z5" s="276"/>
      <c r="AA5" s="277"/>
      <c r="AB5" s="277"/>
      <c r="AC5" s="277"/>
      <c r="AD5" s="276"/>
      <c r="AE5" s="277"/>
      <c r="AF5" s="277"/>
      <c r="AG5" s="566"/>
      <c r="AH5" s="146"/>
      <c r="AI5" s="146"/>
      <c r="AJ5" s="146"/>
      <c r="AK5" s="146"/>
      <c r="AL5" s="146"/>
      <c r="AM5" s="146"/>
      <c r="AN5" s="146"/>
      <c r="AO5" s="146"/>
      <c r="AP5" s="146"/>
      <c r="AQ5" s="146"/>
      <c r="AR5" s="146"/>
      <c r="AS5" s="146"/>
      <c r="AT5" s="146"/>
      <c r="AU5" s="146"/>
      <c r="AV5" s="146"/>
    </row>
    <row r="6" spans="1:48" ht="15">
      <c r="B6" s="278"/>
      <c r="C6" s="278"/>
      <c r="D6" s="278" t="s">
        <v>398</v>
      </c>
      <c r="E6" s="278"/>
      <c r="F6" s="275" t="s">
        <v>212</v>
      </c>
      <c r="G6" s="275"/>
      <c r="H6" s="275"/>
      <c r="I6" s="278"/>
      <c r="J6" s="275" t="s">
        <v>213</v>
      </c>
      <c r="K6" s="275"/>
      <c r="L6" s="275"/>
      <c r="M6" s="278"/>
      <c r="N6" s="275" t="s">
        <v>214</v>
      </c>
      <c r="O6" s="275"/>
      <c r="P6" s="275"/>
      <c r="Q6" s="278"/>
      <c r="R6" s="275" t="s">
        <v>216</v>
      </c>
      <c r="S6" s="275"/>
      <c r="T6" s="275"/>
      <c r="U6" s="278"/>
      <c r="V6" s="275" t="s">
        <v>337</v>
      </c>
      <c r="W6" s="275"/>
      <c r="X6" s="275"/>
      <c r="Y6" s="278"/>
      <c r="Z6" s="275" t="s">
        <v>218</v>
      </c>
      <c r="AA6" s="275"/>
      <c r="AB6" s="275"/>
      <c r="AC6" s="278"/>
      <c r="AD6" s="275" t="s">
        <v>341</v>
      </c>
      <c r="AE6" s="275"/>
      <c r="AF6" s="275"/>
      <c r="AG6" s="566"/>
      <c r="AH6" s="146"/>
      <c r="AI6" s="146"/>
      <c r="AJ6" s="146"/>
      <c r="AK6" s="146"/>
      <c r="AL6" s="146"/>
      <c r="AM6" s="146"/>
      <c r="AN6" s="146"/>
      <c r="AO6" s="146"/>
      <c r="AP6" s="146"/>
      <c r="AQ6" s="146"/>
      <c r="AR6" s="146"/>
      <c r="AS6" s="146"/>
      <c r="AT6" s="146"/>
      <c r="AU6" s="146"/>
      <c r="AV6" s="146"/>
    </row>
    <row r="7" spans="1:48" ht="15">
      <c r="B7" s="278" t="s">
        <v>399</v>
      </c>
      <c r="C7" s="278"/>
      <c r="D7" s="278" t="s">
        <v>343</v>
      </c>
      <c r="E7" s="278"/>
      <c r="F7" s="279" t="s">
        <v>323</v>
      </c>
      <c r="G7" s="279"/>
      <c r="H7" s="279"/>
      <c r="I7" s="278"/>
      <c r="J7" s="279" t="s">
        <v>323</v>
      </c>
      <c r="K7" s="279"/>
      <c r="L7" s="279"/>
      <c r="M7" s="278"/>
      <c r="N7" s="279" t="s">
        <v>323</v>
      </c>
      <c r="O7" s="279"/>
      <c r="P7" s="279"/>
      <c r="Q7" s="278"/>
      <c r="R7" s="279" t="s">
        <v>323</v>
      </c>
      <c r="S7" s="279"/>
      <c r="T7" s="279"/>
      <c r="U7" s="278"/>
      <c r="V7" s="279" t="s">
        <v>323</v>
      </c>
      <c r="W7" s="279"/>
      <c r="X7" s="279"/>
      <c r="Y7" s="278"/>
      <c r="Z7" s="279" t="s">
        <v>323</v>
      </c>
      <c r="AA7" s="279"/>
      <c r="AB7" s="279"/>
      <c r="AC7" s="278"/>
      <c r="AD7" s="279" t="s">
        <v>323</v>
      </c>
      <c r="AE7" s="279"/>
      <c r="AF7" s="279"/>
      <c r="AG7" s="566"/>
      <c r="AH7" s="146"/>
      <c r="AI7" s="146"/>
      <c r="AJ7" s="146"/>
      <c r="AK7" s="146"/>
      <c r="AL7" s="146"/>
      <c r="AM7" s="146"/>
      <c r="AN7" s="146"/>
      <c r="AO7" s="146"/>
      <c r="AP7" s="146"/>
      <c r="AQ7" s="146"/>
      <c r="AR7" s="146"/>
      <c r="AS7" s="146"/>
      <c r="AT7" s="146"/>
      <c r="AU7" s="146"/>
      <c r="AV7" s="146"/>
    </row>
    <row r="8" spans="1:48" ht="15">
      <c r="B8" s="278" t="s">
        <v>344</v>
      </c>
      <c r="C8" s="278"/>
      <c r="D8" s="278" t="s">
        <v>345</v>
      </c>
      <c r="E8" s="278"/>
      <c r="F8" s="278" t="s">
        <v>400</v>
      </c>
      <c r="G8" s="278"/>
      <c r="H8" s="278" t="s">
        <v>347</v>
      </c>
      <c r="I8" s="278"/>
      <c r="J8" s="278" t="s">
        <v>400</v>
      </c>
      <c r="K8" s="278"/>
      <c r="L8" s="278" t="s">
        <v>347</v>
      </c>
      <c r="M8" s="278"/>
      <c r="N8" s="278" t="s">
        <v>400</v>
      </c>
      <c r="O8" s="278"/>
      <c r="P8" s="278" t="s">
        <v>347</v>
      </c>
      <c r="Q8" s="278"/>
      <c r="R8" s="278" t="s">
        <v>400</v>
      </c>
      <c r="S8" s="278"/>
      <c r="T8" s="278" t="s">
        <v>347</v>
      </c>
      <c r="U8" s="278"/>
      <c r="V8" s="278" t="s">
        <v>400</v>
      </c>
      <c r="W8" s="278"/>
      <c r="X8" s="278" t="s">
        <v>347</v>
      </c>
      <c r="Y8" s="278"/>
      <c r="Z8" s="278" t="s">
        <v>400</v>
      </c>
      <c r="AA8" s="278"/>
      <c r="AB8" s="278" t="s">
        <v>347</v>
      </c>
      <c r="AC8" s="278"/>
      <c r="AD8" s="278" t="s">
        <v>400</v>
      </c>
      <c r="AE8" s="278"/>
      <c r="AF8" s="278" t="s">
        <v>347</v>
      </c>
      <c r="AG8" s="566"/>
      <c r="AH8" s="146"/>
      <c r="AI8" s="146"/>
      <c r="AJ8" s="387"/>
      <c r="AK8" s="146"/>
      <c r="AL8" s="146"/>
      <c r="AM8" s="146"/>
      <c r="AN8" s="146"/>
      <c r="AO8" s="146"/>
      <c r="AP8" s="146"/>
      <c r="AQ8" s="146"/>
      <c r="AR8" s="146"/>
      <c r="AS8" s="146"/>
      <c r="AT8" s="146"/>
      <c r="AU8" s="146"/>
      <c r="AV8" s="146"/>
    </row>
    <row r="9" spans="1:48" ht="15">
      <c r="B9" s="280">
        <v>-1</v>
      </c>
      <c r="C9" s="281"/>
      <c r="D9" s="280">
        <v>-2</v>
      </c>
      <c r="E9" s="281"/>
      <c r="F9" s="280">
        <v>-3</v>
      </c>
      <c r="G9" s="282"/>
      <c r="H9" s="283" t="s">
        <v>348</v>
      </c>
      <c r="I9" s="282"/>
      <c r="J9" s="280">
        <v>-5</v>
      </c>
      <c r="K9" s="281"/>
      <c r="L9" s="280" t="s">
        <v>349</v>
      </c>
      <c r="M9" s="281"/>
      <c r="N9" s="280">
        <v>-7</v>
      </c>
      <c r="O9" s="281"/>
      <c r="P9" s="280" t="s">
        <v>350</v>
      </c>
      <c r="Q9" s="281"/>
      <c r="R9" s="280">
        <v>-9</v>
      </c>
      <c r="S9" s="281"/>
      <c r="T9" s="280" t="s">
        <v>351</v>
      </c>
      <c r="U9" s="281"/>
      <c r="V9" s="280">
        <v>-11</v>
      </c>
      <c r="W9" s="281"/>
      <c r="X9" s="280" t="s">
        <v>352</v>
      </c>
      <c r="Y9" s="281"/>
      <c r="Z9" s="280">
        <v>-13</v>
      </c>
      <c r="AA9" s="281"/>
      <c r="AB9" s="280" t="s">
        <v>353</v>
      </c>
      <c r="AC9" s="281"/>
      <c r="AD9" s="280">
        <v>-15</v>
      </c>
      <c r="AE9" s="281"/>
      <c r="AF9" s="280">
        <v>-16</v>
      </c>
      <c r="AG9" s="566"/>
      <c r="AH9" s="630"/>
      <c r="AI9" s="630"/>
      <c r="AJ9" s="630"/>
      <c r="AK9" s="630"/>
      <c r="AL9" s="146"/>
      <c r="AM9" s="630"/>
      <c r="AN9" s="630"/>
      <c r="AO9" s="630"/>
      <c r="AP9" s="630"/>
      <c r="AQ9" s="146"/>
      <c r="AR9" s="534"/>
      <c r="AS9" s="534"/>
      <c r="AT9" s="534"/>
      <c r="AU9" s="146"/>
      <c r="AV9" s="146"/>
    </row>
    <row r="10" spans="1:48" ht="15">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566"/>
      <c r="AH10" s="534"/>
      <c r="AI10" s="534"/>
      <c r="AJ10" s="534"/>
      <c r="AK10" s="534"/>
      <c r="AL10" s="146"/>
      <c r="AM10" s="534"/>
      <c r="AN10" s="534"/>
      <c r="AO10" s="534"/>
      <c r="AP10" s="534"/>
      <c r="AQ10" s="146"/>
      <c r="AR10" s="146"/>
      <c r="AS10" s="146"/>
      <c r="AT10" s="146"/>
      <c r="AU10" s="146"/>
      <c r="AV10" s="146"/>
    </row>
    <row r="11" spans="1:48" ht="15">
      <c r="A11" s="366">
        <v>1</v>
      </c>
      <c r="B11" s="278" t="s">
        <v>401</v>
      </c>
      <c r="C11" s="277"/>
      <c r="D11" s="284">
        <v>1</v>
      </c>
      <c r="E11" s="277"/>
      <c r="F11" s="285">
        <v>110047</v>
      </c>
      <c r="G11" s="277"/>
      <c r="H11" s="285">
        <f>ROUND(+F11*$D11,0)</f>
        <v>110047</v>
      </c>
      <c r="I11" s="277"/>
      <c r="J11" s="285">
        <v>4536</v>
      </c>
      <c r="K11" s="277"/>
      <c r="L11" s="285">
        <f>ROUND(+J11*$D11,0)</f>
        <v>4536</v>
      </c>
      <c r="M11" s="277"/>
      <c r="N11" s="285">
        <v>7</v>
      </c>
      <c r="P11" s="285">
        <f>ROUND(+N11*$D11,0)</f>
        <v>7</v>
      </c>
      <c r="Q11" s="277"/>
      <c r="R11" s="285">
        <v>139</v>
      </c>
      <c r="S11" s="277"/>
      <c r="T11" s="285">
        <f>ROUND(+R11*$D11,0)</f>
        <v>139</v>
      </c>
      <c r="U11" s="277"/>
      <c r="V11" s="285">
        <v>0</v>
      </c>
      <c r="W11" s="277"/>
      <c r="X11" s="285">
        <f>ROUND(+V11*$D11,0)</f>
        <v>0</v>
      </c>
      <c r="Y11" s="277"/>
      <c r="Z11" s="285">
        <v>1595</v>
      </c>
      <c r="AA11" s="277"/>
      <c r="AB11" s="285">
        <f>ROUND(+Z11*$D11,0)</f>
        <v>1595</v>
      </c>
      <c r="AC11" s="277"/>
      <c r="AD11" s="285">
        <f>F11+J11+N11+R11+V11+Z11</f>
        <v>116324</v>
      </c>
      <c r="AE11" s="277"/>
      <c r="AF11" s="285">
        <f>H11+L11+P11+T11+X11+AB11</f>
        <v>116324</v>
      </c>
      <c r="AG11" s="566"/>
      <c r="AH11" s="387"/>
      <c r="AI11" s="387"/>
      <c r="AJ11" s="387"/>
      <c r="AK11" s="146"/>
      <c r="AL11" s="146"/>
      <c r="AM11" s="387"/>
      <c r="AN11" s="387"/>
      <c r="AO11" s="387"/>
      <c r="AP11" s="146"/>
      <c r="AQ11" s="146"/>
      <c r="AR11" s="387"/>
      <c r="AS11" s="387"/>
      <c r="AT11" s="387"/>
      <c r="AU11" s="146"/>
      <c r="AV11" s="146"/>
    </row>
    <row r="12" spans="1:48" ht="15">
      <c r="A12" s="366"/>
      <c r="B12" s="278"/>
      <c r="C12" s="277"/>
      <c r="D12" s="284"/>
      <c r="E12" s="277"/>
      <c r="F12" s="277"/>
      <c r="G12" s="277"/>
      <c r="H12" s="277"/>
      <c r="I12" s="277"/>
      <c r="J12" s="277"/>
      <c r="K12" s="277"/>
      <c r="L12" s="277"/>
      <c r="M12" s="277"/>
      <c r="N12" s="277"/>
      <c r="O12" s="277"/>
      <c r="P12" s="277"/>
      <c r="Q12" s="277"/>
      <c r="R12" s="277"/>
      <c r="S12" s="277"/>
      <c r="T12" s="277"/>
      <c r="U12" s="277"/>
      <c r="V12" s="277"/>
      <c r="W12" s="277"/>
      <c r="X12" s="277"/>
      <c r="Y12" s="277"/>
      <c r="Z12" s="285"/>
      <c r="AA12" s="277"/>
      <c r="AB12" s="277"/>
      <c r="AC12" s="277"/>
      <c r="AD12" s="277"/>
      <c r="AE12" s="277"/>
      <c r="AF12" s="277"/>
      <c r="AG12" s="566"/>
      <c r="AH12" s="387"/>
      <c r="AI12" s="387"/>
      <c r="AJ12" s="387"/>
      <c r="AK12" s="146"/>
      <c r="AL12" s="146"/>
      <c r="AM12" s="387"/>
      <c r="AN12" s="387"/>
      <c r="AO12" s="387"/>
      <c r="AP12" s="146"/>
      <c r="AQ12" s="146"/>
      <c r="AR12" s="387"/>
      <c r="AS12" s="387"/>
      <c r="AT12" s="387"/>
      <c r="AU12" s="146"/>
      <c r="AV12" s="146"/>
    </row>
    <row r="13" spans="1:48" s="464" customFormat="1" ht="15">
      <c r="A13" s="366"/>
      <c r="B13" s="469" t="s">
        <v>538</v>
      </c>
      <c r="C13" s="277"/>
      <c r="D13" s="284">
        <v>1.4</v>
      </c>
      <c r="E13" s="277"/>
      <c r="F13" s="285">
        <v>1</v>
      </c>
      <c r="G13" s="277"/>
      <c r="H13" s="285">
        <f>ROUND(+F13*$D13,0)</f>
        <v>1</v>
      </c>
      <c r="I13" s="277"/>
      <c r="J13" s="285">
        <v>0</v>
      </c>
      <c r="K13" s="277"/>
      <c r="L13" s="285">
        <f>ROUND(+J13*$D13,0)</f>
        <v>0</v>
      </c>
      <c r="M13" s="277"/>
      <c r="N13" s="285">
        <v>1</v>
      </c>
      <c r="O13" s="277"/>
      <c r="P13" s="285">
        <f>ROUND(+N13*$D13,0)</f>
        <v>1</v>
      </c>
      <c r="Q13" s="277"/>
      <c r="R13" s="285">
        <v>0</v>
      </c>
      <c r="S13" s="277"/>
      <c r="T13" s="285">
        <f>ROUND(+R13*$D13,0)</f>
        <v>0</v>
      </c>
      <c r="U13" s="277"/>
      <c r="V13" s="285">
        <v>0</v>
      </c>
      <c r="W13" s="277"/>
      <c r="X13" s="285">
        <f>ROUND(+V13*$D13,0)</f>
        <v>0</v>
      </c>
      <c r="Y13" s="277"/>
      <c r="Z13" s="285">
        <v>0</v>
      </c>
      <c r="AA13" s="277"/>
      <c r="AB13" s="285">
        <f>ROUND(+Z13*$D13,0)</f>
        <v>0</v>
      </c>
      <c r="AC13" s="277"/>
      <c r="AD13" s="285">
        <f>F13+J13+N13+R13+V13+Z13</f>
        <v>2</v>
      </c>
      <c r="AE13" s="277"/>
      <c r="AF13" s="285">
        <f>H13+L13+P13+T13+X13+AB13</f>
        <v>2</v>
      </c>
      <c r="AG13" s="566"/>
      <c r="AH13" s="387"/>
      <c r="AI13" s="387"/>
      <c r="AJ13" s="387"/>
      <c r="AK13" s="146"/>
      <c r="AL13" s="146"/>
      <c r="AM13" s="387"/>
      <c r="AN13" s="387"/>
      <c r="AO13" s="387"/>
      <c r="AP13" s="146"/>
      <c r="AQ13" s="146"/>
      <c r="AR13" s="387"/>
      <c r="AS13" s="387"/>
      <c r="AT13" s="387"/>
      <c r="AU13" s="146"/>
      <c r="AV13" s="146"/>
    </row>
    <row r="14" spans="1:48" s="464" customFormat="1" ht="15">
      <c r="A14" s="366"/>
      <c r="B14" s="278"/>
      <c r="C14" s="277"/>
      <c r="D14" s="284"/>
      <c r="E14" s="277"/>
      <c r="F14" s="285"/>
      <c r="G14" s="277"/>
      <c r="H14" s="285"/>
      <c r="I14" s="277"/>
      <c r="J14" s="285"/>
      <c r="K14" s="277"/>
      <c r="L14" s="285"/>
      <c r="M14" s="277"/>
      <c r="N14" s="285"/>
      <c r="O14" s="277"/>
      <c r="P14" s="285"/>
      <c r="Q14" s="277"/>
      <c r="R14" s="285"/>
      <c r="S14" s="277"/>
      <c r="T14" s="285"/>
      <c r="U14" s="277"/>
      <c r="V14" s="285"/>
      <c r="W14" s="277"/>
      <c r="X14" s="285"/>
      <c r="Y14" s="277"/>
      <c r="Z14" s="285"/>
      <c r="AA14" s="277"/>
      <c r="AB14" s="285"/>
      <c r="AC14" s="277"/>
      <c r="AD14" s="285"/>
      <c r="AE14" s="277"/>
      <c r="AF14" s="285"/>
      <c r="AG14" s="566"/>
      <c r="AH14" s="387"/>
      <c r="AI14" s="387"/>
      <c r="AJ14" s="387"/>
      <c r="AK14" s="146"/>
      <c r="AL14" s="146"/>
      <c r="AM14" s="387"/>
      <c r="AN14" s="387"/>
      <c r="AO14" s="387"/>
      <c r="AP14" s="146"/>
      <c r="AQ14" s="146"/>
      <c r="AR14" s="387"/>
      <c r="AS14" s="387"/>
      <c r="AT14" s="387"/>
      <c r="AU14" s="146"/>
      <c r="AV14" s="146"/>
    </row>
    <row r="15" spans="1:48" ht="15">
      <c r="A15" s="366">
        <v>2</v>
      </c>
      <c r="B15" s="278" t="s">
        <v>402</v>
      </c>
      <c r="C15" s="277"/>
      <c r="D15" s="284">
        <v>1.8</v>
      </c>
      <c r="E15" s="277"/>
      <c r="F15" s="285">
        <v>1818</v>
      </c>
      <c r="G15" s="277"/>
      <c r="H15" s="285">
        <f>ROUND(+F15*$D15,0)</f>
        <v>3272</v>
      </c>
      <c r="I15" s="277"/>
      <c r="J15" s="285">
        <v>2340</v>
      </c>
      <c r="K15" s="277"/>
      <c r="L15" s="285">
        <f>ROUND(+J15*$D15,0)</f>
        <v>4212</v>
      </c>
      <c r="M15" s="277"/>
      <c r="N15" s="285">
        <v>2</v>
      </c>
      <c r="O15" s="277"/>
      <c r="P15" s="285">
        <f>ROUND(+N15*$D15,0)</f>
        <v>4</v>
      </c>
      <c r="Q15" s="277"/>
      <c r="R15" s="285">
        <v>173</v>
      </c>
      <c r="S15" s="277"/>
      <c r="T15" s="285">
        <f>ROUND(+R15*$D15,0)</f>
        <v>311</v>
      </c>
      <c r="U15" s="277"/>
      <c r="V15" s="285">
        <v>0</v>
      </c>
      <c r="W15" s="277"/>
      <c r="X15" s="285">
        <f>ROUND(+V15*$D15,0)</f>
        <v>0</v>
      </c>
      <c r="Y15" s="277"/>
      <c r="Z15" s="277">
        <v>0</v>
      </c>
      <c r="AA15" s="277"/>
      <c r="AB15" s="285">
        <f>ROUND(+Z15*$D15,0)</f>
        <v>0</v>
      </c>
      <c r="AC15" s="277"/>
      <c r="AD15" s="285">
        <f>F15+J15+N15+R15+V15+Z15</f>
        <v>4333</v>
      </c>
      <c r="AE15" s="277"/>
      <c r="AF15" s="285">
        <f>H15+L15+P15+T15+X15+AB15</f>
        <v>7799</v>
      </c>
      <c r="AG15" s="566"/>
      <c r="AH15" s="387"/>
      <c r="AI15" s="387"/>
      <c r="AJ15" s="387"/>
      <c r="AK15" s="146"/>
      <c r="AL15" s="146"/>
      <c r="AM15" s="387"/>
      <c r="AN15" s="387"/>
      <c r="AO15" s="387"/>
      <c r="AP15" s="146"/>
      <c r="AQ15" s="146"/>
      <c r="AR15" s="387"/>
      <c r="AS15" s="387"/>
      <c r="AT15" s="387"/>
      <c r="AU15" s="146"/>
      <c r="AV15" s="146"/>
    </row>
    <row r="16" spans="1:48" ht="15">
      <c r="A16" s="366"/>
      <c r="B16" s="278"/>
      <c r="C16" s="277"/>
      <c r="D16" s="284"/>
      <c r="E16" s="277"/>
      <c r="F16" s="285"/>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566"/>
      <c r="AH16" s="387"/>
      <c r="AI16" s="387"/>
      <c r="AJ16" s="387"/>
      <c r="AK16" s="146"/>
      <c r="AL16" s="146"/>
      <c r="AM16" s="387"/>
      <c r="AN16" s="387"/>
      <c r="AO16" s="387"/>
      <c r="AP16" s="146"/>
      <c r="AQ16" s="146"/>
      <c r="AR16" s="387"/>
      <c r="AS16" s="387"/>
      <c r="AT16" s="387"/>
      <c r="AU16" s="146"/>
      <c r="AV16" s="146"/>
    </row>
    <row r="17" spans="1:48" ht="15">
      <c r="A17" s="366">
        <v>7.4</v>
      </c>
      <c r="B17" s="278" t="s">
        <v>403</v>
      </c>
      <c r="C17" s="277"/>
      <c r="D17" s="284">
        <v>3</v>
      </c>
      <c r="E17" s="277"/>
      <c r="F17" s="285">
        <v>14</v>
      </c>
      <c r="G17" s="277"/>
      <c r="H17" s="285">
        <f>ROUND(+F17*$D17,0)</f>
        <v>42</v>
      </c>
      <c r="I17" s="277"/>
      <c r="J17" s="285">
        <v>172</v>
      </c>
      <c r="K17" s="277"/>
      <c r="L17" s="285">
        <f>ROUND(+J17*$D17,0)</f>
        <v>516</v>
      </c>
      <c r="M17" s="277"/>
      <c r="N17" s="285">
        <v>2</v>
      </c>
      <c r="O17" s="277"/>
      <c r="P17" s="285">
        <f>ROUND(+N17*$D17,0)</f>
        <v>6</v>
      </c>
      <c r="Q17" s="277"/>
      <c r="R17" s="285">
        <v>28</v>
      </c>
      <c r="S17" s="277"/>
      <c r="T17" s="285">
        <f>ROUND(+R17*$D17,0)</f>
        <v>84</v>
      </c>
      <c r="U17" s="277"/>
      <c r="V17" s="285">
        <v>4</v>
      </c>
      <c r="W17" s="277"/>
      <c r="X17" s="285">
        <f>ROUND(+V17*$D17,0)</f>
        <v>12</v>
      </c>
      <c r="Y17" s="277"/>
      <c r="Z17" s="277">
        <v>0</v>
      </c>
      <c r="AA17" s="277"/>
      <c r="AB17" s="285">
        <f>ROUND(+Z17*$D17,0)</f>
        <v>0</v>
      </c>
      <c r="AC17" s="277"/>
      <c r="AD17" s="285">
        <f>F17+J17+N17+R17+V17+Z17</f>
        <v>220</v>
      </c>
      <c r="AE17" s="277"/>
      <c r="AF17" s="285">
        <f>H17+L17+P17+T17+X17+AB17</f>
        <v>660</v>
      </c>
      <c r="AG17" s="566"/>
      <c r="AH17" s="387"/>
      <c r="AI17" s="387"/>
      <c r="AJ17" s="387"/>
      <c r="AK17" s="146"/>
      <c r="AL17" s="146"/>
      <c r="AM17" s="387"/>
      <c r="AN17" s="387"/>
      <c r="AO17" s="387"/>
      <c r="AP17" s="146"/>
      <c r="AQ17" s="146"/>
      <c r="AR17" s="387"/>
      <c r="AS17" s="387"/>
      <c r="AT17" s="387"/>
      <c r="AU17" s="146"/>
      <c r="AV17" s="146"/>
    </row>
    <row r="18" spans="1:48" ht="15">
      <c r="A18" s="366"/>
      <c r="B18" s="278"/>
      <c r="C18" s="277"/>
      <c r="D18" s="284"/>
      <c r="E18" s="277"/>
      <c r="F18" s="285"/>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566"/>
      <c r="AH18" s="387"/>
      <c r="AI18" s="387"/>
      <c r="AJ18" s="387"/>
      <c r="AK18" s="146"/>
      <c r="AL18" s="146"/>
      <c r="AM18" s="387"/>
      <c r="AN18" s="387"/>
      <c r="AO18" s="387"/>
      <c r="AP18" s="146"/>
      <c r="AQ18" s="146"/>
      <c r="AR18" s="387"/>
      <c r="AS18" s="387"/>
      <c r="AT18" s="387"/>
      <c r="AU18" s="146"/>
      <c r="AV18" s="146"/>
    </row>
    <row r="19" spans="1:48" ht="15">
      <c r="A19" s="366">
        <v>7.7</v>
      </c>
      <c r="B19" s="278" t="s">
        <v>404</v>
      </c>
      <c r="C19" s="277"/>
      <c r="D19" s="284">
        <v>4</v>
      </c>
      <c r="E19" s="277"/>
      <c r="F19" s="285">
        <v>77</v>
      </c>
      <c r="G19" s="277"/>
      <c r="H19" s="285">
        <f>ROUND(+F19*$D19,0)</f>
        <v>308</v>
      </c>
      <c r="I19" s="277"/>
      <c r="J19" s="285">
        <v>1817</v>
      </c>
      <c r="K19" s="277"/>
      <c r="L19" s="285">
        <f>ROUND(+J19*$D19,0)</f>
        <v>7268</v>
      </c>
      <c r="M19" s="277"/>
      <c r="N19" s="285">
        <v>23</v>
      </c>
      <c r="O19" s="277"/>
      <c r="P19" s="285">
        <f>ROUND(+N19*$D19,0)</f>
        <v>92</v>
      </c>
      <c r="Q19" s="277"/>
      <c r="R19" s="285">
        <v>371</v>
      </c>
      <c r="S19" s="277"/>
      <c r="T19" s="285">
        <f>ROUND(+R19*$D19,0)</f>
        <v>1484</v>
      </c>
      <c r="U19" s="277"/>
      <c r="V19" s="285">
        <v>8</v>
      </c>
      <c r="W19" s="277"/>
      <c r="X19" s="285">
        <f>ROUND(+V19*$D19,0)</f>
        <v>32</v>
      </c>
      <c r="Y19" s="277"/>
      <c r="Z19" s="277">
        <v>0</v>
      </c>
      <c r="AA19" s="277"/>
      <c r="AB19" s="285">
        <f>ROUND(+Z19*$D19,0)</f>
        <v>0</v>
      </c>
      <c r="AC19" s="277"/>
      <c r="AD19" s="285">
        <f>F19+J19+N19+R19+V19+Z19</f>
        <v>2296</v>
      </c>
      <c r="AE19" s="277"/>
      <c r="AF19" s="285">
        <f>H19+L19+P19+T19+X19+AB19</f>
        <v>9184</v>
      </c>
      <c r="AG19" s="566"/>
      <c r="AH19" s="387"/>
      <c r="AI19" s="387"/>
      <c r="AJ19" s="387"/>
      <c r="AK19" s="146"/>
      <c r="AL19" s="146"/>
      <c r="AM19" s="387"/>
      <c r="AN19" s="387"/>
      <c r="AO19" s="387"/>
      <c r="AP19" s="146"/>
      <c r="AQ19" s="146"/>
      <c r="AR19" s="387"/>
      <c r="AS19" s="387"/>
      <c r="AT19" s="387"/>
      <c r="AU19" s="146"/>
      <c r="AV19" s="146"/>
    </row>
    <row r="20" spans="1:48" ht="15">
      <c r="A20" s="366"/>
      <c r="B20" s="278"/>
      <c r="C20" s="277"/>
      <c r="D20" s="284"/>
      <c r="E20" s="277"/>
      <c r="F20" s="285"/>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566"/>
      <c r="AH20" s="387"/>
      <c r="AI20" s="387"/>
      <c r="AJ20" s="387"/>
      <c r="AK20" s="146"/>
      <c r="AL20" s="146"/>
      <c r="AM20" s="387"/>
      <c r="AN20" s="387"/>
      <c r="AO20" s="387"/>
      <c r="AP20" s="146"/>
      <c r="AQ20" s="146"/>
      <c r="AR20" s="387"/>
      <c r="AS20" s="387"/>
      <c r="AT20" s="387"/>
      <c r="AU20" s="146"/>
      <c r="AV20" s="146"/>
    </row>
    <row r="21" spans="1:48" ht="15">
      <c r="A21" s="366">
        <v>12.7</v>
      </c>
      <c r="B21" s="278" t="s">
        <v>405</v>
      </c>
      <c r="C21" s="277"/>
      <c r="D21" s="284">
        <v>12</v>
      </c>
      <c r="E21" s="277"/>
      <c r="F21" s="285">
        <v>0</v>
      </c>
      <c r="G21" s="277"/>
      <c r="H21" s="285">
        <f>ROUND(+F21*$D21,0)</f>
        <v>0</v>
      </c>
      <c r="I21" s="277"/>
      <c r="J21" s="285">
        <v>13</v>
      </c>
      <c r="K21" s="277"/>
      <c r="L21" s="285">
        <f>ROUND(+J21*$D21,0)</f>
        <v>156</v>
      </c>
      <c r="M21" s="277"/>
      <c r="N21" s="285">
        <v>0</v>
      </c>
      <c r="O21" s="277"/>
      <c r="P21" s="285">
        <f>ROUND(+N21*$D21,0)</f>
        <v>0</v>
      </c>
      <c r="Q21" s="277"/>
      <c r="R21" s="285">
        <v>1</v>
      </c>
      <c r="S21" s="277"/>
      <c r="T21" s="285">
        <f>ROUND(+R21*$D21,0)</f>
        <v>12</v>
      </c>
      <c r="U21" s="277"/>
      <c r="V21" s="285">
        <v>0</v>
      </c>
      <c r="W21" s="277"/>
      <c r="X21" s="285">
        <f>ROUND(+V21*$D21,0)</f>
        <v>0</v>
      </c>
      <c r="Y21" s="277"/>
      <c r="Z21" s="277">
        <v>0</v>
      </c>
      <c r="AA21" s="277"/>
      <c r="AB21" s="285">
        <f>ROUND(+Z21*$D21,0)</f>
        <v>0</v>
      </c>
      <c r="AC21" s="277"/>
      <c r="AD21" s="285">
        <f>F21+J21+N21+R21+V21+Z21</f>
        <v>14</v>
      </c>
      <c r="AE21" s="277"/>
      <c r="AF21" s="285">
        <f>H21+L21+P21+T21+X21+AB21</f>
        <v>168</v>
      </c>
      <c r="AG21" s="566"/>
      <c r="AH21" s="387"/>
      <c r="AI21" s="387"/>
      <c r="AJ21" s="387"/>
      <c r="AK21" s="146"/>
      <c r="AL21" s="146"/>
      <c r="AM21" s="387"/>
      <c r="AN21" s="387"/>
      <c r="AO21" s="387"/>
      <c r="AP21" s="146"/>
      <c r="AQ21" s="146"/>
      <c r="AR21" s="387"/>
      <c r="AS21" s="387"/>
      <c r="AT21" s="387"/>
      <c r="AU21" s="146"/>
      <c r="AV21" s="146"/>
    </row>
    <row r="22" spans="1:48" ht="15">
      <c r="A22" s="366"/>
      <c r="B22" s="278"/>
      <c r="C22" s="277"/>
      <c r="D22" s="284"/>
      <c r="E22" s="277"/>
      <c r="F22" s="285"/>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566"/>
      <c r="AH22" s="387"/>
      <c r="AI22" s="387"/>
      <c r="AJ22" s="387"/>
      <c r="AK22" s="146"/>
      <c r="AL22" s="146"/>
      <c r="AM22" s="387"/>
      <c r="AN22" s="387"/>
      <c r="AO22" s="387"/>
      <c r="AP22" s="146"/>
      <c r="AQ22" s="146"/>
      <c r="AR22" s="387"/>
      <c r="AS22" s="387"/>
      <c r="AT22" s="387"/>
      <c r="AU22" s="146"/>
      <c r="AV22" s="146"/>
    </row>
    <row r="23" spans="1:48" ht="15">
      <c r="A23" s="366">
        <v>17.600000000000001</v>
      </c>
      <c r="B23" s="278" t="s">
        <v>406</v>
      </c>
      <c r="C23" s="277"/>
      <c r="D23" s="284">
        <v>20</v>
      </c>
      <c r="E23" s="277"/>
      <c r="F23" s="285">
        <v>0</v>
      </c>
      <c r="G23" s="277"/>
      <c r="H23" s="285">
        <f>ROUND(+F23*$D23,0)</f>
        <v>0</v>
      </c>
      <c r="I23" s="277"/>
      <c r="J23" s="285">
        <v>28</v>
      </c>
      <c r="K23" s="277"/>
      <c r="L23" s="285">
        <f>ROUND(+J23*$D23,0)</f>
        <v>560</v>
      </c>
      <c r="M23" s="277"/>
      <c r="N23" s="285">
        <v>11</v>
      </c>
      <c r="O23" s="277"/>
      <c r="P23" s="285">
        <f>ROUND(+N23*$D23,0)</f>
        <v>220</v>
      </c>
      <c r="Q23" s="277"/>
      <c r="R23" s="285">
        <v>41</v>
      </c>
      <c r="S23" s="277"/>
      <c r="T23" s="285">
        <f>ROUND(+R23*$D23,0)</f>
        <v>820</v>
      </c>
      <c r="U23" s="277"/>
      <c r="V23" s="285">
        <v>7</v>
      </c>
      <c r="W23" s="277"/>
      <c r="X23" s="285">
        <f>ROUND(+V23*$D23,0)</f>
        <v>140</v>
      </c>
      <c r="Y23" s="277"/>
      <c r="Z23" s="277">
        <v>0</v>
      </c>
      <c r="AA23" s="277"/>
      <c r="AB23" s="285">
        <f>ROUND(+Z23*$D23,0)</f>
        <v>0</v>
      </c>
      <c r="AC23" s="277"/>
      <c r="AD23" s="285">
        <f>F23+J23+N23+R23+V23+Z23</f>
        <v>87</v>
      </c>
      <c r="AE23" s="277"/>
      <c r="AF23" s="285">
        <f>H23+L23+P23+T23+X23+AB23</f>
        <v>1740</v>
      </c>
      <c r="AG23" s="566"/>
      <c r="AH23" s="387"/>
      <c r="AI23" s="387"/>
      <c r="AJ23" s="387"/>
      <c r="AK23" s="146"/>
      <c r="AL23" s="146"/>
      <c r="AM23" s="387"/>
      <c r="AN23" s="387"/>
      <c r="AO23" s="387"/>
      <c r="AP23" s="146"/>
      <c r="AQ23" s="146"/>
      <c r="AR23" s="387"/>
      <c r="AS23" s="387"/>
      <c r="AT23" s="387"/>
      <c r="AU23" s="146"/>
      <c r="AV23" s="146"/>
    </row>
    <row r="24" spans="1:48" ht="15">
      <c r="A24" s="366"/>
      <c r="B24" s="278"/>
      <c r="C24" s="277"/>
      <c r="D24" s="284"/>
      <c r="E24" s="277"/>
      <c r="F24" s="285"/>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566"/>
      <c r="AH24" s="387"/>
      <c r="AI24" s="387"/>
      <c r="AJ24" s="387"/>
      <c r="AK24" s="146"/>
      <c r="AL24" s="146"/>
      <c r="AM24" s="387"/>
      <c r="AN24" s="387"/>
      <c r="AO24" s="387"/>
      <c r="AP24" s="146"/>
      <c r="AQ24" s="146"/>
      <c r="AR24" s="387"/>
      <c r="AS24" s="387"/>
      <c r="AT24" s="387"/>
      <c r="AU24" s="146"/>
      <c r="AV24" s="146"/>
    </row>
    <row r="25" spans="1:48" ht="15">
      <c r="A25" s="366">
        <v>74.8</v>
      </c>
      <c r="B25" s="278" t="s">
        <v>407</v>
      </c>
      <c r="C25" s="277"/>
      <c r="D25" s="284">
        <v>30</v>
      </c>
      <c r="E25" s="277"/>
      <c r="F25" s="285">
        <v>2</v>
      </c>
      <c r="G25" s="277"/>
      <c r="H25" s="285">
        <f>ROUND(+F25*$D25,0)</f>
        <v>60</v>
      </c>
      <c r="I25" s="277"/>
      <c r="J25" s="285">
        <v>12</v>
      </c>
      <c r="K25" s="277"/>
      <c r="L25" s="285">
        <f>ROUND(+J25*$D25,0)</f>
        <v>360</v>
      </c>
      <c r="M25" s="277"/>
      <c r="N25" s="285">
        <v>8</v>
      </c>
      <c r="O25" s="277"/>
      <c r="P25" s="285">
        <f>ROUND(+N25*$D25,0)</f>
        <v>240</v>
      </c>
      <c r="Q25" s="277"/>
      <c r="R25" s="285">
        <v>11</v>
      </c>
      <c r="S25" s="277"/>
      <c r="T25" s="285">
        <f>ROUND(+R25*$D25,0)</f>
        <v>330</v>
      </c>
      <c r="U25" s="277"/>
      <c r="V25" s="285">
        <v>5</v>
      </c>
      <c r="W25" s="277"/>
      <c r="X25" s="285">
        <f>ROUND(+V25*$D25,0)</f>
        <v>150</v>
      </c>
      <c r="Y25" s="277"/>
      <c r="Z25" s="277">
        <v>0</v>
      </c>
      <c r="AA25" s="277"/>
      <c r="AB25" s="285">
        <f>ROUND(+Z25*$D25,0)</f>
        <v>0</v>
      </c>
      <c r="AC25" s="277"/>
      <c r="AD25" s="285">
        <f>F25+J25+N25+R25+V25+Z25</f>
        <v>38</v>
      </c>
      <c r="AE25" s="277"/>
      <c r="AF25" s="285">
        <f>H25+L25+P25+T25+X25+AB25</f>
        <v>1140</v>
      </c>
      <c r="AG25" s="566"/>
      <c r="AH25" s="387"/>
      <c r="AI25" s="387"/>
      <c r="AJ25" s="387"/>
      <c r="AK25" s="146"/>
      <c r="AL25" s="146"/>
      <c r="AM25" s="387"/>
      <c r="AN25" s="387"/>
      <c r="AO25" s="387"/>
      <c r="AP25" s="146"/>
      <c r="AQ25" s="146"/>
      <c r="AR25" s="387"/>
      <c r="AS25" s="387"/>
      <c r="AT25" s="387"/>
      <c r="AU25" s="146"/>
      <c r="AV25" s="146"/>
    </row>
    <row r="26" spans="1:48" ht="15">
      <c r="A26" s="366"/>
      <c r="B26" s="278"/>
      <c r="C26" s="277"/>
      <c r="D26" s="284"/>
      <c r="E26" s="277"/>
      <c r="F26" s="285"/>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566"/>
      <c r="AH26" s="387"/>
      <c r="AI26" s="387"/>
      <c r="AJ26" s="387"/>
      <c r="AK26" s="146"/>
      <c r="AL26" s="146"/>
      <c r="AM26" s="387"/>
      <c r="AN26" s="387"/>
      <c r="AO26" s="387"/>
      <c r="AP26" s="146"/>
      <c r="AQ26" s="146"/>
      <c r="AR26" s="387"/>
      <c r="AS26" s="387"/>
      <c r="AT26" s="387"/>
      <c r="AU26" s="146"/>
      <c r="AV26" s="146"/>
    </row>
    <row r="27" spans="1:48" ht="15">
      <c r="A27" s="366">
        <v>133</v>
      </c>
      <c r="B27" s="278" t="s">
        <v>408</v>
      </c>
      <c r="C27" s="277"/>
      <c r="D27" s="284">
        <v>40</v>
      </c>
      <c r="E27" s="277"/>
      <c r="F27" s="285">
        <v>0</v>
      </c>
      <c r="G27" s="277"/>
      <c r="H27" s="285">
        <f>ROUND(+F27*$D27,0)</f>
        <v>0</v>
      </c>
      <c r="I27" s="277"/>
      <c r="J27" s="285">
        <v>11</v>
      </c>
      <c r="K27" s="277"/>
      <c r="L27" s="285">
        <f>ROUND(+J27*$D27,0)</f>
        <v>440</v>
      </c>
      <c r="M27" s="277"/>
      <c r="N27" s="285">
        <v>0</v>
      </c>
      <c r="O27" s="277"/>
      <c r="P27" s="285">
        <f>ROUND(+N27*$D27,0)</f>
        <v>0</v>
      </c>
      <c r="Q27" s="277"/>
      <c r="R27" s="285">
        <v>2</v>
      </c>
      <c r="S27" s="277"/>
      <c r="T27" s="285">
        <f>ROUND(+R27*$D27,0)</f>
        <v>80</v>
      </c>
      <c r="U27" s="277"/>
      <c r="V27" s="285">
        <v>0</v>
      </c>
      <c r="W27" s="277"/>
      <c r="X27" s="285">
        <f>ROUND(+V27*$D27,0)</f>
        <v>0</v>
      </c>
      <c r="Y27" s="277"/>
      <c r="Z27" s="277">
        <v>0</v>
      </c>
      <c r="AA27" s="277"/>
      <c r="AB27" s="285">
        <f>ROUND(+Z27*$D27,0)</f>
        <v>0</v>
      </c>
      <c r="AC27" s="277"/>
      <c r="AD27" s="285">
        <f>F27+J27+N27+R27+V27+Z27</f>
        <v>13</v>
      </c>
      <c r="AE27" s="277"/>
      <c r="AF27" s="285">
        <f>H27+L27+P27+T27+X27+AB27</f>
        <v>520</v>
      </c>
      <c r="AG27" s="566"/>
      <c r="AH27" s="387"/>
      <c r="AI27" s="387"/>
      <c r="AJ27" s="387"/>
      <c r="AK27" s="146"/>
      <c r="AL27" s="146"/>
      <c r="AM27" s="387"/>
      <c r="AN27" s="387"/>
      <c r="AO27" s="387"/>
      <c r="AP27" s="146"/>
      <c r="AQ27" s="146"/>
      <c r="AR27" s="387"/>
      <c r="AS27" s="387"/>
      <c r="AT27" s="387"/>
      <c r="AU27" s="146"/>
      <c r="AV27" s="146"/>
    </row>
    <row r="28" spans="1:48" ht="15">
      <c r="A28" s="367"/>
      <c r="B28" s="277"/>
      <c r="C28" s="277"/>
      <c r="D28" s="277"/>
      <c r="E28" s="277"/>
      <c r="F28" s="286"/>
      <c r="G28" s="277"/>
      <c r="H28" s="286"/>
      <c r="I28" s="277"/>
      <c r="J28" s="286"/>
      <c r="K28" s="277"/>
      <c r="L28" s="286"/>
      <c r="M28" s="277"/>
      <c r="N28" s="286"/>
      <c r="O28" s="277"/>
      <c r="P28" s="286"/>
      <c r="Q28" s="277"/>
      <c r="R28" s="286"/>
      <c r="S28" s="277"/>
      <c r="T28" s="286"/>
      <c r="U28" s="277"/>
      <c r="V28" s="286"/>
      <c r="W28" s="277"/>
      <c r="X28" s="286"/>
      <c r="Y28" s="277"/>
      <c r="Z28" s="286"/>
      <c r="AA28" s="277"/>
      <c r="AB28" s="286"/>
      <c r="AC28" s="277"/>
      <c r="AD28" s="286"/>
      <c r="AE28" s="277"/>
      <c r="AF28" s="286"/>
      <c r="AG28" s="566"/>
      <c r="AH28" s="146"/>
      <c r="AI28" s="146"/>
      <c r="AJ28" s="146"/>
      <c r="AK28" s="146"/>
      <c r="AL28" s="146"/>
      <c r="AM28" s="146"/>
      <c r="AN28" s="146"/>
      <c r="AO28" s="146"/>
      <c r="AP28" s="146"/>
      <c r="AQ28" s="146"/>
      <c r="AR28" s="146"/>
      <c r="AS28" s="146"/>
      <c r="AT28" s="146"/>
      <c r="AU28" s="146"/>
      <c r="AV28" s="146"/>
    </row>
    <row r="29" spans="1:48" ht="15.75" thickBot="1">
      <c r="B29" s="277" t="s">
        <v>341</v>
      </c>
      <c r="C29" s="277"/>
      <c r="D29" s="277"/>
      <c r="E29" s="277"/>
      <c r="F29" s="285">
        <f>SUM(F11:F27)</f>
        <v>111959</v>
      </c>
      <c r="G29" s="277"/>
      <c r="H29" s="285">
        <f>SUM(H11:H27)</f>
        <v>113730</v>
      </c>
      <c r="I29" s="277"/>
      <c r="J29" s="285">
        <f>SUM(J11:J27)</f>
        <v>8929</v>
      </c>
      <c r="K29" s="277"/>
      <c r="L29" s="287">
        <f>SUM(L11:L27)</f>
        <v>18048</v>
      </c>
      <c r="M29" s="277"/>
      <c r="N29" s="285">
        <f>SUM(N11:N27)</f>
        <v>54</v>
      </c>
      <c r="O29" s="277"/>
      <c r="P29" s="285">
        <f>SUM(P11:P27)</f>
        <v>570</v>
      </c>
      <c r="Q29" s="277"/>
      <c r="R29" s="285">
        <f>SUM(R11:R27)</f>
        <v>766</v>
      </c>
      <c r="S29" s="277"/>
      <c r="T29" s="285">
        <f>SUM(T11:T27)</f>
        <v>3260</v>
      </c>
      <c r="U29" s="277"/>
      <c r="V29" s="285">
        <f>SUM(V11:V27)</f>
        <v>24</v>
      </c>
      <c r="W29" s="277"/>
      <c r="X29" s="285">
        <f>SUM(X11:X27)</f>
        <v>334</v>
      </c>
      <c r="Y29" s="277"/>
      <c r="Z29" s="285">
        <f>SUM(Z11:Z27)</f>
        <v>1595</v>
      </c>
      <c r="AA29" s="277"/>
      <c r="AB29" s="285">
        <f>SUM(AB11:AB27)</f>
        <v>1595</v>
      </c>
      <c r="AC29" s="277"/>
      <c r="AD29" s="285">
        <f>SUM(AD11:AD27)</f>
        <v>123327</v>
      </c>
      <c r="AE29" s="277"/>
      <c r="AF29" s="285">
        <f>SUM(AF11:AF27)</f>
        <v>137537</v>
      </c>
      <c r="AG29" s="566"/>
      <c r="AH29" s="567"/>
      <c r="AI29" s="567"/>
      <c r="AJ29" s="567"/>
      <c r="AK29" s="146"/>
      <c r="AL29" s="146"/>
      <c r="AM29" s="567"/>
      <c r="AN29" s="146"/>
      <c r="AO29" s="146"/>
      <c r="AP29" s="146"/>
      <c r="AQ29" s="146"/>
      <c r="AR29" s="567"/>
      <c r="AS29" s="567"/>
      <c r="AT29" s="567"/>
      <c r="AU29" s="146"/>
      <c r="AV29" s="146"/>
    </row>
    <row r="30" spans="1:48" ht="15.75" thickTop="1">
      <c r="B30" s="277"/>
      <c r="C30" s="277"/>
      <c r="D30" s="277"/>
      <c r="E30" s="277"/>
      <c r="F30" s="288"/>
      <c r="G30" s="277"/>
      <c r="H30" s="288"/>
      <c r="I30" s="277"/>
      <c r="J30" s="288"/>
      <c r="K30" s="277"/>
      <c r="L30" s="289"/>
      <c r="M30" s="277"/>
      <c r="N30" s="288"/>
      <c r="O30" s="277"/>
      <c r="P30" s="288"/>
      <c r="Q30" s="277"/>
      <c r="R30" s="288"/>
      <c r="S30" s="277"/>
      <c r="T30" s="288"/>
      <c r="U30" s="277"/>
      <c r="V30" s="288"/>
      <c r="W30" s="277"/>
      <c r="X30" s="288"/>
      <c r="Y30" s="277"/>
      <c r="Z30" s="288"/>
      <c r="AA30" s="277"/>
      <c r="AB30" s="288"/>
      <c r="AC30" s="277"/>
      <c r="AD30" s="288"/>
      <c r="AE30" s="277"/>
      <c r="AF30" s="288"/>
      <c r="AG30" s="566"/>
      <c r="AH30" s="146"/>
      <c r="AI30" s="146"/>
      <c r="AJ30" s="146"/>
      <c r="AK30" s="146"/>
      <c r="AL30" s="146"/>
      <c r="AM30" s="146"/>
      <c r="AN30" s="146"/>
      <c r="AO30" s="146"/>
      <c r="AP30" s="146"/>
      <c r="AQ30" s="146"/>
      <c r="AR30" s="146"/>
      <c r="AS30" s="146"/>
      <c r="AT30" s="146"/>
      <c r="AU30" s="146"/>
      <c r="AV30" s="146"/>
    </row>
    <row r="31" spans="1:48" ht="15">
      <c r="B31" s="290" t="s">
        <v>198</v>
      </c>
      <c r="C31" s="275"/>
      <c r="D31" s="275"/>
      <c r="E31" s="275"/>
      <c r="F31" s="275"/>
      <c r="G31" s="275"/>
      <c r="H31" s="275"/>
      <c r="I31" s="275"/>
      <c r="J31" s="275"/>
      <c r="K31" s="275"/>
      <c r="L31" s="275"/>
      <c r="M31" s="275"/>
      <c r="N31" s="290"/>
      <c r="O31" s="275"/>
      <c r="P31" s="275"/>
      <c r="Q31" s="275"/>
      <c r="R31" s="275"/>
      <c r="S31" s="275"/>
      <c r="T31" s="275"/>
      <c r="U31" s="275"/>
      <c r="V31" s="275"/>
      <c r="W31" s="275"/>
      <c r="X31" s="275"/>
      <c r="Y31" s="275"/>
      <c r="Z31" s="275"/>
      <c r="AA31" s="275"/>
      <c r="AB31" s="275"/>
      <c r="AC31" s="275"/>
      <c r="AD31" s="275"/>
      <c r="AE31" s="275"/>
      <c r="AF31" s="275"/>
      <c r="AG31" s="566"/>
      <c r="AH31" s="146"/>
      <c r="AI31" s="146"/>
      <c r="AJ31" s="146"/>
      <c r="AK31" s="146"/>
      <c r="AL31" s="146"/>
      <c r="AM31" s="146"/>
      <c r="AN31" s="146"/>
      <c r="AO31" s="146"/>
      <c r="AP31" s="146"/>
      <c r="AQ31" s="146"/>
      <c r="AR31" s="146"/>
      <c r="AS31" s="146"/>
      <c r="AT31" s="146"/>
      <c r="AU31" s="146"/>
      <c r="AV31" s="146"/>
    </row>
    <row r="32" spans="1:48" ht="15">
      <c r="B32" s="290" t="s">
        <v>199</v>
      </c>
      <c r="C32" s="275"/>
      <c r="D32" s="275"/>
      <c r="E32" s="275"/>
      <c r="F32" s="275"/>
      <c r="G32" s="275"/>
      <c r="H32" s="275"/>
      <c r="I32" s="275"/>
      <c r="J32" s="275"/>
      <c r="K32" s="275"/>
      <c r="L32" s="275"/>
      <c r="M32" s="275"/>
      <c r="N32" s="290"/>
      <c r="O32" s="275"/>
      <c r="P32" s="275"/>
      <c r="Q32" s="275"/>
      <c r="R32" s="275"/>
      <c r="S32" s="275"/>
      <c r="T32" s="275"/>
      <c r="U32" s="275"/>
      <c r="V32" s="275"/>
      <c r="W32" s="275"/>
      <c r="X32" s="275"/>
      <c r="Y32" s="275"/>
      <c r="Z32" s="275"/>
      <c r="AA32" s="275"/>
      <c r="AB32" s="275"/>
      <c r="AC32" s="275"/>
      <c r="AD32" s="275"/>
      <c r="AE32" s="275"/>
      <c r="AF32" s="275"/>
      <c r="AG32" s="566"/>
      <c r="AH32" s="146"/>
      <c r="AI32" s="146"/>
      <c r="AJ32" s="146"/>
      <c r="AK32" s="146"/>
      <c r="AL32" s="146"/>
      <c r="AM32" s="146"/>
      <c r="AN32" s="146"/>
      <c r="AO32" s="146"/>
      <c r="AP32" s="146"/>
      <c r="AQ32" s="146"/>
      <c r="AR32" s="146"/>
      <c r="AS32" s="146"/>
      <c r="AT32" s="146"/>
      <c r="AU32" s="146"/>
      <c r="AV32" s="146"/>
    </row>
    <row r="33" spans="1:48" ht="15">
      <c r="B33" s="275" t="s">
        <v>335</v>
      </c>
      <c r="C33" s="275"/>
      <c r="D33" s="275"/>
      <c r="E33" s="275"/>
      <c r="F33" s="275"/>
      <c r="G33" s="275"/>
      <c r="H33" s="275"/>
      <c r="I33" s="275"/>
      <c r="J33" s="275"/>
      <c r="K33" s="275"/>
      <c r="L33" s="290"/>
      <c r="M33" s="275"/>
      <c r="N33" s="275"/>
      <c r="O33" s="275"/>
      <c r="P33" s="275"/>
      <c r="Q33" s="275"/>
      <c r="R33" s="275"/>
      <c r="S33" s="275"/>
      <c r="T33" s="275"/>
      <c r="U33" s="275"/>
      <c r="V33" s="275"/>
      <c r="W33" s="275"/>
      <c r="X33" s="275"/>
      <c r="Y33" s="275"/>
      <c r="Z33" s="275"/>
      <c r="AA33" s="275"/>
      <c r="AB33" s="275"/>
      <c r="AC33" s="275"/>
      <c r="AD33" s="275"/>
      <c r="AE33" s="275"/>
      <c r="AF33" s="275"/>
      <c r="AG33" s="566"/>
      <c r="AH33" s="146"/>
      <c r="AI33" s="146"/>
      <c r="AJ33" s="146"/>
      <c r="AK33" s="146"/>
      <c r="AL33" s="146"/>
      <c r="AM33" s="146"/>
      <c r="AN33" s="146"/>
      <c r="AO33" s="146"/>
      <c r="AP33" s="146"/>
      <c r="AQ33" s="146"/>
      <c r="AR33" s="146"/>
      <c r="AS33" s="146"/>
      <c r="AT33" s="146"/>
      <c r="AU33" s="146"/>
      <c r="AV33" s="146"/>
    </row>
    <row r="34" spans="1:48" ht="15">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365"/>
    </row>
    <row r="35" spans="1:48" ht="15">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365"/>
    </row>
    <row r="36" spans="1:48" ht="15">
      <c r="B36" s="278"/>
      <c r="C36" s="278"/>
      <c r="D36" s="278" t="s">
        <v>336</v>
      </c>
      <c r="E36" s="278"/>
      <c r="F36" s="275" t="s">
        <v>212</v>
      </c>
      <c r="G36" s="275"/>
      <c r="H36" s="275"/>
      <c r="I36" s="278"/>
      <c r="J36" s="275" t="s">
        <v>213</v>
      </c>
      <c r="K36" s="275"/>
      <c r="L36" s="275"/>
      <c r="M36" s="278"/>
      <c r="N36" s="275" t="s">
        <v>214</v>
      </c>
      <c r="O36" s="275"/>
      <c r="P36" s="275"/>
      <c r="Q36" s="278"/>
      <c r="R36" s="275" t="s">
        <v>216</v>
      </c>
      <c r="S36" s="275"/>
      <c r="T36" s="275"/>
      <c r="U36" s="278"/>
      <c r="V36" s="275" t="s">
        <v>337</v>
      </c>
      <c r="W36" s="275"/>
      <c r="X36" s="275"/>
      <c r="Y36" s="278"/>
      <c r="Z36" s="275" t="s">
        <v>218</v>
      </c>
      <c r="AA36" s="275"/>
      <c r="AB36" s="275"/>
      <c r="AC36" s="278"/>
      <c r="AD36" s="275" t="s">
        <v>341</v>
      </c>
      <c r="AE36" s="275"/>
      <c r="AF36" s="275"/>
      <c r="AG36" s="365"/>
    </row>
    <row r="37" spans="1:48" ht="15">
      <c r="B37" s="278" t="s">
        <v>342</v>
      </c>
      <c r="C37" s="278"/>
      <c r="D37" s="278" t="s">
        <v>343</v>
      </c>
      <c r="E37" s="278"/>
      <c r="F37" s="279" t="s">
        <v>323</v>
      </c>
      <c r="G37" s="279"/>
      <c r="H37" s="279"/>
      <c r="I37" s="278"/>
      <c r="J37" s="279" t="s">
        <v>323</v>
      </c>
      <c r="K37" s="279"/>
      <c r="L37" s="279"/>
      <c r="M37" s="278"/>
      <c r="N37" s="279" t="s">
        <v>323</v>
      </c>
      <c r="O37" s="279"/>
      <c r="P37" s="279"/>
      <c r="Q37" s="278"/>
      <c r="R37" s="279" t="s">
        <v>323</v>
      </c>
      <c r="S37" s="279"/>
      <c r="T37" s="279"/>
      <c r="U37" s="278"/>
      <c r="V37" s="279" t="s">
        <v>323</v>
      </c>
      <c r="W37" s="279"/>
      <c r="X37" s="279"/>
      <c r="Y37" s="278"/>
      <c r="Z37" s="279" t="s">
        <v>323</v>
      </c>
      <c r="AA37" s="279"/>
      <c r="AB37" s="279"/>
      <c r="AC37" s="278"/>
      <c r="AD37" s="279" t="s">
        <v>323</v>
      </c>
      <c r="AE37" s="279"/>
      <c r="AF37" s="279"/>
      <c r="AG37" s="365"/>
    </row>
    <row r="38" spans="1:48" ht="15">
      <c r="B38" s="278" t="s">
        <v>344</v>
      </c>
      <c r="C38" s="278"/>
      <c r="D38" s="278" t="s">
        <v>345</v>
      </c>
      <c r="E38" s="278"/>
      <c r="F38" s="278" t="s">
        <v>346</v>
      </c>
      <c r="G38" s="278"/>
      <c r="H38" s="278" t="s">
        <v>347</v>
      </c>
      <c r="I38" s="278"/>
      <c r="J38" s="278" t="s">
        <v>346</v>
      </c>
      <c r="K38" s="278"/>
      <c r="L38" s="278" t="s">
        <v>347</v>
      </c>
      <c r="M38" s="278"/>
      <c r="N38" s="278" t="s">
        <v>346</v>
      </c>
      <c r="O38" s="278"/>
      <c r="P38" s="278" t="s">
        <v>347</v>
      </c>
      <c r="Q38" s="278"/>
      <c r="R38" s="278" t="s">
        <v>346</v>
      </c>
      <c r="S38" s="278"/>
      <c r="T38" s="278" t="s">
        <v>347</v>
      </c>
      <c r="U38" s="278"/>
      <c r="V38" s="278" t="s">
        <v>346</v>
      </c>
      <c r="W38" s="278"/>
      <c r="X38" s="278" t="s">
        <v>347</v>
      </c>
      <c r="Y38" s="278"/>
      <c r="Z38" s="278" t="s">
        <v>346</v>
      </c>
      <c r="AA38" s="278"/>
      <c r="AB38" s="278" t="s">
        <v>347</v>
      </c>
      <c r="AC38" s="278"/>
      <c r="AD38" s="278" t="s">
        <v>346</v>
      </c>
      <c r="AE38" s="278"/>
      <c r="AF38" s="278" t="s">
        <v>347</v>
      </c>
      <c r="AG38" s="365"/>
    </row>
    <row r="39" spans="1:48" ht="15">
      <c r="B39" s="280">
        <v>-1</v>
      </c>
      <c r="C39" s="281"/>
      <c r="D39" s="280">
        <v>-2</v>
      </c>
      <c r="E39" s="281"/>
      <c r="F39" s="517">
        <v>-3</v>
      </c>
      <c r="G39" s="281"/>
      <c r="H39" s="280" t="s">
        <v>348</v>
      </c>
      <c r="I39" s="281"/>
      <c r="J39" s="280">
        <v>-5</v>
      </c>
      <c r="K39" s="281"/>
      <c r="L39" s="280" t="s">
        <v>349</v>
      </c>
      <c r="M39" s="281"/>
      <c r="N39" s="280">
        <v>-7</v>
      </c>
      <c r="O39" s="281"/>
      <c r="P39" s="280" t="s">
        <v>350</v>
      </c>
      <c r="Q39" s="281"/>
      <c r="R39" s="280">
        <v>-9</v>
      </c>
      <c r="S39" s="281"/>
      <c r="T39" s="280" t="s">
        <v>351</v>
      </c>
      <c r="U39" s="281"/>
      <c r="V39" s="280">
        <v>-11</v>
      </c>
      <c r="W39" s="281"/>
      <c r="X39" s="280" t="s">
        <v>352</v>
      </c>
      <c r="Y39" s="281"/>
      <c r="Z39" s="280">
        <v>-13</v>
      </c>
      <c r="AA39" s="281"/>
      <c r="AB39" s="280" t="s">
        <v>353</v>
      </c>
      <c r="AC39" s="281"/>
      <c r="AD39" s="280">
        <v>-15</v>
      </c>
      <c r="AE39" s="281"/>
      <c r="AF39" s="280">
        <v>-16</v>
      </c>
      <c r="AG39" s="365"/>
    </row>
    <row r="40" spans="1:48" ht="15">
      <c r="B40" s="277"/>
      <c r="C40" s="277"/>
      <c r="D40" s="277"/>
      <c r="E40" s="277"/>
      <c r="F40" s="518"/>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365"/>
    </row>
    <row r="41" spans="1:48" ht="15">
      <c r="A41" s="368">
        <v>1</v>
      </c>
      <c r="B41" s="277" t="s">
        <v>354</v>
      </c>
      <c r="C41" s="277"/>
      <c r="D41" s="291">
        <v>1</v>
      </c>
      <c r="E41" s="277"/>
      <c r="F41" s="502">
        <f>F11-30000-2264-F72+F13</f>
        <v>75478</v>
      </c>
      <c r="G41" s="277" t="s">
        <v>84</v>
      </c>
      <c r="H41" s="285">
        <f>ROUND(+F41*$D41,0)</f>
        <v>75478</v>
      </c>
      <c r="I41" s="277"/>
      <c r="J41" s="285">
        <f>J11</f>
        <v>4536</v>
      </c>
      <c r="K41" s="277"/>
      <c r="L41" s="285">
        <f>ROUND(+J41*$D41,0)</f>
        <v>4536</v>
      </c>
      <c r="M41" s="277"/>
      <c r="N41" s="285">
        <f>N11</f>
        <v>7</v>
      </c>
      <c r="O41" s="277"/>
      <c r="P41" s="285">
        <f>ROUND(+N41*$D41,0)</f>
        <v>7</v>
      </c>
      <c r="Q41" s="277"/>
      <c r="R41" s="285">
        <f>R11</f>
        <v>139</v>
      </c>
      <c r="S41" s="277"/>
      <c r="T41" s="285">
        <f>ROUND(+R41*$D41,0)</f>
        <v>139</v>
      </c>
      <c r="U41" s="277"/>
      <c r="V41" s="285">
        <f>V11</f>
        <v>0</v>
      </c>
      <c r="W41" s="277"/>
      <c r="X41" s="285">
        <f>ROUND(+V41*$D41,0)</f>
        <v>0</v>
      </c>
      <c r="Y41" s="277"/>
      <c r="Z41" s="285">
        <v>0</v>
      </c>
      <c r="AA41" s="277"/>
      <c r="AB41" s="285">
        <f>ROUND(+Z41*$D41,0)</f>
        <v>0</v>
      </c>
      <c r="AC41" s="277"/>
      <c r="AD41" s="285">
        <f>F41+J41+N41+R41+V41+Z41</f>
        <v>80160</v>
      </c>
      <c r="AE41" s="277"/>
      <c r="AF41" s="285">
        <f>H41+L41+P41+T41+X41+AB41</f>
        <v>80160</v>
      </c>
      <c r="AG41" s="365"/>
    </row>
    <row r="42" spans="1:48" ht="10.7" customHeight="1">
      <c r="A42" s="368"/>
      <c r="B42" s="277"/>
      <c r="C42" s="277"/>
      <c r="D42" s="291"/>
      <c r="E42" s="277"/>
      <c r="F42" s="518"/>
      <c r="G42" s="277"/>
      <c r="H42" s="285"/>
      <c r="I42" s="277"/>
      <c r="J42" s="277"/>
      <c r="K42" s="277"/>
      <c r="L42" s="285"/>
      <c r="M42" s="277"/>
      <c r="N42" s="277"/>
      <c r="O42" s="277"/>
      <c r="P42" s="285"/>
      <c r="Q42" s="277"/>
      <c r="R42" s="277"/>
      <c r="S42" s="277"/>
      <c r="T42" s="285"/>
      <c r="U42" s="277"/>
      <c r="V42" s="277"/>
      <c r="W42" s="277"/>
      <c r="X42" s="285"/>
      <c r="Y42" s="277"/>
      <c r="Z42" s="277"/>
      <c r="AA42" s="277"/>
      <c r="AB42" s="285"/>
      <c r="AC42" s="277"/>
      <c r="AD42" s="277"/>
      <c r="AE42" s="277"/>
      <c r="AF42" s="277"/>
      <c r="AG42" s="365"/>
    </row>
    <row r="43" spans="1:48" ht="15">
      <c r="A43" s="368">
        <v>1.17</v>
      </c>
      <c r="B43" s="277" t="s">
        <v>355</v>
      </c>
      <c r="C43" s="277"/>
      <c r="D43" s="291">
        <v>2</v>
      </c>
      <c r="E43" s="277"/>
      <c r="F43" s="502">
        <f>F15+15000+1132+1153</f>
        <v>19103</v>
      </c>
      <c r="G43" s="277" t="s">
        <v>84</v>
      </c>
      <c r="H43" s="285">
        <f>ROUND(+F43*$D43,0)</f>
        <v>38206</v>
      </c>
      <c r="I43" s="277"/>
      <c r="J43" s="285">
        <f>J15</f>
        <v>2340</v>
      </c>
      <c r="K43" s="277"/>
      <c r="L43" s="285">
        <f>ROUND(+J43*$D43,0)</f>
        <v>4680</v>
      </c>
      <c r="M43" s="277"/>
      <c r="N43" s="285">
        <f>N15</f>
        <v>2</v>
      </c>
      <c r="O43" s="277"/>
      <c r="P43" s="285">
        <f>ROUND(+N43*$D43,0)</f>
        <v>4</v>
      </c>
      <c r="Q43" s="277"/>
      <c r="R43" s="285">
        <f>R15</f>
        <v>173</v>
      </c>
      <c r="S43" s="277"/>
      <c r="T43" s="285">
        <f>ROUND(+R43*$D43,0)</f>
        <v>346</v>
      </c>
      <c r="U43" s="277"/>
      <c r="V43" s="285">
        <f>V15</f>
        <v>0</v>
      </c>
      <c r="W43" s="277"/>
      <c r="X43" s="285">
        <f>ROUND(+V43*$D43,0)</f>
        <v>0</v>
      </c>
      <c r="Y43" s="277"/>
      <c r="Z43" s="285">
        <f>Z15</f>
        <v>0</v>
      </c>
      <c r="AA43" s="277"/>
      <c r="AB43" s="285">
        <f>ROUND(+Z43*$D43,0)</f>
        <v>0</v>
      </c>
      <c r="AC43" s="277"/>
      <c r="AD43" s="285">
        <f>F43+J43+N43+R43+V43+Z43</f>
        <v>21618</v>
      </c>
      <c r="AE43" s="277"/>
      <c r="AF43" s="285">
        <f>H43+L43+P43+T43+X43+AB43</f>
        <v>43236</v>
      </c>
      <c r="AG43" s="365"/>
    </row>
    <row r="44" spans="1:48" ht="10.7" customHeight="1">
      <c r="A44" s="368"/>
      <c r="B44" s="277"/>
      <c r="C44" s="277"/>
      <c r="D44" s="291"/>
      <c r="E44" s="277"/>
      <c r="F44" s="285"/>
      <c r="G44" s="277"/>
      <c r="H44" s="285"/>
      <c r="I44" s="277"/>
      <c r="J44" s="285"/>
      <c r="K44" s="277"/>
      <c r="L44" s="285"/>
      <c r="M44" s="277"/>
      <c r="N44" s="285"/>
      <c r="O44" s="277"/>
      <c r="P44" s="285"/>
      <c r="Q44" s="277"/>
      <c r="R44" s="285"/>
      <c r="S44" s="277"/>
      <c r="T44" s="285"/>
      <c r="U44" s="277"/>
      <c r="V44" s="285"/>
      <c r="W44" s="277"/>
      <c r="X44" s="285"/>
      <c r="Y44" s="277"/>
      <c r="Z44" s="285"/>
      <c r="AA44" s="277"/>
      <c r="AB44" s="285"/>
      <c r="AC44" s="277"/>
      <c r="AD44" s="285"/>
      <c r="AE44" s="277"/>
      <c r="AF44" s="277"/>
      <c r="AG44" s="365"/>
    </row>
    <row r="45" spans="1:48" ht="15">
      <c r="A45" s="368">
        <v>1.58</v>
      </c>
      <c r="B45" s="277" t="s">
        <v>356</v>
      </c>
      <c r="C45" s="277"/>
      <c r="D45" s="291">
        <v>2.2000000000000002</v>
      </c>
      <c r="E45" s="277"/>
      <c r="F45" s="285">
        <f>F17</f>
        <v>14</v>
      </c>
      <c r="G45" s="277"/>
      <c r="H45" s="285">
        <f>ROUND(+F45*$D45,0)</f>
        <v>31</v>
      </c>
      <c r="I45" s="277"/>
      <c r="J45" s="285">
        <f>J17</f>
        <v>172</v>
      </c>
      <c r="K45" s="277"/>
      <c r="L45" s="285">
        <f>ROUND(+J45*$D45,0)</f>
        <v>378</v>
      </c>
      <c r="M45" s="277"/>
      <c r="N45" s="285">
        <f>N17</f>
        <v>2</v>
      </c>
      <c r="O45" s="277"/>
      <c r="P45" s="285">
        <f>ROUND(+N45*$D45,0)</f>
        <v>4</v>
      </c>
      <c r="Q45" s="277"/>
      <c r="R45" s="285">
        <f>R17</f>
        <v>28</v>
      </c>
      <c r="S45" s="277"/>
      <c r="T45" s="285">
        <f>ROUND(+R45*$D45,0)</f>
        <v>62</v>
      </c>
      <c r="U45" s="277"/>
      <c r="V45" s="285">
        <f>V17</f>
        <v>4</v>
      </c>
      <c r="W45" s="277"/>
      <c r="X45" s="285">
        <f>ROUND(+V45*$D45,0)</f>
        <v>9</v>
      </c>
      <c r="Y45" s="277"/>
      <c r="Z45" s="285">
        <f>Z17</f>
        <v>0</v>
      </c>
      <c r="AA45" s="277"/>
      <c r="AB45" s="285">
        <f>ROUND(+Z45*$D45,0)</f>
        <v>0</v>
      </c>
      <c r="AC45" s="277"/>
      <c r="AD45" s="285">
        <f>F45+J45+N45+R45+V45+Z45</f>
        <v>220</v>
      </c>
      <c r="AE45" s="277"/>
      <c r="AF45" s="285">
        <f>H45+L45+P45+T45+X45+AB45</f>
        <v>484</v>
      </c>
      <c r="AG45" s="365"/>
    </row>
    <row r="46" spans="1:48" ht="9.75" customHeight="1">
      <c r="A46" s="368"/>
      <c r="B46" s="277"/>
      <c r="C46" s="277"/>
      <c r="D46" s="291"/>
      <c r="E46" s="277"/>
      <c r="F46" s="285"/>
      <c r="G46" s="277"/>
      <c r="H46" s="285"/>
      <c r="I46" s="277"/>
      <c r="J46" s="285"/>
      <c r="K46" s="277"/>
      <c r="L46" s="285"/>
      <c r="M46" s="277"/>
      <c r="N46" s="285"/>
      <c r="O46" s="277"/>
      <c r="P46" s="285"/>
      <c r="Q46" s="277"/>
      <c r="R46" s="285"/>
      <c r="S46" s="277"/>
      <c r="T46" s="285"/>
      <c r="U46" s="277"/>
      <c r="V46" s="285"/>
      <c r="W46" s="277"/>
      <c r="X46" s="285"/>
      <c r="Y46" s="277"/>
      <c r="Z46" s="285"/>
      <c r="AA46" s="277"/>
      <c r="AB46" s="285"/>
      <c r="AC46" s="277"/>
      <c r="AD46" s="285"/>
      <c r="AE46" s="277"/>
      <c r="AF46" s="277"/>
      <c r="AG46" s="365"/>
    </row>
    <row r="47" spans="1:48" ht="15">
      <c r="A47" s="368">
        <v>2.04</v>
      </c>
      <c r="B47" s="277" t="s">
        <v>357</v>
      </c>
      <c r="C47" s="277"/>
      <c r="D47" s="291">
        <v>3.2</v>
      </c>
      <c r="E47" s="277"/>
      <c r="F47" s="285">
        <f>F19</f>
        <v>77</v>
      </c>
      <c r="G47" s="277"/>
      <c r="H47" s="285">
        <f>ROUND(+F47*$D47,0)</f>
        <v>246</v>
      </c>
      <c r="I47" s="277"/>
      <c r="J47" s="285">
        <f>J19</f>
        <v>1817</v>
      </c>
      <c r="K47" s="277"/>
      <c r="L47" s="285">
        <f>ROUND(+J47*$D47,0)</f>
        <v>5814</v>
      </c>
      <c r="M47" s="277"/>
      <c r="N47" s="285">
        <f>N19</f>
        <v>23</v>
      </c>
      <c r="O47" s="277"/>
      <c r="P47" s="285">
        <f>ROUND(+N47*$D47,0)</f>
        <v>74</v>
      </c>
      <c r="Q47" s="277"/>
      <c r="R47" s="285">
        <f>R19</f>
        <v>371</v>
      </c>
      <c r="S47" s="277"/>
      <c r="T47" s="285">
        <f>ROUND(+R47*$D47,0)</f>
        <v>1187</v>
      </c>
      <c r="U47" s="277"/>
      <c r="V47" s="285">
        <f>V19</f>
        <v>8</v>
      </c>
      <c r="W47" s="277"/>
      <c r="X47" s="285">
        <f>ROUND(+V47*$D47,0)</f>
        <v>26</v>
      </c>
      <c r="Y47" s="277"/>
      <c r="Z47" s="285">
        <f>Fire!K15</f>
        <v>64</v>
      </c>
      <c r="AA47" s="277"/>
      <c r="AB47" s="285">
        <f>ROUND(+Z47*$D47,0)</f>
        <v>205</v>
      </c>
      <c r="AC47" s="277"/>
      <c r="AD47" s="285">
        <f>F47+J47+N47+R47+V47+Z47</f>
        <v>2360</v>
      </c>
      <c r="AE47" s="277"/>
      <c r="AF47" s="285">
        <f>H47+L47+P47+T47+X47+AB47</f>
        <v>7552</v>
      </c>
      <c r="AG47" s="365"/>
    </row>
    <row r="48" spans="1:48" ht="9.75" customHeight="1">
      <c r="A48" s="368"/>
      <c r="B48" s="277"/>
      <c r="C48" s="277"/>
      <c r="D48" s="291"/>
      <c r="E48" s="277"/>
      <c r="F48" s="285"/>
      <c r="G48" s="277"/>
      <c r="H48" s="285"/>
      <c r="I48" s="277"/>
      <c r="J48" s="285"/>
      <c r="K48" s="277"/>
      <c r="L48" s="285"/>
      <c r="M48" s="277"/>
      <c r="N48" s="285"/>
      <c r="O48" s="277"/>
      <c r="P48" s="285"/>
      <c r="Q48" s="277"/>
      <c r="R48" s="285"/>
      <c r="S48" s="277"/>
      <c r="T48" s="285"/>
      <c r="U48" s="277"/>
      <c r="V48" s="285"/>
      <c r="W48" s="277"/>
      <c r="X48" s="285"/>
      <c r="Y48" s="277"/>
      <c r="Z48" s="285"/>
      <c r="AA48" s="277"/>
      <c r="AB48" s="285"/>
      <c r="AC48" s="277"/>
      <c r="AD48" s="285"/>
      <c r="AE48" s="277"/>
      <c r="AF48" s="277"/>
      <c r="AG48" s="365"/>
    </row>
    <row r="49" spans="1:33" ht="15">
      <c r="A49" s="368">
        <v>2.88</v>
      </c>
      <c r="B49" s="277" t="s">
        <v>358</v>
      </c>
      <c r="C49" s="277"/>
      <c r="D49" s="291">
        <v>3.5</v>
      </c>
      <c r="E49" s="277"/>
      <c r="F49" s="285">
        <f>F21+F23</f>
        <v>0</v>
      </c>
      <c r="G49" s="277"/>
      <c r="H49" s="285">
        <f>ROUND(+F49*$D49,0)</f>
        <v>0</v>
      </c>
      <c r="I49" s="277"/>
      <c r="J49" s="285">
        <f>J21+J23</f>
        <v>41</v>
      </c>
      <c r="K49" s="277"/>
      <c r="L49" s="285">
        <f>ROUND(+J49*$D49,0)</f>
        <v>144</v>
      </c>
      <c r="M49" s="277"/>
      <c r="N49" s="285">
        <f>N21+N23</f>
        <v>11</v>
      </c>
      <c r="O49" s="277"/>
      <c r="P49" s="285">
        <f>ROUND(+N49*$D49,0)</f>
        <v>39</v>
      </c>
      <c r="Q49" s="277"/>
      <c r="R49" s="285">
        <f>R21+R23</f>
        <v>42</v>
      </c>
      <c r="S49" s="277"/>
      <c r="T49" s="285">
        <f>ROUND(+R49*$D49,0)</f>
        <v>147</v>
      </c>
      <c r="U49" s="277"/>
      <c r="V49" s="285">
        <f>V21+V23</f>
        <v>7</v>
      </c>
      <c r="W49" s="277"/>
      <c r="X49" s="285">
        <f>ROUND(+V49*$D49,0)</f>
        <v>25</v>
      </c>
      <c r="Y49" s="277"/>
      <c r="Z49" s="285">
        <f>Fire!K17</f>
        <v>390</v>
      </c>
      <c r="AA49" s="277"/>
      <c r="AB49" s="285">
        <f>ROUND(+Z49*$D49,0)</f>
        <v>1365</v>
      </c>
      <c r="AC49" s="277"/>
      <c r="AD49" s="285">
        <f>F49+J49+N49+R49+V49+Z49</f>
        <v>491</v>
      </c>
      <c r="AE49" s="277"/>
      <c r="AF49" s="285">
        <f>H49+L49+P49+T49+X49+AB49</f>
        <v>1720</v>
      </c>
      <c r="AG49" s="365"/>
    </row>
    <row r="50" spans="1:33" ht="9.75" customHeight="1">
      <c r="A50" s="368"/>
      <c r="B50" s="277"/>
      <c r="C50" s="277"/>
      <c r="D50" s="291"/>
      <c r="E50" s="277"/>
      <c r="F50" s="285"/>
      <c r="G50" s="277"/>
      <c r="H50" s="285"/>
      <c r="I50" s="277"/>
      <c r="J50" s="285"/>
      <c r="K50" s="277"/>
      <c r="L50" s="285"/>
      <c r="M50" s="277"/>
      <c r="N50" s="285"/>
      <c r="O50" s="277"/>
      <c r="P50" s="285"/>
      <c r="Q50" s="277"/>
      <c r="R50" s="285"/>
      <c r="S50" s="277"/>
      <c r="T50" s="285"/>
      <c r="U50" s="277"/>
      <c r="V50" s="285"/>
      <c r="W50" s="277"/>
      <c r="X50" s="285"/>
      <c r="Y50" s="277"/>
      <c r="Z50" s="285"/>
      <c r="AA50" s="277"/>
      <c r="AB50" s="285"/>
      <c r="AC50" s="277"/>
      <c r="AD50" s="285"/>
      <c r="AE50" s="277"/>
      <c r="AF50" s="277"/>
      <c r="AG50" s="365"/>
    </row>
    <row r="51" spans="1:33" ht="15">
      <c r="A51" s="368">
        <v>4.24</v>
      </c>
      <c r="B51" s="277" t="s">
        <v>359</v>
      </c>
      <c r="C51" s="277"/>
      <c r="D51" s="291">
        <v>4</v>
      </c>
      <c r="E51" s="277"/>
      <c r="F51" s="285">
        <f>F25</f>
        <v>2</v>
      </c>
      <c r="G51" s="277"/>
      <c r="H51" s="285">
        <f>ROUND(+F51*$D51,0)</f>
        <v>8</v>
      </c>
      <c r="I51" s="277"/>
      <c r="J51" s="285">
        <f>J25</f>
        <v>12</v>
      </c>
      <c r="K51" s="277"/>
      <c r="L51" s="285">
        <f>ROUND(+J51*$D51,0)</f>
        <v>48</v>
      </c>
      <c r="M51" s="277"/>
      <c r="N51" s="285">
        <f>N25</f>
        <v>8</v>
      </c>
      <c r="O51" s="277"/>
      <c r="P51" s="285">
        <f>ROUND(+N51*$D51,0)</f>
        <v>32</v>
      </c>
      <c r="Q51" s="277"/>
      <c r="R51" s="285">
        <f>R25</f>
        <v>11</v>
      </c>
      <c r="S51" s="277"/>
      <c r="T51" s="285">
        <f>ROUND(+R51*$D51,0)</f>
        <v>44</v>
      </c>
      <c r="U51" s="277"/>
      <c r="V51" s="285">
        <f>V25</f>
        <v>5</v>
      </c>
      <c r="W51" s="277"/>
      <c r="X51" s="285">
        <f>ROUND(+V51*$D51,0)</f>
        <v>20</v>
      </c>
      <c r="Y51" s="277"/>
      <c r="Z51" s="285">
        <f>Fire!K18</f>
        <v>862</v>
      </c>
      <c r="AA51" s="277"/>
      <c r="AB51" s="285">
        <f>ROUND(+Z51*$D51,0)</f>
        <v>3448</v>
      </c>
      <c r="AC51" s="277"/>
      <c r="AD51" s="285">
        <f>F51+J51+N51+R51+V51+Z51</f>
        <v>900</v>
      </c>
      <c r="AE51" s="277"/>
      <c r="AF51" s="285">
        <f>H51+L51+P51+T51+X51+AB51</f>
        <v>3600</v>
      </c>
      <c r="AG51" s="365"/>
    </row>
    <row r="52" spans="1:33" ht="9.75" customHeight="1">
      <c r="A52" s="368"/>
      <c r="B52" s="277"/>
      <c r="C52" s="277"/>
      <c r="D52" s="291"/>
      <c r="E52" s="277"/>
      <c r="F52" s="285"/>
      <c r="G52" s="277"/>
      <c r="H52" s="285"/>
      <c r="I52" s="277"/>
      <c r="J52" s="285"/>
      <c r="K52" s="277"/>
      <c r="L52" s="285"/>
      <c r="M52" s="277"/>
      <c r="N52" s="285"/>
      <c r="O52" s="277"/>
      <c r="P52" s="285"/>
      <c r="Q52" s="277"/>
      <c r="R52" s="285"/>
      <c r="S52" s="277"/>
      <c r="T52" s="285"/>
      <c r="U52" s="277"/>
      <c r="V52" s="285"/>
      <c r="W52" s="277"/>
      <c r="X52" s="285"/>
      <c r="Y52" s="277"/>
      <c r="Z52" s="285"/>
      <c r="AA52" s="277"/>
      <c r="AB52" s="285"/>
      <c r="AC52" s="277"/>
      <c r="AD52" s="285"/>
      <c r="AE52" s="277"/>
      <c r="AF52" s="277"/>
      <c r="AG52" s="365"/>
    </row>
    <row r="53" spans="1:33" ht="15">
      <c r="A53" s="368">
        <v>6.98</v>
      </c>
      <c r="B53" s="277" t="s">
        <v>360</v>
      </c>
      <c r="C53" s="277"/>
      <c r="D53" s="291">
        <v>5.0999999999999996</v>
      </c>
      <c r="E53" s="277"/>
      <c r="F53" s="285">
        <f>F27</f>
        <v>0</v>
      </c>
      <c r="G53" s="277"/>
      <c r="H53" s="285">
        <f>ROUND(+F53*$D53,0)</f>
        <v>0</v>
      </c>
      <c r="I53" s="277"/>
      <c r="J53" s="285">
        <f>J27</f>
        <v>11</v>
      </c>
      <c r="K53" s="277"/>
      <c r="L53" s="285">
        <f>ROUND(+J53*$D53,0)</f>
        <v>56</v>
      </c>
      <c r="M53" s="277"/>
      <c r="N53" s="285">
        <f>N27</f>
        <v>0</v>
      </c>
      <c r="O53" s="277"/>
      <c r="P53" s="285">
        <f>ROUND(+N53*$D53,0)</f>
        <v>0</v>
      </c>
      <c r="Q53" s="277"/>
      <c r="R53" s="285">
        <f>R27</f>
        <v>2</v>
      </c>
      <c r="S53" s="277"/>
      <c r="T53" s="285">
        <f>ROUND(+R53*$D53,0)</f>
        <v>10</v>
      </c>
      <c r="U53" s="277"/>
      <c r="V53" s="285">
        <f>V27</f>
        <v>0</v>
      </c>
      <c r="W53" s="277"/>
      <c r="X53" s="285">
        <f>ROUND(+V53*$D53,0)</f>
        <v>0</v>
      </c>
      <c r="Y53" s="277"/>
      <c r="Z53" s="285">
        <f>Fire!K19</f>
        <v>266</v>
      </c>
      <c r="AA53" s="277"/>
      <c r="AB53" s="285">
        <f>ROUND(+Z53*$D53,0)</f>
        <v>1357</v>
      </c>
      <c r="AC53" s="277"/>
      <c r="AD53" s="285">
        <f>F53+J53+N53+R53+V53+Z53</f>
        <v>279</v>
      </c>
      <c r="AE53" s="277"/>
      <c r="AF53" s="285">
        <f>H53+L53+P53+T53+X53+AB53</f>
        <v>1423</v>
      </c>
      <c r="AG53" s="365"/>
    </row>
    <row r="54" spans="1:33" ht="9.75" customHeight="1">
      <c r="A54" s="369"/>
      <c r="B54" s="277"/>
      <c r="C54" s="277"/>
      <c r="D54" s="291"/>
      <c r="E54" s="277"/>
      <c r="F54" s="285"/>
      <c r="G54" s="277"/>
      <c r="H54" s="285"/>
      <c r="I54" s="277"/>
      <c r="J54" s="285"/>
      <c r="K54" s="277"/>
      <c r="L54" s="285"/>
      <c r="M54" s="277"/>
      <c r="N54" s="285"/>
      <c r="O54" s="277"/>
      <c r="P54" s="285"/>
      <c r="Q54" s="277"/>
      <c r="R54" s="285"/>
      <c r="S54" s="277"/>
      <c r="T54" s="285"/>
      <c r="U54" s="277"/>
      <c r="V54" s="285"/>
      <c r="W54" s="277"/>
      <c r="X54" s="285"/>
      <c r="Y54" s="277"/>
      <c r="Z54" s="285"/>
      <c r="AA54" s="277"/>
      <c r="AB54" s="285"/>
      <c r="AC54" s="277"/>
      <c r="AD54" s="285"/>
      <c r="AE54" s="277"/>
      <c r="AF54" s="285"/>
      <c r="AG54" s="365"/>
    </row>
    <row r="55" spans="1:33" ht="15">
      <c r="A55" s="368">
        <v>9.5</v>
      </c>
      <c r="B55" s="370">
        <v>10</v>
      </c>
      <c r="C55" s="277"/>
      <c r="D55" s="291">
        <v>8.9</v>
      </c>
      <c r="E55" s="277"/>
      <c r="F55" s="285">
        <v>0</v>
      </c>
      <c r="G55" s="277"/>
      <c r="H55" s="285">
        <v>0</v>
      </c>
      <c r="I55" s="277"/>
      <c r="J55" s="285">
        <v>0</v>
      </c>
      <c r="K55" s="277"/>
      <c r="L55" s="285">
        <v>0</v>
      </c>
      <c r="M55" s="277"/>
      <c r="N55" s="285">
        <v>0</v>
      </c>
      <c r="O55" s="277"/>
      <c r="P55" s="285">
        <v>0</v>
      </c>
      <c r="Q55" s="277"/>
      <c r="R55" s="285">
        <v>0</v>
      </c>
      <c r="S55" s="277"/>
      <c r="T55" s="285">
        <v>0</v>
      </c>
      <c r="U55" s="277"/>
      <c r="V55" s="285">
        <v>0</v>
      </c>
      <c r="W55" s="277"/>
      <c r="X55" s="285">
        <v>0</v>
      </c>
      <c r="Y55" s="277"/>
      <c r="Z55" s="285">
        <f>Fire!K20</f>
        <v>8</v>
      </c>
      <c r="AA55" s="277"/>
      <c r="AB55" s="285">
        <f>ROUND(+Z55*$D55,0)</f>
        <v>71</v>
      </c>
      <c r="AC55" s="277"/>
      <c r="AD55" s="285">
        <f>F55+J55+N55+R55+V55+Z55</f>
        <v>8</v>
      </c>
      <c r="AE55" s="277"/>
      <c r="AF55" s="285">
        <f>H55+L55+P55+T55+X55+AB55</f>
        <v>71</v>
      </c>
      <c r="AG55" s="365"/>
    </row>
    <row r="56" spans="1:33" ht="10.7" customHeight="1">
      <c r="A56" s="368"/>
      <c r="B56" s="370"/>
      <c r="C56" s="277"/>
      <c r="D56" s="291"/>
      <c r="E56" s="277"/>
      <c r="F56" s="285"/>
      <c r="G56" s="277"/>
      <c r="H56" s="285"/>
      <c r="I56" s="277"/>
      <c r="J56" s="285"/>
      <c r="K56" s="277"/>
      <c r="L56" s="285"/>
      <c r="M56" s="277"/>
      <c r="N56" s="285"/>
      <c r="O56" s="277"/>
      <c r="P56" s="285"/>
      <c r="Q56" s="277"/>
      <c r="R56" s="285"/>
      <c r="S56" s="277"/>
      <c r="T56" s="285"/>
      <c r="U56" s="277"/>
      <c r="V56" s="285"/>
      <c r="W56" s="277"/>
      <c r="X56" s="285"/>
      <c r="Y56" s="277"/>
      <c r="Z56" s="285"/>
      <c r="AA56" s="277"/>
      <c r="AB56" s="285"/>
      <c r="AC56" s="277"/>
      <c r="AD56" s="285"/>
      <c r="AE56" s="277"/>
      <c r="AF56" s="285"/>
      <c r="AG56" s="365"/>
    </row>
    <row r="57" spans="1:33" ht="15">
      <c r="A57" s="368">
        <v>12.16</v>
      </c>
      <c r="B57" s="370">
        <v>12</v>
      </c>
      <c r="C57" s="277"/>
      <c r="D57" s="291">
        <v>9.5</v>
      </c>
      <c r="E57" s="277"/>
      <c r="F57" s="285">
        <v>0</v>
      </c>
      <c r="G57" s="277"/>
      <c r="H57" s="285">
        <v>0</v>
      </c>
      <c r="I57" s="277"/>
      <c r="J57" s="285">
        <v>0</v>
      </c>
      <c r="K57" s="277"/>
      <c r="L57" s="285">
        <v>0</v>
      </c>
      <c r="M57" s="277"/>
      <c r="N57" s="285">
        <v>0</v>
      </c>
      <c r="O57" s="277"/>
      <c r="P57" s="285">
        <v>0</v>
      </c>
      <c r="Q57" s="277"/>
      <c r="R57" s="285">
        <v>0</v>
      </c>
      <c r="S57" s="277"/>
      <c r="T57" s="285">
        <v>0</v>
      </c>
      <c r="U57" s="277"/>
      <c r="V57" s="285">
        <v>0</v>
      </c>
      <c r="W57" s="277"/>
      <c r="X57" s="285">
        <v>0</v>
      </c>
      <c r="Y57" s="277"/>
      <c r="Z57" s="285">
        <f>Fire!K21</f>
        <v>4</v>
      </c>
      <c r="AA57" s="277"/>
      <c r="AB57" s="285">
        <f>ROUND(+Z57*$D57,0)</f>
        <v>38</v>
      </c>
      <c r="AC57" s="277"/>
      <c r="AD57" s="285">
        <f>F57+J57+N57+R57+V57+Z57</f>
        <v>4</v>
      </c>
      <c r="AE57" s="277"/>
      <c r="AF57" s="285">
        <f>H57+L57+P57+T57+X57+AB57</f>
        <v>38</v>
      </c>
      <c r="AG57" s="365"/>
    </row>
    <row r="58" spans="1:33" ht="10.7" customHeight="1">
      <c r="A58" s="368"/>
      <c r="B58" s="370"/>
      <c r="C58" s="277"/>
      <c r="D58" s="291"/>
      <c r="E58" s="277"/>
      <c r="F58" s="285"/>
      <c r="G58" s="277"/>
      <c r="H58" s="285"/>
      <c r="I58" s="277"/>
      <c r="J58" s="285"/>
      <c r="K58" s="277"/>
      <c r="L58" s="285"/>
      <c r="M58" s="277"/>
      <c r="N58" s="285"/>
      <c r="O58" s="277"/>
      <c r="P58" s="285"/>
      <c r="Q58" s="277"/>
      <c r="R58" s="285"/>
      <c r="S58" s="277"/>
      <c r="T58" s="285"/>
      <c r="U58" s="277"/>
      <c r="V58" s="285"/>
      <c r="W58" s="277"/>
      <c r="X58" s="285"/>
      <c r="Y58" s="277"/>
      <c r="Z58" s="285"/>
      <c r="AA58" s="277"/>
      <c r="AB58" s="285"/>
      <c r="AC58" s="277"/>
      <c r="AD58" s="285"/>
      <c r="AE58" s="277"/>
      <c r="AF58" s="285"/>
      <c r="AG58" s="365"/>
    </row>
    <row r="59" spans="1:33" ht="15">
      <c r="A59" s="368">
        <v>16.690000000000001</v>
      </c>
      <c r="B59" s="370" t="s">
        <v>85</v>
      </c>
      <c r="C59" s="277"/>
      <c r="D59" s="291">
        <v>12.7</v>
      </c>
      <c r="E59" s="277"/>
      <c r="F59" s="285">
        <v>0</v>
      </c>
      <c r="G59" s="277"/>
      <c r="H59" s="285">
        <v>0</v>
      </c>
      <c r="I59" s="277"/>
      <c r="J59" s="285">
        <v>0</v>
      </c>
      <c r="K59" s="277"/>
      <c r="L59" s="285">
        <v>0</v>
      </c>
      <c r="M59" s="277"/>
      <c r="N59" s="285">
        <v>0</v>
      </c>
      <c r="O59" s="277"/>
      <c r="P59" s="285">
        <v>0</v>
      </c>
      <c r="Q59" s="277"/>
      <c r="R59" s="285">
        <v>0</v>
      </c>
      <c r="S59" s="277"/>
      <c r="T59" s="285">
        <v>0</v>
      </c>
      <c r="U59" s="277"/>
      <c r="V59" s="285">
        <v>0</v>
      </c>
      <c r="W59" s="277"/>
      <c r="X59" s="285">
        <v>0</v>
      </c>
      <c r="Y59" s="277"/>
      <c r="Z59" s="285">
        <f>Fire!K23</f>
        <v>1</v>
      </c>
      <c r="AA59" s="277"/>
      <c r="AB59" s="285">
        <f>ROUND(+Z59*$D59,0)</f>
        <v>13</v>
      </c>
      <c r="AC59" s="277"/>
      <c r="AD59" s="285">
        <f>F59+J59+N59+R59+V59+Z59</f>
        <v>1</v>
      </c>
      <c r="AE59" s="277"/>
      <c r="AF59" s="285">
        <f>H59+L59+P59+T59+X59+AB59</f>
        <v>13</v>
      </c>
      <c r="AG59" s="365"/>
    </row>
    <row r="60" spans="1:33" ht="15">
      <c r="B60" s="277"/>
      <c r="C60" s="277"/>
      <c r="D60" s="277"/>
      <c r="E60" s="277"/>
      <c r="F60" s="286"/>
      <c r="G60" s="277"/>
      <c r="H60" s="286"/>
      <c r="I60" s="277"/>
      <c r="J60" s="286"/>
      <c r="K60" s="277"/>
      <c r="L60" s="286"/>
      <c r="M60" s="277"/>
      <c r="N60" s="286"/>
      <c r="O60" s="277"/>
      <c r="P60" s="286"/>
      <c r="Q60" s="277"/>
      <c r="R60" s="286"/>
      <c r="S60" s="277"/>
      <c r="T60" s="286"/>
      <c r="U60" s="277"/>
      <c r="V60" s="286"/>
      <c r="W60" s="277"/>
      <c r="X60" s="286"/>
      <c r="Y60" s="277"/>
      <c r="Z60" s="286"/>
      <c r="AA60" s="277"/>
      <c r="AB60" s="286"/>
      <c r="AC60" s="277"/>
      <c r="AD60" s="286"/>
      <c r="AE60" s="277"/>
      <c r="AF60" s="286"/>
      <c r="AG60" s="365"/>
    </row>
    <row r="61" spans="1:33" ht="15.75" thickBot="1">
      <c r="B61" s="277" t="s">
        <v>341</v>
      </c>
      <c r="C61" s="277"/>
      <c r="D61" s="277"/>
      <c r="E61" s="277"/>
      <c r="F61" s="285">
        <f>SUM(F41:F53)</f>
        <v>94674</v>
      </c>
      <c r="G61" s="277"/>
      <c r="H61" s="285">
        <f>SUM(H41:H53)</f>
        <v>113969</v>
      </c>
      <c r="I61" s="277"/>
      <c r="J61" s="285">
        <f>SUM(J41:J53)</f>
        <v>8929</v>
      </c>
      <c r="K61" s="277"/>
      <c r="L61" s="285">
        <f>SUM(L41:L53)</f>
        <v>15656</v>
      </c>
      <c r="M61" s="277"/>
      <c r="N61" s="285">
        <f>SUM(N41:N53)</f>
        <v>53</v>
      </c>
      <c r="O61" s="277"/>
      <c r="P61" s="285">
        <f>SUM(P41:P53)</f>
        <v>160</v>
      </c>
      <c r="Q61" s="277"/>
      <c r="R61" s="285">
        <f>SUM(R41:R53)</f>
        <v>766</v>
      </c>
      <c r="S61" s="277"/>
      <c r="T61" s="285">
        <f>SUM(T41:T53)</f>
        <v>1935</v>
      </c>
      <c r="U61" s="277"/>
      <c r="V61" s="285">
        <f>SUM(V41:V53)</f>
        <v>24</v>
      </c>
      <c r="W61" s="277"/>
      <c r="X61" s="285">
        <f>SUM(X41:X53)</f>
        <v>80</v>
      </c>
      <c r="Y61" s="277"/>
      <c r="Z61" s="287">
        <f>SUM(Z41:Z60)</f>
        <v>1595</v>
      </c>
      <c r="AA61" s="277"/>
      <c r="AB61" s="285">
        <f>SUM(AB41:AB60)</f>
        <v>6497</v>
      </c>
      <c r="AC61" s="277"/>
      <c r="AD61" s="285">
        <f>SUM(AD41:AD60)</f>
        <v>106041</v>
      </c>
      <c r="AE61" s="277"/>
      <c r="AF61" s="285">
        <f>SUM(AF41:AF60)</f>
        <v>138297</v>
      </c>
      <c r="AG61" s="365"/>
    </row>
    <row r="62" spans="1:33" ht="15.75" thickTop="1">
      <c r="B62" s="277"/>
      <c r="C62" s="277"/>
      <c r="D62" s="277"/>
      <c r="E62" s="277"/>
      <c r="F62" s="288"/>
      <c r="G62" s="277"/>
      <c r="H62" s="288"/>
      <c r="I62" s="277"/>
      <c r="J62" s="288"/>
      <c r="K62" s="277"/>
      <c r="L62" s="288"/>
      <c r="M62" s="277"/>
      <c r="N62" s="288"/>
      <c r="O62" s="277"/>
      <c r="P62" s="288"/>
      <c r="Q62" s="277"/>
      <c r="R62" s="288"/>
      <c r="S62" s="277"/>
      <c r="T62" s="288"/>
      <c r="U62" s="277"/>
      <c r="V62" s="288"/>
      <c r="W62" s="277"/>
      <c r="X62" s="288"/>
      <c r="Y62" s="277"/>
      <c r="Z62" s="289"/>
      <c r="AA62" s="277"/>
      <c r="AB62" s="288"/>
      <c r="AC62" s="277"/>
      <c r="AD62" s="288"/>
      <c r="AE62" s="277"/>
      <c r="AF62" s="288"/>
      <c r="AG62" s="365"/>
    </row>
    <row r="63" spans="1:33" ht="15">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3"/>
      <c r="AF63" s="293"/>
      <c r="AG63" s="365"/>
    </row>
    <row r="64" spans="1:33" ht="15">
      <c r="B64" s="292"/>
      <c r="C64" s="292"/>
      <c r="D64" s="292"/>
      <c r="E64" s="292"/>
      <c r="F64" s="516" t="s">
        <v>779</v>
      </c>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76"/>
      <c r="AF64" s="276"/>
      <c r="AG64" s="365"/>
    </row>
    <row r="65" spans="2:33" ht="15">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76"/>
      <c r="AF65" s="276"/>
      <c r="AG65" s="365"/>
    </row>
    <row r="66" spans="2:33" ht="15">
      <c r="B66" s="292"/>
      <c r="C66" s="292"/>
      <c r="D66" s="292"/>
      <c r="E66" s="292"/>
      <c r="F66" s="371"/>
      <c r="G66" s="371"/>
      <c r="H66" s="371"/>
      <c r="I66" s="371"/>
      <c r="J66" s="372"/>
      <c r="K66" s="371"/>
      <c r="L66" s="371"/>
      <c r="M66" s="292"/>
      <c r="N66" s="292"/>
      <c r="O66" s="292"/>
      <c r="P66" s="292"/>
      <c r="Q66" s="292"/>
      <c r="R66" s="292"/>
      <c r="S66" s="292"/>
      <c r="T66" s="292"/>
      <c r="U66" s="292"/>
      <c r="V66" s="292"/>
      <c r="W66" s="292"/>
      <c r="X66" s="292"/>
      <c r="Y66" s="292"/>
      <c r="Z66" s="292"/>
      <c r="AA66" s="292"/>
      <c r="AB66" s="292"/>
      <c r="AC66" s="292"/>
      <c r="AD66" s="292"/>
      <c r="AE66" s="276"/>
      <c r="AF66" s="276"/>
      <c r="AG66" s="365"/>
    </row>
    <row r="67" spans="2:33" ht="15">
      <c r="B67" s="292"/>
      <c r="C67" s="292"/>
      <c r="D67" s="292"/>
      <c r="E67" s="292"/>
      <c r="F67" s="373"/>
      <c r="G67" s="373"/>
      <c r="H67" s="373"/>
      <c r="I67" s="371"/>
      <c r="J67" s="374"/>
      <c r="K67" s="372"/>
      <c r="L67" s="374"/>
      <c r="M67" s="292"/>
      <c r="N67" s="292"/>
      <c r="O67" s="292"/>
      <c r="P67" s="292"/>
      <c r="Q67" s="292"/>
      <c r="R67" s="292"/>
      <c r="S67" s="292"/>
      <c r="T67" s="292"/>
      <c r="U67" s="292"/>
      <c r="V67" s="292"/>
      <c r="W67" s="292"/>
      <c r="X67" s="292"/>
      <c r="Y67" s="292"/>
      <c r="Z67" s="292"/>
      <c r="AA67" s="292"/>
      <c r="AB67" s="292"/>
      <c r="AC67" s="292"/>
      <c r="AD67" s="292"/>
      <c r="AE67" s="276"/>
      <c r="AF67" s="276"/>
      <c r="AG67" s="365"/>
    </row>
    <row r="68" spans="2:33" ht="15">
      <c r="B68" s="292"/>
      <c r="C68" s="292"/>
      <c r="D68" s="292"/>
      <c r="E68" s="292"/>
      <c r="F68" s="373"/>
      <c r="G68" s="373"/>
      <c r="H68" s="373"/>
      <c r="I68" s="371"/>
      <c r="J68" s="374"/>
      <c r="K68" s="372"/>
      <c r="L68" s="374"/>
      <c r="M68" s="292"/>
      <c r="N68" s="292"/>
      <c r="O68" s="292"/>
      <c r="P68" s="292"/>
      <c r="Q68" s="292"/>
      <c r="R68" s="292"/>
      <c r="S68" s="292"/>
      <c r="T68" s="292"/>
      <c r="U68" s="292"/>
      <c r="V68" s="292"/>
      <c r="W68" s="292"/>
      <c r="X68" s="292"/>
      <c r="Y68" s="292"/>
      <c r="Z68" s="292"/>
      <c r="AA68" s="292"/>
      <c r="AB68" s="292"/>
      <c r="AC68" s="292"/>
      <c r="AD68" s="292"/>
      <c r="AE68" s="276"/>
      <c r="AF68" s="276"/>
      <c r="AG68" s="365"/>
    </row>
    <row r="69" spans="2:33" ht="15">
      <c r="B69" s="292"/>
      <c r="C69" s="292"/>
      <c r="D69" s="292"/>
      <c r="E69" s="292"/>
      <c r="F69" s="371"/>
      <c r="G69" s="371"/>
      <c r="H69" s="371"/>
      <c r="I69" s="371"/>
      <c r="J69" s="371"/>
      <c r="K69" s="371"/>
      <c r="L69" s="371"/>
      <c r="M69" s="292"/>
      <c r="N69" s="292"/>
      <c r="O69" s="292"/>
      <c r="P69" s="292"/>
      <c r="Q69" s="292"/>
      <c r="R69" s="292"/>
      <c r="S69" s="292"/>
      <c r="T69" s="292"/>
      <c r="U69" s="292"/>
      <c r="V69" s="292"/>
      <c r="W69" s="292"/>
      <c r="X69" s="292"/>
      <c r="Y69" s="292"/>
      <c r="Z69" s="292"/>
      <c r="AA69" s="292"/>
      <c r="AB69" s="292"/>
      <c r="AC69" s="292"/>
      <c r="AD69" s="292"/>
      <c r="AE69" s="276"/>
      <c r="AF69" s="276"/>
      <c r="AG69" s="365"/>
    </row>
    <row r="70" spans="2:33" ht="15">
      <c r="B70" s="292"/>
      <c r="C70" s="292"/>
      <c r="D70" s="396" t="s">
        <v>778</v>
      </c>
      <c r="E70" s="292"/>
      <c r="F70" s="278"/>
      <c r="G70" s="292"/>
      <c r="H70" s="277"/>
      <c r="I70" s="292"/>
      <c r="J70" s="277"/>
      <c r="K70" s="292"/>
      <c r="L70" s="291"/>
      <c r="M70" s="292"/>
      <c r="N70" s="292"/>
      <c r="O70" s="292"/>
      <c r="P70" s="277"/>
      <c r="Q70" s="292"/>
      <c r="R70" s="292"/>
      <c r="S70" s="292"/>
      <c r="T70" s="292"/>
      <c r="U70" s="292"/>
      <c r="V70" s="292"/>
      <c r="W70" s="292"/>
      <c r="X70" s="292"/>
      <c r="Y70" s="292"/>
      <c r="Z70" s="292"/>
      <c r="AA70" s="292"/>
      <c r="AB70" s="292"/>
      <c r="AC70" s="292"/>
      <c r="AD70" s="292"/>
      <c r="AE70" s="276"/>
      <c r="AF70" s="276"/>
      <c r="AG70" s="365"/>
    </row>
    <row r="71" spans="2:33" ht="15">
      <c r="B71" s="292"/>
      <c r="C71" s="292"/>
      <c r="D71" s="292"/>
      <c r="E71" s="292"/>
      <c r="F71" s="278"/>
      <c r="G71" s="292"/>
      <c r="H71" s="277"/>
      <c r="I71" s="292"/>
      <c r="J71" s="277"/>
      <c r="K71" s="292"/>
      <c r="L71" s="291"/>
      <c r="M71" s="292"/>
      <c r="N71" s="292"/>
      <c r="O71" s="292"/>
      <c r="P71" s="277"/>
      <c r="Q71" s="292"/>
      <c r="R71" s="292"/>
      <c r="S71" s="292"/>
      <c r="T71" s="292"/>
      <c r="U71" s="292"/>
      <c r="V71" s="292"/>
      <c r="W71" s="292"/>
      <c r="X71" s="292"/>
      <c r="Y71" s="292"/>
      <c r="Z71" s="292"/>
      <c r="AA71" s="292"/>
      <c r="AB71" s="292"/>
      <c r="AC71" s="292"/>
      <c r="AD71" s="292"/>
      <c r="AE71" s="276"/>
      <c r="AF71" s="276"/>
      <c r="AG71" s="365"/>
    </row>
    <row r="72" spans="2:33" ht="15">
      <c r="B72" s="292"/>
      <c r="C72" s="292"/>
      <c r="D72" s="292"/>
      <c r="E72" s="292"/>
      <c r="F72" s="278">
        <f>1153*2</f>
        <v>2306</v>
      </c>
      <c r="G72" s="292"/>
      <c r="H72" s="277"/>
      <c r="I72" s="292"/>
      <c r="J72" s="284"/>
      <c r="K72" s="292"/>
      <c r="L72" s="291"/>
      <c r="M72" s="292"/>
      <c r="N72" s="292"/>
      <c r="O72" s="292"/>
      <c r="P72" s="277"/>
      <c r="Q72" s="292"/>
      <c r="R72" s="292"/>
      <c r="S72" s="292"/>
      <c r="T72" s="292"/>
      <c r="U72" s="292"/>
      <c r="V72" s="292"/>
      <c r="W72" s="292"/>
      <c r="X72" s="292"/>
      <c r="Y72" s="292"/>
      <c r="Z72" s="292"/>
      <c r="AA72" s="292"/>
      <c r="AB72" s="292"/>
      <c r="AC72" s="292"/>
      <c r="AD72" s="292"/>
      <c r="AE72" s="276"/>
      <c r="AF72" s="276"/>
      <c r="AG72" s="365"/>
    </row>
    <row r="73" spans="2:33" ht="15">
      <c r="B73" s="292"/>
      <c r="C73" s="292"/>
      <c r="D73" s="292"/>
      <c r="E73" s="292"/>
      <c r="F73" s="278">
        <v>32264</v>
      </c>
      <c r="G73" s="292"/>
      <c r="H73" s="277"/>
      <c r="I73" s="292"/>
      <c r="J73" s="284"/>
      <c r="K73" s="292"/>
      <c r="L73" s="291"/>
      <c r="M73" s="292"/>
      <c r="N73" s="292"/>
      <c r="O73" s="292"/>
      <c r="P73" s="277"/>
      <c r="Q73" s="292"/>
      <c r="R73" s="292"/>
      <c r="S73" s="292"/>
      <c r="T73" s="292"/>
      <c r="U73" s="292"/>
      <c r="V73" s="292"/>
      <c r="W73" s="292"/>
      <c r="X73" s="292"/>
      <c r="Y73" s="292"/>
      <c r="Z73" s="292"/>
      <c r="AA73" s="292"/>
      <c r="AB73" s="292"/>
      <c r="AC73" s="292"/>
      <c r="AD73" s="292"/>
      <c r="AE73" s="276"/>
      <c r="AF73" s="276"/>
      <c r="AG73" s="365"/>
    </row>
    <row r="74" spans="2:33" ht="15">
      <c r="B74" s="375"/>
      <c r="C74" s="376"/>
      <c r="D74" s="377"/>
      <c r="E74" s="292"/>
      <c r="F74" s="278">
        <f>+F72+F73</f>
        <v>34570</v>
      </c>
      <c r="G74" s="292"/>
      <c r="H74" s="277"/>
      <c r="I74" s="292"/>
      <c r="J74" s="277"/>
      <c r="K74" s="292"/>
      <c r="L74" s="291"/>
      <c r="M74" s="292"/>
      <c r="N74" s="292"/>
      <c r="O74" s="292"/>
      <c r="P74" s="277"/>
      <c r="Q74" s="292"/>
      <c r="R74" s="292"/>
      <c r="S74" s="292"/>
      <c r="T74" s="292"/>
      <c r="U74" s="292"/>
      <c r="V74" s="292"/>
      <c r="W74" s="292"/>
      <c r="X74" s="292"/>
      <c r="Y74" s="292"/>
      <c r="Z74" s="292"/>
      <c r="AA74" s="292"/>
      <c r="AB74" s="292"/>
      <c r="AC74" s="292"/>
      <c r="AD74" s="292"/>
      <c r="AE74" s="276"/>
      <c r="AF74" s="276"/>
      <c r="AG74" s="365"/>
    </row>
    <row r="75" spans="2:33" ht="15">
      <c r="B75" s="375"/>
      <c r="C75" s="376"/>
      <c r="D75" s="376"/>
      <c r="E75" s="292"/>
      <c r="F75" s="278"/>
      <c r="G75" s="292"/>
      <c r="H75" s="277"/>
      <c r="I75" s="292"/>
      <c r="J75" s="277"/>
      <c r="K75" s="292"/>
      <c r="L75" s="291"/>
      <c r="M75" s="292"/>
      <c r="N75" s="292"/>
      <c r="O75" s="292"/>
      <c r="P75" s="277"/>
      <c r="Q75" s="292"/>
      <c r="R75" s="292"/>
      <c r="S75" s="292"/>
      <c r="T75" s="292"/>
      <c r="U75" s="292"/>
      <c r="V75" s="292"/>
      <c r="W75" s="292"/>
      <c r="X75" s="292"/>
      <c r="Y75" s="292"/>
      <c r="Z75" s="292"/>
      <c r="AA75" s="292"/>
      <c r="AB75" s="292"/>
      <c r="AC75" s="292"/>
      <c r="AD75" s="292"/>
      <c r="AE75" s="276"/>
      <c r="AF75" s="276"/>
      <c r="AG75" s="365"/>
    </row>
    <row r="76" spans="2:33" ht="15">
      <c r="B76" s="375"/>
      <c r="C76" s="376"/>
      <c r="D76" s="376"/>
      <c r="E76" s="292"/>
      <c r="F76" s="278"/>
      <c r="G76" s="292"/>
      <c r="H76" s="277"/>
      <c r="I76" s="292"/>
      <c r="J76" s="277"/>
      <c r="K76" s="292"/>
      <c r="L76" s="291"/>
      <c r="M76" s="292"/>
      <c r="N76" s="292"/>
      <c r="O76" s="292"/>
      <c r="P76" s="277"/>
      <c r="Q76" s="292"/>
      <c r="R76" s="292"/>
      <c r="S76" s="292"/>
      <c r="T76" s="292"/>
      <c r="U76" s="292"/>
      <c r="V76" s="292"/>
      <c r="W76" s="292"/>
      <c r="X76" s="292"/>
      <c r="Y76" s="292"/>
      <c r="Z76" s="292"/>
      <c r="AA76" s="292"/>
      <c r="AB76" s="292"/>
      <c r="AC76" s="292"/>
      <c r="AD76" s="292"/>
      <c r="AE76" s="276"/>
      <c r="AF76" s="276"/>
      <c r="AG76" s="365"/>
    </row>
    <row r="77" spans="2:33" ht="15">
      <c r="B77" s="375"/>
      <c r="C77" s="376"/>
      <c r="D77" s="377"/>
      <c r="E77" s="292"/>
      <c r="F77" s="278"/>
      <c r="G77" s="292"/>
      <c r="H77" s="277"/>
      <c r="I77" s="292"/>
      <c r="J77" s="277"/>
      <c r="K77" s="292"/>
      <c r="L77" s="291"/>
      <c r="M77" s="292"/>
      <c r="N77" s="292"/>
      <c r="O77" s="292"/>
      <c r="P77" s="277"/>
      <c r="Q77" s="292"/>
      <c r="R77" s="292"/>
      <c r="S77" s="292"/>
      <c r="T77" s="292"/>
      <c r="U77" s="292"/>
      <c r="V77" s="292"/>
      <c r="W77" s="292"/>
      <c r="X77" s="292"/>
      <c r="Y77" s="292"/>
      <c r="Z77" s="292"/>
      <c r="AA77" s="292"/>
      <c r="AB77" s="292"/>
      <c r="AC77" s="292"/>
      <c r="AD77" s="292"/>
      <c r="AE77" s="276"/>
      <c r="AF77" s="276"/>
      <c r="AG77" s="365"/>
    </row>
    <row r="78" spans="2:33" ht="15">
      <c r="B78" s="375"/>
      <c r="C78" s="376"/>
      <c r="D78" s="376"/>
      <c r="E78" s="292"/>
      <c r="F78" s="278"/>
      <c r="G78" s="292"/>
      <c r="H78" s="277"/>
      <c r="I78" s="292"/>
      <c r="J78" s="277"/>
      <c r="K78" s="292"/>
      <c r="L78" s="291"/>
      <c r="M78" s="292"/>
      <c r="N78" s="292"/>
      <c r="O78" s="292"/>
      <c r="P78" s="277"/>
      <c r="Q78" s="292"/>
      <c r="R78" s="292"/>
      <c r="S78" s="292"/>
      <c r="T78" s="292"/>
      <c r="U78" s="292"/>
      <c r="V78" s="292"/>
      <c r="W78" s="292"/>
      <c r="X78" s="292"/>
      <c r="Y78" s="292"/>
      <c r="Z78" s="292"/>
      <c r="AA78" s="292"/>
      <c r="AB78" s="292"/>
      <c r="AC78" s="292"/>
      <c r="AD78" s="292"/>
      <c r="AE78" s="276"/>
      <c r="AF78" s="276"/>
      <c r="AG78" s="365"/>
    </row>
    <row r="79" spans="2:33" ht="15">
      <c r="B79" s="375"/>
      <c r="C79" s="376"/>
      <c r="D79" s="376"/>
      <c r="E79" s="292"/>
      <c r="F79" s="278"/>
      <c r="G79" s="292"/>
      <c r="H79" s="277"/>
      <c r="I79" s="292"/>
      <c r="J79" s="378"/>
      <c r="K79" s="292"/>
      <c r="L79" s="291"/>
      <c r="M79" s="292"/>
      <c r="N79" s="292"/>
      <c r="O79" s="292"/>
      <c r="P79" s="292"/>
      <c r="Q79" s="292"/>
      <c r="R79" s="292"/>
      <c r="S79" s="292"/>
      <c r="T79" s="292"/>
      <c r="U79" s="292"/>
      <c r="V79" s="292"/>
      <c r="W79" s="292"/>
      <c r="X79" s="292"/>
      <c r="Y79" s="292"/>
      <c r="Z79" s="292"/>
      <c r="AA79" s="292"/>
      <c r="AB79" s="292"/>
      <c r="AC79" s="292"/>
      <c r="AD79" s="292"/>
      <c r="AE79" s="276"/>
      <c r="AF79" s="276"/>
      <c r="AG79" s="365"/>
    </row>
    <row r="80" spans="2:33" ht="15">
      <c r="B80" s="375"/>
      <c r="C80" s="376"/>
      <c r="D80" s="377"/>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76"/>
      <c r="AF80" s="276"/>
      <c r="AG80" s="365"/>
    </row>
    <row r="81" spans="2:33" ht="15">
      <c r="B81" s="375"/>
      <c r="C81" s="376"/>
      <c r="D81" s="376"/>
      <c r="E81" s="292"/>
      <c r="F81" s="292"/>
      <c r="G81" s="292"/>
      <c r="H81" s="292"/>
      <c r="I81" s="292"/>
      <c r="J81" s="292"/>
      <c r="K81" s="292"/>
      <c r="L81" s="292"/>
      <c r="M81" s="292"/>
      <c r="N81" s="292"/>
      <c r="O81" s="292"/>
      <c r="P81" s="277"/>
      <c r="Q81" s="292"/>
      <c r="R81" s="292"/>
      <c r="S81" s="292"/>
      <c r="T81" s="292"/>
      <c r="U81" s="292"/>
      <c r="V81" s="292"/>
      <c r="W81" s="292"/>
      <c r="X81" s="292"/>
      <c r="Y81" s="292"/>
      <c r="Z81" s="292"/>
      <c r="AA81" s="292"/>
      <c r="AB81" s="292"/>
      <c r="AC81" s="292"/>
      <c r="AD81" s="292"/>
      <c r="AE81" s="276"/>
      <c r="AF81" s="276"/>
      <c r="AG81" s="365"/>
    </row>
    <row r="82" spans="2:33" ht="15">
      <c r="B82" s="375"/>
      <c r="C82" s="376"/>
      <c r="D82" s="376"/>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76"/>
      <c r="AF82" s="276"/>
      <c r="AG82" s="365"/>
    </row>
    <row r="83" spans="2:33" ht="15">
      <c r="B83" s="375"/>
      <c r="C83" s="376"/>
      <c r="D83" s="377"/>
      <c r="E83" s="292"/>
      <c r="F83" s="292"/>
      <c r="G83" s="292"/>
      <c r="H83" s="292"/>
      <c r="I83" s="292"/>
      <c r="J83" s="292"/>
      <c r="K83" s="292"/>
      <c r="L83" s="292"/>
      <c r="M83" s="292"/>
      <c r="N83" s="292"/>
      <c r="O83" s="292"/>
      <c r="P83" s="277"/>
      <c r="Q83" s="292"/>
      <c r="R83" s="292"/>
      <c r="S83" s="292"/>
      <c r="T83" s="292"/>
      <c r="U83" s="292"/>
      <c r="V83" s="292"/>
      <c r="W83" s="292"/>
      <c r="X83" s="292"/>
      <c r="Y83" s="292"/>
      <c r="Z83" s="292"/>
      <c r="AA83" s="292"/>
      <c r="AB83" s="292"/>
      <c r="AC83" s="292"/>
      <c r="AD83" s="292"/>
      <c r="AE83" s="276"/>
      <c r="AF83" s="276"/>
      <c r="AG83" s="365"/>
    </row>
    <row r="84" spans="2:33" ht="15">
      <c r="B84" s="375"/>
      <c r="C84" s="376"/>
      <c r="D84" s="376"/>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76"/>
      <c r="AF84" s="276"/>
      <c r="AG84" s="365"/>
    </row>
    <row r="85" spans="2:33" ht="15">
      <c r="B85" s="375"/>
      <c r="C85" s="376"/>
      <c r="D85" s="376"/>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76"/>
      <c r="AF85" s="276"/>
      <c r="AG85" s="365"/>
    </row>
    <row r="86" spans="2:33">
      <c r="B86" s="375"/>
      <c r="C86" s="376"/>
      <c r="D86" s="377"/>
    </row>
  </sheetData>
  <mergeCells count="2">
    <mergeCell ref="AH9:AK9"/>
    <mergeCell ref="AM9:AP9"/>
  </mergeCells>
  <phoneticPr fontId="11" type="noConversion"/>
  <printOptions horizontalCentered="1"/>
  <pageMargins left="0.5" right="0.5" top="1" bottom="1" header="0.5" footer="0.5"/>
  <pageSetup scale="70" fitToHeight="0" orientation="landscape" r:id="rId1"/>
  <headerFooter alignWithMargins="0"/>
  <rowBreaks count="1" manualBreakCount="1">
    <brk id="30" min="1" max="31" man="1"/>
  </rowBreaks>
</worksheet>
</file>

<file path=xl/worksheets/sheet11.xml><?xml version="1.0" encoding="utf-8"?>
<worksheet xmlns="http://schemas.openxmlformats.org/spreadsheetml/2006/main" xmlns:r="http://schemas.openxmlformats.org/officeDocument/2006/relationships">
  <sheetPr>
    <pageSetUpPr autoPageBreaks="0"/>
  </sheetPr>
  <dimension ref="A1:S72"/>
  <sheetViews>
    <sheetView workbookViewId="0"/>
  </sheetViews>
  <sheetFormatPr defaultColWidth="9.77734375" defaultRowHeight="15"/>
  <cols>
    <col min="1" max="1" width="7.77734375" style="38" customWidth="1"/>
    <col min="2" max="2" width="9.109375" style="38" customWidth="1"/>
    <col min="3" max="3" width="11.33203125" style="38" customWidth="1"/>
    <col min="4" max="4" width="9.77734375" style="38" customWidth="1"/>
    <col min="5" max="5" width="11.44140625" style="38" customWidth="1"/>
    <col min="6" max="6" width="9.77734375" style="38" customWidth="1"/>
    <col min="7" max="7" width="10.109375" style="38" customWidth="1"/>
    <col min="8" max="16384" width="9.77734375" style="38"/>
  </cols>
  <sheetData>
    <row r="1" spans="1:9">
      <c r="A1" s="37" t="s">
        <v>8</v>
      </c>
      <c r="B1" s="1"/>
      <c r="C1" s="37"/>
      <c r="D1" s="1"/>
      <c r="E1" s="1"/>
      <c r="F1" s="1"/>
      <c r="G1" s="1"/>
    </row>
    <row r="2" spans="1:9">
      <c r="A2" s="178"/>
      <c r="B2" s="1"/>
      <c r="C2" s="37"/>
      <c r="D2" s="1"/>
      <c r="E2" s="1"/>
      <c r="F2" s="1"/>
      <c r="G2" s="1"/>
    </row>
    <row r="3" spans="1:9">
      <c r="A3" s="1"/>
      <c r="B3" s="1"/>
      <c r="C3" s="1"/>
      <c r="D3" s="1"/>
      <c r="E3" s="1"/>
      <c r="F3" s="1"/>
      <c r="G3" s="1"/>
      <c r="I3" s="2"/>
    </row>
    <row r="4" spans="1:9">
      <c r="A4" s="1" t="s">
        <v>236</v>
      </c>
      <c r="B4" s="1"/>
      <c r="C4" s="1"/>
      <c r="D4" s="1"/>
      <c r="E4" s="1"/>
      <c r="F4" s="1"/>
      <c r="G4" s="1"/>
    </row>
    <row r="5" spans="1:9">
      <c r="A5" s="2"/>
      <c r="B5" s="2"/>
      <c r="C5" s="2"/>
      <c r="D5" s="2"/>
      <c r="E5" s="2"/>
      <c r="F5" s="2"/>
      <c r="G5" s="2"/>
    </row>
    <row r="6" spans="1:9">
      <c r="A6" s="2"/>
      <c r="B6" s="133"/>
      <c r="C6" s="2"/>
      <c r="D6" s="2"/>
      <c r="E6" s="2"/>
      <c r="F6" s="2"/>
      <c r="G6" s="2"/>
    </row>
    <row r="7" spans="1:9">
      <c r="A7" s="2" t="s">
        <v>158</v>
      </c>
      <c r="B7" s="2"/>
      <c r="C7" s="2"/>
      <c r="D7" s="2"/>
      <c r="E7" s="2"/>
      <c r="F7" s="2"/>
      <c r="G7" s="2"/>
    </row>
    <row r="8" spans="1:9">
      <c r="A8" s="2" t="s">
        <v>187</v>
      </c>
      <c r="B8" s="2"/>
      <c r="C8" s="2"/>
      <c r="D8" s="2"/>
      <c r="E8" s="2"/>
      <c r="F8" s="2"/>
      <c r="G8" s="2"/>
    </row>
    <row r="9" spans="1:9" ht="9.1999999999999993" customHeight="1">
      <c r="A9" s="2"/>
      <c r="B9" s="2"/>
      <c r="C9" s="2"/>
      <c r="D9" s="2"/>
      <c r="E9" s="2"/>
      <c r="F9" s="2"/>
      <c r="G9" s="2"/>
    </row>
    <row r="10" spans="1:9" ht="27.6" customHeight="1">
      <c r="A10" s="616" t="s">
        <v>368</v>
      </c>
      <c r="B10" s="616"/>
      <c r="C10" s="616"/>
      <c r="D10" s="616"/>
      <c r="E10" s="616"/>
      <c r="F10" s="616"/>
      <c r="G10" s="616"/>
    </row>
    <row r="11" spans="1:9" ht="9.1999999999999993" customHeight="1">
      <c r="A11" s="2"/>
      <c r="B11" s="2"/>
      <c r="C11" s="2"/>
      <c r="D11" s="2"/>
      <c r="E11" s="2"/>
      <c r="F11" s="2"/>
      <c r="G11" s="2"/>
    </row>
    <row r="12" spans="1:9" ht="13.35" customHeight="1">
      <c r="A12" s="2"/>
      <c r="B12" s="2"/>
      <c r="C12" s="2"/>
      <c r="D12" s="12" t="s">
        <v>369</v>
      </c>
      <c r="E12" s="2"/>
      <c r="F12" s="2"/>
      <c r="G12" s="2"/>
    </row>
    <row r="13" spans="1:9" ht="13.35" customHeight="1">
      <c r="A13" s="2"/>
      <c r="B13" s="2"/>
      <c r="C13" s="2"/>
      <c r="D13" s="12" t="s">
        <v>451</v>
      </c>
      <c r="E13" s="2"/>
      <c r="F13" s="2"/>
      <c r="G13" s="2"/>
    </row>
    <row r="14" spans="1:9" ht="13.35" customHeight="1">
      <c r="A14" s="1" t="s">
        <v>204</v>
      </c>
      <c r="B14" s="37"/>
      <c r="C14" s="2"/>
      <c r="D14" s="12" t="s">
        <v>372</v>
      </c>
      <c r="E14" s="2"/>
      <c r="F14" s="12" t="s">
        <v>206</v>
      </c>
      <c r="G14" s="2"/>
    </row>
    <row r="15" spans="1:9" ht="13.35" customHeight="1">
      <c r="A15" s="1" t="s">
        <v>207</v>
      </c>
      <c r="B15" s="37"/>
      <c r="C15" s="2"/>
      <c r="D15" s="12" t="s">
        <v>373</v>
      </c>
      <c r="E15" s="2"/>
      <c r="F15" s="12" t="s">
        <v>208</v>
      </c>
      <c r="G15" s="2"/>
    </row>
    <row r="16" spans="1:9">
      <c r="A16" s="3" t="s">
        <v>209</v>
      </c>
      <c r="B16" s="134"/>
      <c r="C16" s="2"/>
      <c r="D16" s="11" t="s">
        <v>229</v>
      </c>
      <c r="E16" s="2" t="s">
        <v>329</v>
      </c>
      <c r="F16" s="11" t="s">
        <v>211</v>
      </c>
      <c r="G16" s="2"/>
    </row>
    <row r="17" spans="1:19" ht="7.9" customHeight="1">
      <c r="A17" s="2"/>
      <c r="C17" s="2"/>
      <c r="D17" s="2"/>
      <c r="E17" s="2"/>
      <c r="F17" s="135"/>
      <c r="G17" s="2"/>
    </row>
    <row r="18" spans="1:19" ht="13.35" customHeight="1">
      <c r="A18" s="2" t="s">
        <v>212</v>
      </c>
      <c r="C18" s="2"/>
      <c r="D18" s="223">
        <f>+'COS 1'!L361</f>
        <v>677990.38683673646</v>
      </c>
      <c r="E18" s="2"/>
      <c r="F18" s="135">
        <f>+'COS 1'!L362</f>
        <v>0.75409999999999999</v>
      </c>
      <c r="G18" s="135"/>
      <c r="H18" s="135"/>
      <c r="I18" s="135"/>
      <c r="J18" s="135"/>
      <c r="K18" s="135"/>
      <c r="M18" s="135"/>
      <c r="O18" s="135"/>
      <c r="Q18" s="135"/>
      <c r="S18" s="135"/>
    </row>
    <row r="19" spans="1:19" ht="13.35" customHeight="1">
      <c r="A19" s="2" t="s">
        <v>213</v>
      </c>
      <c r="C19" s="2"/>
      <c r="D19" s="220">
        <f>+'COS 1'!N361</f>
        <v>146112.10487757792</v>
      </c>
      <c r="E19" s="2"/>
      <c r="F19" s="135">
        <f>+'COS 1'!N362</f>
        <v>0.16250000000000001</v>
      </c>
      <c r="G19" s="2"/>
    </row>
    <row r="20" spans="1:19" ht="13.35" customHeight="1">
      <c r="A20" s="2" t="s">
        <v>214</v>
      </c>
      <c r="C20" s="2"/>
      <c r="D20" s="220">
        <f>+'COS 1'!P361</f>
        <v>9092.4843048024959</v>
      </c>
      <c r="E20" s="2"/>
      <c r="F20" s="135">
        <f>+'COS 1'!P362</f>
        <v>1.01E-2</v>
      </c>
      <c r="G20" s="2"/>
    </row>
    <row r="21" spans="1:19" ht="13.35" customHeight="1">
      <c r="A21" s="2" t="s">
        <v>216</v>
      </c>
      <c r="C21" s="2"/>
      <c r="D21" s="220">
        <f>+'COS 1'!R361</f>
        <v>32559.68945802734</v>
      </c>
      <c r="E21" s="2"/>
      <c r="F21" s="135">
        <f>+'COS 1'!R362</f>
        <v>3.6200000000000003E-2</v>
      </c>
      <c r="G21" s="2"/>
    </row>
    <row r="22" spans="1:19" ht="13.35" customHeight="1">
      <c r="A22" s="2" t="s">
        <v>337</v>
      </c>
      <c r="C22" s="2"/>
      <c r="D22" s="220">
        <f>+'COS 1'!T361</f>
        <v>2817.0235725470488</v>
      </c>
      <c r="E22" s="2"/>
      <c r="F22" s="135">
        <f>+'COS 1'!T362</f>
        <v>3.0999999999999999E-3</v>
      </c>
      <c r="G22" s="2"/>
    </row>
    <row r="23" spans="1:19" ht="13.35" customHeight="1">
      <c r="A23" s="2" t="s">
        <v>218</v>
      </c>
      <c r="C23" s="2"/>
      <c r="D23" s="220">
        <f>+'COS 1'!V361</f>
        <v>18362.937310009638</v>
      </c>
      <c r="E23" s="2"/>
      <c r="F23" s="135">
        <f>+'COS 1'!V362</f>
        <v>2.0400000000000001E-2</v>
      </c>
      <c r="G23" s="2"/>
    </row>
    <row r="24" spans="1:19" ht="13.35" customHeight="1">
      <c r="A24" s="2" t="s">
        <v>219</v>
      </c>
      <c r="C24" s="2"/>
      <c r="D24" s="220">
        <f>+'COS 1'!X361</f>
        <v>12189.28374378739</v>
      </c>
      <c r="E24" s="2"/>
      <c r="F24" s="135">
        <f>+'COS 1'!X362</f>
        <v>1.3599999999999999E-2</v>
      </c>
      <c r="G24" s="2"/>
    </row>
    <row r="25" spans="1:19" ht="8.25" customHeight="1">
      <c r="A25" s="2"/>
      <c r="C25" s="2"/>
      <c r="D25" s="221"/>
      <c r="E25" s="2"/>
      <c r="F25" s="7"/>
      <c r="G25" s="2"/>
    </row>
    <row r="26" spans="1:19" ht="15.75" thickBot="1">
      <c r="A26" s="2" t="s">
        <v>220</v>
      </c>
      <c r="C26" s="2"/>
      <c r="D26" s="222">
        <f>SUM(D18:D25)</f>
        <v>899123.91010348825</v>
      </c>
      <c r="E26" s="2"/>
      <c r="F26" s="151">
        <f>SUM(F18:F25)</f>
        <v>0.99999999999999989</v>
      </c>
      <c r="G26" s="2"/>
    </row>
    <row r="27" spans="1:19" ht="11.85" customHeight="1" thickTop="1">
      <c r="A27" s="2"/>
      <c r="B27" s="2"/>
      <c r="C27"/>
      <c r="D27"/>
      <c r="E27"/>
      <c r="F27"/>
      <c r="G27"/>
      <c r="H27"/>
    </row>
    <row r="28" spans="1:19" ht="15" hidden="1" customHeight="1">
      <c r="A28" s="2"/>
      <c r="B28" s="2"/>
      <c r="C28"/>
      <c r="D28"/>
      <c r="E28"/>
      <c r="F28"/>
      <c r="G28"/>
      <c r="H28"/>
    </row>
    <row r="29" spans="1:19" ht="15" hidden="1" customHeight="1">
      <c r="A29" s="136" t="s">
        <v>374</v>
      </c>
      <c r="B29" s="2"/>
      <c r="C29"/>
      <c r="D29"/>
      <c r="E29"/>
      <c r="F29"/>
      <c r="G29"/>
      <c r="H29"/>
    </row>
    <row r="30" spans="1:19" ht="15" hidden="1" customHeight="1">
      <c r="A30" s="136" t="s">
        <v>375</v>
      </c>
      <c r="B30" s="2"/>
      <c r="C30"/>
      <c r="D30"/>
      <c r="E30"/>
      <c r="F30"/>
      <c r="G30"/>
      <c r="H30"/>
    </row>
    <row r="31" spans="1:19" ht="15" hidden="1" customHeight="1">
      <c r="A31" s="2"/>
      <c r="B31" s="2"/>
      <c r="C31"/>
      <c r="D31"/>
      <c r="E31"/>
      <c r="F31"/>
      <c r="G31"/>
      <c r="H31"/>
    </row>
    <row r="32" spans="1:19" ht="15" hidden="1" customHeight="1">
      <c r="A32" s="2"/>
      <c r="B32" s="2" t="s">
        <v>376</v>
      </c>
      <c r="C32"/>
      <c r="D32"/>
      <c r="E32"/>
      <c r="F32"/>
      <c r="G32"/>
      <c r="H32"/>
    </row>
    <row r="33" spans="1:8" ht="15" hidden="1" customHeight="1">
      <c r="A33" s="2" t="s">
        <v>377</v>
      </c>
      <c r="B33" s="2"/>
      <c r="C33"/>
      <c r="D33"/>
      <c r="E33"/>
      <c r="F33"/>
      <c r="G33"/>
      <c r="H33"/>
    </row>
    <row r="34" spans="1:8" ht="15" hidden="1" customHeight="1">
      <c r="A34" s="2"/>
      <c r="B34" s="2"/>
      <c r="C34"/>
      <c r="D34"/>
      <c r="E34"/>
      <c r="F34"/>
      <c r="G34"/>
      <c r="H34"/>
    </row>
    <row r="35" spans="1:8" ht="12.75" hidden="1" customHeight="1">
      <c r="A35" s="2"/>
      <c r="B35" s="2"/>
      <c r="C35"/>
      <c r="D35" t="s">
        <v>369</v>
      </c>
      <c r="E35"/>
      <c r="F35"/>
      <c r="G35"/>
      <c r="H35"/>
    </row>
    <row r="36" spans="1:8" ht="12.75" hidden="1" customHeight="1">
      <c r="A36" s="2"/>
      <c r="B36" s="2"/>
      <c r="C36"/>
      <c r="D36" t="s">
        <v>370</v>
      </c>
      <c r="E36"/>
      <c r="F36"/>
      <c r="G36"/>
      <c r="H36"/>
    </row>
    <row r="37" spans="1:8" ht="12.75" hidden="1" customHeight="1">
      <c r="A37" s="2"/>
      <c r="B37" s="2"/>
      <c r="C37"/>
      <c r="D37" t="s">
        <v>371</v>
      </c>
      <c r="E37"/>
      <c r="F37"/>
      <c r="G37"/>
      <c r="H37"/>
    </row>
    <row r="38" spans="1:8" ht="12.75" hidden="1" customHeight="1">
      <c r="A38" s="1" t="s">
        <v>204</v>
      </c>
      <c r="B38" s="37"/>
      <c r="C38"/>
      <c r="D38" t="s">
        <v>378</v>
      </c>
      <c r="E38"/>
      <c r="F38" t="s">
        <v>206</v>
      </c>
      <c r="G38"/>
      <c r="H38"/>
    </row>
    <row r="39" spans="1:8" ht="12.75" hidden="1" customHeight="1">
      <c r="A39" s="1" t="s">
        <v>207</v>
      </c>
      <c r="B39" s="37"/>
      <c r="C39"/>
      <c r="D39" t="s">
        <v>373</v>
      </c>
      <c r="E39"/>
      <c r="F39" t="s">
        <v>208</v>
      </c>
      <c r="G39"/>
      <c r="H39"/>
    </row>
    <row r="40" spans="1:8" ht="15" hidden="1" customHeight="1">
      <c r="A40" s="3" t="s">
        <v>209</v>
      </c>
      <c r="B40" s="134"/>
      <c r="C40"/>
      <c r="D40" t="s">
        <v>229</v>
      </c>
      <c r="E40" t="s">
        <v>329</v>
      </c>
      <c r="F40" t="s">
        <v>211</v>
      </c>
      <c r="G40"/>
      <c r="H40"/>
    </row>
    <row r="41" spans="1:8" ht="12.75" hidden="1" customHeight="1">
      <c r="A41" s="2"/>
      <c r="C41"/>
      <c r="D41"/>
      <c r="E41"/>
      <c r="F41"/>
      <c r="G41"/>
      <c r="H41"/>
    </row>
    <row r="42" spans="1:8" ht="12.75" hidden="1" customHeight="1">
      <c r="A42" s="2" t="s">
        <v>212</v>
      </c>
      <c r="C42"/>
      <c r="D42">
        <v>3511291</v>
      </c>
      <c r="E42"/>
      <c r="F42">
        <f t="shared" ref="F42:F48" si="0">ROUND(D42/D$50,4)</f>
        <v>0.5907</v>
      </c>
      <c r="G42"/>
      <c r="H42"/>
    </row>
    <row r="43" spans="1:8" ht="12.75" hidden="1" customHeight="1">
      <c r="A43" s="2" t="s">
        <v>213</v>
      </c>
      <c r="C43"/>
      <c r="D43">
        <v>941329</v>
      </c>
      <c r="E43"/>
      <c r="F43">
        <f t="shared" si="0"/>
        <v>0.1583</v>
      </c>
      <c r="G43"/>
      <c r="H43"/>
    </row>
    <row r="44" spans="1:8" ht="12.75" hidden="1" customHeight="1">
      <c r="A44" s="2" t="s">
        <v>214</v>
      </c>
      <c r="C44"/>
      <c r="D44">
        <v>191461</v>
      </c>
      <c r="E44"/>
      <c r="F44">
        <f t="shared" si="0"/>
        <v>3.2199999999999999E-2</v>
      </c>
      <c r="G44"/>
      <c r="H44"/>
    </row>
    <row r="45" spans="1:8" ht="12.75" hidden="1" customHeight="1">
      <c r="A45" s="2" t="s">
        <v>379</v>
      </c>
      <c r="C45"/>
      <c r="D45">
        <v>42532</v>
      </c>
      <c r="E45"/>
      <c r="F45">
        <f t="shared" si="0"/>
        <v>7.1999999999999998E-3</v>
      </c>
      <c r="G45"/>
      <c r="H45"/>
    </row>
    <row r="46" spans="1:8" ht="12.75" hidden="1" customHeight="1">
      <c r="A46" s="2" t="s">
        <v>217</v>
      </c>
      <c r="C46"/>
      <c r="D46">
        <v>62932</v>
      </c>
      <c r="E46"/>
      <c r="F46">
        <f t="shared" si="0"/>
        <v>1.06E-2</v>
      </c>
      <c r="G46"/>
      <c r="H46"/>
    </row>
    <row r="47" spans="1:8" ht="12.75" hidden="1" customHeight="1">
      <c r="A47" s="2" t="s">
        <v>218</v>
      </c>
      <c r="C47"/>
      <c r="D47">
        <v>229566</v>
      </c>
      <c r="E47"/>
      <c r="F47">
        <f t="shared" si="0"/>
        <v>3.8600000000000002E-2</v>
      </c>
      <c r="G47"/>
      <c r="H47"/>
    </row>
    <row r="48" spans="1:8" ht="12.75" hidden="1" customHeight="1">
      <c r="A48" s="2" t="s">
        <v>219</v>
      </c>
      <c r="C48"/>
      <c r="D48">
        <v>965510</v>
      </c>
      <c r="E48"/>
      <c r="F48">
        <f t="shared" si="0"/>
        <v>0.16239999999999999</v>
      </c>
      <c r="G48"/>
      <c r="H48"/>
    </row>
    <row r="49" spans="1:8" ht="15" hidden="1" customHeight="1">
      <c r="A49" s="2"/>
      <c r="C49"/>
      <c r="D49"/>
      <c r="E49"/>
      <c r="F49"/>
      <c r="G49"/>
      <c r="H49"/>
    </row>
    <row r="50" spans="1:8" ht="15" hidden="1" customHeight="1">
      <c r="A50" s="2" t="s">
        <v>220</v>
      </c>
      <c r="C50"/>
      <c r="D50">
        <f>SUM(D42:D49)</f>
        <v>5944621</v>
      </c>
      <c r="E50"/>
      <c r="F50">
        <f>SUM(F42:F49)</f>
        <v>1</v>
      </c>
      <c r="G50"/>
      <c r="H50"/>
    </row>
    <row r="51" spans="1:8">
      <c r="A51" s="2"/>
      <c r="B51" s="2"/>
      <c r="C51"/>
      <c r="D51"/>
      <c r="E51"/>
      <c r="F51"/>
      <c r="G51"/>
      <c r="H51"/>
    </row>
    <row r="52" spans="1:8">
      <c r="A52" s="2" t="s">
        <v>159</v>
      </c>
      <c r="B52" s="2"/>
      <c r="C52" s="2"/>
      <c r="D52" s="2"/>
      <c r="E52" s="2"/>
      <c r="F52" s="2"/>
      <c r="G52" s="2"/>
    </row>
    <row r="53" spans="1:8">
      <c r="A53" s="2" t="s">
        <v>188</v>
      </c>
      <c r="B53" s="2"/>
      <c r="C53" s="2"/>
      <c r="D53" s="2"/>
      <c r="E53" s="2"/>
      <c r="F53" s="2"/>
      <c r="G53" s="2"/>
    </row>
    <row r="54" spans="1:8">
      <c r="A54" s="2"/>
      <c r="B54" s="2"/>
      <c r="C54" s="2"/>
      <c r="D54" s="2"/>
      <c r="E54" s="2"/>
      <c r="F54" s="2"/>
      <c r="G54" s="2"/>
    </row>
    <row r="55" spans="1:8" ht="27.6" customHeight="1">
      <c r="A55" s="616" t="s">
        <v>380</v>
      </c>
      <c r="B55" s="616"/>
      <c r="C55" s="616"/>
      <c r="D55" s="616"/>
      <c r="E55" s="616"/>
      <c r="F55" s="616"/>
      <c r="G55" s="616"/>
    </row>
    <row r="56" spans="1:8" ht="9.75" customHeight="1">
      <c r="A56" s="2"/>
      <c r="B56" s="2"/>
      <c r="C56" s="2"/>
      <c r="D56" s="2"/>
      <c r="E56" s="2"/>
      <c r="F56" s="2"/>
      <c r="G56" s="2"/>
    </row>
    <row r="57" spans="1:8">
      <c r="A57" s="2"/>
      <c r="B57" s="2"/>
      <c r="C57" s="2"/>
      <c r="D57" s="12" t="s">
        <v>369</v>
      </c>
      <c r="E57" s="2"/>
      <c r="F57" s="2"/>
      <c r="G57" s="2"/>
    </row>
    <row r="58" spans="1:8">
      <c r="A58" s="2"/>
      <c r="B58" s="2"/>
      <c r="C58" s="2"/>
      <c r="D58" s="12" t="s">
        <v>451</v>
      </c>
      <c r="E58" s="2"/>
      <c r="F58" s="2"/>
      <c r="G58" s="2"/>
    </row>
    <row r="59" spans="1:8">
      <c r="A59" s="1" t="s">
        <v>204</v>
      </c>
      <c r="B59" s="37"/>
      <c r="C59" s="2"/>
      <c r="D59" s="12" t="s">
        <v>378</v>
      </c>
      <c r="E59" s="2"/>
      <c r="F59" s="12" t="s">
        <v>206</v>
      </c>
      <c r="G59" s="2"/>
    </row>
    <row r="60" spans="1:8">
      <c r="A60" s="1" t="s">
        <v>207</v>
      </c>
      <c r="B60" s="37"/>
      <c r="C60" s="2"/>
      <c r="D60" s="12" t="s">
        <v>373</v>
      </c>
      <c r="E60" s="2"/>
      <c r="F60" s="12" t="s">
        <v>208</v>
      </c>
      <c r="G60" s="2"/>
    </row>
    <row r="61" spans="1:8">
      <c r="A61" s="3" t="s">
        <v>209</v>
      </c>
      <c r="B61" s="134"/>
      <c r="C61" s="2"/>
      <c r="D61" s="11" t="s">
        <v>229</v>
      </c>
      <c r="E61" s="2" t="s">
        <v>329</v>
      </c>
      <c r="F61" s="11" t="s">
        <v>211</v>
      </c>
      <c r="G61" s="2"/>
    </row>
    <row r="62" spans="1:8" ht="10.7" customHeight="1">
      <c r="A62" s="2"/>
      <c r="C62" s="2"/>
      <c r="D62" s="2"/>
      <c r="E62" s="2"/>
      <c r="F62" s="135"/>
      <c r="G62" s="2"/>
    </row>
    <row r="63" spans="1:8">
      <c r="A63" s="2" t="s">
        <v>212</v>
      </c>
      <c r="C63" s="2"/>
      <c r="D63" s="223">
        <f>+'COS 1'!L363</f>
        <v>525913.20419917197</v>
      </c>
      <c r="E63" s="2"/>
      <c r="F63" s="135">
        <f>+'COS 1'!L364</f>
        <v>0.52070000000000005</v>
      </c>
      <c r="G63" s="2"/>
    </row>
    <row r="64" spans="1:8">
      <c r="A64" s="2" t="s">
        <v>213</v>
      </c>
      <c r="C64" s="2"/>
      <c r="D64" s="220">
        <f>+'COS 1'!N363</f>
        <v>171942.871849016</v>
      </c>
      <c r="E64" s="2"/>
      <c r="F64" s="135">
        <f>+'COS 1'!N364</f>
        <v>0.17019999999999999</v>
      </c>
      <c r="G64" s="2"/>
    </row>
    <row r="65" spans="1:7">
      <c r="A65" s="2" t="s">
        <v>214</v>
      </c>
      <c r="C65" s="2"/>
      <c r="D65" s="220">
        <f>+'COS 1'!P363</f>
        <v>15667.837953916987</v>
      </c>
      <c r="E65" s="2"/>
      <c r="F65" s="135">
        <f>+'COS 1'!P364</f>
        <v>1.55E-2</v>
      </c>
      <c r="G65" s="2"/>
    </row>
    <row r="66" spans="1:7">
      <c r="A66" s="2" t="s">
        <v>216</v>
      </c>
      <c r="C66" s="2"/>
      <c r="D66" s="220">
        <f>+'COS 1'!R363</f>
        <v>43963.951849064855</v>
      </c>
      <c r="E66" s="2"/>
      <c r="F66" s="135">
        <f>+'COS 1'!R364</f>
        <v>4.3499999999999997E-2</v>
      </c>
      <c r="G66" s="2"/>
    </row>
    <row r="67" spans="1:7">
      <c r="A67" s="2" t="s">
        <v>337</v>
      </c>
      <c r="C67" s="2"/>
      <c r="D67" s="220">
        <f>+'COS 1'!T363</f>
        <v>3031.4570235334718</v>
      </c>
      <c r="E67" s="2"/>
      <c r="F67" s="135">
        <f>+'COS 1'!T364</f>
        <v>3.0000000000000001E-3</v>
      </c>
      <c r="G67" s="2"/>
    </row>
    <row r="68" spans="1:7">
      <c r="A68" s="2" t="s">
        <v>218</v>
      </c>
      <c r="C68" s="2"/>
      <c r="D68" s="220">
        <f>+'COS 1'!V363</f>
        <v>41280.263195860942</v>
      </c>
      <c r="E68" s="2"/>
      <c r="F68" s="135">
        <f>+'COS 1'!V364</f>
        <v>4.0899999999999999E-2</v>
      </c>
      <c r="G68" s="2"/>
    </row>
    <row r="69" spans="1:7">
      <c r="A69" s="2" t="s">
        <v>219</v>
      </c>
      <c r="C69" s="2"/>
      <c r="D69" s="220">
        <f>+'COS 1'!X363</f>
        <v>208223.24233385132</v>
      </c>
      <c r="E69" s="2"/>
      <c r="F69" s="135">
        <f>+'COS 1'!X364</f>
        <v>0.20619999999999999</v>
      </c>
      <c r="G69" s="2"/>
    </row>
    <row r="70" spans="1:7" ht="7.9" customHeight="1">
      <c r="A70" s="2"/>
      <c r="C70" s="2"/>
      <c r="D70" s="6"/>
      <c r="E70" s="2"/>
      <c r="F70" s="7"/>
      <c r="G70" s="2"/>
    </row>
    <row r="71" spans="1:7" ht="15.75" thickBot="1">
      <c r="A71" s="2" t="s">
        <v>220</v>
      </c>
      <c r="C71" s="2"/>
      <c r="D71" s="207">
        <f>SUM(D63:D70)</f>
        <v>1010022.8284044155</v>
      </c>
      <c r="E71" s="2"/>
      <c r="F71" s="151">
        <f>SUM(F63:F70)</f>
        <v>1</v>
      </c>
      <c r="G71" s="2"/>
    </row>
    <row r="72" spans="1:7" ht="15.75" thickTop="1">
      <c r="A72" s="2"/>
      <c r="B72" s="2"/>
      <c r="C72" s="2"/>
      <c r="D72" s="153"/>
      <c r="E72" s="14"/>
      <c r="F72" s="148"/>
      <c r="G72" s="2"/>
    </row>
  </sheetData>
  <mergeCells count="2">
    <mergeCell ref="A55:G55"/>
    <mergeCell ref="A10:G10"/>
  </mergeCells>
  <phoneticPr fontId="11" type="noConversion"/>
  <printOptions horizontalCentered="1"/>
  <pageMargins left="1" right="1" top="1" bottom="0.5" header="0.5" footer="0.5"/>
  <pageSetup fitToHeight="0"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autoPageBreaks="0"/>
  </sheetPr>
  <dimension ref="A1:I43"/>
  <sheetViews>
    <sheetView workbookViewId="0"/>
  </sheetViews>
  <sheetFormatPr defaultColWidth="9.77734375" defaultRowHeight="15"/>
  <cols>
    <col min="1" max="1" width="7.77734375" style="38" customWidth="1"/>
    <col min="2" max="2" width="8.77734375" style="38" customWidth="1"/>
    <col min="3" max="3" width="11.109375" style="38" customWidth="1"/>
    <col min="4" max="4" width="9.77734375" style="38" customWidth="1"/>
    <col min="5" max="5" width="11.109375" style="38" customWidth="1"/>
    <col min="6" max="6" width="9.77734375" style="38" customWidth="1"/>
    <col min="7" max="7" width="7.77734375" style="38" customWidth="1"/>
    <col min="8" max="16384" width="9.77734375" style="38"/>
  </cols>
  <sheetData>
    <row r="1" spans="1:9">
      <c r="A1" s="37" t="s">
        <v>8</v>
      </c>
      <c r="B1" s="37"/>
      <c r="C1" s="37"/>
      <c r="D1" s="37"/>
      <c r="E1" s="37"/>
      <c r="F1" s="37"/>
      <c r="G1" s="37"/>
      <c r="I1" s="2"/>
    </row>
    <row r="2" spans="1:9">
      <c r="A2" s="178"/>
      <c r="B2" s="37"/>
      <c r="C2" s="37"/>
      <c r="D2" s="37"/>
      <c r="E2" s="37"/>
      <c r="F2" s="37"/>
      <c r="G2" s="37"/>
      <c r="I2" s="2"/>
    </row>
    <row r="3" spans="1:9">
      <c r="A3" s="1"/>
      <c r="B3" s="1"/>
      <c r="C3" s="37"/>
      <c r="D3" s="37"/>
      <c r="E3" s="37"/>
      <c r="F3" s="37"/>
      <c r="G3" s="37"/>
    </row>
    <row r="4" spans="1:9">
      <c r="A4" s="1" t="s">
        <v>236</v>
      </c>
      <c r="B4" s="1"/>
      <c r="C4" s="1"/>
      <c r="D4" s="1"/>
      <c r="E4" s="1"/>
      <c r="F4" s="1"/>
      <c r="G4" s="1"/>
    </row>
    <row r="5" spans="1:9">
      <c r="A5" s="2"/>
      <c r="B5" s="2"/>
    </row>
    <row r="6" spans="1:9">
      <c r="A6" s="2"/>
      <c r="B6" s="2"/>
    </row>
    <row r="7" spans="1:9">
      <c r="A7" s="2" t="s">
        <v>160</v>
      </c>
      <c r="B7" s="2"/>
    </row>
    <row r="8" spans="1:9">
      <c r="A8" s="2"/>
      <c r="B8" s="2"/>
    </row>
    <row r="9" spans="1:9" ht="15" customHeight="1">
      <c r="A9" s="616" t="s">
        <v>364</v>
      </c>
      <c r="B9" s="616"/>
      <c r="C9" s="616"/>
      <c r="D9" s="616"/>
      <c r="E9" s="616"/>
      <c r="F9" s="616"/>
      <c r="G9" s="128"/>
    </row>
    <row r="10" spans="1:9">
      <c r="A10" s="2"/>
      <c r="B10" s="2"/>
    </row>
    <row r="11" spans="1:9">
      <c r="A11" s="1" t="s">
        <v>254</v>
      </c>
      <c r="B11" s="1"/>
      <c r="D11" s="12" t="s">
        <v>341</v>
      </c>
      <c r="E11" s="12"/>
      <c r="F11" s="12" t="s">
        <v>206</v>
      </c>
    </row>
    <row r="12" spans="1:9">
      <c r="A12" s="1" t="s">
        <v>207</v>
      </c>
      <c r="B12" s="1"/>
      <c r="D12" s="12" t="s">
        <v>365</v>
      </c>
      <c r="E12" s="12"/>
      <c r="F12" s="12" t="s">
        <v>208</v>
      </c>
    </row>
    <row r="13" spans="1:9">
      <c r="A13" s="3" t="s">
        <v>209</v>
      </c>
      <c r="B13" s="3"/>
      <c r="D13" s="138" t="s">
        <v>229</v>
      </c>
      <c r="E13" s="129"/>
      <c r="F13" s="138" t="s">
        <v>211</v>
      </c>
    </row>
    <row r="14" spans="1:9" ht="12.75" customHeight="1">
      <c r="A14" s="2"/>
      <c r="B14" s="2"/>
      <c r="D14" s="2"/>
      <c r="E14" s="2"/>
      <c r="F14" s="5"/>
    </row>
    <row r="15" spans="1:9" ht="13.35" customHeight="1">
      <c r="A15" s="2" t="s">
        <v>212</v>
      </c>
      <c r="B15" s="2"/>
      <c r="D15" s="10">
        <f>+'Meters &amp; Services'!F29</f>
        <v>111959</v>
      </c>
      <c r="E15" s="10"/>
      <c r="F15" s="5">
        <f>ROUND(D15/$D$23,4)</f>
        <v>0.89959999999999996</v>
      </c>
    </row>
    <row r="16" spans="1:9" ht="13.35" customHeight="1">
      <c r="A16" s="2" t="s">
        <v>213</v>
      </c>
      <c r="B16" s="2"/>
      <c r="D16" s="10">
        <f>+'Meters &amp; Services'!J29</f>
        <v>8929</v>
      </c>
      <c r="E16" s="10"/>
      <c r="F16" s="5">
        <f t="shared" ref="F16:F21" si="0">ROUND(D16/$D$23,4)</f>
        <v>7.17E-2</v>
      </c>
    </row>
    <row r="17" spans="1:9" ht="13.35" customHeight="1">
      <c r="A17" s="2" t="s">
        <v>214</v>
      </c>
      <c r="B17" s="2"/>
      <c r="D17" s="10">
        <f>'Meters &amp; Services'!N29</f>
        <v>54</v>
      </c>
      <c r="E17" s="10"/>
      <c r="F17" s="5">
        <f t="shared" si="0"/>
        <v>4.0000000000000002E-4</v>
      </c>
    </row>
    <row r="18" spans="1:9" ht="13.35" customHeight="1">
      <c r="A18" s="2" t="s">
        <v>216</v>
      </c>
      <c r="B18" s="2"/>
      <c r="D18" s="10">
        <f>'Meters &amp; Services'!R29</f>
        <v>766</v>
      </c>
      <c r="E18" s="10"/>
      <c r="F18" s="5">
        <f t="shared" si="0"/>
        <v>6.1999999999999998E-3</v>
      </c>
    </row>
    <row r="19" spans="1:9" ht="13.35" customHeight="1">
      <c r="A19" s="2" t="s">
        <v>337</v>
      </c>
      <c r="B19" s="2"/>
      <c r="D19" s="10">
        <f>'Meters &amp; Services'!V29</f>
        <v>24</v>
      </c>
      <c r="E19" s="10"/>
      <c r="F19" s="5">
        <f t="shared" si="0"/>
        <v>2.0000000000000001E-4</v>
      </c>
      <c r="H19" s="2"/>
    </row>
    <row r="20" spans="1:9" ht="13.35" customHeight="1">
      <c r="A20" s="2" t="s">
        <v>218</v>
      </c>
      <c r="B20" s="2"/>
      <c r="D20" s="10">
        <f>+Fire!K26</f>
        <v>2682</v>
      </c>
      <c r="E20" s="10"/>
      <c r="F20" s="5">
        <f t="shared" si="0"/>
        <v>2.1600000000000001E-2</v>
      </c>
      <c r="H20" s="2"/>
    </row>
    <row r="21" spans="1:9" ht="13.35" customHeight="1">
      <c r="A21" s="2" t="s">
        <v>219</v>
      </c>
      <c r="B21" s="2"/>
      <c r="D21" s="130">
        <v>38</v>
      </c>
      <c r="E21" s="130"/>
      <c r="F21" s="4">
        <f t="shared" si="0"/>
        <v>2.9999999999999997E-4</v>
      </c>
      <c r="G21" s="131"/>
      <c r="H21" s="132"/>
      <c r="I21" s="131"/>
    </row>
    <row r="22" spans="1:9">
      <c r="A22" s="2"/>
      <c r="B22" s="2"/>
      <c r="D22" s="6"/>
      <c r="E22" s="10"/>
      <c r="F22" s="7"/>
      <c r="H22" s="2"/>
    </row>
    <row r="23" spans="1:9" ht="15.75" thickBot="1">
      <c r="A23" s="2" t="s">
        <v>220</v>
      </c>
      <c r="B23" s="2"/>
      <c r="D23" s="10">
        <f>SUM(D15:D22)</f>
        <v>124452</v>
      </c>
      <c r="E23" s="10"/>
      <c r="F23" s="149">
        <f>SUM(F15:F22)</f>
        <v>0.99999999999999978</v>
      </c>
      <c r="H23" s="2"/>
    </row>
    <row r="24" spans="1:9" ht="15.75" thickTop="1">
      <c r="A24" s="2"/>
      <c r="B24" s="2"/>
      <c r="D24" s="8"/>
      <c r="E24" s="10"/>
      <c r="F24" s="148"/>
      <c r="H24" s="2"/>
    </row>
    <row r="25" spans="1:9">
      <c r="A25" s="2"/>
      <c r="B25" s="2"/>
      <c r="D25" s="2"/>
      <c r="E25" s="2"/>
      <c r="F25" s="2"/>
      <c r="H25" s="2"/>
    </row>
    <row r="26" spans="1:9">
      <c r="A26" s="2"/>
      <c r="B26" s="2"/>
      <c r="D26" s="10"/>
      <c r="E26" s="10"/>
      <c r="F26" s="2"/>
      <c r="H26" s="2"/>
    </row>
    <row r="27" spans="1:9">
      <c r="A27" s="2" t="s">
        <v>161</v>
      </c>
      <c r="B27" s="2"/>
      <c r="D27" s="2"/>
      <c r="E27" s="2"/>
      <c r="F27" s="2"/>
      <c r="H27" s="2"/>
    </row>
    <row r="28" spans="1:9">
      <c r="A28" s="2"/>
      <c r="B28" s="2"/>
      <c r="D28" s="2"/>
      <c r="E28" s="2"/>
      <c r="F28" s="2"/>
      <c r="H28" s="2"/>
    </row>
    <row r="29" spans="1:9">
      <c r="A29" s="2" t="s">
        <v>366</v>
      </c>
      <c r="B29" s="2"/>
      <c r="D29" s="2"/>
      <c r="E29" s="2"/>
      <c r="F29" s="2"/>
      <c r="H29" s="2"/>
    </row>
    <row r="30" spans="1:9">
      <c r="A30" s="2"/>
      <c r="B30" s="2"/>
      <c r="D30" s="2"/>
      <c r="E30" s="2"/>
      <c r="F30" s="2"/>
      <c r="H30" s="2"/>
    </row>
    <row r="31" spans="1:9">
      <c r="A31" s="1" t="s">
        <v>254</v>
      </c>
      <c r="B31" s="1"/>
      <c r="D31" s="12" t="s">
        <v>367</v>
      </c>
      <c r="E31" s="12"/>
      <c r="F31" s="12" t="s">
        <v>206</v>
      </c>
      <c r="H31" s="2"/>
    </row>
    <row r="32" spans="1:9">
      <c r="A32" s="1" t="s">
        <v>207</v>
      </c>
      <c r="B32" s="1"/>
      <c r="D32" s="12" t="s">
        <v>365</v>
      </c>
      <c r="E32" s="12"/>
      <c r="F32" s="12" t="s">
        <v>208</v>
      </c>
      <c r="H32" s="2"/>
    </row>
    <row r="33" spans="1:8">
      <c r="A33" s="3" t="s">
        <v>209</v>
      </c>
      <c r="B33" s="3"/>
      <c r="D33" s="138" t="s">
        <v>229</v>
      </c>
      <c r="E33" s="129"/>
      <c r="F33" s="138" t="s">
        <v>211</v>
      </c>
      <c r="H33" s="2"/>
    </row>
    <row r="34" spans="1:8" ht="12.75" customHeight="1">
      <c r="A34" s="2"/>
      <c r="B34" s="2"/>
      <c r="D34" s="2"/>
      <c r="E34" s="2"/>
      <c r="F34" s="2"/>
      <c r="H34" s="2"/>
    </row>
    <row r="35" spans="1:8" ht="13.35" customHeight="1">
      <c r="A35" s="2" t="s">
        <v>212</v>
      </c>
      <c r="B35" s="2"/>
      <c r="D35" s="10">
        <f>D15</f>
        <v>111959</v>
      </c>
      <c r="E35" s="10"/>
      <c r="F35" s="5">
        <f>ROUND(D35/$D$42,4)+0.0001</f>
        <v>0.90790000000000004</v>
      </c>
      <c r="H35" s="2"/>
    </row>
    <row r="36" spans="1:8" ht="13.35" customHeight="1">
      <c r="A36" s="2" t="s">
        <v>213</v>
      </c>
      <c r="B36" s="2"/>
      <c r="D36" s="10">
        <f>D16</f>
        <v>8929</v>
      </c>
      <c r="E36" s="10"/>
      <c r="F36" s="5">
        <f>ROUND(D36/$D$42,4)</f>
        <v>7.2400000000000006E-2</v>
      </c>
      <c r="H36" s="2"/>
    </row>
    <row r="37" spans="1:8" ht="13.35" customHeight="1">
      <c r="A37" s="2" t="s">
        <v>214</v>
      </c>
      <c r="B37" s="2"/>
      <c r="D37" s="10">
        <f>D17</f>
        <v>54</v>
      </c>
      <c r="E37" s="10"/>
      <c r="F37" s="5">
        <f>ROUND(D37/$D$42,4)</f>
        <v>4.0000000000000002E-4</v>
      </c>
      <c r="H37" s="2"/>
    </row>
    <row r="38" spans="1:8" ht="13.35" customHeight="1">
      <c r="A38" s="2" t="s">
        <v>216</v>
      </c>
      <c r="B38" s="2"/>
      <c r="D38" s="10">
        <f>D18</f>
        <v>766</v>
      </c>
      <c r="E38" s="10"/>
      <c r="F38" s="5">
        <f>ROUND(D38/$D$42,4)</f>
        <v>6.1999999999999998E-3</v>
      </c>
      <c r="H38" s="2"/>
    </row>
    <row r="39" spans="1:8" ht="13.35" customHeight="1">
      <c r="A39" s="2" t="s">
        <v>337</v>
      </c>
      <c r="B39" s="2"/>
      <c r="D39" s="10">
        <f>D19</f>
        <v>24</v>
      </c>
      <c r="E39" s="10"/>
      <c r="F39" s="5">
        <f>ROUND(D39/$D$42,4)</f>
        <v>2.0000000000000001E-4</v>
      </c>
      <c r="H39" s="2"/>
    </row>
    <row r="40" spans="1:8" ht="13.35" customHeight="1">
      <c r="A40" s="2" t="s">
        <v>218</v>
      </c>
      <c r="B40" s="2"/>
      <c r="D40" s="10">
        <f>+SUM(Fire!K15:K23)</f>
        <v>1595</v>
      </c>
      <c r="E40" s="10"/>
      <c r="F40" s="5">
        <f>ROUND(D40/$D$42,4)</f>
        <v>1.29E-2</v>
      </c>
      <c r="H40" s="2"/>
    </row>
    <row r="41" spans="1:8">
      <c r="A41" s="2"/>
      <c r="B41" s="2"/>
      <c r="D41" s="6"/>
      <c r="E41" s="10"/>
      <c r="F41" s="7"/>
      <c r="H41" s="2"/>
    </row>
    <row r="42" spans="1:8" ht="15.75" thickBot="1">
      <c r="A42" s="2" t="s">
        <v>220</v>
      </c>
      <c r="B42" s="2"/>
      <c r="D42" s="150">
        <f>SUM(D35:D41)</f>
        <v>123327</v>
      </c>
      <c r="E42" s="10"/>
      <c r="F42" s="5">
        <f>SUM(F35:F41)</f>
        <v>1</v>
      </c>
      <c r="H42" s="2"/>
    </row>
    <row r="43" spans="1:8" ht="15.75" thickTop="1">
      <c r="D43" s="172"/>
      <c r="F43" s="15"/>
    </row>
  </sheetData>
  <mergeCells count="1">
    <mergeCell ref="A9:F9"/>
  </mergeCells>
  <phoneticPr fontId="11" type="noConversion"/>
  <printOptions horizontalCentered="1"/>
  <pageMargins left="1" right="1" top="1" bottom="0.5" header="0.5" footer="0.5"/>
  <pageSetup fitToHeight="0"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autoPageBreaks="0"/>
  </sheetPr>
  <dimension ref="A1:W163"/>
  <sheetViews>
    <sheetView workbookViewId="0"/>
  </sheetViews>
  <sheetFormatPr defaultColWidth="9.77734375" defaultRowHeight="15"/>
  <cols>
    <col min="1" max="1" width="7.77734375" style="38" customWidth="1"/>
    <col min="2" max="2" width="10.44140625" style="38" customWidth="1"/>
    <col min="3" max="3" width="12.77734375" style="38" customWidth="1"/>
    <col min="4" max="4" width="11.77734375" style="38" customWidth="1"/>
    <col min="5" max="5" width="13" style="38" customWidth="1"/>
    <col min="6" max="6" width="11.77734375" style="38" customWidth="1"/>
    <col min="7" max="7" width="9.77734375" style="38" customWidth="1"/>
    <col min="8" max="9" width="7.77734375" style="38" customWidth="1"/>
    <col min="10" max="10" width="14.77734375" style="38" customWidth="1"/>
    <col min="11" max="11" width="10.77734375" style="38" customWidth="1"/>
    <col min="12" max="12" width="14.77734375" style="38" customWidth="1"/>
    <col min="13" max="13" width="8.77734375" style="38" customWidth="1"/>
    <col min="14" max="14" width="6.77734375" style="38" customWidth="1"/>
    <col min="15" max="15" width="9.77734375" style="38" customWidth="1"/>
    <col min="16" max="17" width="7.77734375" style="38" customWidth="1"/>
    <col min="18" max="18" width="14.77734375" style="38" customWidth="1"/>
    <col min="19" max="19" width="10.77734375" style="38" customWidth="1"/>
    <col min="20" max="20" width="14.77734375" style="38" customWidth="1"/>
    <col min="21" max="21" width="8.77734375" style="38" customWidth="1"/>
    <col min="22" max="22" width="5.77734375" style="38" customWidth="1"/>
    <col min="23" max="16384" width="9.77734375" style="38"/>
  </cols>
  <sheetData>
    <row r="1" spans="1:23">
      <c r="A1" s="37" t="s">
        <v>8</v>
      </c>
      <c r="B1" s="1"/>
      <c r="C1" s="1"/>
      <c r="D1" s="1"/>
      <c r="E1" s="1"/>
      <c r="F1" s="1"/>
      <c r="G1" s="2"/>
      <c r="H1" s="2"/>
      <c r="I1" s="2"/>
      <c r="J1" s="2"/>
      <c r="K1" s="2"/>
      <c r="L1" s="2"/>
      <c r="M1" s="2"/>
      <c r="N1" s="2"/>
      <c r="O1" s="2"/>
      <c r="P1" s="2"/>
      <c r="Q1" s="2"/>
      <c r="R1" s="2"/>
      <c r="S1" s="2"/>
      <c r="T1" s="2"/>
      <c r="U1" s="2"/>
      <c r="V1" s="2"/>
      <c r="W1" s="2"/>
    </row>
    <row r="2" spans="1:23">
      <c r="A2" s="178"/>
      <c r="B2" s="1"/>
      <c r="C2" s="1"/>
      <c r="D2" s="1"/>
      <c r="E2" s="1"/>
      <c r="F2" s="1"/>
      <c r="G2" s="2"/>
      <c r="H2" s="2"/>
      <c r="I2" s="2"/>
      <c r="J2" s="2"/>
      <c r="K2" s="2"/>
      <c r="L2" s="2"/>
      <c r="M2" s="2"/>
      <c r="N2" s="2"/>
      <c r="O2" s="2"/>
      <c r="P2" s="2"/>
      <c r="Q2" s="2"/>
      <c r="R2" s="2"/>
      <c r="S2" s="2"/>
      <c r="T2" s="2"/>
      <c r="U2" s="2"/>
      <c r="V2" s="2"/>
      <c r="W2" s="2"/>
    </row>
    <row r="3" spans="1:23">
      <c r="A3" s="1"/>
      <c r="B3" s="1"/>
      <c r="C3" s="1"/>
      <c r="D3" s="1"/>
      <c r="E3" s="1"/>
      <c r="F3" s="1"/>
      <c r="G3" s="2"/>
      <c r="H3" s="2"/>
      <c r="I3" s="2"/>
      <c r="J3" s="2"/>
      <c r="K3" s="2"/>
      <c r="L3" s="2"/>
      <c r="M3" s="2"/>
      <c r="N3" s="2"/>
      <c r="O3" s="2"/>
      <c r="P3" s="2"/>
      <c r="Q3" s="2"/>
      <c r="R3" s="2"/>
      <c r="S3" s="2"/>
      <c r="T3" s="2"/>
      <c r="U3" s="2"/>
      <c r="V3" s="2"/>
      <c r="W3" s="2"/>
    </row>
    <row r="4" spans="1:23">
      <c r="A4" s="1" t="s">
        <v>236</v>
      </c>
      <c r="B4" s="1"/>
      <c r="C4" s="1"/>
      <c r="D4" s="1"/>
      <c r="E4" s="1"/>
      <c r="F4" s="1"/>
      <c r="G4" s="2"/>
      <c r="H4" s="2"/>
      <c r="I4" s="2"/>
      <c r="J4" s="2"/>
      <c r="K4" s="2"/>
      <c r="L4" s="2"/>
      <c r="M4" s="2"/>
      <c r="N4" s="2"/>
      <c r="O4" s="2"/>
      <c r="P4" s="2"/>
      <c r="Q4" s="2"/>
      <c r="R4" s="2"/>
      <c r="S4" s="2"/>
      <c r="T4" s="2"/>
      <c r="U4" s="2"/>
      <c r="V4" s="2"/>
      <c r="W4" s="2"/>
    </row>
    <row r="5" spans="1:23">
      <c r="A5" s="2"/>
      <c r="B5" s="2"/>
      <c r="C5" s="2"/>
      <c r="D5" s="2"/>
      <c r="E5" s="2"/>
      <c r="F5" s="2"/>
      <c r="G5" s="2"/>
      <c r="H5" s="2"/>
      <c r="I5" s="2"/>
      <c r="J5" s="2"/>
      <c r="K5" s="2"/>
      <c r="L5" s="2"/>
      <c r="M5" s="2"/>
      <c r="N5" s="2"/>
      <c r="O5" s="2"/>
      <c r="P5" s="2"/>
      <c r="Q5" s="2"/>
      <c r="R5" s="2"/>
      <c r="S5" s="2"/>
      <c r="T5" s="2"/>
      <c r="U5" s="2"/>
      <c r="V5" s="2"/>
      <c r="W5" s="2"/>
    </row>
    <row r="6" spans="1:23">
      <c r="A6" s="2"/>
      <c r="B6" s="2"/>
      <c r="C6" s="2"/>
      <c r="D6" s="2"/>
      <c r="E6" s="2"/>
      <c r="F6" s="2"/>
      <c r="G6" s="2"/>
      <c r="H6" s="2"/>
      <c r="I6" s="2"/>
      <c r="J6" s="2"/>
      <c r="K6" s="2"/>
      <c r="L6" s="2"/>
      <c r="M6" s="2"/>
      <c r="N6" s="2"/>
      <c r="O6" s="2"/>
      <c r="P6" s="2"/>
      <c r="Q6" s="2"/>
      <c r="R6" s="2"/>
      <c r="S6" s="2"/>
      <c r="T6" s="2"/>
      <c r="U6" s="2"/>
      <c r="V6" s="2"/>
      <c r="W6" s="2"/>
    </row>
    <row r="7" spans="1:23">
      <c r="A7" s="2" t="s">
        <v>3</v>
      </c>
      <c r="B7" s="2"/>
      <c r="C7" s="2"/>
      <c r="D7" s="2"/>
      <c r="E7" s="2"/>
      <c r="F7" s="2"/>
      <c r="G7" s="2"/>
      <c r="H7" s="2"/>
      <c r="I7" s="2"/>
      <c r="J7" s="2"/>
      <c r="K7" s="2"/>
      <c r="L7" s="2"/>
      <c r="M7" s="2"/>
      <c r="N7" s="2"/>
      <c r="O7" s="2"/>
      <c r="P7" s="2"/>
      <c r="Q7" s="2"/>
      <c r="R7" s="2"/>
      <c r="S7" s="2"/>
      <c r="T7" s="2"/>
      <c r="U7" s="2"/>
      <c r="V7" s="2"/>
      <c r="W7" s="2"/>
    </row>
    <row r="8" spans="1:23">
      <c r="A8" s="2"/>
      <c r="B8" s="2"/>
      <c r="C8" s="2"/>
      <c r="D8" s="2"/>
      <c r="E8" s="2"/>
      <c r="F8" s="2"/>
      <c r="G8" s="2"/>
      <c r="H8" s="2"/>
      <c r="I8" s="2"/>
      <c r="J8" s="2"/>
      <c r="K8" s="2"/>
      <c r="L8" s="2"/>
      <c r="M8" s="2"/>
      <c r="N8" s="2"/>
      <c r="O8" s="2"/>
      <c r="P8" s="2"/>
      <c r="Q8" s="2"/>
      <c r="R8" s="2"/>
      <c r="S8" s="2"/>
      <c r="T8" s="2"/>
      <c r="U8" s="2"/>
      <c r="V8" s="2"/>
      <c r="W8" s="2"/>
    </row>
    <row r="9" spans="1:23">
      <c r="A9" s="2"/>
      <c r="B9" s="2"/>
      <c r="C9" s="2"/>
      <c r="D9" s="2"/>
      <c r="E9" s="2"/>
      <c r="F9" s="2"/>
      <c r="G9" s="2"/>
      <c r="H9" s="2"/>
      <c r="I9" s="2"/>
      <c r="J9" s="2"/>
      <c r="K9" s="2"/>
      <c r="L9" s="2"/>
      <c r="M9" s="2"/>
      <c r="N9" s="2"/>
      <c r="O9" s="2"/>
      <c r="P9" s="2"/>
      <c r="Q9" s="2"/>
      <c r="R9" s="2"/>
      <c r="S9" s="2"/>
      <c r="T9" s="2"/>
      <c r="U9" s="2"/>
      <c r="V9" s="2"/>
      <c r="W9" s="2"/>
    </row>
    <row r="10" spans="1:23" ht="29.25" customHeight="1">
      <c r="A10" s="616" t="s">
        <v>452</v>
      </c>
      <c r="B10" s="616"/>
      <c r="C10" s="616"/>
      <c r="D10" s="616"/>
      <c r="E10" s="616"/>
      <c r="F10" s="616"/>
      <c r="G10" s="2"/>
      <c r="H10" s="2"/>
      <c r="I10" s="2"/>
      <c r="J10" s="2"/>
      <c r="K10" s="2"/>
      <c r="L10" s="2"/>
      <c r="M10" s="2"/>
      <c r="N10" s="2"/>
      <c r="O10" s="2"/>
      <c r="P10" s="2"/>
      <c r="Q10" s="2"/>
      <c r="R10" s="2"/>
      <c r="S10" s="2"/>
      <c r="T10" s="2"/>
      <c r="U10" s="2"/>
      <c r="V10" s="2"/>
      <c r="W10" s="2"/>
    </row>
    <row r="11" spans="1:23">
      <c r="A11" s="2"/>
      <c r="B11" s="2"/>
      <c r="C11" s="2"/>
      <c r="D11" s="2"/>
      <c r="E11" s="2"/>
      <c r="F11" s="2"/>
      <c r="G11" s="2"/>
      <c r="H11" s="2"/>
      <c r="I11" s="2"/>
      <c r="J11" s="2"/>
      <c r="K11" s="2"/>
      <c r="L11" s="2"/>
      <c r="M11" s="2"/>
      <c r="N11" s="2"/>
      <c r="O11" s="2"/>
      <c r="P11" s="2"/>
      <c r="Q11" s="2"/>
      <c r="R11" s="2"/>
      <c r="S11" s="2"/>
      <c r="T11" s="2"/>
      <c r="U11" s="2"/>
      <c r="V11" s="2"/>
      <c r="W11" s="2"/>
    </row>
    <row r="12" spans="1:23">
      <c r="A12" s="2"/>
      <c r="B12" s="2"/>
      <c r="C12" s="2"/>
      <c r="D12" s="2"/>
      <c r="E12" s="2"/>
      <c r="F12" s="2"/>
      <c r="G12" s="2"/>
      <c r="H12" s="2"/>
      <c r="I12" s="2"/>
      <c r="J12" s="2"/>
      <c r="K12" s="2"/>
      <c r="L12" s="2"/>
      <c r="M12" s="2"/>
      <c r="N12" s="2"/>
      <c r="O12" s="2"/>
      <c r="P12" s="2"/>
      <c r="Q12" s="2"/>
      <c r="R12" s="2"/>
      <c r="S12" s="2"/>
      <c r="T12" s="2"/>
      <c r="U12" s="2"/>
      <c r="V12" s="2"/>
      <c r="W12" s="2"/>
    </row>
    <row r="13" spans="1:23">
      <c r="A13" s="2"/>
      <c r="B13" s="2"/>
      <c r="C13" s="2"/>
      <c r="D13" s="12" t="s">
        <v>382</v>
      </c>
      <c r="E13" s="12"/>
      <c r="F13" s="12"/>
      <c r="G13" s="2"/>
      <c r="H13" s="2"/>
      <c r="I13" s="2"/>
      <c r="J13" s="2"/>
      <c r="K13" s="2"/>
      <c r="L13" s="2"/>
      <c r="M13" s="2"/>
      <c r="N13" s="2"/>
      <c r="O13" s="2"/>
      <c r="P13" s="2"/>
      <c r="Q13" s="2"/>
      <c r="R13" s="2"/>
      <c r="S13" s="2"/>
      <c r="T13" s="2"/>
      <c r="U13" s="2"/>
      <c r="V13" s="2"/>
      <c r="W13" s="2"/>
    </row>
    <row r="14" spans="1:23">
      <c r="A14" s="1" t="s">
        <v>204</v>
      </c>
      <c r="B14" s="37"/>
      <c r="C14" s="2"/>
      <c r="D14" s="12" t="s">
        <v>378</v>
      </c>
      <c r="E14" s="12"/>
      <c r="F14" s="12" t="s">
        <v>206</v>
      </c>
      <c r="G14" s="2"/>
      <c r="H14" s="2"/>
      <c r="I14" s="2"/>
      <c r="J14" s="2"/>
      <c r="K14" s="2"/>
      <c r="L14" s="2"/>
      <c r="M14" s="2"/>
      <c r="N14" s="2"/>
      <c r="O14" s="2"/>
      <c r="P14" s="2"/>
      <c r="Q14" s="2"/>
      <c r="R14" s="2"/>
      <c r="S14" s="2"/>
      <c r="T14" s="2"/>
      <c r="U14" s="2"/>
      <c r="V14" s="2"/>
      <c r="W14" s="2"/>
    </row>
    <row r="15" spans="1:23">
      <c r="A15" s="1" t="s">
        <v>207</v>
      </c>
      <c r="B15" s="37"/>
      <c r="C15" s="2"/>
      <c r="D15" s="12" t="s">
        <v>373</v>
      </c>
      <c r="E15" s="12"/>
      <c r="F15" s="12" t="s">
        <v>208</v>
      </c>
      <c r="G15" s="2"/>
      <c r="H15" s="2"/>
      <c r="I15" s="2"/>
      <c r="J15" s="2"/>
      <c r="K15" s="2"/>
      <c r="L15" s="2"/>
      <c r="M15" s="2"/>
      <c r="N15" s="2"/>
      <c r="O15" s="2"/>
      <c r="P15" s="2"/>
      <c r="Q15" s="2"/>
      <c r="R15" s="2"/>
      <c r="S15" s="2"/>
      <c r="T15" s="2"/>
      <c r="U15" s="2"/>
      <c r="V15" s="2"/>
      <c r="W15" s="2"/>
    </row>
    <row r="16" spans="1:23">
      <c r="A16" s="3" t="s">
        <v>209</v>
      </c>
      <c r="B16" s="134"/>
      <c r="C16" s="2"/>
      <c r="D16" s="11" t="s">
        <v>229</v>
      </c>
      <c r="E16" s="12" t="s">
        <v>329</v>
      </c>
      <c r="F16" s="11" t="s">
        <v>211</v>
      </c>
      <c r="G16" s="2"/>
      <c r="H16" s="2"/>
      <c r="I16" s="2"/>
      <c r="J16" s="2"/>
      <c r="K16" s="2"/>
      <c r="L16" s="2"/>
      <c r="M16" s="2"/>
      <c r="N16" s="2"/>
      <c r="O16" s="2"/>
      <c r="P16" s="2"/>
      <c r="Q16" s="2"/>
      <c r="R16" s="2"/>
      <c r="S16" s="2"/>
      <c r="T16" s="2"/>
      <c r="U16" s="2"/>
      <c r="V16" s="2"/>
      <c r="W16" s="2"/>
    </row>
    <row r="17" spans="1:23" ht="12.75" customHeight="1">
      <c r="A17" s="2"/>
      <c r="C17" s="2"/>
      <c r="D17" s="2"/>
      <c r="E17" s="2"/>
      <c r="F17" s="135"/>
      <c r="G17" s="2"/>
      <c r="H17" s="2"/>
      <c r="I17" s="2"/>
      <c r="J17" s="2"/>
      <c r="K17" s="2"/>
      <c r="L17" s="2"/>
      <c r="M17" s="2"/>
      <c r="N17" s="2"/>
      <c r="O17" s="2"/>
      <c r="P17" s="2"/>
      <c r="Q17" s="2"/>
      <c r="R17" s="2"/>
      <c r="S17" s="2"/>
      <c r="T17" s="2"/>
      <c r="U17" s="2"/>
      <c r="V17" s="2"/>
      <c r="W17" s="2"/>
    </row>
    <row r="18" spans="1:23" ht="13.35" customHeight="1">
      <c r="A18" s="2" t="s">
        <v>212</v>
      </c>
      <c r="C18" s="2"/>
      <c r="D18" s="206">
        <f>+'COS 1'!L365</f>
        <v>7105966.3427720852</v>
      </c>
      <c r="E18" s="2"/>
      <c r="F18" s="160">
        <f>+'COS 1'!L366</f>
        <v>0.65029999999999999</v>
      </c>
      <c r="G18" s="2"/>
      <c r="H18" s="2"/>
      <c r="I18" s="2"/>
      <c r="J18" s="2"/>
      <c r="K18" s="2"/>
      <c r="L18" s="2"/>
      <c r="M18" s="2"/>
      <c r="N18" s="2"/>
      <c r="O18" s="2"/>
      <c r="P18" s="2"/>
      <c r="Q18" s="2"/>
      <c r="R18" s="2"/>
      <c r="S18" s="2"/>
      <c r="T18" s="2"/>
      <c r="U18" s="2"/>
      <c r="V18" s="2"/>
      <c r="W18" s="2"/>
    </row>
    <row r="19" spans="1:23" ht="13.35" customHeight="1">
      <c r="A19" s="2" t="s">
        <v>213</v>
      </c>
      <c r="C19" s="2"/>
      <c r="D19" s="10">
        <f>+'COS 1'!N365</f>
        <v>2250541.4051998174</v>
      </c>
      <c r="E19" s="2"/>
      <c r="F19" s="135">
        <f>+'COS 1'!N366</f>
        <v>0.2059</v>
      </c>
      <c r="G19" s="2"/>
      <c r="H19" s="2"/>
      <c r="I19" s="2"/>
      <c r="J19" s="2"/>
      <c r="K19" s="2"/>
      <c r="L19" s="2"/>
      <c r="M19" s="2"/>
      <c r="N19" s="2"/>
      <c r="O19" s="2"/>
      <c r="P19" s="2"/>
      <c r="Q19" s="2"/>
      <c r="R19" s="2"/>
      <c r="S19" s="2"/>
      <c r="T19" s="2"/>
      <c r="U19" s="2"/>
      <c r="V19" s="2"/>
      <c r="W19" s="2"/>
    </row>
    <row r="20" spans="1:23" ht="13.35" customHeight="1">
      <c r="A20" s="2" t="s">
        <v>214</v>
      </c>
      <c r="C20" s="2"/>
      <c r="D20" s="10">
        <f>+'COS 1'!P365</f>
        <v>225349.55665491903</v>
      </c>
      <c r="E20" s="2"/>
      <c r="F20" s="135">
        <f>+'COS 1'!P366</f>
        <v>2.06E-2</v>
      </c>
      <c r="G20" s="2"/>
      <c r="H20" s="2"/>
      <c r="I20" s="2"/>
      <c r="J20" s="2"/>
      <c r="K20" s="2"/>
      <c r="L20" s="2"/>
      <c r="M20" s="2"/>
      <c r="N20" s="2"/>
      <c r="O20" s="2"/>
      <c r="P20" s="2"/>
      <c r="Q20" s="2"/>
      <c r="R20" s="2"/>
      <c r="S20" s="2"/>
      <c r="T20" s="2"/>
      <c r="U20" s="2"/>
      <c r="V20" s="2"/>
      <c r="W20" s="2"/>
    </row>
    <row r="21" spans="1:23" ht="13.35" customHeight="1">
      <c r="A21" s="2" t="s">
        <v>216</v>
      </c>
      <c r="C21" s="2"/>
      <c r="D21" s="10">
        <f>+'COS 1'!R365</f>
        <v>630319.24252400897</v>
      </c>
      <c r="E21" s="2"/>
      <c r="F21" s="135">
        <f>+'COS 1'!R366</f>
        <v>5.7700000000000001E-2</v>
      </c>
      <c r="G21" s="2"/>
      <c r="H21" s="2"/>
      <c r="I21" s="2"/>
      <c r="J21" s="2"/>
      <c r="K21" s="2"/>
      <c r="L21" s="2"/>
      <c r="M21" s="2"/>
      <c r="N21" s="2"/>
      <c r="O21" s="2"/>
      <c r="P21" s="2"/>
      <c r="Q21" s="2"/>
      <c r="R21" s="2"/>
      <c r="S21" s="2"/>
      <c r="T21" s="2"/>
      <c r="U21" s="2"/>
      <c r="V21" s="2"/>
      <c r="W21" s="2"/>
    </row>
    <row r="22" spans="1:23" ht="13.35" customHeight="1">
      <c r="A22" s="2" t="s">
        <v>337</v>
      </c>
      <c r="C22" s="2"/>
      <c r="D22" s="10">
        <f>+'COS 1'!T365</f>
        <v>152106.26190970858</v>
      </c>
      <c r="E22" s="2"/>
      <c r="F22" s="135">
        <f>+'COS 1'!T366</f>
        <v>1.3899999999999999E-2</v>
      </c>
      <c r="G22" s="2"/>
      <c r="H22" s="2"/>
      <c r="I22" s="2"/>
      <c r="J22" s="2"/>
      <c r="K22" s="2"/>
      <c r="L22" s="2"/>
      <c r="M22" s="2"/>
      <c r="N22" s="2"/>
      <c r="O22" s="2"/>
      <c r="P22" s="2"/>
      <c r="Q22" s="2"/>
      <c r="R22" s="2"/>
      <c r="S22" s="2"/>
      <c r="T22" s="2"/>
      <c r="U22" s="2"/>
      <c r="V22" s="2"/>
      <c r="W22" s="2"/>
    </row>
    <row r="23" spans="1:23" ht="13.35" customHeight="1">
      <c r="A23" s="2" t="s">
        <v>218</v>
      </c>
      <c r="C23" s="2"/>
      <c r="D23" s="10">
        <f>+'COS 1'!V365</f>
        <v>177754.08310984171</v>
      </c>
      <c r="E23" s="2"/>
      <c r="F23" s="135">
        <f>+'COS 1'!V366</f>
        <v>1.6299999999999999E-2</v>
      </c>
      <c r="G23" s="2"/>
      <c r="H23" s="2"/>
      <c r="I23" s="2"/>
      <c r="J23" s="2"/>
      <c r="K23" s="2"/>
      <c r="L23" s="2"/>
      <c r="M23" s="2"/>
      <c r="N23" s="2"/>
      <c r="O23" s="2"/>
      <c r="P23" s="2"/>
      <c r="Q23" s="2"/>
      <c r="R23" s="2"/>
      <c r="S23" s="2"/>
      <c r="T23" s="2"/>
      <c r="U23" s="2"/>
      <c r="V23" s="2"/>
      <c r="W23" s="2"/>
    </row>
    <row r="24" spans="1:23" ht="13.35" customHeight="1">
      <c r="A24" s="2" t="s">
        <v>219</v>
      </c>
      <c r="C24" s="2"/>
      <c r="D24" s="10">
        <f>+'COS 1'!X365</f>
        <v>385662.69959992624</v>
      </c>
      <c r="E24" s="2"/>
      <c r="F24" s="135">
        <f>+'COS 1'!X366</f>
        <v>3.5299999999999998E-2</v>
      </c>
      <c r="G24" s="2"/>
      <c r="H24" s="2"/>
      <c r="I24" s="2"/>
      <c r="J24" s="2"/>
      <c r="K24" s="2"/>
      <c r="L24" s="2"/>
      <c r="M24" s="2"/>
      <c r="N24" s="2"/>
      <c r="O24" s="2"/>
      <c r="P24" s="2"/>
      <c r="Q24" s="2"/>
      <c r="R24" s="2"/>
      <c r="S24" s="2"/>
      <c r="T24" s="2"/>
      <c r="U24" s="2"/>
      <c r="V24" s="2"/>
      <c r="W24" s="2"/>
    </row>
    <row r="25" spans="1:23">
      <c r="A25" s="2"/>
      <c r="C25" s="2"/>
      <c r="D25" s="6"/>
      <c r="E25" s="2"/>
      <c r="F25" s="7"/>
      <c r="G25" s="2"/>
      <c r="H25" s="2"/>
      <c r="I25" s="2"/>
      <c r="J25" s="2"/>
      <c r="K25" s="2"/>
      <c r="L25" s="2"/>
      <c r="M25" s="2"/>
      <c r="N25" s="2"/>
      <c r="O25" s="2"/>
      <c r="P25" s="2"/>
      <c r="Q25" s="2"/>
      <c r="R25" s="2"/>
      <c r="S25" s="2"/>
      <c r="T25" s="2"/>
      <c r="U25" s="2"/>
      <c r="V25" s="2"/>
      <c r="W25" s="2"/>
    </row>
    <row r="26" spans="1:23" ht="15.75" thickBot="1">
      <c r="A26" s="2" t="s">
        <v>220</v>
      </c>
      <c r="C26" s="2"/>
      <c r="D26" s="207">
        <f>SUM(D18:D25)</f>
        <v>10927699.591770308</v>
      </c>
      <c r="E26" s="2"/>
      <c r="F26" s="135">
        <f>SUM(F18:F25)</f>
        <v>0.99999999999999989</v>
      </c>
      <c r="G26" s="2"/>
      <c r="H26" s="2"/>
      <c r="I26" s="2"/>
      <c r="J26" s="2"/>
      <c r="K26" s="2"/>
      <c r="L26" s="2"/>
      <c r="M26" s="2"/>
      <c r="N26" s="2"/>
      <c r="O26" s="2"/>
      <c r="P26" s="2"/>
      <c r="Q26" s="2"/>
      <c r="R26" s="2"/>
      <c r="S26" s="2"/>
      <c r="T26" s="2"/>
      <c r="U26" s="2"/>
      <c r="V26" s="2"/>
      <c r="W26" s="2"/>
    </row>
    <row r="27" spans="1:23" ht="15.75" thickTop="1">
      <c r="A27" s="2"/>
      <c r="B27" s="2"/>
      <c r="C27" s="2"/>
      <c r="D27" s="153"/>
      <c r="E27" s="14"/>
      <c r="F27" s="9"/>
      <c r="G27" s="2"/>
      <c r="H27" s="2"/>
      <c r="I27" s="2"/>
      <c r="J27" s="2"/>
      <c r="K27" s="2"/>
      <c r="L27" s="2"/>
      <c r="M27" s="2"/>
      <c r="N27" s="2"/>
      <c r="O27" s="2"/>
      <c r="P27" s="2"/>
      <c r="Q27" s="2"/>
      <c r="R27" s="2"/>
      <c r="S27" s="2"/>
      <c r="T27" s="2"/>
      <c r="U27" s="2"/>
      <c r="V27" s="2"/>
      <c r="W27" s="2"/>
    </row>
    <row r="28" spans="1:23">
      <c r="A28" s="2" t="s">
        <v>2</v>
      </c>
      <c r="B28" s="2"/>
      <c r="C28" s="2"/>
      <c r="D28" s="2"/>
      <c r="E28" s="2"/>
      <c r="F28" s="2"/>
      <c r="G28" s="2"/>
      <c r="H28" s="2"/>
      <c r="I28" s="2"/>
      <c r="J28" s="2"/>
      <c r="K28" s="2"/>
      <c r="L28" s="2"/>
      <c r="M28" s="2"/>
      <c r="N28" s="2"/>
      <c r="O28" s="2"/>
      <c r="P28" s="2"/>
      <c r="Q28" s="2"/>
      <c r="R28" s="2"/>
      <c r="S28" s="2"/>
      <c r="T28" s="2"/>
      <c r="U28" s="2"/>
      <c r="V28" s="2"/>
      <c r="W28" s="2"/>
    </row>
    <row r="29" spans="1:23">
      <c r="A29" s="2"/>
      <c r="B29" s="2"/>
      <c r="C29" s="2"/>
      <c r="D29" s="2"/>
      <c r="E29" s="2"/>
      <c r="F29" s="2"/>
      <c r="G29" s="2"/>
      <c r="H29" s="2"/>
      <c r="I29" s="2"/>
      <c r="J29" s="2"/>
      <c r="K29" s="2"/>
      <c r="L29" s="2"/>
      <c r="M29" s="2"/>
      <c r="N29" s="2"/>
      <c r="O29" s="2"/>
      <c r="P29" s="2"/>
      <c r="Q29" s="2"/>
      <c r="R29" s="2"/>
      <c r="S29" s="2"/>
      <c r="T29" s="2"/>
      <c r="U29" s="2"/>
      <c r="V29" s="2"/>
      <c r="W29" s="2"/>
    </row>
    <row r="30" spans="1:23">
      <c r="A30" s="2"/>
      <c r="B30" s="2"/>
      <c r="C30" s="2"/>
      <c r="D30" s="2"/>
      <c r="E30" s="2"/>
      <c r="F30" s="2"/>
      <c r="G30" s="2"/>
      <c r="H30" s="2"/>
      <c r="I30" s="2"/>
      <c r="J30" s="2"/>
      <c r="K30" s="2"/>
      <c r="L30" s="2"/>
      <c r="M30" s="2"/>
      <c r="N30" s="2"/>
      <c r="O30" s="2"/>
      <c r="P30" s="2"/>
      <c r="Q30" s="2"/>
      <c r="R30" s="2"/>
      <c r="S30" s="2"/>
      <c r="T30" s="2"/>
      <c r="U30" s="2"/>
      <c r="V30" s="2"/>
      <c r="W30" s="2"/>
    </row>
    <row r="31" spans="1:23" ht="29.25" customHeight="1">
      <c r="A31" s="616" t="s">
        <v>527</v>
      </c>
      <c r="B31" s="616"/>
      <c r="C31" s="616"/>
      <c r="D31" s="616"/>
      <c r="E31" s="616"/>
      <c r="F31" s="616"/>
      <c r="G31" s="2"/>
      <c r="H31" s="2"/>
      <c r="I31" s="2"/>
      <c r="J31" s="2"/>
      <c r="K31" s="2"/>
      <c r="L31" s="2"/>
      <c r="M31" s="2"/>
      <c r="N31" s="2"/>
      <c r="O31" s="2"/>
      <c r="P31" s="2"/>
      <c r="Q31" s="2"/>
      <c r="R31" s="2"/>
      <c r="S31" s="2"/>
      <c r="T31" s="2"/>
      <c r="U31" s="2"/>
      <c r="V31" s="2"/>
      <c r="W31" s="2"/>
    </row>
    <row r="32" spans="1:23">
      <c r="A32" s="2"/>
      <c r="B32" s="2"/>
      <c r="C32" s="2"/>
      <c r="D32" s="2"/>
      <c r="E32" s="2"/>
      <c r="F32" s="2"/>
      <c r="G32" s="2"/>
      <c r="H32" s="2"/>
      <c r="I32" s="2"/>
      <c r="J32" s="2"/>
      <c r="K32" s="2"/>
      <c r="L32" s="2"/>
      <c r="M32" s="2"/>
      <c r="N32" s="2"/>
      <c r="O32" s="2"/>
      <c r="P32" s="2"/>
      <c r="Q32" s="2"/>
      <c r="R32" s="2"/>
      <c r="S32" s="2"/>
      <c r="T32" s="2"/>
      <c r="U32" s="2"/>
      <c r="V32" s="2"/>
      <c r="W32" s="2"/>
    </row>
    <row r="33" spans="1:23">
      <c r="A33" s="2"/>
      <c r="B33" s="2"/>
      <c r="C33" s="2"/>
      <c r="D33" s="2"/>
      <c r="E33" s="2"/>
      <c r="F33" s="2"/>
      <c r="G33" s="2"/>
      <c r="H33" s="2"/>
      <c r="I33" s="2"/>
      <c r="J33" s="2"/>
      <c r="K33" s="2"/>
      <c r="L33" s="2"/>
      <c r="M33" s="2"/>
      <c r="N33" s="2"/>
      <c r="O33" s="2"/>
      <c r="P33" s="2"/>
      <c r="Q33" s="2"/>
      <c r="R33" s="2"/>
      <c r="S33" s="2"/>
      <c r="T33" s="2"/>
      <c r="U33" s="2"/>
      <c r="V33" s="2"/>
      <c r="W33" s="2"/>
    </row>
    <row r="34" spans="1:23">
      <c r="A34" s="2"/>
      <c r="B34" s="2"/>
      <c r="C34" s="2"/>
      <c r="D34" s="12" t="s">
        <v>382</v>
      </c>
      <c r="E34" s="12"/>
      <c r="F34" s="12"/>
      <c r="G34" s="2"/>
      <c r="H34" s="2"/>
      <c r="I34" s="2"/>
      <c r="J34" s="2"/>
      <c r="K34" s="2"/>
      <c r="L34" s="2"/>
      <c r="M34" s="2"/>
      <c r="N34" s="2"/>
      <c r="O34" s="2"/>
      <c r="P34" s="2"/>
      <c r="Q34" s="2"/>
      <c r="R34" s="2"/>
      <c r="S34" s="2"/>
      <c r="T34" s="2"/>
      <c r="U34" s="2"/>
      <c r="V34" s="2"/>
      <c r="W34" s="2"/>
    </row>
    <row r="35" spans="1:23">
      <c r="A35" s="1" t="s">
        <v>204</v>
      </c>
      <c r="B35" s="37"/>
      <c r="C35" s="2"/>
      <c r="D35" s="12" t="s">
        <v>378</v>
      </c>
      <c r="E35" s="12"/>
      <c r="F35" s="12" t="s">
        <v>206</v>
      </c>
      <c r="G35" s="2"/>
      <c r="H35" s="2"/>
      <c r="I35" s="2"/>
      <c r="J35" s="2"/>
      <c r="K35" s="2"/>
      <c r="L35" s="2"/>
      <c r="M35" s="2"/>
      <c r="N35" s="2"/>
      <c r="O35" s="2"/>
      <c r="P35" s="2"/>
      <c r="Q35" s="2"/>
      <c r="R35" s="2"/>
      <c r="S35" s="2"/>
      <c r="T35" s="2"/>
      <c r="U35" s="2"/>
      <c r="V35" s="2"/>
      <c r="W35" s="2"/>
    </row>
    <row r="36" spans="1:23">
      <c r="A36" s="1" t="s">
        <v>207</v>
      </c>
      <c r="B36" s="37"/>
      <c r="C36" s="2"/>
      <c r="D36" s="12" t="s">
        <v>373</v>
      </c>
      <c r="E36" s="12"/>
      <c r="F36" s="12" t="s">
        <v>208</v>
      </c>
      <c r="G36" s="2"/>
      <c r="H36" s="2"/>
      <c r="I36" s="2"/>
      <c r="J36" s="2"/>
      <c r="K36" s="2"/>
      <c r="L36" s="2"/>
      <c r="M36" s="2"/>
      <c r="N36" s="2"/>
      <c r="O36" s="2"/>
      <c r="P36" s="2"/>
      <c r="Q36" s="2"/>
      <c r="R36" s="2"/>
      <c r="S36" s="2"/>
      <c r="T36" s="2"/>
      <c r="U36" s="2"/>
      <c r="V36" s="2"/>
      <c r="W36" s="2"/>
    </row>
    <row r="37" spans="1:23">
      <c r="A37" s="3" t="s">
        <v>209</v>
      </c>
      <c r="B37" s="134"/>
      <c r="C37" s="2"/>
      <c r="D37" s="11" t="s">
        <v>229</v>
      </c>
      <c r="E37" s="12" t="s">
        <v>329</v>
      </c>
      <c r="F37" s="11" t="s">
        <v>211</v>
      </c>
      <c r="G37" s="2"/>
      <c r="H37" s="2"/>
      <c r="I37" s="2"/>
      <c r="J37" s="2"/>
      <c r="K37" s="2"/>
      <c r="L37" s="2"/>
      <c r="M37" s="2"/>
      <c r="N37" s="2"/>
      <c r="O37" s="2"/>
      <c r="P37" s="2"/>
      <c r="Q37" s="2"/>
      <c r="R37" s="2"/>
      <c r="S37" s="2"/>
      <c r="T37" s="2"/>
      <c r="U37" s="2"/>
      <c r="V37" s="2"/>
      <c r="W37" s="2"/>
    </row>
    <row r="38" spans="1:23" ht="12.75" customHeight="1">
      <c r="A38" s="2"/>
      <c r="C38" s="2"/>
      <c r="D38" s="2"/>
      <c r="E38" s="2"/>
      <c r="F38" s="135"/>
      <c r="G38" s="2"/>
      <c r="H38" s="2"/>
      <c r="I38" s="2"/>
      <c r="J38" s="2"/>
      <c r="K38" s="2"/>
      <c r="L38" s="2"/>
      <c r="M38" s="2"/>
      <c r="N38" s="2"/>
      <c r="O38" s="2"/>
      <c r="P38" s="2"/>
      <c r="Q38" s="2"/>
      <c r="R38" s="2"/>
      <c r="S38" s="2"/>
      <c r="T38" s="2"/>
      <c r="U38" s="2"/>
      <c r="V38" s="2"/>
      <c r="W38" s="2"/>
    </row>
    <row r="39" spans="1:23" ht="13.35" customHeight="1">
      <c r="A39" s="2" t="s">
        <v>212</v>
      </c>
      <c r="C39" s="2"/>
      <c r="D39" s="206">
        <f ca="1">+'COS 1'!L367</f>
        <v>21733297.828000203</v>
      </c>
      <c r="E39" s="2"/>
      <c r="F39" s="160">
        <f ca="1">+'COS 1'!L368</f>
        <v>0.63980000000000004</v>
      </c>
      <c r="G39" s="2"/>
      <c r="H39" s="2"/>
      <c r="I39" s="2"/>
      <c r="J39" s="2"/>
      <c r="K39" s="2"/>
      <c r="L39" s="2"/>
      <c r="M39" s="2"/>
      <c r="N39" s="2"/>
      <c r="O39" s="2"/>
      <c r="P39" s="2"/>
      <c r="Q39" s="2"/>
      <c r="R39" s="2"/>
      <c r="S39" s="2"/>
      <c r="T39" s="2"/>
      <c r="U39" s="2"/>
      <c r="V39" s="2"/>
      <c r="W39" s="2"/>
    </row>
    <row r="40" spans="1:23" ht="13.35" customHeight="1">
      <c r="A40" s="2" t="s">
        <v>213</v>
      </c>
      <c r="C40" s="2"/>
      <c r="D40" s="10">
        <f ca="1">+'COS 1'!N367</f>
        <v>7307386.0771020912</v>
      </c>
      <c r="E40" s="2"/>
      <c r="F40" s="135">
        <f ca="1">+'COS 1'!N368</f>
        <v>0.2152</v>
      </c>
      <c r="G40" s="2"/>
      <c r="H40" s="2"/>
      <c r="I40" s="2"/>
      <c r="J40" s="2"/>
      <c r="K40" s="2"/>
      <c r="L40" s="2"/>
      <c r="M40" s="2"/>
      <c r="N40" s="2"/>
      <c r="O40" s="2"/>
      <c r="P40" s="2"/>
      <c r="Q40" s="2"/>
      <c r="R40" s="2"/>
      <c r="S40" s="2"/>
      <c r="T40" s="2"/>
      <c r="U40" s="2"/>
      <c r="V40" s="2"/>
      <c r="W40" s="2"/>
    </row>
    <row r="41" spans="1:23" ht="13.35" customHeight="1">
      <c r="A41" s="2" t="s">
        <v>214</v>
      </c>
      <c r="C41" s="2"/>
      <c r="D41" s="10">
        <f ca="1">+'COS 1'!P367</f>
        <v>789250.17960936797</v>
      </c>
      <c r="E41" s="2"/>
      <c r="F41" s="135">
        <f ca="1">+'COS 1'!P368</f>
        <v>2.3199999999999998E-2</v>
      </c>
      <c r="G41" s="2"/>
      <c r="H41" s="2"/>
      <c r="I41" s="2"/>
      <c r="J41" s="2"/>
      <c r="K41" s="2"/>
      <c r="L41" s="2"/>
      <c r="M41" s="2"/>
      <c r="N41" s="2"/>
      <c r="O41" s="2"/>
      <c r="P41" s="2"/>
      <c r="Q41" s="2"/>
      <c r="R41" s="2"/>
      <c r="S41" s="2"/>
      <c r="T41" s="2"/>
      <c r="U41" s="2"/>
      <c r="V41" s="2"/>
      <c r="W41" s="2"/>
    </row>
    <row r="42" spans="1:23" ht="13.35" customHeight="1">
      <c r="A42" s="2" t="s">
        <v>216</v>
      </c>
      <c r="C42" s="2"/>
      <c r="D42" s="10">
        <f ca="1">+'COS 1'!R367</f>
        <v>2163484.5201696185</v>
      </c>
      <c r="E42" s="2"/>
      <c r="F42" s="135">
        <f ca="1">+'COS 1'!R368</f>
        <v>6.3700000000000007E-2</v>
      </c>
      <c r="G42" s="2"/>
      <c r="H42" s="2"/>
      <c r="I42" s="2"/>
      <c r="J42" s="2"/>
      <c r="K42" s="2"/>
      <c r="L42" s="2"/>
      <c r="M42" s="2"/>
      <c r="N42" s="2"/>
      <c r="O42" s="2"/>
      <c r="P42" s="2"/>
      <c r="Q42" s="2"/>
      <c r="R42" s="2"/>
      <c r="S42" s="2"/>
      <c r="T42" s="2"/>
      <c r="U42" s="2"/>
      <c r="V42" s="2"/>
      <c r="W42" s="2"/>
    </row>
    <row r="43" spans="1:23" ht="13.35" customHeight="1">
      <c r="A43" s="2" t="s">
        <v>337</v>
      </c>
      <c r="C43" s="2"/>
      <c r="D43" s="10">
        <f ca="1">+'COS 1'!T367</f>
        <v>565808.20086405321</v>
      </c>
      <c r="E43" s="2"/>
      <c r="F43" s="135">
        <f ca="1">+'COS 1'!T368</f>
        <v>1.67E-2</v>
      </c>
      <c r="G43" s="2"/>
      <c r="H43" s="2"/>
      <c r="I43" s="2"/>
      <c r="J43" s="2"/>
      <c r="K43" s="2"/>
      <c r="L43" s="2"/>
      <c r="M43" s="2"/>
      <c r="N43" s="2"/>
      <c r="O43" s="2"/>
      <c r="P43" s="2"/>
      <c r="Q43" s="2"/>
      <c r="R43" s="2"/>
      <c r="S43" s="2"/>
      <c r="T43" s="2"/>
      <c r="U43" s="2"/>
      <c r="V43" s="2"/>
      <c r="W43" s="2"/>
    </row>
    <row r="44" spans="1:23" ht="13.35" customHeight="1">
      <c r="A44" s="2" t="s">
        <v>218</v>
      </c>
      <c r="C44" s="2"/>
      <c r="D44" s="10">
        <f ca="1">+'COS 1'!V367</f>
        <v>477799.9070641367</v>
      </c>
      <c r="E44" s="2"/>
      <c r="F44" s="135">
        <f ca="1">+'COS 1'!V368</f>
        <v>1.41E-2</v>
      </c>
      <c r="G44" s="2"/>
      <c r="H44" s="2"/>
      <c r="I44" s="2"/>
      <c r="J44" s="2"/>
      <c r="K44" s="2"/>
      <c r="L44" s="2"/>
      <c r="M44" s="2"/>
      <c r="N44" s="2"/>
      <c r="O44" s="2"/>
      <c r="P44" s="2"/>
      <c r="Q44" s="2"/>
      <c r="R44" s="2"/>
      <c r="S44" s="2"/>
      <c r="T44" s="2"/>
      <c r="U44" s="2"/>
      <c r="V44" s="2"/>
      <c r="W44" s="2"/>
    </row>
    <row r="45" spans="1:23" ht="13.35" customHeight="1">
      <c r="A45" s="2" t="s">
        <v>219</v>
      </c>
      <c r="C45" s="2"/>
      <c r="D45" s="10">
        <f ca="1">+'COS 1'!X367</f>
        <v>926083.81614469457</v>
      </c>
      <c r="E45" s="2"/>
      <c r="F45" s="135">
        <f ca="1">+'COS 1'!X368</f>
        <v>2.7300000000000001E-2</v>
      </c>
      <c r="G45" s="2"/>
      <c r="H45" s="2"/>
      <c r="I45" s="2"/>
      <c r="J45" s="2"/>
      <c r="K45" s="2"/>
      <c r="L45" s="2"/>
      <c r="M45" s="2"/>
      <c r="N45" s="2"/>
      <c r="O45" s="2"/>
      <c r="P45" s="2"/>
      <c r="Q45" s="2"/>
      <c r="R45" s="2"/>
      <c r="S45" s="2"/>
      <c r="T45" s="2"/>
      <c r="U45" s="2"/>
      <c r="V45" s="2"/>
      <c r="W45" s="2"/>
    </row>
    <row r="46" spans="1:23">
      <c r="A46" s="2"/>
      <c r="C46" s="2"/>
      <c r="D46" s="6"/>
      <c r="E46" s="2"/>
      <c r="F46" s="7"/>
      <c r="G46" s="2"/>
      <c r="H46" s="2"/>
      <c r="I46" s="2"/>
      <c r="J46" s="2"/>
      <c r="K46" s="2"/>
      <c r="L46" s="2"/>
      <c r="M46" s="2"/>
      <c r="N46" s="2"/>
      <c r="O46" s="2"/>
      <c r="P46" s="2"/>
      <c r="Q46" s="2"/>
      <c r="R46" s="2"/>
      <c r="S46" s="2"/>
      <c r="T46" s="2"/>
      <c r="U46" s="2"/>
      <c r="V46" s="2"/>
      <c r="W46" s="2"/>
    </row>
    <row r="47" spans="1:23" ht="15.75" thickBot="1">
      <c r="A47" s="2" t="s">
        <v>220</v>
      </c>
      <c r="C47" s="2"/>
      <c r="D47" s="207">
        <f ca="1">SUM(D39:D46)</f>
        <v>33963110.528954171</v>
      </c>
      <c r="E47" s="2"/>
      <c r="F47" s="135">
        <f ca="1">SUM(F39:F46)</f>
        <v>1</v>
      </c>
      <c r="G47" s="2"/>
      <c r="H47" s="2"/>
      <c r="I47" s="2"/>
      <c r="J47" s="2"/>
      <c r="K47" s="2"/>
      <c r="L47" s="2"/>
      <c r="M47" s="2"/>
      <c r="N47" s="2"/>
      <c r="O47" s="2"/>
      <c r="P47" s="2"/>
      <c r="Q47" s="2"/>
      <c r="R47" s="2"/>
      <c r="S47" s="2"/>
      <c r="T47" s="2"/>
      <c r="U47" s="2"/>
      <c r="V47" s="2"/>
      <c r="W47" s="2"/>
    </row>
    <row r="48" spans="1:23" ht="15.75" thickTop="1">
      <c r="A48" s="2"/>
      <c r="B48" s="2"/>
      <c r="C48" s="2"/>
      <c r="D48" s="2"/>
      <c r="E48" s="2"/>
      <c r="F48" s="2"/>
      <c r="G48" s="2"/>
      <c r="H48" s="2"/>
      <c r="I48" s="2"/>
      <c r="J48" s="2"/>
      <c r="K48" s="2"/>
      <c r="L48" s="2"/>
      <c r="M48" s="2"/>
      <c r="N48" s="2"/>
      <c r="O48" s="2"/>
      <c r="P48" s="2"/>
      <c r="Q48" s="2"/>
      <c r="R48" s="2"/>
      <c r="S48" s="2"/>
      <c r="T48" s="2"/>
      <c r="U48" s="2"/>
      <c r="V48" s="2"/>
      <c r="W48" s="2"/>
    </row>
    <row r="49" spans="1:23">
      <c r="A49" s="2"/>
      <c r="B49" s="2"/>
      <c r="C49" s="2"/>
      <c r="D49" s="2"/>
      <c r="E49" s="2"/>
      <c r="F49" s="2"/>
      <c r="G49" s="2"/>
      <c r="H49" s="2"/>
      <c r="I49" s="2"/>
      <c r="J49" s="2"/>
      <c r="K49" s="2"/>
      <c r="L49" s="2"/>
      <c r="M49" s="2"/>
      <c r="N49" s="2"/>
      <c r="O49" s="2"/>
      <c r="P49" s="2"/>
      <c r="Q49" s="2"/>
      <c r="R49" s="2"/>
      <c r="S49" s="2"/>
      <c r="T49" s="2"/>
      <c r="U49" s="2"/>
      <c r="V49" s="2"/>
      <c r="W49" s="2"/>
    </row>
    <row r="50" spans="1:23">
      <c r="A50" s="37" t="s">
        <v>8</v>
      </c>
      <c r="B50" s="1"/>
      <c r="C50" s="37"/>
      <c r="D50" s="1"/>
      <c r="E50" s="1"/>
      <c r="F50" s="1"/>
      <c r="G50" s="2"/>
      <c r="H50" s="2"/>
      <c r="I50" s="2"/>
      <c r="J50" s="2"/>
      <c r="K50" s="2"/>
      <c r="L50" s="2"/>
      <c r="M50" s="2"/>
      <c r="N50" s="2"/>
      <c r="O50" s="2"/>
      <c r="P50" s="2"/>
      <c r="Q50" s="2"/>
      <c r="R50" s="2"/>
      <c r="S50" s="2"/>
      <c r="T50" s="2"/>
      <c r="U50" s="2"/>
      <c r="V50" s="2"/>
      <c r="W50" s="2"/>
    </row>
    <row r="51" spans="1:23">
      <c r="A51" s="178"/>
      <c r="B51" s="1"/>
      <c r="C51" s="37"/>
      <c r="D51" s="1"/>
      <c r="E51" s="1"/>
      <c r="F51" s="1"/>
      <c r="G51" s="2"/>
      <c r="H51" s="2"/>
      <c r="I51" s="2"/>
      <c r="J51" s="2"/>
      <c r="K51" s="2"/>
      <c r="L51" s="2"/>
      <c r="M51" s="2"/>
      <c r="N51" s="2"/>
      <c r="O51" s="2"/>
      <c r="P51" s="2"/>
      <c r="Q51" s="2"/>
      <c r="R51" s="2"/>
      <c r="S51" s="2"/>
      <c r="T51" s="2"/>
      <c r="U51" s="2"/>
      <c r="V51" s="2"/>
      <c r="W51" s="2"/>
    </row>
    <row r="52" spans="1:23">
      <c r="A52" s="1"/>
      <c r="B52" s="1"/>
      <c r="C52" s="1"/>
      <c r="D52" s="1"/>
      <c r="E52" s="1"/>
      <c r="F52" s="1"/>
      <c r="G52" s="2"/>
      <c r="H52" s="2"/>
      <c r="I52" s="2"/>
      <c r="J52" s="2"/>
      <c r="K52" s="2"/>
      <c r="L52" s="2"/>
      <c r="M52" s="2"/>
      <c r="N52" s="2"/>
      <c r="O52" s="2"/>
      <c r="P52" s="2"/>
      <c r="Q52" s="2"/>
      <c r="R52" s="2"/>
      <c r="S52" s="2"/>
      <c r="T52" s="2"/>
      <c r="U52" s="2"/>
      <c r="V52" s="2"/>
      <c r="W52" s="2"/>
    </row>
    <row r="53" spans="1:23">
      <c r="A53" s="1" t="s">
        <v>236</v>
      </c>
      <c r="B53" s="1"/>
      <c r="C53" s="1"/>
      <c r="D53" s="1"/>
      <c r="E53" s="1"/>
      <c r="F53" s="1"/>
      <c r="G53" s="2"/>
      <c r="H53" s="2"/>
      <c r="I53" s="2"/>
      <c r="J53" s="2"/>
      <c r="K53" s="2"/>
      <c r="L53" s="2"/>
      <c r="M53" s="2"/>
      <c r="N53" s="2"/>
      <c r="O53" s="2"/>
      <c r="P53" s="2"/>
      <c r="Q53" s="2"/>
      <c r="R53" s="2"/>
      <c r="S53" s="2"/>
      <c r="T53" s="2"/>
      <c r="U53" s="2"/>
      <c r="V53" s="2"/>
      <c r="W53" s="2"/>
    </row>
    <row r="54" spans="1:23">
      <c r="A54" s="2"/>
      <c r="B54" s="2"/>
      <c r="C54" s="2"/>
      <c r="D54" s="2"/>
      <c r="E54" s="2"/>
      <c r="F54" s="2"/>
      <c r="G54" s="2"/>
      <c r="H54" s="2"/>
      <c r="I54" s="2"/>
      <c r="J54" s="2"/>
      <c r="K54" s="2"/>
      <c r="L54" s="2"/>
      <c r="M54" s="2"/>
      <c r="N54" s="2"/>
      <c r="O54" s="135"/>
      <c r="P54" s="2"/>
      <c r="Q54" s="2"/>
      <c r="R54" s="2"/>
      <c r="S54" s="2"/>
      <c r="T54" s="2"/>
      <c r="U54" s="2"/>
      <c r="V54" s="2"/>
      <c r="W54" s="2"/>
    </row>
    <row r="55" spans="1:23">
      <c r="A55" s="2"/>
      <c r="B55" s="2"/>
      <c r="C55" s="2"/>
      <c r="D55" s="2"/>
      <c r="E55" s="2"/>
      <c r="F55" s="2"/>
      <c r="G55" s="2"/>
      <c r="H55" s="2"/>
      <c r="I55" s="2"/>
      <c r="J55" s="2"/>
      <c r="K55" s="2"/>
      <c r="L55" s="2"/>
      <c r="M55" s="2"/>
      <c r="N55" s="2"/>
      <c r="O55" s="135"/>
      <c r="P55" s="2"/>
      <c r="Q55" s="2"/>
      <c r="R55" s="2"/>
      <c r="S55" s="2"/>
      <c r="T55" s="2"/>
      <c r="U55" s="2"/>
      <c r="V55" s="2"/>
      <c r="W55" s="2"/>
    </row>
    <row r="56" spans="1:23">
      <c r="A56" s="2" t="s">
        <v>383</v>
      </c>
      <c r="B56" s="2"/>
      <c r="C56" s="2"/>
      <c r="D56" s="2"/>
      <c r="E56" s="2"/>
      <c r="F56" s="2"/>
      <c r="G56" s="2"/>
      <c r="O56" s="135"/>
      <c r="P56" s="2"/>
      <c r="Q56" s="2"/>
      <c r="R56" s="2"/>
      <c r="S56" s="2"/>
      <c r="T56" s="2"/>
      <c r="U56" s="2"/>
      <c r="V56" s="2"/>
      <c r="W56" s="2"/>
    </row>
    <row r="57" spans="1:23">
      <c r="A57" s="2"/>
      <c r="B57" s="2"/>
      <c r="C57" s="2"/>
      <c r="D57" s="2"/>
      <c r="E57" s="2"/>
      <c r="F57" s="2"/>
      <c r="G57" s="2"/>
      <c r="O57" s="135"/>
      <c r="P57" s="2"/>
      <c r="Q57" s="2"/>
      <c r="R57" s="2"/>
      <c r="S57" s="2"/>
      <c r="T57" s="2"/>
      <c r="U57" s="2"/>
      <c r="V57" s="2"/>
      <c r="W57" s="2"/>
    </row>
    <row r="58" spans="1:23" ht="14.65" customHeight="1">
      <c r="A58" s="616" t="s">
        <v>182</v>
      </c>
      <c r="B58" s="616"/>
      <c r="C58" s="616"/>
      <c r="D58" s="616"/>
      <c r="E58" s="616"/>
      <c r="F58" s="616"/>
      <c r="G58" s="2"/>
      <c r="O58" s="135"/>
      <c r="P58" s="2"/>
      <c r="Q58" s="2"/>
      <c r="R58" s="2"/>
      <c r="S58" s="2"/>
      <c r="T58" s="2"/>
      <c r="U58" s="2"/>
      <c r="V58" s="2"/>
      <c r="W58" s="2"/>
    </row>
    <row r="59" spans="1:23">
      <c r="A59" s="2"/>
      <c r="B59" s="2"/>
      <c r="C59" s="2"/>
      <c r="D59" s="2"/>
      <c r="E59" s="2"/>
      <c r="F59" s="2"/>
      <c r="G59" s="2"/>
      <c r="O59" s="2"/>
      <c r="P59" s="2"/>
      <c r="Q59" s="2"/>
      <c r="R59" s="2"/>
      <c r="S59" s="2"/>
      <c r="T59" s="2"/>
      <c r="U59" s="2"/>
      <c r="V59" s="2"/>
      <c r="W59" s="2"/>
    </row>
    <row r="60" spans="1:23">
      <c r="A60" s="1" t="s">
        <v>204</v>
      </c>
      <c r="B60" s="37"/>
      <c r="C60" s="2"/>
      <c r="D60" s="12" t="s">
        <v>384</v>
      </c>
      <c r="E60" s="12"/>
      <c r="F60" s="12" t="s">
        <v>206</v>
      </c>
      <c r="G60" s="2"/>
      <c r="O60" s="2"/>
      <c r="P60" s="2"/>
      <c r="Q60" s="2"/>
      <c r="R60" s="2"/>
      <c r="S60" s="2"/>
      <c r="T60" s="2"/>
      <c r="U60" s="2"/>
      <c r="V60" s="2"/>
      <c r="W60" s="2"/>
    </row>
    <row r="61" spans="1:23">
      <c r="A61" s="1" t="s">
        <v>207</v>
      </c>
      <c r="B61" s="37"/>
      <c r="C61" s="2"/>
      <c r="D61" s="12" t="s">
        <v>385</v>
      </c>
      <c r="E61" s="12"/>
      <c r="F61" s="12" t="s">
        <v>208</v>
      </c>
      <c r="G61" s="2"/>
      <c r="O61" s="2"/>
      <c r="P61" s="2"/>
      <c r="Q61" s="2"/>
      <c r="R61" s="2"/>
      <c r="S61" s="2"/>
      <c r="T61" s="2"/>
      <c r="U61" s="2"/>
      <c r="V61" s="2"/>
      <c r="W61" s="2"/>
    </row>
    <row r="62" spans="1:23">
      <c r="A62" s="3" t="s">
        <v>209</v>
      </c>
      <c r="B62" s="134"/>
      <c r="C62" s="2"/>
      <c r="D62" s="11" t="s">
        <v>229</v>
      </c>
      <c r="E62" s="12" t="s">
        <v>329</v>
      </c>
      <c r="F62" s="11" t="s">
        <v>211</v>
      </c>
      <c r="G62" s="2"/>
      <c r="O62" s="2"/>
      <c r="P62" s="2"/>
      <c r="Q62" s="2"/>
      <c r="R62" s="2"/>
      <c r="S62" s="2"/>
      <c r="T62" s="2"/>
      <c r="U62" s="2"/>
      <c r="V62" s="2"/>
      <c r="W62" s="2"/>
    </row>
    <row r="63" spans="1:23">
      <c r="A63" s="2"/>
      <c r="C63" s="2"/>
      <c r="D63" s="2"/>
      <c r="E63" s="2"/>
      <c r="F63" s="135"/>
      <c r="G63" s="2"/>
      <c r="O63" s="2"/>
      <c r="P63" s="2"/>
      <c r="Q63" s="2"/>
      <c r="R63" s="2"/>
      <c r="S63" s="2"/>
      <c r="T63" s="2"/>
      <c r="U63" s="2"/>
      <c r="V63" s="2"/>
      <c r="W63" s="2"/>
    </row>
    <row r="64" spans="1:23">
      <c r="A64" s="2" t="s">
        <v>212</v>
      </c>
      <c r="C64" s="2"/>
      <c r="D64" s="206">
        <f>+'COS 1'!L369</f>
        <v>4318701.0510372501</v>
      </c>
      <c r="E64" s="2"/>
      <c r="F64" s="160">
        <f>+'COS 1'!L370</f>
        <v>0.62770000000000004</v>
      </c>
      <c r="G64" s="2"/>
      <c r="O64" s="2"/>
      <c r="P64" s="2"/>
      <c r="Q64" s="2"/>
      <c r="R64" s="2"/>
      <c r="S64" s="2"/>
      <c r="T64" s="2"/>
      <c r="U64" s="2"/>
      <c r="V64" s="2"/>
      <c r="W64" s="2"/>
    </row>
    <row r="65" spans="1:23">
      <c r="A65" s="2" t="s">
        <v>213</v>
      </c>
      <c r="C65" s="2"/>
      <c r="D65" s="10">
        <f>+'COS 1'!N369</f>
        <v>1498356.7546554774</v>
      </c>
      <c r="E65" s="2"/>
      <c r="F65" s="135">
        <f>+'COS 1'!N370</f>
        <v>0.21779999999999999</v>
      </c>
      <c r="G65" s="2"/>
      <c r="O65" s="2"/>
      <c r="P65" s="2"/>
      <c r="Q65" s="2"/>
      <c r="R65" s="2"/>
      <c r="S65" s="2"/>
      <c r="T65" s="2"/>
      <c r="U65" s="2"/>
      <c r="V65" s="2"/>
      <c r="W65" s="2"/>
    </row>
    <row r="66" spans="1:23">
      <c r="A66" s="2" t="s">
        <v>214</v>
      </c>
      <c r="C66" s="2"/>
      <c r="D66" s="10">
        <f>+'COS 1'!P369</f>
        <v>156181.03025641461</v>
      </c>
      <c r="E66" s="2"/>
      <c r="F66" s="135">
        <f>+'COS 1'!P370</f>
        <v>2.2700000000000001E-2</v>
      </c>
      <c r="G66" s="2"/>
      <c r="O66" s="2"/>
      <c r="P66" s="2"/>
      <c r="Q66" s="2"/>
      <c r="R66" s="2"/>
      <c r="S66" s="2"/>
      <c r="T66" s="2"/>
      <c r="U66" s="2"/>
      <c r="V66" s="2"/>
      <c r="W66" s="2"/>
    </row>
    <row r="67" spans="1:23">
      <c r="A67" s="2" t="s">
        <v>216</v>
      </c>
      <c r="C67" s="2"/>
      <c r="D67" s="10">
        <f>+'COS 1'!R369</f>
        <v>439436.19908016233</v>
      </c>
      <c r="E67" s="2"/>
      <c r="F67" s="135">
        <f>+'COS 1'!R370</f>
        <v>6.3899999999999998E-2</v>
      </c>
      <c r="G67" s="2"/>
      <c r="O67" s="2"/>
      <c r="P67" s="2"/>
      <c r="Q67" s="2"/>
      <c r="R67" s="2"/>
      <c r="S67" s="2"/>
      <c r="T67" s="2"/>
      <c r="U67" s="2"/>
      <c r="V67" s="2"/>
      <c r="W67" s="2"/>
    </row>
    <row r="68" spans="1:23" ht="13.9" customHeight="1">
      <c r="A68" s="2" t="s">
        <v>337</v>
      </c>
      <c r="C68" s="2"/>
      <c r="D68" s="10">
        <f>+'COS 1'!T369</f>
        <v>107395.91023412287</v>
      </c>
      <c r="E68" s="2"/>
      <c r="F68" s="135">
        <f>+'COS 1'!T370</f>
        <v>1.5599999999999999E-2</v>
      </c>
      <c r="G68" s="2"/>
      <c r="O68" s="2"/>
      <c r="P68" s="2"/>
      <c r="Q68" s="2"/>
      <c r="R68" s="2"/>
      <c r="S68" s="2"/>
      <c r="T68" s="2"/>
      <c r="U68" s="2"/>
      <c r="V68" s="2"/>
      <c r="W68" s="2"/>
    </row>
    <row r="69" spans="1:23" ht="13.35" customHeight="1">
      <c r="A69" s="2" t="s">
        <v>218</v>
      </c>
      <c r="C69" s="2"/>
      <c r="D69" s="10">
        <f>+'COS 1'!V369</f>
        <v>97353.154221936245</v>
      </c>
      <c r="E69" s="2"/>
      <c r="F69" s="135">
        <f>+'COS 1'!V370</f>
        <v>1.41E-2</v>
      </c>
      <c r="G69" s="2"/>
      <c r="O69" s="2"/>
      <c r="P69" s="2"/>
      <c r="Q69" s="2"/>
      <c r="R69" s="2"/>
      <c r="S69" s="2"/>
      <c r="T69" s="2"/>
      <c r="U69" s="2"/>
      <c r="V69" s="2"/>
      <c r="W69" s="2"/>
    </row>
    <row r="70" spans="1:23" ht="13.35" customHeight="1">
      <c r="A70" s="2" t="s">
        <v>219</v>
      </c>
      <c r="C70" s="2"/>
      <c r="D70" s="10">
        <f>+'COS 1'!X369</f>
        <v>262788.59765545902</v>
      </c>
      <c r="E70" s="2"/>
      <c r="F70" s="135">
        <f>+'COS 1'!X370</f>
        <v>3.8199999999999998E-2</v>
      </c>
      <c r="G70" s="2"/>
      <c r="O70" s="2"/>
      <c r="P70" s="2"/>
      <c r="Q70" s="2"/>
      <c r="R70" s="2"/>
      <c r="S70" s="2"/>
      <c r="T70" s="2"/>
      <c r="U70" s="2"/>
      <c r="V70" s="2"/>
      <c r="W70" s="2"/>
    </row>
    <row r="71" spans="1:23" ht="13.35" customHeight="1">
      <c r="A71" s="2"/>
      <c r="C71" s="2"/>
      <c r="D71" s="6"/>
      <c r="E71" s="2"/>
      <c r="F71" s="7"/>
      <c r="G71" s="2"/>
      <c r="O71" s="2"/>
      <c r="P71" s="2"/>
      <c r="Q71" s="2"/>
      <c r="R71" s="2"/>
      <c r="S71" s="2"/>
      <c r="T71" s="2"/>
      <c r="U71" s="2"/>
      <c r="V71" s="2"/>
      <c r="W71" s="2"/>
    </row>
    <row r="72" spans="1:23" ht="13.35" customHeight="1" thickBot="1">
      <c r="A72" s="2" t="s">
        <v>220</v>
      </c>
      <c r="C72" s="2"/>
      <c r="D72" s="207">
        <f>SUM(D64:D71)</f>
        <v>6880212.6971408231</v>
      </c>
      <c r="E72" s="2"/>
      <c r="F72" s="135">
        <f>SUM(F64:F71)</f>
        <v>1</v>
      </c>
      <c r="G72" s="2"/>
      <c r="O72" s="2"/>
      <c r="P72" s="2"/>
      <c r="Q72" s="2"/>
      <c r="R72" s="2"/>
      <c r="S72" s="2"/>
      <c r="T72" s="2"/>
      <c r="U72" s="2"/>
      <c r="V72" s="2"/>
      <c r="W72" s="2"/>
    </row>
    <row r="73" spans="1:23" ht="13.35" customHeight="1" thickTop="1">
      <c r="A73" s="2"/>
      <c r="B73" s="2"/>
      <c r="C73" s="2"/>
      <c r="D73" s="153"/>
      <c r="E73" s="14"/>
      <c r="F73" s="9"/>
      <c r="G73" s="2"/>
      <c r="O73" s="2"/>
      <c r="P73" s="2"/>
      <c r="Q73" s="2"/>
      <c r="R73" s="2"/>
      <c r="S73" s="2"/>
      <c r="T73" s="2"/>
      <c r="U73" s="2"/>
      <c r="V73" s="2"/>
      <c r="W73" s="2"/>
    </row>
    <row r="74" spans="1:23" ht="13.35" customHeight="1">
      <c r="A74" s="2"/>
      <c r="B74" s="2"/>
      <c r="C74" s="2"/>
      <c r="D74" s="2"/>
      <c r="E74" s="2"/>
      <c r="F74" s="2"/>
      <c r="G74" s="2"/>
      <c r="O74" s="2"/>
      <c r="P74" s="2"/>
      <c r="Q74" s="2"/>
      <c r="R74" s="2"/>
      <c r="S74" s="2"/>
      <c r="T74" s="2"/>
      <c r="U74" s="2"/>
      <c r="V74" s="2"/>
      <c r="W74" s="2"/>
    </row>
    <row r="75" spans="1:23" ht="13.35" customHeight="1">
      <c r="A75" s="2"/>
      <c r="B75" s="2"/>
      <c r="C75" s="2"/>
      <c r="D75" s="2"/>
      <c r="E75" s="2"/>
      <c r="F75" s="2"/>
      <c r="G75" s="2"/>
      <c r="O75" s="2"/>
      <c r="P75" s="2"/>
      <c r="Q75" s="2"/>
      <c r="R75" s="2"/>
      <c r="S75" s="2"/>
      <c r="T75" s="2"/>
      <c r="U75" s="2"/>
      <c r="V75" s="2"/>
      <c r="W75" s="2"/>
    </row>
    <row r="76" spans="1:23">
      <c r="A76" s="2" t="s">
        <v>162</v>
      </c>
      <c r="B76" s="2"/>
      <c r="C76" s="2"/>
      <c r="D76" s="2"/>
      <c r="E76" s="2"/>
      <c r="F76" s="2"/>
      <c r="G76" s="2"/>
      <c r="O76" s="2"/>
      <c r="P76" s="2"/>
      <c r="Q76" s="2"/>
      <c r="R76" s="2"/>
      <c r="S76" s="2"/>
      <c r="T76" s="2"/>
      <c r="U76" s="2"/>
      <c r="V76" s="2"/>
      <c r="W76" s="2"/>
    </row>
    <row r="77" spans="1:23">
      <c r="A77" s="2" t="s">
        <v>189</v>
      </c>
      <c r="B77" s="2"/>
      <c r="C77" s="2"/>
      <c r="D77" s="2"/>
      <c r="E77" s="2"/>
      <c r="F77" s="2"/>
      <c r="G77" s="2"/>
      <c r="O77" s="2"/>
      <c r="P77" s="2"/>
      <c r="Q77" s="2"/>
      <c r="R77" s="2"/>
      <c r="S77" s="2"/>
      <c r="T77" s="2"/>
      <c r="U77" s="2"/>
      <c r="V77" s="2"/>
      <c r="W77" s="2"/>
    </row>
    <row r="78" spans="1:23">
      <c r="A78" s="2"/>
      <c r="B78" s="2"/>
      <c r="C78" s="2"/>
      <c r="D78" s="2"/>
      <c r="E78" s="2"/>
      <c r="F78" s="2"/>
      <c r="G78" s="2"/>
      <c r="O78" s="2"/>
      <c r="P78" s="2"/>
      <c r="Q78" s="2"/>
      <c r="R78" s="2"/>
      <c r="S78" s="2"/>
      <c r="T78" s="2"/>
      <c r="U78" s="2"/>
      <c r="V78" s="2"/>
      <c r="W78" s="2"/>
    </row>
    <row r="79" spans="1:23" ht="28.15" customHeight="1">
      <c r="A79" s="616" t="s">
        <v>386</v>
      </c>
      <c r="B79" s="616"/>
      <c r="C79" s="616"/>
      <c r="D79" s="616"/>
      <c r="E79" s="616"/>
      <c r="F79" s="616"/>
      <c r="G79" s="2"/>
      <c r="O79" s="2"/>
      <c r="P79" s="2"/>
      <c r="Q79" s="2"/>
      <c r="R79" s="2"/>
      <c r="S79" s="2"/>
      <c r="T79" s="2"/>
      <c r="U79" s="2"/>
      <c r="V79" s="2"/>
      <c r="W79" s="2"/>
    </row>
    <row r="80" spans="1:23">
      <c r="A80" s="2"/>
      <c r="B80" s="2"/>
      <c r="C80" s="2"/>
      <c r="D80" s="2"/>
      <c r="E80" s="2"/>
      <c r="F80" s="2"/>
      <c r="G80" s="2"/>
      <c r="O80" s="2"/>
      <c r="P80" s="2"/>
      <c r="Q80" s="2"/>
      <c r="R80" s="2"/>
      <c r="S80" s="2"/>
      <c r="T80" s="2"/>
      <c r="U80" s="2"/>
      <c r="V80" s="2"/>
      <c r="W80" s="2"/>
    </row>
    <row r="81" spans="1:23">
      <c r="A81" s="2"/>
      <c r="B81" s="2"/>
      <c r="C81" s="2"/>
      <c r="D81" s="12" t="s">
        <v>387</v>
      </c>
      <c r="E81" s="12"/>
      <c r="F81" s="12"/>
      <c r="G81" s="2"/>
      <c r="O81" s="2"/>
      <c r="P81" s="2"/>
      <c r="Q81" s="2"/>
      <c r="R81" s="2"/>
      <c r="S81" s="2"/>
      <c r="T81" s="2"/>
      <c r="U81" s="2"/>
      <c r="V81" s="2"/>
      <c r="W81" s="2"/>
    </row>
    <row r="82" spans="1:23">
      <c r="A82" s="1" t="s">
        <v>204</v>
      </c>
      <c r="B82" s="37"/>
      <c r="C82" s="2"/>
      <c r="D82" s="12" t="s">
        <v>388</v>
      </c>
      <c r="E82" s="12"/>
      <c r="F82" s="12" t="s">
        <v>206</v>
      </c>
      <c r="G82" s="2"/>
      <c r="O82" s="2"/>
      <c r="P82" s="2"/>
      <c r="Q82" s="2"/>
      <c r="R82" s="2"/>
      <c r="S82" s="2"/>
      <c r="T82" s="2"/>
      <c r="U82" s="2"/>
      <c r="V82" s="2"/>
      <c r="W82" s="2"/>
    </row>
    <row r="83" spans="1:23">
      <c r="A83" s="1" t="s">
        <v>207</v>
      </c>
      <c r="B83" s="37"/>
      <c r="C83" s="2"/>
      <c r="D83" s="12" t="s">
        <v>389</v>
      </c>
      <c r="E83" s="12"/>
      <c r="F83" s="12" t="s">
        <v>208</v>
      </c>
      <c r="G83" s="2"/>
      <c r="O83" s="2"/>
      <c r="P83" s="2"/>
      <c r="Q83" s="2"/>
      <c r="R83" s="2"/>
      <c r="S83" s="2"/>
      <c r="T83" s="2"/>
      <c r="U83" s="2"/>
      <c r="V83" s="2"/>
      <c r="W83" s="2"/>
    </row>
    <row r="84" spans="1:23">
      <c r="A84" s="3" t="s">
        <v>209</v>
      </c>
      <c r="B84" s="134"/>
      <c r="C84" s="2"/>
      <c r="D84" s="11" t="s">
        <v>229</v>
      </c>
      <c r="E84" s="12" t="s">
        <v>329</v>
      </c>
      <c r="F84" s="11" t="s">
        <v>211</v>
      </c>
      <c r="G84" s="2"/>
      <c r="O84" s="2"/>
      <c r="P84" s="2"/>
      <c r="Q84" s="2"/>
      <c r="R84" s="2"/>
      <c r="S84" s="2"/>
      <c r="T84" s="2"/>
      <c r="U84" s="2"/>
      <c r="V84" s="2"/>
      <c r="W84" s="2"/>
    </row>
    <row r="85" spans="1:23">
      <c r="A85" s="2"/>
      <c r="C85" s="2"/>
      <c r="D85" s="2"/>
      <c r="E85" s="2"/>
      <c r="F85" s="135"/>
      <c r="G85" s="2"/>
      <c r="O85" s="2"/>
      <c r="P85" s="2"/>
      <c r="Q85" s="2"/>
      <c r="R85" s="2"/>
      <c r="S85" s="2"/>
      <c r="T85" s="2"/>
      <c r="U85" s="2"/>
      <c r="V85" s="2"/>
      <c r="W85" s="2"/>
    </row>
    <row r="86" spans="1:23">
      <c r="A86" s="2" t="s">
        <v>212</v>
      </c>
      <c r="C86" s="2"/>
      <c r="D86" s="206">
        <f>+'COS 1'!L371</f>
        <v>224525088.06521407</v>
      </c>
      <c r="E86" s="2"/>
      <c r="F86" s="160">
        <f>+'COS 1'!L372</f>
        <v>0.52090000000000003</v>
      </c>
      <c r="G86" s="2"/>
      <c r="O86" s="2"/>
      <c r="P86" s="2"/>
      <c r="Q86" s="2"/>
      <c r="R86" s="2"/>
      <c r="S86" s="2"/>
      <c r="T86" s="2"/>
      <c r="U86" s="2"/>
      <c r="V86" s="2"/>
      <c r="W86" s="2"/>
    </row>
    <row r="87" spans="1:23">
      <c r="A87" s="2" t="s">
        <v>213</v>
      </c>
      <c r="C87" s="2"/>
      <c r="D87" s="10">
        <f>+'COS 1'!N371</f>
        <v>112576867.93222909</v>
      </c>
      <c r="E87" s="2"/>
      <c r="F87" s="135">
        <f>+'COS 1'!N372</f>
        <v>0.26119999999999999</v>
      </c>
      <c r="G87" s="2"/>
      <c r="O87" s="2"/>
      <c r="P87" s="2"/>
      <c r="Q87" s="2"/>
      <c r="R87" s="2"/>
      <c r="S87" s="2"/>
      <c r="T87" s="2"/>
      <c r="U87" s="2"/>
      <c r="V87" s="2"/>
      <c r="W87" s="2"/>
    </row>
    <row r="88" spans="1:23">
      <c r="A88" s="2" t="s">
        <v>214</v>
      </c>
      <c r="C88" s="2"/>
      <c r="D88" s="10">
        <f>+'COS 1'!P371</f>
        <v>13354143.602500454</v>
      </c>
      <c r="E88" s="2"/>
      <c r="F88" s="135">
        <f>+'COS 1'!P372</f>
        <v>3.1E-2</v>
      </c>
      <c r="G88" s="2"/>
      <c r="O88" s="2"/>
      <c r="P88" s="2"/>
      <c r="Q88" s="2"/>
      <c r="R88" s="2"/>
      <c r="S88" s="2"/>
      <c r="T88" s="2"/>
      <c r="U88" s="2"/>
      <c r="V88" s="2"/>
      <c r="W88" s="2"/>
    </row>
    <row r="89" spans="1:23">
      <c r="A89" s="2" t="s">
        <v>216</v>
      </c>
      <c r="C89" s="2"/>
      <c r="D89" s="10">
        <f>+'COS 1'!R371</f>
        <v>35497701.490693793</v>
      </c>
      <c r="E89" s="2"/>
      <c r="F89" s="135">
        <f>+'COS 1'!R372</f>
        <v>8.2400000000000001E-2</v>
      </c>
      <c r="G89" s="2"/>
      <c r="O89" s="2"/>
      <c r="P89" s="2"/>
      <c r="Q89" s="2"/>
      <c r="R89" s="2"/>
      <c r="S89" s="2"/>
      <c r="T89" s="2"/>
      <c r="U89" s="2"/>
      <c r="V89" s="2"/>
      <c r="W89" s="2"/>
    </row>
    <row r="90" spans="1:23" ht="13.9" customHeight="1">
      <c r="A90" s="2" t="s">
        <v>337</v>
      </c>
      <c r="C90" s="2"/>
      <c r="D90" s="10">
        <f>+'COS 1'!T371</f>
        <v>8635866.5078410134</v>
      </c>
      <c r="E90" s="2"/>
      <c r="F90" s="135">
        <f>+'COS 1'!T372</f>
        <v>0.02</v>
      </c>
      <c r="G90" s="2"/>
      <c r="O90" s="2"/>
      <c r="P90" s="2"/>
      <c r="Q90" s="2"/>
      <c r="R90" s="2"/>
      <c r="S90" s="2"/>
      <c r="T90" s="2"/>
      <c r="U90" s="2"/>
      <c r="V90" s="2"/>
      <c r="W90" s="2"/>
    </row>
    <row r="91" spans="1:23" ht="13.35" customHeight="1">
      <c r="A91" s="2" t="s">
        <v>218</v>
      </c>
      <c r="C91" s="2"/>
      <c r="D91" s="10">
        <f>+'COS 1'!V371</f>
        <v>12652929.555834884</v>
      </c>
      <c r="E91" s="2"/>
      <c r="F91" s="135">
        <f>+'COS 1'!V372</f>
        <v>2.9399999999999999E-2</v>
      </c>
      <c r="G91" s="2"/>
      <c r="O91" s="2"/>
      <c r="P91" s="2"/>
      <c r="Q91" s="2"/>
      <c r="R91" s="2"/>
      <c r="S91" s="2"/>
      <c r="T91" s="2"/>
      <c r="U91" s="2"/>
      <c r="V91" s="2"/>
      <c r="W91" s="2"/>
    </row>
    <row r="92" spans="1:23" ht="13.35" customHeight="1">
      <c r="A92" s="2" t="s">
        <v>219</v>
      </c>
      <c r="C92" s="2"/>
      <c r="D92" s="10">
        <f>+'COS 1'!X371</f>
        <v>23768955.950739432</v>
      </c>
      <c r="E92" s="2"/>
      <c r="F92" s="135">
        <f>+'COS 1'!X372</f>
        <v>5.5100000000000003E-2</v>
      </c>
      <c r="G92" s="2"/>
      <c r="O92" s="2"/>
      <c r="P92" s="2"/>
      <c r="Q92" s="2"/>
      <c r="R92" s="2"/>
      <c r="S92" s="2"/>
      <c r="T92" s="2"/>
      <c r="U92" s="2"/>
      <c r="V92" s="2"/>
      <c r="W92" s="2"/>
    </row>
    <row r="93" spans="1:23" ht="13.35" customHeight="1">
      <c r="A93" s="2"/>
      <c r="C93" s="2"/>
      <c r="D93" s="6"/>
      <c r="E93" s="2"/>
      <c r="F93" s="7"/>
      <c r="G93" s="2"/>
      <c r="O93" s="2"/>
      <c r="P93" s="2"/>
      <c r="Q93" s="2"/>
      <c r="R93" s="2"/>
      <c r="S93" s="2"/>
      <c r="T93" s="2"/>
      <c r="U93" s="2"/>
      <c r="V93" s="2"/>
      <c r="W93" s="2"/>
    </row>
    <row r="94" spans="1:23" ht="13.35" customHeight="1" thickBot="1">
      <c r="A94" s="2" t="s">
        <v>220</v>
      </c>
      <c r="C94" s="2"/>
      <c r="D94" s="207">
        <f>SUM(D86:D93)</f>
        <v>431011553.10505271</v>
      </c>
      <c r="E94" s="2"/>
      <c r="F94" s="135">
        <f>SUM(F86:F93)</f>
        <v>1</v>
      </c>
      <c r="G94" s="2"/>
      <c r="O94" s="2"/>
      <c r="P94" s="2"/>
      <c r="Q94" s="2"/>
      <c r="R94" s="2"/>
      <c r="S94" s="2"/>
      <c r="T94" s="2"/>
      <c r="U94" s="2"/>
      <c r="V94" s="2"/>
      <c r="W94" s="2"/>
    </row>
    <row r="95" spans="1:23" ht="13.35" customHeight="1" thickTop="1">
      <c r="A95" s="2"/>
      <c r="B95" s="2"/>
      <c r="C95" s="2"/>
      <c r="D95" s="153"/>
      <c r="E95" s="14"/>
      <c r="F95" s="9"/>
      <c r="G95" s="2"/>
      <c r="O95" s="2"/>
      <c r="P95" s="2"/>
      <c r="Q95" s="2"/>
      <c r="R95" s="2"/>
      <c r="S95" s="2"/>
      <c r="T95" s="2"/>
      <c r="U95" s="2"/>
      <c r="V95" s="2"/>
      <c r="W95" s="2"/>
    </row>
    <row r="96" spans="1:23">
      <c r="A96" s="37" t="s">
        <v>8</v>
      </c>
      <c r="B96" s="1"/>
      <c r="C96" s="37"/>
      <c r="D96" s="1"/>
      <c r="E96" s="1"/>
      <c r="F96" s="1"/>
      <c r="G96" s="2"/>
      <c r="O96" s="2"/>
      <c r="P96" s="2"/>
      <c r="Q96" s="2"/>
      <c r="R96" s="2"/>
      <c r="S96" s="2"/>
      <c r="T96" s="2"/>
      <c r="U96" s="2"/>
      <c r="V96" s="2"/>
      <c r="W96" s="2"/>
    </row>
    <row r="97" spans="1:23">
      <c r="A97" s="178"/>
      <c r="B97" s="1"/>
      <c r="C97" s="37"/>
      <c r="D97" s="1"/>
      <c r="E97" s="1"/>
      <c r="F97" s="1"/>
      <c r="G97" s="2"/>
      <c r="O97" s="2"/>
      <c r="P97" s="2"/>
      <c r="Q97" s="2"/>
      <c r="R97" s="2"/>
      <c r="S97" s="2"/>
      <c r="T97" s="2"/>
      <c r="U97" s="2"/>
      <c r="V97" s="2"/>
      <c r="W97" s="2"/>
    </row>
    <row r="98" spans="1:23">
      <c r="A98" s="1"/>
      <c r="B98" s="1"/>
      <c r="C98" s="1"/>
      <c r="D98" s="1"/>
      <c r="E98" s="1"/>
      <c r="F98" s="1"/>
      <c r="G98" s="2"/>
      <c r="O98" s="2"/>
      <c r="P98" s="2"/>
      <c r="Q98" s="2"/>
      <c r="R98" s="2"/>
      <c r="S98" s="2"/>
      <c r="T98" s="2"/>
      <c r="U98" s="2"/>
      <c r="V98" s="2"/>
      <c r="W98" s="2"/>
    </row>
    <row r="99" spans="1:23">
      <c r="A99" s="1" t="s">
        <v>236</v>
      </c>
      <c r="B99" s="1"/>
      <c r="C99" s="1"/>
      <c r="D99" s="1"/>
      <c r="E99" s="1"/>
      <c r="F99" s="1"/>
      <c r="G99" s="2"/>
      <c r="O99" s="2"/>
      <c r="P99" s="2"/>
      <c r="Q99" s="2"/>
      <c r="R99" s="2"/>
      <c r="S99" s="2"/>
      <c r="T99" s="2"/>
      <c r="U99" s="2"/>
      <c r="V99" s="2"/>
      <c r="W99" s="2"/>
    </row>
    <row r="100" spans="1:23">
      <c r="A100" s="2"/>
      <c r="B100" s="2"/>
      <c r="C100" s="2"/>
      <c r="D100" s="2"/>
      <c r="E100" s="2"/>
      <c r="F100" s="2"/>
      <c r="G100" s="2"/>
      <c r="H100" s="2"/>
      <c r="I100" s="2"/>
      <c r="J100" s="2"/>
      <c r="K100" s="2"/>
      <c r="L100" s="2"/>
      <c r="M100" s="2"/>
      <c r="N100" s="2"/>
      <c r="O100" s="2"/>
      <c r="P100" s="2"/>
      <c r="Q100" s="2"/>
      <c r="R100" s="2"/>
      <c r="S100" s="2"/>
      <c r="T100" s="2"/>
      <c r="U100" s="135"/>
      <c r="V100" s="2"/>
      <c r="W100" s="2"/>
    </row>
    <row r="101" spans="1:23">
      <c r="A101" s="2"/>
      <c r="B101" s="2"/>
      <c r="C101" s="2"/>
      <c r="D101" s="2"/>
      <c r="E101" s="2"/>
      <c r="F101" s="2"/>
      <c r="G101" s="2"/>
      <c r="H101" s="2"/>
      <c r="I101" s="2"/>
      <c r="J101" s="2"/>
      <c r="K101" s="2"/>
      <c r="L101" s="2"/>
      <c r="M101" s="2"/>
      <c r="N101" s="2"/>
      <c r="O101" s="2"/>
      <c r="P101" s="2"/>
      <c r="Q101" s="2"/>
      <c r="R101" s="2"/>
      <c r="S101" s="10"/>
      <c r="T101" s="2"/>
      <c r="U101" s="135"/>
      <c r="V101" s="2"/>
      <c r="W101" s="2"/>
    </row>
    <row r="102" spans="1:23">
      <c r="A102" s="2" t="s">
        <v>163</v>
      </c>
      <c r="B102" s="2"/>
      <c r="C102" s="2"/>
      <c r="D102" s="2"/>
      <c r="E102" s="2"/>
      <c r="F102" s="2"/>
      <c r="G102" s="2"/>
      <c r="H102" s="2"/>
      <c r="I102" s="2"/>
      <c r="J102" s="2"/>
      <c r="K102" s="2"/>
      <c r="L102" s="2"/>
      <c r="M102" s="2"/>
      <c r="N102" s="2"/>
      <c r="O102" s="2"/>
      <c r="P102" s="2"/>
      <c r="Q102" s="2"/>
      <c r="R102" s="2"/>
      <c r="S102" s="10"/>
      <c r="T102" s="2"/>
      <c r="U102" s="135"/>
      <c r="V102" s="2"/>
      <c r="W102" s="2"/>
    </row>
    <row r="103" spans="1:23">
      <c r="A103" s="2"/>
      <c r="B103" s="2"/>
      <c r="C103" s="2"/>
      <c r="D103" s="2"/>
      <c r="E103" s="2"/>
      <c r="F103" s="2"/>
      <c r="G103" s="2"/>
      <c r="H103" s="2"/>
      <c r="I103" s="2"/>
      <c r="J103" s="2"/>
      <c r="K103" s="2"/>
      <c r="L103" s="2"/>
      <c r="M103" s="2"/>
      <c r="N103" s="2"/>
      <c r="O103" s="2"/>
      <c r="P103" s="2"/>
      <c r="Q103" s="2"/>
      <c r="R103" s="2"/>
      <c r="S103" s="10"/>
      <c r="T103" s="2"/>
      <c r="U103" s="135"/>
      <c r="V103" s="2"/>
      <c r="W103" s="2"/>
    </row>
    <row r="104" spans="1:23" ht="28.15" customHeight="1">
      <c r="A104" s="616" t="s">
        <v>390</v>
      </c>
      <c r="B104" s="616"/>
      <c r="C104" s="616"/>
      <c r="D104" s="616"/>
      <c r="E104" s="616"/>
      <c r="F104" s="616"/>
      <c r="G104" s="2"/>
      <c r="H104" s="2"/>
      <c r="I104" s="2"/>
      <c r="J104" s="2"/>
      <c r="K104" s="2"/>
      <c r="L104" s="2"/>
      <c r="M104" s="2"/>
      <c r="N104" s="2"/>
      <c r="O104" s="2"/>
      <c r="P104" s="2"/>
      <c r="Q104" s="2"/>
      <c r="R104" s="2"/>
      <c r="S104" s="10"/>
      <c r="T104" s="2"/>
      <c r="U104" s="135"/>
      <c r="V104" s="2"/>
      <c r="W104" s="2"/>
    </row>
    <row r="105" spans="1:23">
      <c r="A105" s="2"/>
      <c r="B105" s="2"/>
      <c r="C105" s="2"/>
      <c r="D105" s="2"/>
      <c r="E105" s="2"/>
      <c r="F105" s="2"/>
      <c r="G105" s="2"/>
      <c r="H105" s="2"/>
      <c r="I105" s="2"/>
      <c r="J105" s="2"/>
      <c r="K105" s="2"/>
      <c r="L105" s="2"/>
      <c r="M105" s="2"/>
      <c r="N105" s="2"/>
      <c r="O105" s="2"/>
    </row>
    <row r="106" spans="1:23">
      <c r="A106" s="2"/>
      <c r="B106" s="2"/>
      <c r="C106" s="2"/>
      <c r="D106" s="12" t="s">
        <v>387</v>
      </c>
      <c r="E106" s="12"/>
      <c r="F106" s="12"/>
      <c r="G106" s="2"/>
      <c r="H106" s="2"/>
      <c r="I106" s="2"/>
      <c r="J106" s="2"/>
      <c r="K106" s="2"/>
      <c r="L106" s="2"/>
      <c r="M106" s="2"/>
      <c r="N106" s="2"/>
      <c r="O106" s="2"/>
    </row>
    <row r="107" spans="1:23">
      <c r="A107" s="1" t="s">
        <v>204</v>
      </c>
      <c r="B107" s="37"/>
      <c r="C107" s="2"/>
      <c r="D107" s="12" t="s">
        <v>391</v>
      </c>
      <c r="E107" s="12"/>
      <c r="F107" s="12" t="s">
        <v>206</v>
      </c>
      <c r="G107" s="2"/>
      <c r="H107" s="2"/>
      <c r="I107" s="2"/>
      <c r="J107" s="2"/>
      <c r="K107" s="2"/>
      <c r="L107" s="2"/>
      <c r="M107" s="2"/>
      <c r="N107" s="2"/>
      <c r="O107" s="2"/>
    </row>
    <row r="108" spans="1:23">
      <c r="A108" s="1" t="s">
        <v>207</v>
      </c>
      <c r="B108" s="37"/>
      <c r="C108" s="2"/>
      <c r="D108" s="12" t="s">
        <v>392</v>
      </c>
      <c r="E108" s="12"/>
      <c r="F108" s="12" t="s">
        <v>208</v>
      </c>
      <c r="G108" s="2"/>
      <c r="H108" s="2"/>
      <c r="I108" s="2"/>
      <c r="J108" s="2"/>
      <c r="K108" s="2"/>
      <c r="L108" s="2"/>
      <c r="M108" s="2"/>
      <c r="N108" s="2"/>
      <c r="O108" s="2"/>
    </row>
    <row r="109" spans="1:23">
      <c r="A109" s="3" t="s">
        <v>209</v>
      </c>
      <c r="B109" s="134"/>
      <c r="C109" s="2"/>
      <c r="D109" s="11" t="s">
        <v>229</v>
      </c>
      <c r="E109" s="12" t="s">
        <v>329</v>
      </c>
      <c r="F109" s="11" t="s">
        <v>211</v>
      </c>
      <c r="G109" s="2"/>
      <c r="H109" s="2"/>
      <c r="I109" s="2"/>
      <c r="J109" s="2"/>
      <c r="K109" s="2"/>
      <c r="L109" s="2"/>
      <c r="M109" s="2"/>
      <c r="N109" s="2"/>
      <c r="O109" s="2"/>
    </row>
    <row r="110" spans="1:23">
      <c r="A110" s="2"/>
      <c r="C110" s="2"/>
      <c r="D110" s="2"/>
      <c r="E110" s="2"/>
      <c r="F110" s="135"/>
      <c r="G110" s="2"/>
      <c r="H110" s="2"/>
      <c r="I110" s="2"/>
      <c r="J110" s="2"/>
      <c r="K110" s="2"/>
      <c r="L110" s="2"/>
      <c r="M110" s="2"/>
      <c r="N110" s="2"/>
      <c r="O110" s="2"/>
    </row>
    <row r="111" spans="1:23">
      <c r="A111" s="2" t="s">
        <v>212</v>
      </c>
      <c r="C111" s="2"/>
      <c r="D111" s="206">
        <f ca="1">+'COS 1'!L373</f>
        <v>201063852.94557387</v>
      </c>
      <c r="E111" s="2"/>
      <c r="F111" s="160">
        <f ca="1">+'COS 1'!L374</f>
        <v>0.52100000000000002</v>
      </c>
      <c r="G111" s="2"/>
      <c r="H111" s="2"/>
      <c r="I111" s="2"/>
      <c r="J111" s="2"/>
      <c r="K111" s="2"/>
      <c r="L111" s="2"/>
      <c r="M111" s="2"/>
      <c r="N111" s="2"/>
      <c r="O111" s="2"/>
    </row>
    <row r="112" spans="1:23">
      <c r="A112" s="2" t="s">
        <v>213</v>
      </c>
      <c r="C112" s="2"/>
      <c r="D112" s="10">
        <f ca="1">+'COS 1'!N373</f>
        <v>100686677.83513007</v>
      </c>
      <c r="E112" s="2"/>
      <c r="F112" s="135">
        <f ca="1">+'COS 1'!N374</f>
        <v>0.26079999999999998</v>
      </c>
      <c r="G112" s="2"/>
      <c r="H112" s="2"/>
      <c r="I112" s="2"/>
      <c r="J112" s="2"/>
      <c r="K112" s="2"/>
      <c r="L112" s="2"/>
      <c r="M112" s="2"/>
      <c r="N112" s="2"/>
      <c r="O112" s="2"/>
    </row>
    <row r="113" spans="1:15">
      <c r="A113" s="2" t="s">
        <v>214</v>
      </c>
      <c r="C113" s="2"/>
      <c r="D113" s="10">
        <f ca="1">+'COS 1'!P373</f>
        <v>11933928.606004246</v>
      </c>
      <c r="E113" s="2"/>
      <c r="F113" s="135">
        <f ca="1">+'COS 1'!P374</f>
        <v>3.09E-2</v>
      </c>
      <c r="G113" s="2"/>
      <c r="H113" s="2"/>
      <c r="I113" s="2"/>
      <c r="J113" s="2"/>
      <c r="K113" s="2"/>
      <c r="L113" s="2"/>
      <c r="M113" s="2"/>
      <c r="N113" s="2"/>
      <c r="O113" s="2"/>
    </row>
    <row r="114" spans="1:15">
      <c r="A114" s="2" t="s">
        <v>216</v>
      </c>
      <c r="C114" s="2"/>
      <c r="D114" s="10">
        <f ca="1">+'COS 1'!R373</f>
        <v>31708833.944374189</v>
      </c>
      <c r="E114" s="2"/>
      <c r="F114" s="135">
        <f ca="1">+'COS 1'!R374</f>
        <v>8.2100000000000006E-2</v>
      </c>
      <c r="G114" s="2"/>
      <c r="H114" s="2"/>
      <c r="I114" s="2"/>
      <c r="J114" s="2"/>
      <c r="K114" s="2"/>
      <c r="L114" s="2"/>
      <c r="M114" s="2"/>
      <c r="N114" s="2"/>
      <c r="O114" s="2"/>
    </row>
    <row r="115" spans="1:15">
      <c r="A115" s="2" t="s">
        <v>337</v>
      </c>
      <c r="C115" s="2"/>
      <c r="D115" s="10">
        <f ca="1">+'COS 1'!T373</f>
        <v>7744813.6298692655</v>
      </c>
      <c r="E115" s="2"/>
      <c r="F115" s="135">
        <f ca="1">+'COS 1'!T374</f>
        <v>2.01E-2</v>
      </c>
      <c r="G115" s="2"/>
      <c r="H115" s="2"/>
      <c r="I115" s="2"/>
      <c r="J115" s="2"/>
      <c r="K115" s="2"/>
      <c r="L115" s="2"/>
      <c r="M115" s="2"/>
      <c r="N115" s="2"/>
      <c r="O115" s="2"/>
    </row>
    <row r="116" spans="1:15">
      <c r="A116" s="2" t="s">
        <v>218</v>
      </c>
      <c r="C116" s="2"/>
      <c r="D116" s="10">
        <f ca="1">+'COS 1'!V373</f>
        <v>11508253.347160414</v>
      </c>
      <c r="E116" s="2"/>
      <c r="F116" s="135">
        <f ca="1">+'COS 1'!V374</f>
        <v>2.98E-2</v>
      </c>
      <c r="G116" s="2"/>
      <c r="H116" s="2"/>
      <c r="I116" s="2"/>
      <c r="J116" s="2"/>
      <c r="K116" s="2"/>
      <c r="L116" s="2"/>
      <c r="M116" s="2"/>
      <c r="N116" s="2"/>
      <c r="O116" s="2"/>
    </row>
    <row r="117" spans="1:15">
      <c r="A117" s="2" t="s">
        <v>219</v>
      </c>
      <c r="C117" s="2"/>
      <c r="D117" s="10">
        <f ca="1">+'COS 1'!X373</f>
        <v>21348345.158353262</v>
      </c>
      <c r="E117" s="2"/>
      <c r="F117" s="135">
        <f ca="1">+'COS 1'!X374</f>
        <v>5.5300000000000002E-2</v>
      </c>
      <c r="G117" s="2"/>
      <c r="H117" s="2"/>
      <c r="I117" s="2"/>
      <c r="J117" s="2"/>
      <c r="K117" s="2"/>
      <c r="L117" s="2"/>
      <c r="M117" s="2"/>
      <c r="N117" s="2"/>
      <c r="O117" s="2"/>
    </row>
    <row r="118" spans="1:15" ht="12.75" customHeight="1">
      <c r="A118" s="2"/>
      <c r="C118" s="2"/>
      <c r="D118" s="6"/>
      <c r="E118" s="2"/>
      <c r="F118" s="7"/>
      <c r="G118" s="2"/>
      <c r="H118" s="2"/>
      <c r="I118" s="2"/>
      <c r="J118" s="2"/>
      <c r="K118" s="2"/>
      <c r="L118" s="2"/>
      <c r="M118" s="2"/>
      <c r="N118" s="2"/>
      <c r="O118" s="2"/>
    </row>
    <row r="119" spans="1:15" ht="13.35" customHeight="1" thickBot="1">
      <c r="A119" s="2" t="s">
        <v>220</v>
      </c>
      <c r="C119" s="2"/>
      <c r="D119" s="207">
        <f ca="1">SUM(D111:D118)</f>
        <v>385994705.46646529</v>
      </c>
      <c r="E119" s="2"/>
      <c r="F119" s="135">
        <f ca="1">SUM(F111:F118)</f>
        <v>1</v>
      </c>
      <c r="G119" s="2"/>
      <c r="H119" s="2"/>
      <c r="I119" s="2"/>
      <c r="J119" s="2"/>
      <c r="K119" s="2"/>
      <c r="L119" s="2"/>
      <c r="M119" s="2"/>
      <c r="N119" s="2"/>
      <c r="O119" s="2"/>
    </row>
    <row r="120" spans="1:15" ht="13.35" customHeight="1" thickTop="1">
      <c r="A120" s="2"/>
      <c r="B120" s="2"/>
      <c r="C120" s="2"/>
      <c r="D120" s="153"/>
      <c r="E120" s="14"/>
      <c r="F120" s="9"/>
      <c r="G120" s="2"/>
      <c r="H120" s="2"/>
      <c r="I120" s="2"/>
      <c r="J120" s="2"/>
      <c r="K120" s="2"/>
      <c r="L120" s="2"/>
      <c r="M120" s="2"/>
      <c r="N120" s="2"/>
      <c r="O120" s="2"/>
    </row>
    <row r="121" spans="1:15" ht="13.35" customHeight="1">
      <c r="A121" s="2"/>
      <c r="B121" s="2"/>
      <c r="C121" s="2"/>
      <c r="D121" s="2"/>
      <c r="E121" s="2"/>
      <c r="F121" s="2"/>
      <c r="G121" s="2"/>
      <c r="H121" s="2"/>
      <c r="I121" s="2"/>
      <c r="J121" s="2"/>
      <c r="K121" s="2"/>
      <c r="L121" s="2"/>
      <c r="M121" s="2"/>
      <c r="N121" s="2"/>
      <c r="O121" s="2"/>
    </row>
    <row r="122" spans="1:15" ht="13.35" customHeight="1">
      <c r="A122" s="2" t="s">
        <v>164</v>
      </c>
      <c r="B122" s="2"/>
      <c r="C122" s="2"/>
      <c r="D122" s="2"/>
      <c r="E122" s="2"/>
      <c r="F122" s="2"/>
      <c r="G122" s="2"/>
      <c r="H122" s="2"/>
      <c r="I122" s="2"/>
      <c r="J122" s="2"/>
      <c r="K122" s="2"/>
      <c r="L122" s="2"/>
      <c r="M122" s="2"/>
      <c r="N122" s="2"/>
      <c r="O122" s="2"/>
    </row>
    <row r="123" spans="1:15" ht="13.35" customHeight="1">
      <c r="A123" s="2" t="s">
        <v>393</v>
      </c>
      <c r="B123" s="2"/>
      <c r="C123" s="2"/>
      <c r="D123" s="2"/>
      <c r="E123" s="2"/>
      <c r="F123" s="2"/>
      <c r="G123" s="2"/>
      <c r="H123" s="2"/>
      <c r="I123" s="2"/>
      <c r="J123" s="2"/>
      <c r="K123" s="2"/>
      <c r="L123" s="2"/>
      <c r="M123" s="2"/>
      <c r="N123" s="2"/>
      <c r="O123" s="2"/>
    </row>
    <row r="124" spans="1:15" ht="13.35" customHeight="1">
      <c r="A124" s="2"/>
      <c r="B124" s="2"/>
      <c r="C124" s="2"/>
      <c r="D124" s="2"/>
      <c r="E124" s="2"/>
      <c r="F124" s="2"/>
      <c r="G124" s="2"/>
      <c r="H124" s="2"/>
      <c r="I124" s="2"/>
      <c r="J124" s="2"/>
      <c r="K124" s="2"/>
      <c r="L124" s="2"/>
      <c r="M124" s="2"/>
      <c r="N124" s="2"/>
      <c r="O124" s="2"/>
    </row>
    <row r="125" spans="1:15" ht="29.25" customHeight="1">
      <c r="A125" s="616" t="s">
        <v>394</v>
      </c>
      <c r="B125" s="616"/>
      <c r="C125" s="616"/>
      <c r="D125" s="616"/>
      <c r="E125" s="616"/>
      <c r="F125" s="616"/>
      <c r="G125" s="2"/>
      <c r="H125" s="2"/>
      <c r="I125" s="2"/>
      <c r="J125" s="2"/>
      <c r="K125" s="2"/>
      <c r="L125" s="2"/>
      <c r="M125" s="2"/>
      <c r="N125" s="2"/>
      <c r="O125" s="2"/>
    </row>
    <row r="126" spans="1:15">
      <c r="A126" s="2"/>
      <c r="B126" s="2"/>
      <c r="C126" s="2"/>
      <c r="D126" s="2"/>
      <c r="E126" s="2"/>
      <c r="F126" s="2"/>
      <c r="G126" s="2"/>
      <c r="H126" s="2"/>
      <c r="I126" s="2"/>
      <c r="J126" s="2"/>
      <c r="K126" s="2"/>
      <c r="L126" s="2"/>
      <c r="M126" s="2"/>
      <c r="N126" s="2"/>
      <c r="O126" s="2"/>
    </row>
    <row r="127" spans="1:15">
      <c r="A127" s="1" t="s">
        <v>204</v>
      </c>
      <c r="B127" s="37"/>
      <c r="C127" s="2"/>
      <c r="D127" s="12" t="s">
        <v>395</v>
      </c>
      <c r="E127" s="12"/>
      <c r="F127" s="12" t="s">
        <v>206</v>
      </c>
      <c r="G127" s="2"/>
      <c r="H127" s="2"/>
      <c r="I127" s="2"/>
      <c r="J127" s="2"/>
      <c r="K127" s="2"/>
      <c r="L127" s="2"/>
      <c r="M127" s="2"/>
      <c r="N127" s="2"/>
      <c r="O127" s="2"/>
    </row>
    <row r="128" spans="1:15">
      <c r="A128" s="1" t="s">
        <v>207</v>
      </c>
      <c r="B128" s="37"/>
      <c r="C128" s="2"/>
      <c r="D128" s="12" t="s">
        <v>396</v>
      </c>
      <c r="E128" s="12"/>
      <c r="F128" s="12" t="s">
        <v>208</v>
      </c>
      <c r="G128" s="2"/>
      <c r="H128" s="2"/>
      <c r="I128" s="2"/>
      <c r="J128" s="2"/>
      <c r="K128" s="2"/>
      <c r="L128" s="2"/>
      <c r="M128" s="2"/>
      <c r="N128" s="2"/>
      <c r="O128" s="2"/>
    </row>
    <row r="129" spans="1:21">
      <c r="A129" s="3" t="s">
        <v>209</v>
      </c>
      <c r="B129" s="134"/>
      <c r="C129" s="2"/>
      <c r="D129" s="11" t="s">
        <v>229</v>
      </c>
      <c r="E129" s="12" t="s">
        <v>329</v>
      </c>
      <c r="F129" s="11" t="s">
        <v>211</v>
      </c>
      <c r="G129" s="2"/>
      <c r="H129" s="2"/>
      <c r="I129" s="2"/>
      <c r="J129" s="2"/>
      <c r="K129" s="2"/>
      <c r="L129" s="2"/>
      <c r="M129" s="2"/>
      <c r="N129" s="2"/>
      <c r="O129" s="2"/>
    </row>
    <row r="130" spans="1:21">
      <c r="A130" s="2"/>
      <c r="C130" s="2"/>
      <c r="D130" s="2"/>
      <c r="E130" s="2"/>
      <c r="F130" s="135"/>
      <c r="G130" s="2"/>
      <c r="H130" s="2"/>
      <c r="I130" s="2"/>
      <c r="J130" s="2"/>
      <c r="K130" s="2"/>
      <c r="L130" s="2"/>
      <c r="M130" s="2"/>
      <c r="N130" s="2"/>
      <c r="O130" s="2"/>
    </row>
    <row r="131" spans="1:21">
      <c r="A131" s="2" t="s">
        <v>212</v>
      </c>
      <c r="C131" s="2"/>
      <c r="D131" s="206">
        <f ca="1">+'COS 1'!L375</f>
        <v>54773143.089791238</v>
      </c>
      <c r="E131" s="2"/>
      <c r="F131" s="160">
        <f ca="1">+'COS 1'!L376</f>
        <v>0.57030000000000003</v>
      </c>
      <c r="G131" s="2"/>
      <c r="H131" s="2"/>
      <c r="I131" s="2"/>
      <c r="J131" s="2"/>
      <c r="K131" s="2"/>
      <c r="L131" s="2"/>
      <c r="M131" s="2"/>
      <c r="N131" s="2"/>
      <c r="O131" s="2"/>
    </row>
    <row r="132" spans="1:21">
      <c r="A132" s="2" t="s">
        <v>213</v>
      </c>
      <c r="C132" s="2"/>
      <c r="D132" s="10">
        <f ca="1">+'COS 1'!N375</f>
        <v>23271041.064904161</v>
      </c>
      <c r="E132" s="2"/>
      <c r="F132" s="135">
        <f ca="1">+'COS 1'!N376</f>
        <v>0.24229999999999999</v>
      </c>
      <c r="G132" s="2"/>
      <c r="H132" s="2"/>
      <c r="I132" s="2"/>
      <c r="J132" s="2"/>
      <c r="K132" s="2"/>
      <c r="L132" s="2"/>
      <c r="M132" s="2"/>
      <c r="N132" s="2"/>
      <c r="O132" s="2"/>
    </row>
    <row r="133" spans="1:21">
      <c r="A133" s="2" t="s">
        <v>214</v>
      </c>
      <c r="C133" s="2"/>
      <c r="D133" s="10">
        <f ca="1">+'COS 1'!P375</f>
        <v>2662430.1431740271</v>
      </c>
      <c r="E133" s="2"/>
      <c r="F133" s="135">
        <f ca="1">+'COS 1'!P376</f>
        <v>2.7699999999999999E-2</v>
      </c>
      <c r="G133" s="2"/>
      <c r="H133" s="2"/>
      <c r="I133" s="2"/>
      <c r="J133" s="2"/>
      <c r="K133" s="2"/>
      <c r="L133" s="2"/>
      <c r="M133" s="2"/>
      <c r="N133" s="2"/>
      <c r="O133" s="2"/>
    </row>
    <row r="134" spans="1:21">
      <c r="A134" s="2" t="s">
        <v>216</v>
      </c>
      <c r="C134" s="2"/>
      <c r="D134" s="10">
        <f ca="1">+'COS 1'!R375</f>
        <v>7159783.4905580385</v>
      </c>
      <c r="E134" s="2"/>
      <c r="F134" s="135">
        <f ca="1">+'COS 1'!R376</f>
        <v>7.4499999999999997E-2</v>
      </c>
      <c r="G134" s="2"/>
      <c r="H134" s="2"/>
      <c r="I134" s="2"/>
      <c r="J134" s="2"/>
      <c r="K134" s="2"/>
      <c r="L134" s="2"/>
      <c r="M134" s="2"/>
      <c r="N134" s="2"/>
      <c r="O134" s="2"/>
    </row>
    <row r="135" spans="1:21">
      <c r="A135" s="2" t="s">
        <v>337</v>
      </c>
      <c r="C135" s="2"/>
      <c r="D135" s="10">
        <f ca="1">+'COS 1'!T375</f>
        <v>1791367.1415050142</v>
      </c>
      <c r="E135" s="2"/>
      <c r="F135" s="135">
        <f ca="1">+'COS 1'!T376</f>
        <v>1.8599999999999998E-2</v>
      </c>
      <c r="G135" s="2"/>
      <c r="H135" s="2"/>
      <c r="I135" s="2"/>
      <c r="J135" s="2"/>
      <c r="K135" s="2"/>
      <c r="L135" s="2"/>
      <c r="M135" s="2"/>
      <c r="N135" s="2"/>
      <c r="O135" s="2"/>
    </row>
    <row r="136" spans="1:21">
      <c r="A136" s="2" t="s">
        <v>218</v>
      </c>
      <c r="C136" s="2"/>
      <c r="D136" s="10">
        <f ca="1">+'COS 1'!V375</f>
        <v>2256543.9200387881</v>
      </c>
      <c r="E136" s="2"/>
      <c r="F136" s="135">
        <f ca="1">+'COS 1'!V376</f>
        <v>2.35E-2</v>
      </c>
      <c r="G136" s="2"/>
      <c r="H136" s="2"/>
      <c r="I136" s="2"/>
      <c r="J136" s="2"/>
      <c r="K136" s="2"/>
      <c r="L136" s="2"/>
      <c r="M136" s="2"/>
      <c r="N136" s="2"/>
      <c r="O136" s="2"/>
    </row>
    <row r="137" spans="1:21">
      <c r="A137" s="2" t="s">
        <v>219</v>
      </c>
      <c r="C137" s="2"/>
      <c r="D137" s="10">
        <f ca="1">+'COS 1'!X375</f>
        <v>4144365.0339962021</v>
      </c>
      <c r="E137" s="2"/>
      <c r="F137" s="135">
        <f ca="1">+'COS 1'!X376</f>
        <v>4.3099999999999999E-2</v>
      </c>
      <c r="G137" s="2"/>
      <c r="H137" s="2"/>
      <c r="I137" s="2"/>
      <c r="J137" s="2"/>
      <c r="K137" s="2"/>
      <c r="L137" s="2"/>
      <c r="M137" s="2"/>
      <c r="N137" s="2"/>
      <c r="O137" s="2"/>
    </row>
    <row r="138" spans="1:21" ht="12.75" customHeight="1">
      <c r="A138" s="2"/>
      <c r="C138" s="2"/>
      <c r="D138" s="6"/>
      <c r="E138" s="2"/>
      <c r="F138" s="7"/>
      <c r="G138" s="2"/>
      <c r="H138" s="2"/>
      <c r="I138" s="2"/>
      <c r="J138" s="2"/>
      <c r="K138" s="2"/>
      <c r="L138" s="2"/>
      <c r="M138" s="2"/>
      <c r="N138" s="2"/>
      <c r="O138" s="2"/>
    </row>
    <row r="139" spans="1:21" ht="13.35" customHeight="1" thickBot="1">
      <c r="A139" s="2" t="s">
        <v>220</v>
      </c>
      <c r="C139" s="2"/>
      <c r="D139" s="207">
        <f ca="1">SUM(D131:D138)</f>
        <v>96058673.883967459</v>
      </c>
      <c r="E139" s="2"/>
      <c r="F139" s="135">
        <f ca="1">SUM(F131:F138)</f>
        <v>0.99999999999999989</v>
      </c>
      <c r="G139" s="2"/>
      <c r="H139" s="2"/>
      <c r="I139" s="2"/>
      <c r="J139" s="2"/>
      <c r="K139" s="2"/>
      <c r="L139" s="2"/>
      <c r="M139" s="2"/>
      <c r="N139" s="2"/>
      <c r="O139" s="2"/>
      <c r="U139" s="16"/>
    </row>
    <row r="140" spans="1:21" ht="13.35" customHeight="1" thickTop="1">
      <c r="A140" s="2"/>
      <c r="B140" s="2"/>
      <c r="C140" s="2"/>
      <c r="D140" s="153"/>
      <c r="E140" s="14"/>
      <c r="F140" s="9"/>
      <c r="G140" s="2"/>
      <c r="H140" s="2"/>
      <c r="I140" s="2"/>
      <c r="J140" s="2"/>
      <c r="K140" s="2"/>
      <c r="L140" s="2"/>
      <c r="M140" s="2"/>
      <c r="N140" s="2"/>
      <c r="O140" s="2"/>
    </row>
    <row r="141" spans="1:21" ht="13.35" customHeight="1">
      <c r="A141" s="2"/>
      <c r="B141" s="2"/>
      <c r="C141" s="2"/>
      <c r="D141" s="2"/>
      <c r="E141" s="2"/>
      <c r="F141" s="2"/>
      <c r="G141" s="2"/>
      <c r="H141" s="2"/>
      <c r="I141" s="2"/>
      <c r="J141" s="2"/>
      <c r="K141" s="2"/>
      <c r="L141" s="2"/>
      <c r="M141" s="2"/>
      <c r="N141" s="2"/>
      <c r="O141" s="2"/>
    </row>
    <row r="142" spans="1:21" ht="13.35" customHeight="1">
      <c r="A142" s="37" t="s">
        <v>8</v>
      </c>
      <c r="B142" s="1"/>
      <c r="C142" s="37"/>
      <c r="D142" s="1"/>
      <c r="E142" s="1"/>
      <c r="F142" s="1"/>
      <c r="G142" s="2"/>
      <c r="H142" s="2"/>
      <c r="I142" s="2"/>
      <c r="J142" s="2"/>
      <c r="K142" s="2"/>
      <c r="L142" s="2"/>
      <c r="M142" s="2"/>
      <c r="N142" s="2"/>
      <c r="O142" s="2"/>
    </row>
    <row r="143" spans="1:21" ht="13.35" customHeight="1">
      <c r="A143" s="178"/>
      <c r="B143" s="1"/>
      <c r="C143" s="37"/>
      <c r="D143" s="1"/>
      <c r="E143" s="1"/>
      <c r="F143" s="1"/>
      <c r="G143" s="2"/>
      <c r="H143" s="2"/>
      <c r="I143" s="2"/>
      <c r="J143" s="2"/>
      <c r="K143" s="2"/>
      <c r="L143" s="2"/>
      <c r="M143" s="2"/>
      <c r="N143" s="2"/>
      <c r="O143" s="2"/>
    </row>
    <row r="144" spans="1:21" ht="13.35" customHeight="1">
      <c r="A144" s="1"/>
      <c r="B144" s="1"/>
      <c r="C144" s="1"/>
      <c r="D144" s="1"/>
      <c r="E144" s="1"/>
      <c r="F144" s="1"/>
      <c r="G144" s="2"/>
      <c r="H144" s="2"/>
      <c r="I144" s="2"/>
      <c r="J144" s="2"/>
      <c r="K144" s="2"/>
      <c r="L144" s="2"/>
      <c r="M144" s="2"/>
      <c r="N144" s="2"/>
      <c r="O144" s="2"/>
    </row>
    <row r="145" spans="1:15" ht="13.35" customHeight="1">
      <c r="A145" s="1" t="s">
        <v>236</v>
      </c>
      <c r="B145" s="1"/>
      <c r="C145" s="1"/>
      <c r="D145" s="1"/>
      <c r="E145" s="1"/>
      <c r="F145" s="1"/>
      <c r="G145" s="2"/>
      <c r="H145" s="2"/>
      <c r="I145" s="2"/>
      <c r="J145" s="2"/>
      <c r="K145" s="2"/>
      <c r="L145" s="2"/>
      <c r="M145" s="2"/>
      <c r="N145" s="2"/>
      <c r="O145" s="2"/>
    </row>
    <row r="146" spans="1:15">
      <c r="A146" s="2"/>
      <c r="B146" s="2"/>
      <c r="C146" s="2"/>
      <c r="D146" s="2"/>
      <c r="E146" s="2"/>
      <c r="F146" s="2"/>
      <c r="G146" s="2"/>
      <c r="H146" s="2"/>
      <c r="I146" s="2"/>
      <c r="J146" s="2"/>
      <c r="K146" s="2"/>
      <c r="L146" s="2"/>
      <c r="M146" s="2"/>
      <c r="N146" s="2"/>
      <c r="O146" s="2"/>
    </row>
    <row r="147" spans="1:15" ht="15" customHeight="1">
      <c r="A147" s="103" t="s">
        <v>112</v>
      </c>
      <c r="B147" s="103"/>
      <c r="C147" s="103"/>
      <c r="D147" s="103"/>
      <c r="E147" s="103"/>
      <c r="F147" s="103"/>
      <c r="G147" s="103"/>
      <c r="H147" s="2"/>
      <c r="I147" s="2"/>
      <c r="J147" s="2"/>
      <c r="K147" s="2"/>
      <c r="L147" s="2"/>
      <c r="M147" s="2"/>
      <c r="N147" s="2"/>
      <c r="O147" s="2"/>
    </row>
    <row r="148" spans="1:15">
      <c r="A148" s="103"/>
      <c r="B148" s="103"/>
      <c r="C148" s="103"/>
      <c r="D148" s="103"/>
      <c r="E148" s="103"/>
      <c r="F148" s="103"/>
      <c r="G148" s="103"/>
      <c r="H148" s="2"/>
      <c r="I148" s="2"/>
      <c r="J148" s="2"/>
      <c r="K148" s="2"/>
      <c r="L148" s="2"/>
      <c r="M148" s="2"/>
      <c r="N148" s="2"/>
      <c r="O148" s="2"/>
    </row>
    <row r="149" spans="1:15" ht="15.75" customHeight="1">
      <c r="A149" s="628" t="s">
        <v>109</v>
      </c>
      <c r="B149" s="628"/>
      <c r="C149" s="628"/>
      <c r="D149" s="628"/>
      <c r="E149" s="628"/>
      <c r="F149" s="628"/>
      <c r="G149" s="316"/>
      <c r="H149" s="2"/>
      <c r="I149" s="2"/>
      <c r="J149" s="2"/>
      <c r="K149" s="2"/>
      <c r="L149" s="2"/>
      <c r="M149" s="2"/>
      <c r="N149" s="2"/>
      <c r="O149" s="2"/>
    </row>
    <row r="150" spans="1:15">
      <c r="A150" s="103"/>
      <c r="B150" s="103"/>
      <c r="C150" s="397"/>
      <c r="D150" s="103"/>
      <c r="E150" s="103"/>
      <c r="F150" s="103"/>
      <c r="G150" s="103"/>
    </row>
    <row r="151" spans="1:15">
      <c r="A151" s="101" t="s">
        <v>204</v>
      </c>
      <c r="B151" s="100"/>
      <c r="C151" s="103"/>
      <c r="D151" s="104" t="s">
        <v>110</v>
      </c>
      <c r="E151" s="104"/>
      <c r="F151" s="104" t="s">
        <v>206</v>
      </c>
      <c r="G151" s="103"/>
    </row>
    <row r="152" spans="1:15">
      <c r="A152" s="101" t="s">
        <v>207</v>
      </c>
      <c r="B152" s="100"/>
      <c r="C152" s="103"/>
      <c r="D152" s="104" t="s">
        <v>111</v>
      </c>
      <c r="E152" s="104"/>
      <c r="F152" s="104" t="s">
        <v>208</v>
      </c>
      <c r="G152" s="103"/>
    </row>
    <row r="153" spans="1:15">
      <c r="A153" s="105" t="s">
        <v>209</v>
      </c>
      <c r="B153" s="106"/>
      <c r="C153" s="103"/>
      <c r="D153" s="107" t="s">
        <v>229</v>
      </c>
      <c r="E153" s="104" t="s">
        <v>329</v>
      </c>
      <c r="F153" s="107" t="s">
        <v>211</v>
      </c>
      <c r="G153" s="103"/>
    </row>
    <row r="154" spans="1:15">
      <c r="A154" s="103"/>
      <c r="B154" s="102"/>
      <c r="C154" s="103"/>
      <c r="D154" s="103"/>
      <c r="E154" s="103"/>
      <c r="F154" s="110"/>
      <c r="G154" s="103"/>
    </row>
    <row r="155" spans="1:15">
      <c r="A155" s="103" t="s">
        <v>212</v>
      </c>
      <c r="B155" s="102"/>
      <c r="C155" s="103"/>
      <c r="D155" s="503">
        <v>329289.8000000015</v>
      </c>
      <c r="E155" s="103"/>
      <c r="F155" s="318">
        <f>+ROUND(D155/$D$162,4)+0.0001</f>
        <v>0.82050000000000001</v>
      </c>
      <c r="G155" s="103"/>
    </row>
    <row r="156" spans="1:15">
      <c r="A156" s="103" t="s">
        <v>213</v>
      </c>
      <c r="B156" s="102"/>
      <c r="C156" s="103"/>
      <c r="D156" s="109">
        <v>62672.253333333385</v>
      </c>
      <c r="E156" s="103"/>
      <c r="F156" s="318">
        <f t="shared" ref="F156:F160" si="0">+ROUND(D156/$D$162,4)</f>
        <v>0.15609999999999999</v>
      </c>
      <c r="G156" s="103"/>
    </row>
    <row r="157" spans="1:15">
      <c r="A157" s="103" t="s">
        <v>214</v>
      </c>
      <c r="B157" s="102"/>
      <c r="C157" s="103"/>
      <c r="D157" s="109">
        <v>0</v>
      </c>
      <c r="E157" s="103"/>
      <c r="F157" s="318">
        <f t="shared" si="0"/>
        <v>0</v>
      </c>
      <c r="G157" s="103"/>
    </row>
    <row r="158" spans="1:15">
      <c r="A158" s="103" t="s">
        <v>216</v>
      </c>
      <c r="B158" s="102"/>
      <c r="C158" s="103"/>
      <c r="D158" s="109">
        <v>0</v>
      </c>
      <c r="E158" s="103"/>
      <c r="F158" s="318">
        <f t="shared" si="0"/>
        <v>0</v>
      </c>
      <c r="G158" s="103"/>
    </row>
    <row r="159" spans="1:15">
      <c r="A159" s="103" t="s">
        <v>337</v>
      </c>
      <c r="B159" s="102"/>
      <c r="C159" s="103"/>
      <c r="D159" s="109">
        <v>0</v>
      </c>
      <c r="E159" s="103"/>
      <c r="F159" s="318">
        <f t="shared" si="0"/>
        <v>0</v>
      </c>
      <c r="G159" s="103"/>
    </row>
    <row r="160" spans="1:15">
      <c r="A160" s="103" t="s">
        <v>149</v>
      </c>
      <c r="B160" s="102"/>
      <c r="C160" s="103"/>
      <c r="D160" s="109">
        <v>9411.7733333333326</v>
      </c>
      <c r="E160" s="103"/>
      <c r="F160" s="319">
        <f t="shared" si="0"/>
        <v>2.3400000000000001E-2</v>
      </c>
      <c r="G160" s="103"/>
    </row>
    <row r="161" spans="1:7">
      <c r="A161" s="103"/>
      <c r="B161" s="102"/>
      <c r="C161" s="103"/>
      <c r="D161" s="403"/>
      <c r="E161" s="103"/>
      <c r="F161" s="170"/>
      <c r="G161" s="103"/>
    </row>
    <row r="162" spans="1:7" ht="15.75" thickBot="1">
      <c r="A162" s="103" t="s">
        <v>220</v>
      </c>
      <c r="B162" s="102"/>
      <c r="C162" s="103"/>
      <c r="D162" s="404">
        <f>SUM(D155:D161)</f>
        <v>401373.82666666817</v>
      </c>
      <c r="E162" s="103"/>
      <c r="F162" s="171">
        <f>SUM(F155:F161)</f>
        <v>1</v>
      </c>
      <c r="G162" s="103"/>
    </row>
    <row r="163" spans="1:7" ht="15.75" thickTop="1"/>
  </sheetData>
  <mergeCells count="7">
    <mergeCell ref="A149:F149"/>
    <mergeCell ref="A125:F125"/>
    <mergeCell ref="A10:F10"/>
    <mergeCell ref="A58:F58"/>
    <mergeCell ref="A79:F79"/>
    <mergeCell ref="A104:F104"/>
    <mergeCell ref="A31:F31"/>
  </mergeCells>
  <phoneticPr fontId="11" type="noConversion"/>
  <printOptions horizontalCentered="1"/>
  <pageMargins left="1" right="1" top="1" bottom="0.5" header="0.5" footer="0.5"/>
  <pageSetup scale="94" fitToHeight="0" orientation="portrait" r:id="rId1"/>
  <headerFooter alignWithMargins="0"/>
  <rowBreaks count="3" manualBreakCount="3">
    <brk id="49" max="16383" man="1"/>
    <brk id="95" max="16383" man="1"/>
    <brk id="141" max="16383" man="1"/>
  </rowBreaks>
</worksheet>
</file>

<file path=xl/worksheets/sheet14.xml><?xml version="1.0" encoding="utf-8"?>
<worksheet xmlns="http://schemas.openxmlformats.org/spreadsheetml/2006/main" xmlns:r="http://schemas.openxmlformats.org/officeDocument/2006/relationships">
  <sheetPr>
    <pageSetUpPr fitToPage="1"/>
  </sheetPr>
  <dimension ref="B1:R54"/>
  <sheetViews>
    <sheetView zoomScaleNormal="100" workbookViewId="0">
      <selection activeCell="T32" sqref="T32"/>
    </sheetView>
  </sheetViews>
  <sheetFormatPr defaultColWidth="8.88671875" defaultRowHeight="15"/>
  <cols>
    <col min="1" max="1" width="3" style="38" customWidth="1"/>
    <col min="2" max="2" width="19" style="38" bestFit="1" customWidth="1"/>
    <col min="3" max="3" width="2.5546875" style="38" customWidth="1"/>
    <col min="4" max="4" width="11" style="38" bestFit="1" customWidth="1"/>
    <col min="5" max="5" width="3" style="38" customWidth="1"/>
    <col min="6" max="6" width="8.88671875" style="38"/>
    <col min="7" max="7" width="2" style="38" customWidth="1"/>
    <col min="8" max="8" width="9.88671875" style="38" customWidth="1"/>
    <col min="9" max="9" width="1.44140625" style="38" customWidth="1"/>
    <col min="10" max="10" width="8.88671875" style="38"/>
    <col min="11" max="11" width="2.44140625" style="38" customWidth="1"/>
    <col min="12" max="12" width="8.88671875" style="38"/>
    <col min="13" max="13" width="1.5546875" style="38" customWidth="1"/>
    <col min="14" max="14" width="8.88671875" style="38"/>
    <col min="15" max="15" width="1.88671875" style="38" customWidth="1"/>
    <col min="16" max="16" width="14.109375" style="38" bestFit="1" customWidth="1"/>
    <col min="17" max="16384" width="8.88671875" style="38"/>
  </cols>
  <sheetData>
    <row r="1" spans="2:18">
      <c r="B1" s="631" t="s">
        <v>198</v>
      </c>
      <c r="C1" s="631"/>
      <c r="D1" s="631"/>
      <c r="E1" s="631"/>
      <c r="F1" s="631"/>
      <c r="G1" s="631"/>
      <c r="H1" s="631"/>
      <c r="I1" s="631"/>
      <c r="J1" s="631"/>
      <c r="K1" s="631"/>
      <c r="L1" s="631"/>
      <c r="M1" s="254"/>
      <c r="N1" s="254"/>
      <c r="O1" s="254"/>
      <c r="P1" s="254"/>
      <c r="Q1" s="254"/>
      <c r="R1" s="254"/>
    </row>
    <row r="2" spans="2:18">
      <c r="M2" s="254"/>
      <c r="N2" s="254"/>
      <c r="O2" s="254"/>
      <c r="P2" s="254"/>
      <c r="Q2" s="254"/>
      <c r="R2" s="254"/>
    </row>
    <row r="3" spans="2:18">
      <c r="B3" s="615" t="s">
        <v>573</v>
      </c>
      <c r="C3" s="615"/>
      <c r="D3" s="615"/>
      <c r="E3" s="615"/>
      <c r="F3" s="615"/>
      <c r="G3" s="615"/>
      <c r="H3" s="615"/>
      <c r="I3" s="615"/>
      <c r="J3" s="615"/>
      <c r="K3" s="615"/>
      <c r="L3" s="615"/>
      <c r="M3" s="254"/>
      <c r="N3" s="254"/>
      <c r="O3" s="254"/>
      <c r="P3" s="254"/>
      <c r="Q3" s="254"/>
      <c r="R3" s="254"/>
    </row>
    <row r="4" spans="2:18">
      <c r="B4" s="249"/>
      <c r="C4" s="249"/>
      <c r="D4" s="249"/>
      <c r="E4" s="249"/>
      <c r="F4" s="249"/>
      <c r="G4" s="249"/>
      <c r="H4" s="249"/>
      <c r="I4" s="249"/>
      <c r="J4" s="249"/>
      <c r="K4" s="249"/>
      <c r="L4" s="249"/>
      <c r="M4" s="254"/>
      <c r="N4" s="254"/>
      <c r="O4" s="254"/>
      <c r="P4" s="254"/>
      <c r="Q4" s="254"/>
      <c r="R4" s="254"/>
    </row>
    <row r="5" spans="2:18">
      <c r="B5" s="249"/>
      <c r="C5" s="249"/>
      <c r="D5" s="249" t="s">
        <v>9</v>
      </c>
      <c r="E5" s="249"/>
      <c r="F5"/>
      <c r="G5" s="249"/>
      <c r="H5"/>
      <c r="I5"/>
      <c r="J5"/>
      <c r="K5" s="249"/>
      <c r="L5" s="249"/>
      <c r="M5" s="254"/>
      <c r="N5" s="254"/>
      <c r="O5" s="254"/>
      <c r="P5" s="254"/>
      <c r="Q5" s="254"/>
      <c r="R5" s="254"/>
    </row>
    <row r="6" spans="2:18">
      <c r="D6" s="249" t="s">
        <v>10</v>
      </c>
      <c r="E6" s="249"/>
      <c r="F6" s="249" t="s">
        <v>248</v>
      </c>
      <c r="G6" s="249"/>
      <c r="H6" s="249" t="s">
        <v>11</v>
      </c>
      <c r="I6" s="249"/>
      <c r="J6" s="249"/>
      <c r="K6" s="249"/>
      <c r="L6" s="249"/>
      <c r="M6" s="251"/>
      <c r="N6" s="251" t="s">
        <v>446</v>
      </c>
      <c r="O6" s="251"/>
      <c r="P6" s="251" t="s">
        <v>446</v>
      </c>
      <c r="Q6" s="251"/>
      <c r="R6" s="251"/>
    </row>
    <row r="7" spans="2:18">
      <c r="B7" s="252" t="s">
        <v>454</v>
      </c>
      <c r="D7" s="252" t="s">
        <v>12</v>
      </c>
      <c r="E7" s="249"/>
      <c r="F7" s="252" t="s">
        <v>455</v>
      </c>
      <c r="G7" s="249"/>
      <c r="H7" s="252" t="s">
        <v>455</v>
      </c>
      <c r="I7" s="317"/>
      <c r="J7" s="252" t="s">
        <v>13</v>
      </c>
      <c r="K7" s="249"/>
      <c r="L7" s="252" t="s">
        <v>246</v>
      </c>
      <c r="M7" s="251"/>
      <c r="N7" s="252" t="s">
        <v>455</v>
      </c>
      <c r="O7" s="251"/>
      <c r="P7" s="439" t="s">
        <v>572</v>
      </c>
      <c r="Q7" s="251"/>
      <c r="R7" s="251"/>
    </row>
    <row r="8" spans="2:18">
      <c r="B8" s="333">
        <v>-1</v>
      </c>
      <c r="C8" s="333"/>
      <c r="D8" s="333">
        <v>-2</v>
      </c>
      <c r="E8" s="333"/>
      <c r="F8" s="333">
        <v>-3</v>
      </c>
      <c r="G8" s="333"/>
      <c r="H8" s="333">
        <v>-4</v>
      </c>
      <c r="I8" s="333"/>
      <c r="J8" s="333">
        <v>-5</v>
      </c>
      <c r="K8" s="333"/>
      <c r="L8" s="333">
        <v>-6</v>
      </c>
      <c r="M8" s="251"/>
      <c r="N8" s="251"/>
      <c r="O8" s="251"/>
      <c r="P8" s="251"/>
      <c r="Q8" s="251"/>
      <c r="R8" s="251"/>
    </row>
    <row r="9" spans="2:18" hidden="1">
      <c r="B9" s="333"/>
      <c r="C9" s="333"/>
      <c r="D9" s="333"/>
      <c r="E9" s="333"/>
      <c r="F9" s="333"/>
      <c r="G9" s="333"/>
      <c r="H9" s="333"/>
      <c r="I9" s="333"/>
      <c r="J9" s="333"/>
      <c r="K9" s="333"/>
      <c r="L9" s="333"/>
      <c r="M9" s="441"/>
      <c r="N9" s="420"/>
      <c r="O9" s="441"/>
      <c r="P9" s="441"/>
      <c r="Q9" s="441"/>
      <c r="R9" s="441"/>
    </row>
    <row r="10" spans="2:18" hidden="1">
      <c r="B10" s="333" t="s">
        <v>780</v>
      </c>
      <c r="C10" s="333"/>
      <c r="D10" s="334">
        <v>14338.483320000001</v>
      </c>
      <c r="E10" s="333"/>
      <c r="F10" s="255">
        <f>+D10/365</f>
        <v>39.28351594520548</v>
      </c>
      <c r="G10" s="333"/>
      <c r="H10" s="333"/>
      <c r="I10" s="333"/>
      <c r="J10" s="333"/>
      <c r="K10" s="333"/>
      <c r="L10" s="333"/>
      <c r="M10" s="523"/>
      <c r="N10" s="420"/>
      <c r="O10" s="523"/>
      <c r="P10" s="523"/>
      <c r="Q10" s="523"/>
      <c r="R10" s="523"/>
    </row>
    <row r="11" spans="2:18">
      <c r="B11" s="333"/>
      <c r="C11" s="333"/>
      <c r="D11" s="333"/>
      <c r="E11" s="333"/>
      <c r="F11" s="333"/>
      <c r="G11" s="333"/>
      <c r="H11" s="333"/>
      <c r="I11" s="333"/>
      <c r="J11" s="333"/>
      <c r="K11" s="333"/>
      <c r="L11" s="333"/>
      <c r="M11" s="523"/>
      <c r="N11" s="420"/>
      <c r="O11" s="523"/>
      <c r="P11" s="523"/>
      <c r="Q11" s="523"/>
      <c r="R11" s="523"/>
    </row>
    <row r="12" spans="2:18">
      <c r="B12" s="451">
        <v>2011</v>
      </c>
      <c r="C12" s="333"/>
      <c r="D12" s="334">
        <v>13785.489170000003</v>
      </c>
      <c r="E12" s="333"/>
      <c r="F12" s="255">
        <f>+D12/365</f>
        <v>37.768463479452059</v>
      </c>
      <c r="G12" s="333"/>
      <c r="H12" s="462">
        <v>55.823999999999998</v>
      </c>
      <c r="I12" s="333"/>
      <c r="J12" s="335" t="s">
        <v>574</v>
      </c>
      <c r="K12" s="333"/>
      <c r="L12" s="255">
        <f>+H12/F12</f>
        <v>1.4780585403049573</v>
      </c>
      <c r="M12" s="441"/>
      <c r="N12" s="420">
        <v>78.900000000000006</v>
      </c>
      <c r="O12" s="441"/>
      <c r="P12" s="438">
        <f t="shared" ref="P12" si="0">+N12/F12</f>
        <v>2.0890444760329094</v>
      </c>
      <c r="Q12" s="441"/>
      <c r="R12" s="441"/>
    </row>
    <row r="13" spans="2:18">
      <c r="B13" s="333"/>
      <c r="C13" s="333"/>
      <c r="D13" s="333"/>
      <c r="E13" s="333"/>
      <c r="F13" s="333"/>
      <c r="G13" s="333"/>
      <c r="H13" s="333"/>
      <c r="I13" s="333"/>
      <c r="J13" s="333"/>
      <c r="K13" s="333"/>
      <c r="L13" s="333"/>
      <c r="M13" s="441"/>
      <c r="N13" s="420"/>
      <c r="O13" s="441"/>
      <c r="Q13" s="441"/>
      <c r="R13" s="441"/>
    </row>
    <row r="14" spans="2:18">
      <c r="B14" s="451">
        <v>2010</v>
      </c>
      <c r="C14" s="333"/>
      <c r="D14" s="461">
        <v>14817.378760000001</v>
      </c>
      <c r="E14" s="333"/>
      <c r="F14" s="255">
        <f>+D14/365</f>
        <v>40.595558246575344</v>
      </c>
      <c r="G14" s="333"/>
      <c r="H14" s="462">
        <v>61.357999999999997</v>
      </c>
      <c r="I14" s="333"/>
      <c r="J14" s="335" t="s">
        <v>777</v>
      </c>
      <c r="K14" s="333"/>
      <c r="L14" s="255">
        <f>+H14/F14</f>
        <v>1.5114461446081033</v>
      </c>
      <c r="M14" s="441"/>
      <c r="N14" s="420">
        <v>93.65</v>
      </c>
      <c r="O14" s="441"/>
      <c r="P14" s="438">
        <f t="shared" ref="P14" si="1">+N14/F14</f>
        <v>2.3069026278977294</v>
      </c>
      <c r="Q14" s="441"/>
      <c r="R14" s="441"/>
    </row>
    <row r="15" spans="2:18">
      <c r="B15" s="333"/>
      <c r="C15" s="333"/>
      <c r="D15" s="333"/>
      <c r="E15" s="333"/>
      <c r="F15" s="333"/>
      <c r="G15" s="333"/>
      <c r="H15" s="333"/>
      <c r="I15" s="333"/>
      <c r="J15" s="333"/>
      <c r="K15" s="333"/>
      <c r="L15" s="333"/>
      <c r="N15" s="420"/>
    </row>
    <row r="16" spans="2:18">
      <c r="B16" s="249">
        <v>2009</v>
      </c>
      <c r="C16" s="333"/>
      <c r="D16" s="334">
        <v>13904.565000000001</v>
      </c>
      <c r="E16" s="333"/>
      <c r="F16" s="255">
        <f>+D16/365</f>
        <v>38.094698630136989</v>
      </c>
      <c r="G16" s="333"/>
      <c r="H16" s="255">
        <v>53.401000000000003</v>
      </c>
      <c r="I16" s="333"/>
      <c r="J16" s="335" t="s">
        <v>215</v>
      </c>
      <c r="K16" s="333"/>
      <c r="L16" s="255">
        <f>+H16/F16</f>
        <v>1.401796100776975</v>
      </c>
      <c r="N16" s="420">
        <v>76.652000000000001</v>
      </c>
      <c r="P16" s="438">
        <f>+N16/F16</f>
        <v>2.0121434938813261</v>
      </c>
    </row>
    <row r="17" spans="2:16">
      <c r="B17" s="333"/>
      <c r="C17" s="333"/>
      <c r="D17" s="333"/>
      <c r="E17" s="333"/>
      <c r="F17" s="333"/>
      <c r="G17" s="333"/>
      <c r="H17" s="333"/>
      <c r="I17" s="333"/>
      <c r="J17" s="333"/>
      <c r="K17" s="333"/>
      <c r="L17" s="333"/>
      <c r="N17" s="420"/>
    </row>
    <row r="18" spans="2:16">
      <c r="B18" s="249">
        <v>2008</v>
      </c>
      <c r="C18" s="333"/>
      <c r="D18" s="334">
        <v>15644.484</v>
      </c>
      <c r="E18" s="333"/>
      <c r="F18" s="255">
        <f>+D18/365</f>
        <v>42.861600000000003</v>
      </c>
      <c r="G18" s="333"/>
      <c r="H18" s="255">
        <v>63.085000000000001</v>
      </c>
      <c r="I18" s="333"/>
      <c r="J18" s="335" t="s">
        <v>14</v>
      </c>
      <c r="K18" s="333"/>
      <c r="L18" s="255">
        <f>+H18/F18</f>
        <v>1.4718302629859827</v>
      </c>
      <c r="N18" s="420">
        <v>96.575999999999993</v>
      </c>
      <c r="P18" s="438">
        <f>+N18/F18</f>
        <v>2.2532056666106723</v>
      </c>
    </row>
    <row r="19" spans="2:16">
      <c r="B19" s="333"/>
      <c r="C19" s="333"/>
      <c r="D19" s="333"/>
      <c r="E19" s="333"/>
      <c r="F19" s="333"/>
      <c r="G19" s="333"/>
      <c r="H19" s="333"/>
      <c r="I19" s="333"/>
      <c r="J19" s="333"/>
      <c r="K19" s="333"/>
      <c r="L19" s="333"/>
      <c r="N19" s="420"/>
    </row>
    <row r="20" spans="2:16">
      <c r="B20" s="249">
        <v>2007</v>
      </c>
      <c r="C20" s="333"/>
      <c r="D20" s="334">
        <v>15734.453</v>
      </c>
      <c r="E20" s="333"/>
      <c r="F20" s="255">
        <f>+D20/365</f>
        <v>43.108090410958901</v>
      </c>
      <c r="G20" s="333"/>
      <c r="H20" s="255">
        <v>64.299000000000007</v>
      </c>
      <c r="I20" s="333"/>
      <c r="J20" s="253" t="s">
        <v>15</v>
      </c>
      <c r="K20" s="333"/>
      <c r="L20" s="255">
        <f>+H20/F20</f>
        <v>1.4915761609253275</v>
      </c>
      <c r="N20" s="420">
        <v>84.091999999999999</v>
      </c>
      <c r="P20" s="438">
        <f>+N20/F20</f>
        <v>1.9507243118016242</v>
      </c>
    </row>
    <row r="21" spans="2:16">
      <c r="B21" s="333"/>
      <c r="C21" s="333"/>
      <c r="D21" s="333"/>
      <c r="E21" s="333"/>
      <c r="F21" s="333"/>
      <c r="G21" s="333"/>
      <c r="H21" s="333"/>
      <c r="I21" s="333"/>
      <c r="J21" s="333"/>
      <c r="K21" s="333"/>
      <c r="L21" s="333"/>
      <c r="N21" s="420"/>
    </row>
    <row r="22" spans="2:16">
      <c r="B22" s="249">
        <v>2006</v>
      </c>
      <c r="D22" s="241">
        <v>15619</v>
      </c>
      <c r="F22" s="255">
        <f>+D22/365</f>
        <v>42.791780821917811</v>
      </c>
      <c r="H22" s="38">
        <v>67.22</v>
      </c>
      <c r="J22" s="253" t="s">
        <v>16</v>
      </c>
      <c r="L22" s="255">
        <f>+H22/F22</f>
        <v>1.5708624111658875</v>
      </c>
      <c r="N22" s="420">
        <v>82.652000000000001</v>
      </c>
      <c r="P22" s="438">
        <f>+N22/F22</f>
        <v>1.9314924130866251</v>
      </c>
    </row>
    <row r="23" spans="2:16">
      <c r="B23" s="333"/>
      <c r="C23" s="333"/>
      <c r="D23" s="333"/>
      <c r="E23" s="333"/>
      <c r="F23" s="333"/>
      <c r="G23" s="333"/>
      <c r="H23" s="333"/>
      <c r="I23" s="333"/>
      <c r="J23" s="333"/>
      <c r="K23" s="333"/>
      <c r="L23" s="333"/>
      <c r="N23" s="420"/>
    </row>
    <row r="24" spans="2:16">
      <c r="B24" s="249">
        <v>2005</v>
      </c>
      <c r="D24" s="241">
        <v>16068</v>
      </c>
      <c r="F24" s="255">
        <f>+D24/365</f>
        <v>44.021917808219179</v>
      </c>
      <c r="H24" s="38">
        <v>69.650000000000006</v>
      </c>
      <c r="J24" s="253" t="s">
        <v>17</v>
      </c>
      <c r="L24" s="255">
        <f>+H24/F24</f>
        <v>1.5821664177246701</v>
      </c>
      <c r="N24" s="420">
        <v>109.398</v>
      </c>
      <c r="P24" s="438">
        <f>+N24/F24</f>
        <v>2.4850802837938759</v>
      </c>
    </row>
    <row r="25" spans="2:16">
      <c r="B25" s="333"/>
      <c r="C25" s="333"/>
      <c r="D25" s="333"/>
      <c r="E25" s="333"/>
      <c r="F25" s="333"/>
      <c r="G25" s="333"/>
      <c r="H25" s="333"/>
      <c r="I25" s="333"/>
      <c r="J25" s="333"/>
      <c r="K25" s="333"/>
      <c r="L25" s="333"/>
      <c r="N25" s="420"/>
    </row>
    <row r="26" spans="2:16">
      <c r="B26" s="249">
        <v>2004</v>
      </c>
      <c r="D26" s="241">
        <v>14931</v>
      </c>
      <c r="F26" s="255">
        <f>+D26/365</f>
        <v>40.906849315068492</v>
      </c>
      <c r="H26" s="38">
        <v>56.89</v>
      </c>
      <c r="J26" s="335" t="s">
        <v>18</v>
      </c>
      <c r="L26" s="255">
        <f>+H26/F26</f>
        <v>1.3907206483155852</v>
      </c>
      <c r="N26" s="420">
        <v>76.75</v>
      </c>
      <c r="P26" s="438">
        <f>+N26/F26</f>
        <v>1.876213917353158</v>
      </c>
    </row>
    <row r="27" spans="2:16">
      <c r="N27" s="420"/>
    </row>
    <row r="28" spans="2:16">
      <c r="B28" s="249">
        <v>2003</v>
      </c>
      <c r="D28" s="241">
        <v>15005</v>
      </c>
      <c r="F28" s="255">
        <f>+D28/365</f>
        <v>41.109589041095887</v>
      </c>
      <c r="H28" s="38">
        <v>61.37</v>
      </c>
      <c r="J28" s="253" t="s">
        <v>19</v>
      </c>
      <c r="L28" s="255">
        <f>+H28/F28</f>
        <v>1.4928390536487839</v>
      </c>
      <c r="N28" s="420">
        <v>83.63</v>
      </c>
      <c r="P28" s="438">
        <f>+N28/F28</f>
        <v>2.0343185604798402</v>
      </c>
    </row>
    <row r="29" spans="2:16">
      <c r="B29" s="249"/>
      <c r="D29" s="241"/>
      <c r="F29" s="255"/>
      <c r="L29" s="255"/>
      <c r="N29" s="420"/>
    </row>
    <row r="30" spans="2:16">
      <c r="B30" s="249">
        <v>2002</v>
      </c>
      <c r="D30" s="241">
        <v>15956</v>
      </c>
      <c r="F30" s="255">
        <f t="shared" ref="F30:F54" si="2">+D30/365</f>
        <v>43.715068493150682</v>
      </c>
      <c r="H30" s="38">
        <v>71.819999999999993</v>
      </c>
      <c r="J30" s="253" t="s">
        <v>20</v>
      </c>
      <c r="L30" s="255">
        <f t="shared" ref="L30:L54" si="3">+H30/F30</f>
        <v>1.6429117573326648</v>
      </c>
      <c r="N30" s="420">
        <v>107.5</v>
      </c>
      <c r="P30" s="438">
        <f>+N30/F30</f>
        <v>2.4591062923038356</v>
      </c>
    </row>
    <row r="31" spans="2:16">
      <c r="B31" s="249"/>
      <c r="D31" s="241"/>
      <c r="F31" s="255"/>
      <c r="J31" s="249"/>
      <c r="L31" s="255"/>
      <c r="N31" s="420"/>
    </row>
    <row r="32" spans="2:16">
      <c r="B32" s="249">
        <v>2001</v>
      </c>
      <c r="D32" s="241">
        <v>14962</v>
      </c>
      <c r="F32" s="255">
        <f t="shared" si="2"/>
        <v>40.991780821917807</v>
      </c>
      <c r="H32" s="38">
        <v>56.04</v>
      </c>
      <c r="J32" s="253" t="s">
        <v>21</v>
      </c>
      <c r="L32" s="255">
        <f t="shared" si="3"/>
        <v>1.3671033284320278</v>
      </c>
      <c r="N32" s="420">
        <v>91.62</v>
      </c>
      <c r="P32" s="438">
        <f>+N32/F32</f>
        <v>2.2350822082609278</v>
      </c>
    </row>
    <row r="33" spans="2:16">
      <c r="B33" s="249"/>
      <c r="D33" s="241"/>
      <c r="F33" s="255"/>
      <c r="J33" s="249"/>
      <c r="L33" s="255"/>
      <c r="N33" s="420"/>
    </row>
    <row r="34" spans="2:16">
      <c r="B34" s="249">
        <v>2000</v>
      </c>
      <c r="D34" s="241">
        <v>14565</v>
      </c>
      <c r="F34" s="255">
        <f t="shared" si="2"/>
        <v>39.904109589041099</v>
      </c>
      <c r="H34" s="38">
        <v>66.37</v>
      </c>
      <c r="J34" s="253" t="s">
        <v>22</v>
      </c>
      <c r="L34" s="255">
        <f t="shared" si="3"/>
        <v>1.6632372124957089</v>
      </c>
      <c r="N34" s="420">
        <v>85.075999999999993</v>
      </c>
      <c r="P34" s="438">
        <f>+N34/F34</f>
        <v>2.1320109852385851</v>
      </c>
    </row>
    <row r="35" spans="2:16">
      <c r="B35" s="249"/>
      <c r="D35" s="212"/>
      <c r="F35" s="255"/>
      <c r="J35" s="249"/>
      <c r="L35" s="255"/>
    </row>
    <row r="36" spans="2:16">
      <c r="B36" s="249">
        <v>1999</v>
      </c>
      <c r="D36" s="241">
        <v>15077</v>
      </c>
      <c r="F36" s="255">
        <f t="shared" si="2"/>
        <v>41.30684931506849</v>
      </c>
      <c r="H36" s="38">
        <v>61.18</v>
      </c>
      <c r="J36" s="253" t="s">
        <v>23</v>
      </c>
      <c r="L36" s="255">
        <f t="shared" si="3"/>
        <v>1.4811103004576509</v>
      </c>
    </row>
    <row r="37" spans="2:16">
      <c r="B37" s="249"/>
      <c r="D37" s="241"/>
      <c r="F37" s="255"/>
      <c r="J37" s="249"/>
      <c r="L37" s="255"/>
    </row>
    <row r="38" spans="2:16">
      <c r="B38" s="249">
        <v>1998</v>
      </c>
      <c r="D38" s="241">
        <v>14799</v>
      </c>
      <c r="F38" s="255">
        <f t="shared" si="2"/>
        <v>40.545205479452058</v>
      </c>
      <c r="H38" s="38">
        <v>64.67</v>
      </c>
      <c r="J38" s="253" t="s">
        <v>24</v>
      </c>
      <c r="L38" s="255">
        <f t="shared" si="3"/>
        <v>1.5950097979593214</v>
      </c>
    </row>
    <row r="39" spans="2:16">
      <c r="B39" s="249"/>
      <c r="D39" s="241"/>
      <c r="F39" s="255"/>
      <c r="J39" s="249"/>
      <c r="L39" s="255"/>
    </row>
    <row r="40" spans="2:16">
      <c r="B40" s="249">
        <v>1997</v>
      </c>
      <c r="D40" s="241">
        <v>14419</v>
      </c>
      <c r="F40" s="255">
        <f t="shared" si="2"/>
        <v>39.504109589041093</v>
      </c>
      <c r="H40" s="255">
        <v>60.7</v>
      </c>
      <c r="I40" s="255"/>
      <c r="J40" s="336" t="s">
        <v>25</v>
      </c>
      <c r="L40" s="255">
        <f t="shared" si="3"/>
        <v>1.5365489978500591</v>
      </c>
    </row>
    <row r="41" spans="2:16">
      <c r="B41" s="249"/>
      <c r="D41" s="241"/>
      <c r="F41" s="255"/>
      <c r="J41" s="249"/>
      <c r="L41" s="255"/>
    </row>
    <row r="42" spans="2:16">
      <c r="B42" s="249">
        <v>1996</v>
      </c>
      <c r="D42" s="241">
        <v>14265</v>
      </c>
      <c r="F42" s="255">
        <f t="shared" si="2"/>
        <v>39.082191780821915</v>
      </c>
      <c r="H42" s="255">
        <v>53.7</v>
      </c>
      <c r="I42" s="255"/>
      <c r="J42" s="336" t="s">
        <v>26</v>
      </c>
      <c r="L42" s="255">
        <f t="shared" si="3"/>
        <v>1.3740273396424818</v>
      </c>
    </row>
    <row r="43" spans="2:16">
      <c r="B43" s="249"/>
      <c r="D43" s="241"/>
      <c r="F43" s="255"/>
      <c r="J43" s="249"/>
      <c r="L43" s="255"/>
    </row>
    <row r="44" spans="2:16">
      <c r="B44" s="249">
        <v>1995</v>
      </c>
      <c r="D44" s="241">
        <v>14549</v>
      </c>
      <c r="F44" s="255">
        <f t="shared" si="2"/>
        <v>39.860273972602741</v>
      </c>
      <c r="H44" s="38">
        <v>63.77</v>
      </c>
      <c r="J44" s="253" t="s">
        <v>27</v>
      </c>
      <c r="L44" s="255">
        <f t="shared" si="3"/>
        <v>1.5998384768712626</v>
      </c>
    </row>
    <row r="45" spans="2:16">
      <c r="B45" s="249"/>
      <c r="D45" s="241"/>
      <c r="F45" s="255"/>
      <c r="H45"/>
      <c r="I45"/>
      <c r="J45" s="142"/>
      <c r="L45" s="255"/>
    </row>
    <row r="46" spans="2:16">
      <c r="B46" s="249">
        <v>1994</v>
      </c>
      <c r="D46" s="241">
        <v>14471</v>
      </c>
      <c r="F46" s="255">
        <f t="shared" si="2"/>
        <v>39.646575342465752</v>
      </c>
      <c r="H46" s="38">
        <v>58.36</v>
      </c>
      <c r="J46" s="253" t="s">
        <v>28</v>
      </c>
      <c r="L46" s="255">
        <f t="shared" si="3"/>
        <v>1.4720060811277729</v>
      </c>
    </row>
    <row r="47" spans="2:16">
      <c r="B47" s="249"/>
      <c r="D47" s="241"/>
      <c r="F47" s="255"/>
      <c r="H47"/>
      <c r="I47"/>
      <c r="J47" s="142"/>
      <c r="L47" s="255"/>
    </row>
    <row r="48" spans="2:16">
      <c r="B48" s="249">
        <v>1993</v>
      </c>
      <c r="D48" s="241">
        <v>14290</v>
      </c>
      <c r="F48" s="255">
        <f t="shared" si="2"/>
        <v>39.150684931506852</v>
      </c>
      <c r="H48" s="38">
        <v>60.39</v>
      </c>
      <c r="J48" s="253" t="s">
        <v>19</v>
      </c>
      <c r="L48" s="255">
        <f t="shared" si="3"/>
        <v>1.5425017494751574</v>
      </c>
    </row>
    <row r="49" spans="2:12">
      <c r="B49" s="249"/>
      <c r="D49" s="241"/>
      <c r="F49" s="255"/>
      <c r="H49"/>
      <c r="I49"/>
      <c r="J49" s="142"/>
      <c r="L49" s="255"/>
    </row>
    <row r="50" spans="2:12">
      <c r="B50" s="249">
        <v>1992</v>
      </c>
      <c r="D50" s="241">
        <v>13303</v>
      </c>
      <c r="F50" s="255">
        <f t="shared" si="2"/>
        <v>36.446575342465756</v>
      </c>
      <c r="H50" s="38">
        <v>47.22</v>
      </c>
      <c r="J50" s="253" t="s">
        <v>29</v>
      </c>
      <c r="L50" s="255">
        <f t="shared" si="3"/>
        <v>1.2955949785762608</v>
      </c>
    </row>
    <row r="51" spans="2:12">
      <c r="B51" s="249"/>
      <c r="D51" s="241"/>
      <c r="F51" s="255"/>
      <c r="H51"/>
      <c r="I51"/>
      <c r="J51" s="142"/>
      <c r="L51" s="255"/>
    </row>
    <row r="52" spans="2:12">
      <c r="B52" s="249">
        <v>1991</v>
      </c>
      <c r="D52" s="241">
        <v>13450</v>
      </c>
      <c r="F52" s="255">
        <f t="shared" si="2"/>
        <v>36.849315068493148</v>
      </c>
      <c r="H52" s="38">
        <v>56.42</v>
      </c>
      <c r="J52" s="253" t="s">
        <v>16</v>
      </c>
      <c r="L52" s="255">
        <f t="shared" si="3"/>
        <v>1.531100371747212</v>
      </c>
    </row>
    <row r="53" spans="2:12">
      <c r="B53" s="249"/>
      <c r="D53" s="241"/>
      <c r="F53" s="255"/>
      <c r="H53"/>
      <c r="I53"/>
      <c r="J53" s="142"/>
      <c r="L53" s="255"/>
    </row>
    <row r="54" spans="2:12">
      <c r="B54" s="249">
        <v>1990</v>
      </c>
      <c r="D54" s="241">
        <v>12557</v>
      </c>
      <c r="F54" s="255">
        <f t="shared" si="2"/>
        <v>34.402739726027399</v>
      </c>
      <c r="H54" s="38">
        <v>58.05</v>
      </c>
      <c r="J54" s="253" t="s">
        <v>30</v>
      </c>
      <c r="L54" s="255">
        <f t="shared" si="3"/>
        <v>1.6873656128056063</v>
      </c>
    </row>
  </sheetData>
  <mergeCells count="2">
    <mergeCell ref="B1:L1"/>
    <mergeCell ref="B3:L3"/>
  </mergeCells>
  <phoneticPr fontId="11" type="noConversion"/>
  <pageMargins left="0.75" right="0.75" top="1" bottom="1" header="0.5" footer="0.5"/>
  <pageSetup scale="69"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IV39"/>
  <sheetViews>
    <sheetView workbookViewId="0">
      <selection activeCell="G8" sqref="G8"/>
    </sheetView>
  </sheetViews>
  <sheetFormatPr defaultColWidth="8.77734375" defaultRowHeight="12.75"/>
  <cols>
    <col min="1" max="2" width="3.77734375" style="137" customWidth="1"/>
    <col min="3" max="3" width="7.33203125" style="137" customWidth="1"/>
    <col min="4" max="6" width="2.109375" style="137" customWidth="1"/>
    <col min="7" max="7" width="11.44140625" style="137" customWidth="1"/>
    <col min="8" max="8" width="2.77734375" style="137" customWidth="1"/>
    <col min="9" max="9" width="8.77734375" style="137" customWidth="1"/>
    <col min="10" max="10" width="2.77734375" style="137" customWidth="1"/>
    <col min="11" max="11" width="7.77734375" style="137" customWidth="1"/>
    <col min="12" max="12" width="2.77734375" style="137" customWidth="1"/>
    <col min="13" max="13" width="9.77734375" style="137" customWidth="1"/>
    <col min="14" max="14" width="2.77734375" style="137" customWidth="1"/>
    <col min="15" max="16" width="9.77734375" style="137" customWidth="1"/>
    <col min="17" max="16384" width="8.77734375" style="137"/>
  </cols>
  <sheetData>
    <row r="1" spans="1:256" ht="15">
      <c r="A1" s="180"/>
      <c r="B1" s="180"/>
      <c r="C1" s="210" t="s">
        <v>8</v>
      </c>
      <c r="D1" s="179"/>
      <c r="E1" s="179"/>
      <c r="F1" s="179"/>
      <c r="G1" s="179"/>
      <c r="H1" s="179"/>
      <c r="I1" s="179"/>
      <c r="J1" s="179"/>
      <c r="K1" s="179"/>
      <c r="L1" s="179"/>
      <c r="M1" s="179"/>
      <c r="N1" s="179"/>
      <c r="O1" s="179"/>
      <c r="P1" s="181"/>
    </row>
    <row r="2" spans="1:256" ht="15">
      <c r="B2" s="294"/>
      <c r="C2" s="210"/>
      <c r="D2" s="179"/>
      <c r="E2" s="179"/>
      <c r="F2" s="179"/>
      <c r="G2" s="179"/>
      <c r="H2" s="179"/>
      <c r="I2" s="179"/>
      <c r="J2" s="179"/>
      <c r="K2" s="179"/>
      <c r="L2" s="179"/>
      <c r="M2" s="179"/>
      <c r="N2" s="179"/>
      <c r="O2" s="179"/>
      <c r="P2" s="181"/>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c r="BG2" s="294"/>
      <c r="BH2" s="294"/>
      <c r="BI2" s="294"/>
      <c r="BJ2" s="294"/>
      <c r="BK2" s="294"/>
      <c r="BL2" s="294"/>
      <c r="BM2" s="294"/>
      <c r="BN2" s="294"/>
      <c r="BO2" s="294"/>
      <c r="BP2" s="294"/>
      <c r="BQ2" s="294"/>
      <c r="BR2" s="294"/>
      <c r="BS2" s="294"/>
      <c r="BT2" s="294"/>
      <c r="BU2" s="294"/>
      <c r="BV2" s="294"/>
      <c r="BW2" s="294"/>
      <c r="BX2" s="294"/>
      <c r="BY2" s="294"/>
      <c r="BZ2" s="294"/>
      <c r="CA2" s="294"/>
      <c r="CB2" s="294"/>
      <c r="CC2" s="294"/>
      <c r="CD2" s="294"/>
      <c r="CE2" s="294"/>
      <c r="CF2" s="294"/>
      <c r="CG2" s="294"/>
      <c r="CH2" s="294"/>
      <c r="CI2" s="294"/>
      <c r="CJ2" s="294"/>
      <c r="CK2" s="294"/>
      <c r="CL2" s="294"/>
      <c r="CM2" s="294"/>
      <c r="CN2" s="294"/>
      <c r="CO2" s="294"/>
      <c r="CP2" s="294"/>
      <c r="CQ2" s="294"/>
      <c r="CR2" s="294"/>
      <c r="CS2" s="294"/>
      <c r="CT2" s="294"/>
      <c r="CU2" s="294"/>
      <c r="CV2" s="294"/>
      <c r="CW2" s="294"/>
      <c r="CX2" s="294"/>
      <c r="CY2" s="294"/>
      <c r="CZ2" s="294"/>
      <c r="DA2" s="294"/>
      <c r="DB2" s="294"/>
      <c r="DC2" s="294"/>
      <c r="DD2" s="294"/>
      <c r="DE2" s="294"/>
      <c r="DF2" s="294"/>
      <c r="DG2" s="294"/>
      <c r="DH2" s="294"/>
      <c r="DI2" s="294"/>
      <c r="DJ2" s="294"/>
      <c r="DK2" s="294"/>
      <c r="DL2" s="294"/>
      <c r="DM2" s="294"/>
      <c r="DN2" s="294"/>
      <c r="DO2" s="294"/>
      <c r="DP2" s="294"/>
      <c r="DQ2" s="294"/>
      <c r="DR2" s="294"/>
      <c r="DS2" s="294"/>
      <c r="DT2" s="294"/>
      <c r="DU2" s="294"/>
      <c r="DV2" s="294"/>
      <c r="DW2" s="294"/>
      <c r="DX2" s="294"/>
      <c r="DY2" s="294"/>
      <c r="DZ2" s="294"/>
      <c r="EA2" s="294"/>
      <c r="EB2" s="294"/>
      <c r="EC2" s="294"/>
      <c r="ED2" s="294"/>
      <c r="EE2" s="294"/>
      <c r="EF2" s="294"/>
      <c r="EG2" s="294"/>
      <c r="EH2" s="294"/>
      <c r="EI2" s="294"/>
      <c r="EJ2" s="294"/>
      <c r="EK2" s="294"/>
      <c r="EL2" s="294"/>
      <c r="EM2" s="294"/>
      <c r="EN2" s="294"/>
      <c r="EO2" s="294"/>
      <c r="EP2" s="294"/>
      <c r="EQ2" s="294"/>
      <c r="ER2" s="294"/>
      <c r="ES2" s="294"/>
      <c r="ET2" s="294"/>
      <c r="EU2" s="294"/>
      <c r="EV2" s="294"/>
      <c r="EW2" s="294"/>
      <c r="EX2" s="294"/>
      <c r="EY2" s="294"/>
      <c r="EZ2" s="294"/>
      <c r="FA2" s="294"/>
      <c r="FB2" s="294"/>
      <c r="FC2" s="294"/>
      <c r="FD2" s="294"/>
      <c r="FE2" s="294"/>
      <c r="FF2" s="294"/>
      <c r="FG2" s="294"/>
      <c r="FH2" s="294"/>
      <c r="FI2" s="294"/>
      <c r="FJ2" s="294"/>
      <c r="FK2" s="294"/>
      <c r="FL2" s="294"/>
      <c r="FM2" s="294"/>
      <c r="FN2" s="294"/>
      <c r="FO2" s="294"/>
      <c r="FP2" s="294"/>
      <c r="FQ2" s="294"/>
      <c r="FR2" s="294"/>
      <c r="FS2" s="294"/>
      <c r="FT2" s="294"/>
      <c r="FU2" s="294"/>
      <c r="FV2" s="294"/>
      <c r="FW2" s="294"/>
      <c r="FX2" s="294"/>
      <c r="FY2" s="294"/>
      <c r="FZ2" s="294"/>
      <c r="GA2" s="294"/>
      <c r="GB2" s="294"/>
      <c r="GC2" s="294"/>
      <c r="GD2" s="294"/>
      <c r="GE2" s="294"/>
      <c r="GF2" s="294"/>
      <c r="GG2" s="294"/>
      <c r="GH2" s="294"/>
      <c r="GI2" s="294"/>
      <c r="GJ2" s="294"/>
      <c r="GK2" s="294"/>
      <c r="GL2" s="294"/>
      <c r="GM2" s="294"/>
      <c r="GN2" s="294"/>
      <c r="GO2" s="294"/>
      <c r="GP2" s="294"/>
      <c r="GQ2" s="294"/>
      <c r="GR2" s="294"/>
      <c r="GS2" s="294"/>
      <c r="GT2" s="294"/>
      <c r="GU2" s="294"/>
      <c r="GV2" s="294"/>
      <c r="GW2" s="294"/>
      <c r="GX2" s="294"/>
      <c r="GY2" s="294"/>
      <c r="GZ2" s="294"/>
      <c r="HA2" s="294"/>
      <c r="HB2" s="294"/>
      <c r="HC2" s="294"/>
      <c r="HD2" s="294"/>
      <c r="HE2" s="294"/>
      <c r="HF2" s="294"/>
      <c r="HG2" s="294"/>
      <c r="HH2" s="294"/>
      <c r="HI2" s="294"/>
      <c r="HJ2" s="294"/>
      <c r="HK2" s="294"/>
      <c r="HL2" s="294"/>
      <c r="HM2" s="294"/>
      <c r="HN2" s="294"/>
      <c r="HO2" s="294"/>
      <c r="HP2" s="294"/>
      <c r="HQ2" s="294"/>
      <c r="HR2" s="294"/>
      <c r="HS2" s="294"/>
      <c r="HT2" s="294"/>
      <c r="HU2" s="294"/>
      <c r="HV2" s="294"/>
      <c r="HW2" s="294"/>
      <c r="HX2" s="294"/>
      <c r="HY2" s="294"/>
      <c r="HZ2" s="294"/>
      <c r="IA2" s="294"/>
      <c r="IB2" s="294"/>
      <c r="IC2" s="294"/>
      <c r="ID2" s="294"/>
      <c r="IE2" s="294"/>
      <c r="IF2" s="294"/>
      <c r="IG2" s="294"/>
      <c r="IH2" s="294"/>
      <c r="II2" s="294"/>
      <c r="IJ2" s="294"/>
      <c r="IK2" s="294"/>
      <c r="IL2" s="294"/>
      <c r="IM2" s="294"/>
      <c r="IN2" s="294"/>
      <c r="IO2" s="294"/>
      <c r="IP2" s="294"/>
      <c r="IQ2" s="294"/>
      <c r="IR2" s="294"/>
      <c r="IS2" s="294"/>
      <c r="IT2" s="294"/>
      <c r="IU2" s="294"/>
      <c r="IV2" s="294"/>
    </row>
    <row r="3" spans="1:256">
      <c r="A3" s="180"/>
      <c r="B3" s="180"/>
      <c r="C3" s="179" t="s">
        <v>199</v>
      </c>
      <c r="D3" s="179"/>
      <c r="E3" s="179"/>
      <c r="F3" s="179"/>
      <c r="G3" s="179"/>
      <c r="H3" s="179"/>
      <c r="I3" s="179"/>
      <c r="J3" s="179"/>
      <c r="K3" s="179"/>
      <c r="L3" s="179"/>
      <c r="M3" s="179"/>
      <c r="N3" s="179"/>
      <c r="O3" s="179"/>
      <c r="P3" s="181"/>
    </row>
    <row r="4" spans="1:256">
      <c r="A4" s="180"/>
      <c r="B4" s="180"/>
      <c r="C4" s="179" t="s">
        <v>409</v>
      </c>
      <c r="D4" s="179"/>
      <c r="E4" s="179"/>
      <c r="F4" s="179"/>
      <c r="G4" s="179"/>
      <c r="H4" s="179"/>
      <c r="I4" s="179"/>
      <c r="J4" s="179"/>
      <c r="K4" s="179"/>
      <c r="L4" s="179"/>
      <c r="M4" s="179"/>
      <c r="N4" s="179"/>
      <c r="O4" s="179"/>
      <c r="P4" s="181"/>
    </row>
    <row r="5" spans="1:256">
      <c r="A5" s="180"/>
      <c r="B5" s="180"/>
      <c r="C5" s="179" t="s">
        <v>192</v>
      </c>
      <c r="D5" s="179"/>
      <c r="E5" s="179"/>
      <c r="F5" s="179"/>
      <c r="G5" s="179"/>
      <c r="H5" s="179"/>
      <c r="I5" s="179"/>
      <c r="J5" s="179"/>
      <c r="K5" s="179"/>
      <c r="L5" s="179"/>
      <c r="M5" s="179"/>
      <c r="N5" s="179"/>
      <c r="O5" s="179"/>
      <c r="P5" s="181"/>
    </row>
    <row r="6" spans="1:256">
      <c r="A6" s="180"/>
      <c r="B6" s="180"/>
      <c r="C6" s="181"/>
      <c r="D6" s="181"/>
      <c r="E6" s="181"/>
      <c r="F6" s="181"/>
      <c r="G6" s="181"/>
      <c r="H6" s="181"/>
      <c r="I6" s="181"/>
      <c r="J6" s="181"/>
      <c r="K6" s="181"/>
      <c r="L6" s="181"/>
      <c r="M6" s="181"/>
      <c r="N6" s="181"/>
      <c r="O6" s="181"/>
      <c r="P6" s="181"/>
    </row>
    <row r="7" spans="1:256">
      <c r="A7" s="180"/>
      <c r="B7" s="180"/>
      <c r="C7" s="181"/>
      <c r="D7" s="181"/>
      <c r="E7" s="181"/>
      <c r="F7" s="181"/>
      <c r="G7" s="181"/>
      <c r="H7" s="181"/>
      <c r="I7" s="182" t="s">
        <v>410</v>
      </c>
      <c r="J7" s="181"/>
      <c r="K7" s="181"/>
      <c r="L7" s="181"/>
      <c r="M7" s="181"/>
      <c r="N7" s="181"/>
      <c r="O7" s="181"/>
      <c r="P7" s="181"/>
    </row>
    <row r="8" spans="1:256">
      <c r="A8" s="180"/>
      <c r="B8" s="180"/>
      <c r="C8" s="181"/>
      <c r="D8" s="181"/>
      <c r="E8" s="181"/>
      <c r="F8" s="181"/>
      <c r="G8" s="181"/>
      <c r="H8" s="181"/>
      <c r="I8" s="182" t="s">
        <v>411</v>
      </c>
      <c r="J8" s="181"/>
      <c r="K8" s="181"/>
      <c r="L8" s="181"/>
      <c r="M8" s="182" t="s">
        <v>412</v>
      </c>
      <c r="N8" s="181"/>
      <c r="O8" s="182" t="s">
        <v>206</v>
      </c>
      <c r="P8" s="181"/>
    </row>
    <row r="9" spans="1:256">
      <c r="A9" s="180"/>
      <c r="B9" s="180"/>
      <c r="C9" s="179" t="s">
        <v>413</v>
      </c>
      <c r="D9" s="179"/>
      <c r="E9" s="179"/>
      <c r="F9" s="179"/>
      <c r="G9" s="179"/>
      <c r="H9" s="181"/>
      <c r="I9" s="182" t="s">
        <v>414</v>
      </c>
      <c r="J9" s="181"/>
      <c r="K9" s="182" t="s">
        <v>415</v>
      </c>
      <c r="L9" s="181"/>
      <c r="M9" s="182" t="s">
        <v>86</v>
      </c>
      <c r="N9" s="181"/>
      <c r="O9" s="182" t="s">
        <v>208</v>
      </c>
      <c r="P9" s="181"/>
    </row>
    <row r="10" spans="1:256">
      <c r="A10" s="180"/>
      <c r="B10" s="180"/>
      <c r="C10" s="183" t="s">
        <v>209</v>
      </c>
      <c r="D10" s="183"/>
      <c r="E10" s="183"/>
      <c r="F10" s="183"/>
      <c r="G10" s="183"/>
      <c r="H10" s="181"/>
      <c r="I10" s="184" t="s">
        <v>229</v>
      </c>
      <c r="J10" s="182"/>
      <c r="K10" s="184" t="s">
        <v>211</v>
      </c>
      <c r="L10" s="181"/>
      <c r="M10" s="184" t="s">
        <v>242</v>
      </c>
      <c r="N10" s="181"/>
      <c r="O10" s="184" t="s">
        <v>243</v>
      </c>
      <c r="P10" s="181"/>
    </row>
    <row r="11" spans="1:256" ht="16.149999999999999" customHeight="1">
      <c r="A11" s="180"/>
      <c r="B11" s="180"/>
      <c r="C11" s="181"/>
      <c r="D11" s="181"/>
      <c r="E11" s="181"/>
      <c r="F11" s="181"/>
      <c r="G11" s="181"/>
      <c r="H11" s="181"/>
      <c r="I11" s="181"/>
      <c r="J11" s="181"/>
      <c r="K11" s="181"/>
      <c r="L11" s="181"/>
      <c r="M11" s="181"/>
      <c r="N11" s="181"/>
      <c r="O11" s="181"/>
      <c r="P11" s="181"/>
    </row>
    <row r="12" spans="1:256">
      <c r="A12" s="180"/>
      <c r="B12" s="180"/>
      <c r="C12" s="185" t="s">
        <v>416</v>
      </c>
      <c r="D12" s="181"/>
      <c r="E12" s="181"/>
      <c r="F12" s="181"/>
      <c r="G12" s="181"/>
      <c r="H12" s="181"/>
      <c r="I12" s="181"/>
      <c r="J12" s="181"/>
      <c r="K12" s="181"/>
      <c r="L12" s="181"/>
      <c r="M12" s="181"/>
      <c r="N12" s="181"/>
      <c r="O12" s="181"/>
      <c r="P12" s="471"/>
      <c r="Q12" s="464"/>
    </row>
    <row r="13" spans="1:256" ht="13.9" customHeight="1">
      <c r="A13" s="180"/>
      <c r="B13" s="180"/>
      <c r="C13" s="185"/>
      <c r="D13" s="181"/>
      <c r="E13" s="181"/>
      <c r="F13" s="181"/>
      <c r="G13" s="181"/>
      <c r="H13" s="181"/>
      <c r="I13" s="181"/>
      <c r="J13" s="181"/>
      <c r="K13" s="181"/>
      <c r="L13" s="181"/>
      <c r="M13" s="181"/>
      <c r="N13" s="181"/>
      <c r="O13" s="181"/>
      <c r="P13" s="471"/>
      <c r="Q13" s="464"/>
    </row>
    <row r="14" spans="1:256">
      <c r="A14" s="180"/>
      <c r="B14" s="180"/>
      <c r="C14" s="632" t="s">
        <v>417</v>
      </c>
      <c r="D14" s="632"/>
      <c r="E14" s="632"/>
      <c r="F14" s="181"/>
      <c r="G14" s="181"/>
      <c r="H14" s="181"/>
      <c r="I14" s="165"/>
      <c r="J14" s="181"/>
      <c r="K14" s="181"/>
      <c r="L14" s="181"/>
      <c r="M14" s="181"/>
      <c r="N14" s="181"/>
      <c r="O14" s="181"/>
      <c r="P14" s="471"/>
      <c r="Q14" s="464"/>
    </row>
    <row r="15" spans="1:256">
      <c r="A15" s="180"/>
      <c r="B15" s="180"/>
      <c r="C15" s="188">
        <v>2</v>
      </c>
      <c r="D15" s="186" t="s">
        <v>418</v>
      </c>
      <c r="E15" s="186"/>
      <c r="F15" s="181"/>
      <c r="G15" s="181"/>
      <c r="H15" s="181"/>
      <c r="I15" s="165">
        <f>+C15^2</f>
        <v>4</v>
      </c>
      <c r="J15" s="181"/>
      <c r="K15" s="382">
        <v>64</v>
      </c>
      <c r="L15" s="181"/>
      <c r="M15" s="381">
        <f>ROUND((+I15*K15*1.5),0)</f>
        <v>384</v>
      </c>
      <c r="N15" s="181"/>
      <c r="O15" s="181"/>
      <c r="P15" s="145"/>
      <c r="Q15" s="464"/>
    </row>
    <row r="16" spans="1:256">
      <c r="A16" s="180"/>
      <c r="B16" s="180"/>
      <c r="C16" s="189">
        <v>3</v>
      </c>
      <c r="D16" s="181" t="s">
        <v>418</v>
      </c>
      <c r="E16" s="181"/>
      <c r="F16" s="181"/>
      <c r="G16" s="181"/>
      <c r="H16" s="181"/>
      <c r="I16" s="165">
        <f t="shared" ref="I16:I23" si="0">+C16^2</f>
        <v>9</v>
      </c>
      <c r="J16" s="181"/>
      <c r="K16" s="382">
        <v>0</v>
      </c>
      <c r="L16" s="181"/>
      <c r="M16" s="381">
        <f t="shared" ref="M16:M24" si="1">ROUND((+I16*K16*1.5),0)</f>
        <v>0</v>
      </c>
      <c r="N16" s="181"/>
      <c r="O16" s="181"/>
      <c r="P16" s="145"/>
      <c r="Q16" s="464"/>
    </row>
    <row r="17" spans="1:23">
      <c r="A17" s="180"/>
      <c r="B17" s="180"/>
      <c r="C17" s="189">
        <v>4</v>
      </c>
      <c r="D17" s="181" t="s">
        <v>418</v>
      </c>
      <c r="E17" s="181"/>
      <c r="F17" s="181"/>
      <c r="G17" s="181"/>
      <c r="H17" s="181"/>
      <c r="I17" s="165">
        <f t="shared" si="0"/>
        <v>16</v>
      </c>
      <c r="J17" s="181"/>
      <c r="K17" s="382">
        <v>390</v>
      </c>
      <c r="L17" s="181"/>
      <c r="M17" s="381">
        <f t="shared" si="1"/>
        <v>9360</v>
      </c>
      <c r="N17" s="181"/>
      <c r="O17" s="181"/>
      <c r="P17" s="145"/>
      <c r="Q17" s="464"/>
    </row>
    <row r="18" spans="1:23">
      <c r="A18" s="180"/>
      <c r="B18" s="180"/>
      <c r="C18" s="189">
        <v>6</v>
      </c>
      <c r="D18" s="181" t="s">
        <v>418</v>
      </c>
      <c r="E18" s="181"/>
      <c r="F18" s="181"/>
      <c r="G18" s="181"/>
      <c r="H18" s="181"/>
      <c r="I18" s="165">
        <f t="shared" si="0"/>
        <v>36</v>
      </c>
      <c r="J18" s="181"/>
      <c r="K18" s="382">
        <v>862</v>
      </c>
      <c r="L18" s="181"/>
      <c r="M18" s="381">
        <f t="shared" si="1"/>
        <v>46548</v>
      </c>
      <c r="N18" s="181"/>
      <c r="O18" s="181"/>
      <c r="P18" s="145"/>
      <c r="Q18" s="464"/>
    </row>
    <row r="19" spans="1:23">
      <c r="A19" s="180"/>
      <c r="B19" s="180"/>
      <c r="C19" s="189">
        <v>8</v>
      </c>
      <c r="D19" s="181" t="s">
        <v>418</v>
      </c>
      <c r="E19" s="181"/>
      <c r="F19" s="181"/>
      <c r="G19" s="181"/>
      <c r="H19" s="181"/>
      <c r="I19" s="165">
        <f t="shared" si="0"/>
        <v>64</v>
      </c>
      <c r="J19" s="181"/>
      <c r="K19" s="382">
        <v>266</v>
      </c>
      <c r="L19" s="181"/>
      <c r="M19" s="381">
        <f t="shared" si="1"/>
        <v>25536</v>
      </c>
      <c r="N19" s="181"/>
      <c r="O19" s="181"/>
      <c r="P19" s="145"/>
      <c r="Q19" s="464"/>
    </row>
    <row r="20" spans="1:23">
      <c r="A20" s="180"/>
      <c r="B20" s="180"/>
      <c r="C20" s="189">
        <v>10</v>
      </c>
      <c r="D20" s="181" t="s">
        <v>418</v>
      </c>
      <c r="E20" s="181"/>
      <c r="F20" s="181"/>
      <c r="G20" s="181"/>
      <c r="H20" s="181"/>
      <c r="I20" s="165">
        <f t="shared" si="0"/>
        <v>100</v>
      </c>
      <c r="J20" s="181"/>
      <c r="K20" s="382">
        <v>8</v>
      </c>
      <c r="L20" s="181"/>
      <c r="M20" s="381">
        <f t="shared" si="1"/>
        <v>1200</v>
      </c>
      <c r="N20" s="181"/>
      <c r="O20" s="181"/>
      <c r="P20" s="145"/>
      <c r="Q20" s="464"/>
    </row>
    <row r="21" spans="1:23">
      <c r="A21" s="180"/>
      <c r="B21" s="180"/>
      <c r="C21" s="189">
        <v>12</v>
      </c>
      <c r="D21" s="181" t="s">
        <v>418</v>
      </c>
      <c r="E21" s="181"/>
      <c r="F21" s="181"/>
      <c r="G21" s="181"/>
      <c r="H21" s="181"/>
      <c r="I21" s="165">
        <f t="shared" si="0"/>
        <v>144</v>
      </c>
      <c r="J21" s="181"/>
      <c r="K21" s="382">
        <v>4</v>
      </c>
      <c r="L21" s="181"/>
      <c r="M21" s="381">
        <f t="shared" si="1"/>
        <v>864</v>
      </c>
      <c r="N21" s="181"/>
      <c r="O21" s="181"/>
      <c r="P21" s="145"/>
      <c r="Q21" s="464"/>
    </row>
    <row r="22" spans="1:23">
      <c r="A22" s="180"/>
      <c r="B22" s="180"/>
      <c r="C22" s="189">
        <v>14</v>
      </c>
      <c r="D22" s="181" t="s">
        <v>418</v>
      </c>
      <c r="E22" s="181"/>
      <c r="F22" s="181"/>
      <c r="G22" s="181"/>
      <c r="H22" s="181"/>
      <c r="I22" s="165">
        <f t="shared" si="0"/>
        <v>196</v>
      </c>
      <c r="J22" s="181"/>
      <c r="K22" s="382">
        <v>0</v>
      </c>
      <c r="L22" s="181"/>
      <c r="M22" s="381">
        <f t="shared" si="1"/>
        <v>0</v>
      </c>
      <c r="N22" s="181"/>
      <c r="O22" s="181"/>
      <c r="P22" s="145"/>
      <c r="Q22" s="464"/>
    </row>
    <row r="23" spans="1:23">
      <c r="A23" s="180"/>
      <c r="B23" s="180"/>
      <c r="C23" s="189">
        <v>16</v>
      </c>
      <c r="D23" s="181" t="s">
        <v>418</v>
      </c>
      <c r="E23" s="181"/>
      <c r="F23" s="181"/>
      <c r="G23" s="181"/>
      <c r="H23" s="181"/>
      <c r="I23" s="165">
        <f t="shared" si="0"/>
        <v>256</v>
      </c>
      <c r="J23" s="181"/>
      <c r="K23" s="382">
        <v>1</v>
      </c>
      <c r="L23" s="181"/>
      <c r="M23" s="381">
        <f t="shared" si="1"/>
        <v>384</v>
      </c>
      <c r="N23" s="181"/>
      <c r="O23" s="181"/>
      <c r="P23" s="145"/>
      <c r="Q23" s="464"/>
    </row>
    <row r="24" spans="1:23" ht="13.5" customHeight="1">
      <c r="A24" s="180"/>
      <c r="B24" s="180"/>
      <c r="C24" s="633" t="s">
        <v>191</v>
      </c>
      <c r="D24" s="633"/>
      <c r="E24" s="633"/>
      <c r="F24" s="181"/>
      <c r="G24" s="181"/>
      <c r="H24" s="181"/>
      <c r="I24" s="380">
        <v>27.6</v>
      </c>
      <c r="J24" s="181"/>
      <c r="K24" s="470">
        <v>1087</v>
      </c>
      <c r="L24" s="181"/>
      <c r="M24" s="211">
        <f t="shared" si="1"/>
        <v>45002</v>
      </c>
      <c r="N24" s="181"/>
      <c r="O24" s="181"/>
      <c r="P24" s="145"/>
      <c r="Q24" s="464"/>
      <c r="V24" s="258"/>
      <c r="W24" s="258"/>
    </row>
    <row r="25" spans="1:23">
      <c r="A25" s="180"/>
      <c r="B25" s="180"/>
      <c r="C25" s="181"/>
      <c r="D25" s="181"/>
      <c r="E25" s="181"/>
      <c r="F25" s="181"/>
      <c r="G25" s="181"/>
      <c r="H25" s="181"/>
      <c r="I25" s="165"/>
      <c r="J25" s="181"/>
      <c r="K25" s="381"/>
      <c r="L25" s="181"/>
      <c r="M25" s="381"/>
      <c r="N25" s="181"/>
      <c r="O25" s="181"/>
      <c r="P25" s="145"/>
      <c r="Q25" s="464"/>
      <c r="V25" s="258"/>
      <c r="W25" s="258"/>
    </row>
    <row r="26" spans="1:23" ht="13.5" thickBot="1">
      <c r="A26" s="180"/>
      <c r="B26" s="180"/>
      <c r="C26" s="181" t="s">
        <v>419</v>
      </c>
      <c r="D26" s="181"/>
      <c r="E26" s="181"/>
      <c r="F26" s="181"/>
      <c r="G26" s="181"/>
      <c r="H26" s="181"/>
      <c r="I26" s="165"/>
      <c r="J26" s="181"/>
      <c r="K26" s="398">
        <f>SUM(K15:K24)</f>
        <v>2682</v>
      </c>
      <c r="L26" s="181"/>
      <c r="M26" s="208">
        <f>SUM(M15:M24)</f>
        <v>129278</v>
      </c>
      <c r="N26" s="181"/>
      <c r="O26" s="383">
        <f>ROUND(+M26/M$35,4)</f>
        <v>0.45190000000000002</v>
      </c>
      <c r="P26" s="464"/>
      <c r="Q26" s="145"/>
      <c r="V26" s="568"/>
      <c r="W26" s="258"/>
    </row>
    <row r="27" spans="1:23" ht="13.5" thickTop="1">
      <c r="A27" s="180"/>
      <c r="B27" s="180"/>
      <c r="C27" s="181"/>
      <c r="D27" s="181"/>
      <c r="E27" s="181"/>
      <c r="F27" s="181"/>
      <c r="G27" s="181"/>
      <c r="H27" s="181"/>
      <c r="I27" s="165"/>
      <c r="J27" s="181"/>
      <c r="K27" s="187"/>
      <c r="L27" s="181"/>
      <c r="M27" s="187"/>
      <c r="N27" s="181"/>
      <c r="O27" s="191"/>
      <c r="P27" s="464"/>
      <c r="Q27" s="464"/>
      <c r="V27" s="568"/>
      <c r="W27" s="258"/>
    </row>
    <row r="28" spans="1:23">
      <c r="A28" s="180"/>
      <c r="B28" s="180"/>
      <c r="C28" s="181"/>
      <c r="D28" s="181"/>
      <c r="E28" s="181"/>
      <c r="F28" s="181"/>
      <c r="G28" s="181"/>
      <c r="H28" s="181"/>
      <c r="I28" s="165"/>
      <c r="J28" s="181"/>
      <c r="K28" s="187"/>
      <c r="L28" s="181"/>
      <c r="M28" s="187"/>
      <c r="N28" s="181"/>
      <c r="O28" s="181"/>
      <c r="P28" s="464"/>
      <c r="Q28" s="464"/>
      <c r="V28" s="568"/>
      <c r="W28" s="258"/>
    </row>
    <row r="29" spans="1:23">
      <c r="A29" s="180"/>
      <c r="B29" s="180"/>
      <c r="C29" s="185" t="s">
        <v>420</v>
      </c>
      <c r="D29" s="181"/>
      <c r="E29" s="181"/>
      <c r="F29" s="181"/>
      <c r="G29" s="181"/>
      <c r="H29" s="181"/>
      <c r="I29" s="165"/>
      <c r="J29" s="181"/>
      <c r="K29" s="187"/>
      <c r="L29" s="181"/>
      <c r="M29" s="187"/>
      <c r="N29" s="181"/>
      <c r="O29" s="181"/>
      <c r="P29" s="472"/>
      <c r="Q29" s="464"/>
      <c r="V29" s="568"/>
      <c r="W29" s="258"/>
    </row>
    <row r="30" spans="1:23">
      <c r="A30" s="180"/>
      <c r="B30" s="180"/>
      <c r="C30" s="384" t="s">
        <v>89</v>
      </c>
      <c r="D30" s="384"/>
      <c r="E30" s="181"/>
      <c r="F30" s="181"/>
      <c r="G30" s="181"/>
      <c r="H30" s="181"/>
      <c r="I30" s="165">
        <v>20.3</v>
      </c>
      <c r="J30" s="181"/>
      <c r="K30" s="337">
        <v>6365.5749966475569</v>
      </c>
      <c r="L30" s="181"/>
      <c r="M30" s="187">
        <f>+I30*K30</f>
        <v>129221.17243194541</v>
      </c>
      <c r="N30" s="181"/>
      <c r="O30" s="181"/>
      <c r="P30" s="471"/>
      <c r="Q30" s="464"/>
      <c r="V30" s="568"/>
      <c r="W30" s="258"/>
    </row>
    <row r="31" spans="1:23">
      <c r="A31" s="180"/>
      <c r="B31" s="180"/>
      <c r="C31" s="384" t="s">
        <v>90</v>
      </c>
      <c r="D31" s="384"/>
      <c r="F31" s="182"/>
      <c r="G31" s="192"/>
      <c r="H31" s="181"/>
      <c r="I31" s="165">
        <v>27.6</v>
      </c>
      <c r="J31" s="181"/>
      <c r="K31" s="187">
        <v>1000</v>
      </c>
      <c r="L31" s="181"/>
      <c r="M31" s="187">
        <f>+I31*K31</f>
        <v>27600</v>
      </c>
      <c r="N31" s="181"/>
      <c r="O31" s="181"/>
      <c r="P31" s="181"/>
      <c r="V31" s="258"/>
      <c r="W31" s="258"/>
    </row>
    <row r="32" spans="1:23">
      <c r="A32" s="180"/>
      <c r="B32" s="180"/>
      <c r="D32" s="181"/>
      <c r="E32" s="181"/>
      <c r="F32" s="181"/>
      <c r="G32" s="181"/>
      <c r="H32" s="181"/>
      <c r="I32" s="165"/>
      <c r="J32" s="181"/>
      <c r="K32" s="190"/>
      <c r="L32" s="181"/>
      <c r="M32" s="190"/>
      <c r="N32" s="181"/>
      <c r="O32" s="181"/>
      <c r="P32" s="181"/>
      <c r="V32" s="258"/>
      <c r="W32" s="258"/>
    </row>
    <row r="33" spans="1:23">
      <c r="A33" s="180"/>
      <c r="B33" s="180"/>
      <c r="C33" s="137" t="s">
        <v>190</v>
      </c>
      <c r="D33" s="181"/>
      <c r="E33" s="181"/>
      <c r="F33" s="181"/>
      <c r="G33" s="181"/>
      <c r="H33" s="181"/>
      <c r="I33" s="181"/>
      <c r="J33" s="181"/>
      <c r="K33" s="187">
        <f>SUM(K30:K32)</f>
        <v>7365.5749966475569</v>
      </c>
      <c r="L33" s="181"/>
      <c r="M33" s="187">
        <f>SUM(M30:M32)</f>
        <v>156821.17243194539</v>
      </c>
      <c r="N33" s="181"/>
      <c r="O33" s="191">
        <f>ROUND(+M33/M$35,4)</f>
        <v>0.54810000000000003</v>
      </c>
      <c r="P33" s="181"/>
      <c r="V33" s="258"/>
      <c r="W33" s="258"/>
    </row>
    <row r="34" spans="1:23">
      <c r="A34" s="180"/>
      <c r="B34" s="180"/>
      <c r="C34" s="181"/>
      <c r="D34" s="181"/>
      <c r="E34" s="181"/>
      <c r="F34" s="181"/>
      <c r="G34" s="181"/>
      <c r="H34" s="181"/>
      <c r="I34" s="181"/>
      <c r="J34" s="181"/>
      <c r="K34" s="190"/>
      <c r="L34" s="181"/>
      <c r="M34" s="190"/>
      <c r="N34" s="181"/>
      <c r="O34" s="190"/>
      <c r="P34" s="181"/>
      <c r="V34" s="258"/>
      <c r="W34" s="258"/>
    </row>
    <row r="35" spans="1:23" ht="13.5" thickBot="1">
      <c r="A35" s="180"/>
      <c r="B35" s="180"/>
      <c r="C35" s="181" t="s">
        <v>421</v>
      </c>
      <c r="D35" s="181"/>
      <c r="E35" s="181"/>
      <c r="F35" s="181"/>
      <c r="G35" s="181"/>
      <c r="H35" s="181"/>
      <c r="I35" s="181"/>
      <c r="J35" s="181"/>
      <c r="K35" s="208">
        <f>K26+K33</f>
        <v>10047.574996647556</v>
      </c>
      <c r="L35" s="181"/>
      <c r="M35" s="208">
        <f>M26+M33</f>
        <v>286099.17243194539</v>
      </c>
      <c r="N35" s="191"/>
      <c r="O35" s="209">
        <f>O26+O33</f>
        <v>1</v>
      </c>
      <c r="P35" s="181"/>
      <c r="V35" s="258"/>
      <c r="W35" s="258"/>
    </row>
    <row r="36" spans="1:23" ht="13.5" thickTop="1">
      <c r="V36" s="258"/>
      <c r="W36" s="258"/>
    </row>
    <row r="37" spans="1:23">
      <c r="C37" s="379"/>
      <c r="D37" s="379"/>
      <c r="E37" s="379"/>
      <c r="F37" s="379"/>
      <c r="G37" s="379"/>
      <c r="V37" s="258"/>
      <c r="W37" s="258"/>
    </row>
    <row r="38" spans="1:23">
      <c r="C38" s="137" t="s">
        <v>87</v>
      </c>
      <c r="V38" s="258"/>
      <c r="W38" s="258"/>
    </row>
    <row r="39" spans="1:23">
      <c r="C39" s="137" t="s">
        <v>88</v>
      </c>
      <c r="V39" s="258"/>
      <c r="W39" s="258"/>
    </row>
  </sheetData>
  <mergeCells count="2">
    <mergeCell ref="C14:E14"/>
    <mergeCell ref="C24:E24"/>
  </mergeCells>
  <phoneticPr fontId="11" type="noConversion"/>
  <pageMargins left="1" right="0.75" top="1" bottom="1" header="0.5" footer="0.5"/>
  <pageSetup scale="99" fitToHeight="0" orientation="portrait" r:id="rId1"/>
  <headerFooter alignWithMargins="0"/>
</worksheet>
</file>

<file path=xl/worksheets/sheet16.xml><?xml version="1.0" encoding="utf-8"?>
<worksheet xmlns="http://schemas.openxmlformats.org/spreadsheetml/2006/main" xmlns:r="http://schemas.openxmlformats.org/officeDocument/2006/relationships">
  <dimension ref="A1:AO59"/>
  <sheetViews>
    <sheetView zoomScaleNormal="100" workbookViewId="0">
      <selection activeCell="O40" sqref="O40"/>
    </sheetView>
  </sheetViews>
  <sheetFormatPr defaultRowHeight="12.75"/>
  <cols>
    <col min="1" max="1" width="18.33203125" customWidth="1"/>
    <col min="2" max="2" width="1.5546875" customWidth="1"/>
    <col min="3" max="3" width="12.77734375" customWidth="1"/>
    <col min="4" max="4" width="1.21875" customWidth="1"/>
    <col min="6" max="6" width="1.88671875" customWidth="1"/>
    <col min="8" max="8" width="2.77734375" customWidth="1"/>
    <col min="9" max="9" width="11" customWidth="1"/>
    <col min="10" max="10" width="1.33203125" customWidth="1"/>
    <col min="11" max="11" width="11.44140625" customWidth="1"/>
    <col min="12" max="12" width="1.77734375" customWidth="1"/>
    <col min="14" max="14" width="1.88671875" customWidth="1"/>
    <col min="16" max="16" width="1.21875" customWidth="1"/>
    <col min="17" max="17" width="11" customWidth="1"/>
    <col min="18" max="18" width="1.44140625" customWidth="1"/>
    <col min="19" max="19" width="12.33203125" customWidth="1"/>
    <col min="20" max="20" width="5.21875" customWidth="1"/>
    <col min="22" max="22" width="1.33203125" customWidth="1"/>
    <col min="28" max="28" width="2.88671875" customWidth="1"/>
    <col min="30" max="30" width="2.5546875" customWidth="1"/>
    <col min="31" max="31" width="15.5546875" bestFit="1" customWidth="1"/>
    <col min="32" max="32" width="1.33203125" customWidth="1"/>
    <col min="33" max="33" width="12" bestFit="1" customWidth="1"/>
    <col min="34" max="34" width="2.88671875" customWidth="1"/>
    <col min="36" max="36" width="1.5546875" customWidth="1"/>
  </cols>
  <sheetData>
    <row r="1" spans="1:23" ht="15">
      <c r="W1" s="423"/>
    </row>
    <row r="4" spans="1:23" ht="15">
      <c r="A4" s="631" t="s">
        <v>198</v>
      </c>
      <c r="B4" s="631"/>
      <c r="C4" s="631"/>
      <c r="D4" s="631"/>
      <c r="E4" s="631"/>
      <c r="F4" s="631"/>
      <c r="G4" s="631"/>
      <c r="H4" s="631"/>
      <c r="I4" s="631"/>
      <c r="J4" s="631"/>
      <c r="K4" s="631"/>
    </row>
    <row r="5" spans="1:23">
      <c r="A5" s="227"/>
      <c r="B5" s="227"/>
      <c r="C5" s="227"/>
      <c r="D5" s="227"/>
      <c r="E5" s="227"/>
      <c r="F5" s="227"/>
      <c r="G5" s="227"/>
      <c r="H5" s="227"/>
      <c r="I5" s="227"/>
      <c r="J5" s="227"/>
      <c r="K5" s="227"/>
    </row>
    <row r="6" spans="1:23" ht="15">
      <c r="A6" s="631" t="s">
        <v>546</v>
      </c>
      <c r="B6" s="631"/>
      <c r="C6" s="631"/>
      <c r="D6" s="631"/>
      <c r="E6" s="631"/>
      <c r="F6" s="631"/>
      <c r="G6" s="631"/>
      <c r="H6" s="631"/>
      <c r="I6" s="631"/>
      <c r="J6" s="631"/>
      <c r="K6" s="631"/>
    </row>
    <row r="7" spans="1:23">
      <c r="A7" s="227"/>
      <c r="B7" s="227"/>
      <c r="C7" s="227"/>
      <c r="D7" s="227"/>
      <c r="E7" s="227"/>
      <c r="F7" s="227"/>
      <c r="G7" s="227"/>
      <c r="H7" s="227"/>
      <c r="I7" s="227"/>
      <c r="J7" s="227"/>
      <c r="K7" s="227"/>
    </row>
    <row r="8" spans="1:23">
      <c r="A8" s="227"/>
      <c r="B8" s="227"/>
      <c r="C8" s="227"/>
      <c r="D8" s="227"/>
      <c r="E8" s="227"/>
      <c r="F8" s="227"/>
      <c r="G8" s="227"/>
      <c r="H8" s="227"/>
      <c r="I8" s="227"/>
      <c r="J8" s="227"/>
      <c r="K8" s="227"/>
    </row>
    <row r="9" spans="1:23" ht="15">
      <c r="A9" s="226"/>
      <c r="B9" s="226"/>
      <c r="D9" s="226"/>
      <c r="E9" s="226"/>
      <c r="F9" s="226"/>
      <c r="G9" s="226"/>
      <c r="H9" s="226"/>
      <c r="I9" s="226"/>
      <c r="J9" s="226"/>
      <c r="K9" s="226"/>
    </row>
    <row r="10" spans="1:23" ht="15">
      <c r="A10" s="226"/>
      <c r="B10" s="226"/>
      <c r="C10" s="225" t="s">
        <v>146</v>
      </c>
      <c r="D10" s="226"/>
      <c r="E10" s="225" t="s">
        <v>547</v>
      </c>
      <c r="F10" s="226"/>
      <c r="G10" s="226"/>
      <c r="H10" s="226"/>
      <c r="I10" s="226"/>
      <c r="J10" s="226"/>
      <c r="K10" s="225" t="s">
        <v>548</v>
      </c>
    </row>
    <row r="11" spans="1:23" ht="15">
      <c r="A11" s="229" t="s">
        <v>549</v>
      </c>
      <c r="B11" s="226"/>
      <c r="C11" s="513" t="s">
        <v>342</v>
      </c>
      <c r="D11" s="226"/>
      <c r="E11" s="229" t="s">
        <v>550</v>
      </c>
      <c r="F11" s="226"/>
      <c r="G11" s="635" t="s">
        <v>413</v>
      </c>
      <c r="H11" s="635"/>
      <c r="I11" s="635"/>
      <c r="J11" s="226"/>
      <c r="K11" s="229" t="s">
        <v>551</v>
      </c>
    </row>
    <row r="12" spans="1:23" ht="15">
      <c r="A12" s="230" t="s">
        <v>209</v>
      </c>
      <c r="B12" s="231"/>
      <c r="C12" s="230" t="s">
        <v>229</v>
      </c>
      <c r="D12" s="231"/>
      <c r="E12" s="230" t="s">
        <v>211</v>
      </c>
      <c r="F12" s="226"/>
      <c r="G12" s="636" t="s">
        <v>231</v>
      </c>
      <c r="H12" s="636"/>
      <c r="I12" s="636"/>
      <c r="J12" s="226"/>
      <c r="K12" s="230" t="s">
        <v>243</v>
      </c>
    </row>
    <row r="13" spans="1:23" ht="15">
      <c r="A13" s="226"/>
      <c r="B13" s="226"/>
      <c r="C13" s="226"/>
      <c r="D13" s="226"/>
      <c r="E13" s="226"/>
      <c r="F13" s="226"/>
      <c r="G13" s="226"/>
      <c r="H13" s="226"/>
      <c r="I13" s="226"/>
      <c r="J13" s="226"/>
      <c r="K13" s="226"/>
    </row>
    <row r="14" spans="1:23" ht="15">
      <c r="A14" s="226" t="s">
        <v>400</v>
      </c>
      <c r="B14" s="226"/>
      <c r="C14" s="232">
        <f ca="1">+'COS 1'!$AO$275</f>
        <v>11409534.952560306</v>
      </c>
      <c r="D14" s="226"/>
      <c r="E14" s="226">
        <f>+('Meters &amp; Services'!$AF$29-'Meters &amp; Services'!$AB$29)</f>
        <v>135942</v>
      </c>
      <c r="F14" s="226"/>
      <c r="G14" s="405" t="s">
        <v>552</v>
      </c>
      <c r="H14" s="424"/>
      <c r="I14" s="226"/>
      <c r="J14" s="226"/>
      <c r="K14" s="425">
        <f ca="1">ROUND(+C14/E14/12,2)</f>
        <v>6.99</v>
      </c>
      <c r="O14" s="145"/>
    </row>
    <row r="15" spans="1:23" ht="15">
      <c r="A15" s="226"/>
      <c r="B15" s="226"/>
      <c r="C15" s="226"/>
      <c r="D15" s="226"/>
      <c r="E15" s="226"/>
      <c r="F15" s="226"/>
      <c r="G15" s="405"/>
      <c r="H15" s="424"/>
      <c r="I15" s="226"/>
      <c r="J15" s="226"/>
      <c r="K15" s="425"/>
    </row>
    <row r="16" spans="1:23" ht="15">
      <c r="A16" s="226" t="s">
        <v>346</v>
      </c>
      <c r="B16" s="226"/>
      <c r="C16" s="231">
        <f ca="1">+'COS 1'!$AQ$275</f>
        <v>3279613.107838707</v>
      </c>
      <c r="D16" s="226"/>
      <c r="E16" s="226">
        <f>+('Meters &amp; Services'!$AF$61-'Meters &amp; Services'!$AB$61)</f>
        <v>131800</v>
      </c>
      <c r="F16" s="226"/>
      <c r="G16" s="405" t="s">
        <v>553</v>
      </c>
      <c r="H16" s="424"/>
      <c r="I16" s="226"/>
      <c r="J16" s="226"/>
      <c r="K16" s="426">
        <f ca="1">ROUND(+C16/E16/12,2)</f>
        <v>2.0699999999999998</v>
      </c>
      <c r="O16" s="145"/>
    </row>
    <row r="17" spans="1:41" ht="15">
      <c r="A17" s="226"/>
      <c r="B17" s="226"/>
      <c r="C17" s="231"/>
      <c r="D17" s="226"/>
      <c r="E17" s="226"/>
      <c r="F17" s="226"/>
      <c r="G17" s="226"/>
      <c r="H17" s="424"/>
      <c r="I17" s="226"/>
      <c r="J17" s="226"/>
      <c r="K17" s="426"/>
    </row>
    <row r="18" spans="1:41" ht="15">
      <c r="A18" s="226" t="s">
        <v>554</v>
      </c>
      <c r="B18" s="226"/>
      <c r="C18" s="234">
        <f ca="1">+'COS 1'!AS275+'COS 1'!AU275</f>
        <v>8469338.4821477551</v>
      </c>
      <c r="D18" s="226"/>
      <c r="E18" s="226">
        <f>+SUM('F13-14'!$D$15:$D$19)</f>
        <v>121732</v>
      </c>
      <c r="F18" s="226"/>
      <c r="G18" s="226" t="s">
        <v>555</v>
      </c>
      <c r="H18" s="424"/>
      <c r="I18" s="226"/>
      <c r="J18" s="226"/>
      <c r="K18" s="428">
        <f ca="1">ROUND(+C18/E18/12,2)</f>
        <v>5.8</v>
      </c>
      <c r="O18" s="145"/>
    </row>
    <row r="19" spans="1:41" ht="15">
      <c r="A19" s="226"/>
      <c r="B19" s="226"/>
      <c r="C19" s="427"/>
      <c r="D19" s="226"/>
      <c r="E19" s="236"/>
      <c r="F19" s="226"/>
      <c r="G19" s="226"/>
      <c r="H19" s="424"/>
      <c r="I19" s="226"/>
      <c r="J19" s="226"/>
      <c r="K19" s="426"/>
      <c r="O19" s="145"/>
    </row>
    <row r="20" spans="1:41" ht="15">
      <c r="A20" s="226"/>
      <c r="B20" s="226"/>
      <c r="C20" s="226"/>
      <c r="D20" s="226"/>
      <c r="E20" s="226"/>
      <c r="F20" s="226"/>
      <c r="G20" s="226"/>
      <c r="H20" s="226"/>
      <c r="I20" s="226"/>
      <c r="J20" s="226"/>
      <c r="K20" s="226"/>
      <c r="M20" s="146"/>
      <c r="N20" s="146"/>
      <c r="O20" s="387"/>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row>
    <row r="21" spans="1:41" ht="15.75" thickBot="1">
      <c r="A21" s="226" t="s">
        <v>556</v>
      </c>
      <c r="B21" s="226"/>
      <c r="C21" s="238">
        <f ca="1">SUM(C14:C19)</f>
        <v>23158486.542546768</v>
      </c>
      <c r="D21" s="226"/>
      <c r="E21" s="226"/>
      <c r="F21" s="226"/>
      <c r="G21" s="226"/>
      <c r="H21" s="226"/>
      <c r="I21" s="226"/>
      <c r="J21" s="226"/>
      <c r="K21" s="429">
        <f ca="1">SUM(K14:K19)</f>
        <v>14.86</v>
      </c>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row>
    <row r="22" spans="1:41" ht="15.75" thickTop="1">
      <c r="A22" s="226"/>
      <c r="B22" s="226"/>
      <c r="C22" s="227"/>
      <c r="D22" s="227"/>
      <c r="E22" s="227"/>
      <c r="F22" s="227"/>
      <c r="G22" s="227"/>
      <c r="H22" s="227"/>
      <c r="I22" s="227"/>
      <c r="J22" s="226"/>
      <c r="K22" s="22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row>
    <row r="23" spans="1:41" ht="15">
      <c r="A23" s="226"/>
      <c r="B23" s="226"/>
      <c r="C23" s="227"/>
      <c r="D23" s="227"/>
      <c r="E23" s="227"/>
      <c r="F23" s="227"/>
      <c r="G23" s="227"/>
      <c r="H23" s="227"/>
      <c r="I23" s="227"/>
      <c r="J23" s="226"/>
      <c r="K23" s="22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row>
    <row r="24" spans="1:41" ht="15">
      <c r="A24" s="226"/>
      <c r="B24" s="226"/>
      <c r="C24" s="227"/>
      <c r="D24" s="227"/>
      <c r="E24" s="227"/>
      <c r="F24" s="227"/>
      <c r="G24" s="227"/>
      <c r="H24" s="227"/>
      <c r="I24" s="227"/>
      <c r="J24" s="226"/>
      <c r="K24" s="22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row>
    <row r="25" spans="1:41" ht="15">
      <c r="B25" s="227"/>
      <c r="E25" s="430"/>
      <c r="I25" s="219"/>
      <c r="M25" s="146"/>
      <c r="N25" s="146"/>
      <c r="O25" s="146"/>
      <c r="P25" s="146"/>
      <c r="Q25" s="571"/>
      <c r="R25" s="571"/>
      <c r="S25" s="571"/>
      <c r="T25" s="571"/>
      <c r="U25" s="571"/>
      <c r="V25" s="571"/>
      <c r="W25" s="571"/>
      <c r="X25" s="572"/>
      <c r="Y25" s="572"/>
      <c r="Z25" s="146"/>
      <c r="AA25" s="146"/>
      <c r="AB25" s="146"/>
      <c r="AC25" s="573"/>
      <c r="AD25" s="146"/>
      <c r="AE25" s="574"/>
      <c r="AF25" s="574"/>
      <c r="AG25" s="573"/>
      <c r="AH25" s="569"/>
      <c r="AI25" s="146"/>
      <c r="AJ25" s="146"/>
      <c r="AK25" s="573"/>
      <c r="AL25" s="573"/>
      <c r="AM25" s="146"/>
      <c r="AN25" s="146"/>
    </row>
    <row r="26" spans="1:41" ht="15">
      <c r="A26" s="226"/>
      <c r="B26" s="226"/>
      <c r="E26" s="225" t="s">
        <v>557</v>
      </c>
      <c r="I26" s="249" t="s">
        <v>535</v>
      </c>
      <c r="J26" s="249"/>
      <c r="K26" s="249" t="s">
        <v>536</v>
      </c>
      <c r="M26" s="146"/>
      <c r="N26" s="146"/>
      <c r="O26" s="146"/>
      <c r="P26" s="146"/>
      <c r="Q26" s="634"/>
      <c r="R26" s="634"/>
      <c r="S26" s="634"/>
      <c r="T26" s="574"/>
      <c r="U26" s="634"/>
      <c r="V26" s="634"/>
      <c r="W26" s="634"/>
      <c r="X26" s="574"/>
      <c r="Y26" s="569"/>
      <c r="Z26" s="573"/>
      <c r="AA26" s="573"/>
      <c r="AB26" s="573"/>
      <c r="AC26" s="573"/>
      <c r="AD26" s="573"/>
      <c r="AE26" s="573"/>
      <c r="AF26" s="574"/>
      <c r="AG26" s="573"/>
      <c r="AH26" s="569"/>
      <c r="AI26" s="569"/>
      <c r="AJ26" s="569"/>
      <c r="AK26" s="569"/>
      <c r="AL26" s="569"/>
      <c r="AM26" s="146"/>
      <c r="AN26" s="146"/>
    </row>
    <row r="27" spans="1:41" ht="15">
      <c r="A27" s="229" t="s">
        <v>558</v>
      </c>
      <c r="B27" s="227"/>
      <c r="E27" s="229" t="s">
        <v>246</v>
      </c>
      <c r="I27" s="229" t="s">
        <v>537</v>
      </c>
      <c r="J27" s="249"/>
      <c r="K27" s="229" t="s">
        <v>537</v>
      </c>
      <c r="M27" s="146"/>
      <c r="N27" s="146"/>
      <c r="O27" s="146"/>
      <c r="P27" s="146"/>
      <c r="Q27" s="569"/>
      <c r="R27" s="569"/>
      <c r="S27" s="569"/>
      <c r="T27" s="574"/>
      <c r="U27" s="569"/>
      <c r="V27" s="569"/>
      <c r="W27" s="569"/>
      <c r="X27" s="574"/>
      <c r="Y27" s="569"/>
      <c r="Z27" s="573"/>
      <c r="AA27" s="569"/>
      <c r="AB27" s="573"/>
      <c r="AC27" s="569"/>
      <c r="AD27" s="573"/>
      <c r="AE27" s="575"/>
      <c r="AF27" s="574"/>
      <c r="AG27" s="569"/>
      <c r="AH27" s="571"/>
      <c r="AI27" s="569"/>
      <c r="AJ27" s="569"/>
      <c r="AK27" s="569"/>
      <c r="AL27" s="569"/>
      <c r="AM27" s="146"/>
      <c r="AN27" s="146"/>
    </row>
    <row r="28" spans="1:41" ht="15">
      <c r="A28" s="431">
        <v>-1</v>
      </c>
      <c r="B28" s="432"/>
      <c r="E28" s="227"/>
      <c r="I28" s="300"/>
      <c r="J28" s="38"/>
      <c r="K28" s="38"/>
      <c r="L28" s="38"/>
      <c r="M28" s="338"/>
      <c r="N28" s="146"/>
      <c r="O28" s="146"/>
      <c r="P28" s="146"/>
      <c r="Q28" s="431"/>
      <c r="R28" s="431"/>
      <c r="S28" s="576"/>
      <c r="T28" s="431"/>
      <c r="U28" s="576"/>
      <c r="V28" s="577"/>
      <c r="W28" s="577"/>
      <c r="X28" s="577"/>
      <c r="Y28" s="577"/>
      <c r="Z28" s="577"/>
      <c r="AA28" s="577"/>
      <c r="AB28" s="577"/>
      <c r="AC28" s="577"/>
      <c r="AD28" s="577"/>
      <c r="AE28" s="578"/>
      <c r="AF28" s="577"/>
      <c r="AG28" s="579"/>
      <c r="AH28" s="571"/>
      <c r="AI28" s="571"/>
      <c r="AJ28" s="571"/>
      <c r="AK28" s="571"/>
      <c r="AL28" s="571"/>
      <c r="AM28" s="146"/>
      <c r="AN28" s="146"/>
    </row>
    <row r="29" spans="1:41" ht="15">
      <c r="A29" s="227"/>
      <c r="B29" s="227"/>
      <c r="E29" s="227"/>
      <c r="I29" s="38"/>
      <c r="J29" s="38"/>
      <c r="K29" s="38"/>
      <c r="L29" s="38"/>
      <c r="M29" s="338"/>
      <c r="N29" s="146"/>
      <c r="O29" s="146"/>
      <c r="P29" s="146"/>
      <c r="Q29" s="580"/>
      <c r="R29" s="571"/>
      <c r="S29" s="574"/>
      <c r="T29" s="574"/>
      <c r="U29" s="574"/>
      <c r="V29" s="574"/>
      <c r="W29" s="574"/>
      <c r="X29" s="574"/>
      <c r="Y29" s="572"/>
      <c r="Z29" s="574"/>
      <c r="AA29" s="572"/>
      <c r="AB29" s="574"/>
      <c r="AC29" s="574"/>
      <c r="AD29" s="574"/>
      <c r="AE29" s="146"/>
      <c r="AF29" s="146"/>
      <c r="AG29" s="146"/>
      <c r="AH29" s="572"/>
      <c r="AI29" s="571"/>
      <c r="AJ29" s="571"/>
      <c r="AK29" s="571"/>
      <c r="AL29" s="571"/>
      <c r="AM29" s="146"/>
      <c r="AN29" s="146"/>
    </row>
    <row r="30" spans="1:41" ht="15">
      <c r="A30" s="433" t="s">
        <v>559</v>
      </c>
      <c r="B30" s="227"/>
      <c r="E30" s="434">
        <v>1</v>
      </c>
      <c r="I30" s="415">
        <v>8.9</v>
      </c>
      <c r="J30" s="415"/>
      <c r="K30" s="524">
        <v>14</v>
      </c>
      <c r="L30" s="38"/>
      <c r="M30" s="581"/>
      <c r="N30" s="146"/>
      <c r="O30" s="146"/>
      <c r="P30" s="146"/>
      <c r="Q30" s="582"/>
      <c r="R30" s="583"/>
      <c r="S30" s="584"/>
      <c r="T30" s="584"/>
      <c r="U30" s="585"/>
      <c r="V30" s="584"/>
      <c r="W30" s="584"/>
      <c r="X30" s="584"/>
      <c r="Y30" s="583"/>
      <c r="Z30" s="584"/>
      <c r="AA30" s="584"/>
      <c r="AB30" s="584"/>
      <c r="AC30" s="584"/>
      <c r="AD30" s="586"/>
      <c r="AE30" s="587"/>
      <c r="AF30" s="146"/>
      <c r="AG30" s="588"/>
      <c r="AH30" s="572"/>
      <c r="AI30" s="589"/>
      <c r="AJ30" s="572"/>
      <c r="AK30" s="583"/>
      <c r="AL30" s="583"/>
      <c r="AM30" s="146"/>
      <c r="AN30" s="590"/>
      <c r="AO30" s="435"/>
    </row>
    <row r="31" spans="1:41" ht="15">
      <c r="A31" s="433"/>
      <c r="B31" s="227"/>
      <c r="E31" s="226"/>
      <c r="I31" s="411"/>
      <c r="J31" s="411"/>
      <c r="K31" s="411"/>
      <c r="L31" s="38"/>
      <c r="M31" s="581"/>
      <c r="N31" s="146"/>
      <c r="O31" s="146"/>
      <c r="P31" s="146"/>
      <c r="Q31" s="580"/>
      <c r="R31" s="591"/>
      <c r="S31" s="586"/>
      <c r="T31" s="586"/>
      <c r="U31" s="592"/>
      <c r="V31" s="586"/>
      <c r="W31" s="586"/>
      <c r="X31" s="586"/>
      <c r="Y31" s="591"/>
      <c r="Z31" s="586"/>
      <c r="AA31" s="586"/>
      <c r="AB31" s="586"/>
      <c r="AC31" s="586"/>
      <c r="AD31" s="586"/>
      <c r="AE31" s="146"/>
      <c r="AF31" s="146"/>
      <c r="AG31" s="593"/>
      <c r="AH31" s="572"/>
      <c r="AI31" s="572"/>
      <c r="AJ31" s="572"/>
      <c r="AK31" s="572"/>
      <c r="AL31" s="572"/>
      <c r="AM31" s="146"/>
      <c r="AN31" s="590"/>
      <c r="AO31" s="435"/>
    </row>
    <row r="32" spans="1:41" ht="15">
      <c r="A32" s="433" t="s">
        <v>560</v>
      </c>
      <c r="B32" s="227"/>
      <c r="E32" s="436">
        <v>1.5</v>
      </c>
      <c r="I32" s="411">
        <v>13.35</v>
      </c>
      <c r="J32" s="411"/>
      <c r="K32" s="411">
        <v>21</v>
      </c>
      <c r="L32" s="38"/>
      <c r="M32" s="581"/>
      <c r="N32" s="146"/>
      <c r="O32" s="594"/>
      <c r="P32" s="146"/>
      <c r="Q32" s="582"/>
      <c r="R32" s="591"/>
      <c r="S32" s="586"/>
      <c r="T32" s="586"/>
      <c r="U32" s="592"/>
      <c r="V32" s="586"/>
      <c r="W32" s="586"/>
      <c r="X32" s="586"/>
      <c r="Y32" s="591"/>
      <c r="Z32" s="586"/>
      <c r="AA32" s="586"/>
      <c r="AB32" s="586"/>
      <c r="AC32" s="586"/>
      <c r="AD32" s="586"/>
      <c r="AE32" s="587"/>
      <c r="AF32" s="146"/>
      <c r="AG32" s="593"/>
      <c r="AH32" s="572"/>
      <c r="AI32" s="595"/>
      <c r="AJ32" s="572"/>
      <c r="AK32" s="596"/>
      <c r="AL32" s="597"/>
      <c r="AM32" s="146"/>
      <c r="AN32" s="146"/>
      <c r="AO32" s="435"/>
    </row>
    <row r="33" spans="1:41" ht="15">
      <c r="A33" s="433"/>
      <c r="B33" s="227"/>
      <c r="E33" s="436"/>
      <c r="I33" s="411"/>
      <c r="J33" s="411"/>
      <c r="K33" s="411"/>
      <c r="L33" s="38"/>
      <c r="M33" s="581"/>
      <c r="N33" s="146"/>
      <c r="O33" s="146"/>
      <c r="P33" s="146"/>
      <c r="Q33" s="580"/>
      <c r="R33" s="591"/>
      <c r="S33" s="586"/>
      <c r="T33" s="586"/>
      <c r="U33" s="592"/>
      <c r="V33" s="586"/>
      <c r="W33" s="586"/>
      <c r="X33" s="586"/>
      <c r="Y33" s="591"/>
      <c r="Z33" s="586"/>
      <c r="AA33" s="586"/>
      <c r="AB33" s="586"/>
      <c r="AC33" s="586"/>
      <c r="AD33" s="586"/>
      <c r="AE33" s="146"/>
      <c r="AF33" s="146"/>
      <c r="AG33" s="593"/>
      <c r="AH33" s="572"/>
      <c r="AI33" s="595"/>
      <c r="AJ33" s="572"/>
      <c r="AK33" s="596"/>
      <c r="AL33" s="572"/>
      <c r="AM33" s="146"/>
      <c r="AN33" s="146"/>
      <c r="AO33" s="435"/>
    </row>
    <row r="34" spans="1:41" ht="15">
      <c r="A34" s="433" t="s">
        <v>561</v>
      </c>
      <c r="B34" s="227"/>
      <c r="E34" s="436">
        <v>2.5</v>
      </c>
      <c r="I34" s="411">
        <v>22.25</v>
      </c>
      <c r="J34" s="411"/>
      <c r="K34" s="411">
        <v>35</v>
      </c>
      <c r="L34" s="38"/>
      <c r="M34" s="581"/>
      <c r="N34" s="146"/>
      <c r="O34" s="594"/>
      <c r="P34" s="146"/>
      <c r="Q34" s="582"/>
      <c r="R34" s="591"/>
      <c r="S34" s="586"/>
      <c r="T34" s="586"/>
      <c r="U34" s="592"/>
      <c r="V34" s="586"/>
      <c r="W34" s="586"/>
      <c r="X34" s="586"/>
      <c r="Y34" s="591"/>
      <c r="Z34" s="586"/>
      <c r="AA34" s="586"/>
      <c r="AB34" s="586"/>
      <c r="AC34" s="586"/>
      <c r="AD34" s="586"/>
      <c r="AE34" s="587"/>
      <c r="AF34" s="146"/>
      <c r="AG34" s="593"/>
      <c r="AH34" s="572"/>
      <c r="AI34" s="595"/>
      <c r="AJ34" s="572"/>
      <c r="AK34" s="596"/>
      <c r="AL34" s="597"/>
      <c r="AM34" s="146"/>
      <c r="AN34" s="590"/>
      <c r="AO34" s="435"/>
    </row>
    <row r="35" spans="1:41" ht="15">
      <c r="A35" s="433"/>
      <c r="B35" s="227"/>
      <c r="E35" s="436"/>
      <c r="I35" s="411"/>
      <c r="J35" s="411"/>
      <c r="K35" s="411"/>
      <c r="L35" s="38"/>
      <c r="M35" s="581"/>
      <c r="N35" s="146"/>
      <c r="O35" s="146"/>
      <c r="P35" s="146"/>
      <c r="Q35" s="580"/>
      <c r="R35" s="591"/>
      <c r="S35" s="586"/>
      <c r="T35" s="586"/>
      <c r="U35" s="592"/>
      <c r="V35" s="586"/>
      <c r="W35" s="586"/>
      <c r="X35" s="586"/>
      <c r="Y35" s="591"/>
      <c r="Z35" s="586"/>
      <c r="AA35" s="586"/>
      <c r="AB35" s="586"/>
      <c r="AC35" s="586"/>
      <c r="AD35" s="586"/>
      <c r="AE35" s="146"/>
      <c r="AF35" s="146"/>
      <c r="AG35" s="593"/>
      <c r="AH35" s="572"/>
      <c r="AI35" s="595"/>
      <c r="AJ35" s="572"/>
      <c r="AK35" s="596"/>
      <c r="AL35" s="572"/>
      <c r="AM35" s="146"/>
      <c r="AN35" s="598"/>
      <c r="AO35" s="435"/>
    </row>
    <row r="36" spans="1:41" ht="15">
      <c r="A36" s="433" t="s">
        <v>562</v>
      </c>
      <c r="B36" s="227"/>
      <c r="E36" s="436">
        <v>5</v>
      </c>
      <c r="I36" s="411">
        <v>44.5</v>
      </c>
      <c r="J36" s="411"/>
      <c r="K36" s="411">
        <v>70</v>
      </c>
      <c r="L36" s="38"/>
      <c r="M36" s="581"/>
      <c r="N36" s="146"/>
      <c r="O36" s="594"/>
      <c r="P36" s="146"/>
      <c r="Q36" s="582"/>
      <c r="R36" s="591"/>
      <c r="S36" s="586"/>
      <c r="T36" s="586"/>
      <c r="U36" s="592"/>
      <c r="V36" s="586"/>
      <c r="W36" s="586"/>
      <c r="X36" s="586"/>
      <c r="Y36" s="591"/>
      <c r="Z36" s="586"/>
      <c r="AA36" s="586"/>
      <c r="AB36" s="586"/>
      <c r="AC36" s="586"/>
      <c r="AD36" s="586"/>
      <c r="AE36" s="587"/>
      <c r="AF36" s="146"/>
      <c r="AG36" s="593"/>
      <c r="AH36" s="572"/>
      <c r="AI36" s="595"/>
      <c r="AJ36" s="572"/>
      <c r="AK36" s="596"/>
      <c r="AL36" s="597"/>
      <c r="AM36" s="146"/>
      <c r="AN36" s="590"/>
      <c r="AO36" s="435"/>
    </row>
    <row r="37" spans="1:41" ht="15">
      <c r="A37" s="433"/>
      <c r="B37" s="227"/>
      <c r="E37" s="436"/>
      <c r="I37" s="411"/>
      <c r="J37" s="411"/>
      <c r="K37" s="411"/>
      <c r="L37" s="38"/>
      <c r="M37" s="581"/>
      <c r="N37" s="146"/>
      <c r="O37" s="146"/>
      <c r="P37" s="146"/>
      <c r="Q37" s="580"/>
      <c r="R37" s="591"/>
      <c r="S37" s="586"/>
      <c r="T37" s="586"/>
      <c r="U37" s="592"/>
      <c r="V37" s="586"/>
      <c r="W37" s="586"/>
      <c r="X37" s="586"/>
      <c r="Y37" s="591"/>
      <c r="Z37" s="586"/>
      <c r="AA37" s="586"/>
      <c r="AB37" s="586"/>
      <c r="AC37" s="586"/>
      <c r="AD37" s="586"/>
      <c r="AE37" s="146"/>
      <c r="AF37" s="146"/>
      <c r="AG37" s="593"/>
      <c r="AH37" s="572"/>
      <c r="AI37" s="595"/>
      <c r="AJ37" s="572"/>
      <c r="AK37" s="596"/>
      <c r="AL37" s="572"/>
      <c r="AM37" s="146"/>
      <c r="AN37" s="598"/>
      <c r="AO37" s="435"/>
    </row>
    <row r="38" spans="1:41" ht="15">
      <c r="A38" s="433" t="s">
        <v>563</v>
      </c>
      <c r="B38" s="227"/>
      <c r="E38" s="436">
        <v>8</v>
      </c>
      <c r="I38" s="411">
        <v>71.2</v>
      </c>
      <c r="J38" s="411"/>
      <c r="K38" s="411">
        <v>112</v>
      </c>
      <c r="L38" s="38"/>
      <c r="M38" s="581"/>
      <c r="N38" s="146"/>
      <c r="O38" s="594"/>
      <c r="P38" s="146"/>
      <c r="Q38" s="582"/>
      <c r="R38" s="591"/>
      <c r="S38" s="586"/>
      <c r="T38" s="586"/>
      <c r="U38" s="592"/>
      <c r="V38" s="586"/>
      <c r="W38" s="586"/>
      <c r="X38" s="586"/>
      <c r="Y38" s="591"/>
      <c r="Z38" s="586"/>
      <c r="AA38" s="586"/>
      <c r="AB38" s="586"/>
      <c r="AC38" s="586"/>
      <c r="AD38" s="586"/>
      <c r="AE38" s="587"/>
      <c r="AF38" s="146"/>
      <c r="AG38" s="593"/>
      <c r="AH38" s="572"/>
      <c r="AI38" s="595"/>
      <c r="AJ38" s="572"/>
      <c r="AK38" s="596"/>
      <c r="AL38" s="597"/>
      <c r="AM38" s="146"/>
      <c r="AN38" s="590"/>
      <c r="AO38" s="435"/>
    </row>
    <row r="39" spans="1:41" ht="15">
      <c r="A39" s="433"/>
      <c r="B39" s="227"/>
      <c r="E39" s="436"/>
      <c r="I39" s="411"/>
      <c r="J39" s="411"/>
      <c r="K39" s="411"/>
      <c r="L39" s="38"/>
      <c r="M39" s="581"/>
      <c r="N39" s="146"/>
      <c r="O39" s="146"/>
      <c r="P39" s="146"/>
      <c r="Q39" s="580"/>
      <c r="R39" s="591"/>
      <c r="S39" s="586"/>
      <c r="T39" s="586"/>
      <c r="U39" s="592"/>
      <c r="V39" s="586"/>
      <c r="W39" s="586"/>
      <c r="X39" s="586"/>
      <c r="Y39" s="591"/>
      <c r="Z39" s="586"/>
      <c r="AA39" s="586"/>
      <c r="AB39" s="586"/>
      <c r="AC39" s="586"/>
      <c r="AD39" s="586"/>
      <c r="AE39" s="146"/>
      <c r="AF39" s="146"/>
      <c r="AG39" s="593"/>
      <c r="AH39" s="572"/>
      <c r="AI39" s="595"/>
      <c r="AJ39" s="572"/>
      <c r="AK39" s="596"/>
      <c r="AL39" s="572"/>
      <c r="AM39" s="146"/>
      <c r="AN39" s="598"/>
      <c r="AO39" s="435"/>
    </row>
    <row r="40" spans="1:41" ht="15">
      <c r="A40" s="433" t="s">
        <v>564</v>
      </c>
      <c r="B40" s="227"/>
      <c r="E40" s="436">
        <v>15</v>
      </c>
      <c r="I40" s="411">
        <v>133.5</v>
      </c>
      <c r="J40" s="411"/>
      <c r="K40" s="411">
        <v>210</v>
      </c>
      <c r="L40" s="38"/>
      <c r="M40" s="581"/>
      <c r="N40" s="146"/>
      <c r="O40" s="594"/>
      <c r="P40" s="146"/>
      <c r="Q40" s="582"/>
      <c r="R40" s="591"/>
      <c r="S40" s="586"/>
      <c r="T40" s="586"/>
      <c r="U40" s="592"/>
      <c r="V40" s="586"/>
      <c r="W40" s="586"/>
      <c r="X40" s="586"/>
      <c r="Y40" s="591"/>
      <c r="Z40" s="586"/>
      <c r="AA40" s="586"/>
      <c r="AB40" s="586"/>
      <c r="AC40" s="586"/>
      <c r="AD40" s="586"/>
      <c r="AE40" s="587"/>
      <c r="AF40" s="146"/>
      <c r="AG40" s="593"/>
      <c r="AH40" s="572"/>
      <c r="AI40" s="595"/>
      <c r="AJ40" s="572"/>
      <c r="AK40" s="596"/>
      <c r="AL40" s="597"/>
      <c r="AM40" s="146"/>
      <c r="AN40" s="590"/>
      <c r="AO40" s="435"/>
    </row>
    <row r="41" spans="1:41" ht="15">
      <c r="A41" s="433"/>
      <c r="B41" s="227"/>
      <c r="E41" s="436"/>
      <c r="I41" s="411"/>
      <c r="J41" s="411"/>
      <c r="K41" s="411"/>
      <c r="L41" s="38"/>
      <c r="M41" s="581"/>
      <c r="N41" s="146"/>
      <c r="O41" s="146"/>
      <c r="P41" s="146"/>
      <c r="Q41" s="580"/>
      <c r="R41" s="591"/>
      <c r="S41" s="586"/>
      <c r="T41" s="586"/>
      <c r="U41" s="592"/>
      <c r="V41" s="586"/>
      <c r="W41" s="586"/>
      <c r="X41" s="586"/>
      <c r="Y41" s="591"/>
      <c r="Z41" s="586"/>
      <c r="AA41" s="586"/>
      <c r="AB41" s="586"/>
      <c r="AC41" s="586"/>
      <c r="AD41" s="586"/>
      <c r="AE41" s="146"/>
      <c r="AF41" s="146"/>
      <c r="AG41" s="593"/>
      <c r="AH41" s="572"/>
      <c r="AI41" s="595"/>
      <c r="AJ41" s="572"/>
      <c r="AK41" s="596"/>
      <c r="AL41" s="572"/>
      <c r="AM41" s="146"/>
      <c r="AN41" s="598"/>
      <c r="AO41" s="435"/>
    </row>
    <row r="42" spans="1:41" ht="15">
      <c r="A42" s="433" t="s">
        <v>565</v>
      </c>
      <c r="B42" s="227"/>
      <c r="E42" s="436">
        <v>25</v>
      </c>
      <c r="I42" s="411">
        <v>222.5</v>
      </c>
      <c r="J42" s="411"/>
      <c r="K42" s="411">
        <v>350</v>
      </c>
      <c r="L42" s="38"/>
      <c r="M42" s="581"/>
      <c r="N42" s="146"/>
      <c r="O42" s="594"/>
      <c r="P42" s="146"/>
      <c r="Q42" s="582"/>
      <c r="R42" s="591"/>
      <c r="S42" s="586"/>
      <c r="T42" s="586"/>
      <c r="U42" s="592"/>
      <c r="V42" s="586"/>
      <c r="W42" s="586"/>
      <c r="X42" s="586"/>
      <c r="Y42" s="591"/>
      <c r="Z42" s="586"/>
      <c r="AA42" s="586"/>
      <c r="AB42" s="586"/>
      <c r="AC42" s="586"/>
      <c r="AD42" s="586"/>
      <c r="AE42" s="587"/>
      <c r="AF42" s="146"/>
      <c r="AG42" s="593"/>
      <c r="AH42" s="572"/>
      <c r="AI42" s="595"/>
      <c r="AJ42" s="572"/>
      <c r="AK42" s="596"/>
      <c r="AL42" s="597"/>
      <c r="AM42" s="146"/>
      <c r="AN42" s="590"/>
      <c r="AO42" s="435"/>
    </row>
    <row r="43" spans="1:41" ht="15">
      <c r="A43" s="433"/>
      <c r="B43" s="227"/>
      <c r="E43" s="436"/>
      <c r="I43" s="411"/>
      <c r="J43" s="411"/>
      <c r="K43" s="411"/>
      <c r="L43" s="38"/>
      <c r="M43" s="581"/>
      <c r="N43" s="146"/>
      <c r="O43" s="146"/>
      <c r="P43" s="146"/>
      <c r="Q43" s="580"/>
      <c r="R43" s="591"/>
      <c r="S43" s="586"/>
      <c r="T43" s="586"/>
      <c r="U43" s="592"/>
      <c r="V43" s="586"/>
      <c r="W43" s="586"/>
      <c r="X43" s="586"/>
      <c r="Y43" s="591"/>
      <c r="Z43" s="586"/>
      <c r="AA43" s="586"/>
      <c r="AB43" s="586"/>
      <c r="AC43" s="586"/>
      <c r="AD43" s="586"/>
      <c r="AE43" s="146"/>
      <c r="AF43" s="146"/>
      <c r="AG43" s="593"/>
      <c r="AH43" s="572"/>
      <c r="AI43" s="595"/>
      <c r="AJ43" s="572"/>
      <c r="AK43" s="596"/>
      <c r="AL43" s="572"/>
      <c r="AM43" s="146"/>
      <c r="AN43" s="598"/>
      <c r="AO43" s="435"/>
    </row>
    <row r="44" spans="1:41" ht="15">
      <c r="A44" s="433" t="s">
        <v>566</v>
      </c>
      <c r="B44" s="226"/>
      <c r="E44" s="436">
        <v>50</v>
      </c>
      <c r="I44" s="411">
        <v>445</v>
      </c>
      <c r="J44" s="411"/>
      <c r="K44" s="411">
        <v>700</v>
      </c>
      <c r="L44" s="38"/>
      <c r="M44" s="581"/>
      <c r="N44" s="146"/>
      <c r="O44" s="594"/>
      <c r="P44" s="146"/>
      <c r="Q44" s="582"/>
      <c r="R44" s="591"/>
      <c r="S44" s="586"/>
      <c r="T44" s="586"/>
      <c r="U44" s="592"/>
      <c r="V44" s="586"/>
      <c r="W44" s="586"/>
      <c r="X44" s="586"/>
      <c r="Y44" s="591"/>
      <c r="Z44" s="586"/>
      <c r="AA44" s="586"/>
      <c r="AB44" s="586"/>
      <c r="AC44" s="586"/>
      <c r="AD44" s="586"/>
      <c r="AE44" s="587"/>
      <c r="AF44" s="146"/>
      <c r="AG44" s="593"/>
      <c r="AH44" s="572"/>
      <c r="AI44" s="595"/>
      <c r="AJ44" s="572"/>
      <c r="AK44" s="596"/>
      <c r="AL44" s="597"/>
      <c r="AM44" s="146"/>
      <c r="AN44" s="590"/>
      <c r="AO44" s="435"/>
    </row>
    <row r="45" spans="1:41" ht="15">
      <c r="A45" s="433"/>
      <c r="B45" s="227"/>
      <c r="E45" s="436"/>
      <c r="I45" s="411"/>
      <c r="J45" s="411"/>
      <c r="K45" s="411"/>
      <c r="L45" s="38"/>
      <c r="M45" s="581"/>
      <c r="N45" s="146"/>
      <c r="O45" s="146"/>
      <c r="P45" s="146"/>
      <c r="Q45" s="580"/>
      <c r="R45" s="591"/>
      <c r="S45" s="586"/>
      <c r="T45" s="586"/>
      <c r="U45" s="592"/>
      <c r="V45" s="586"/>
      <c r="W45" s="586"/>
      <c r="X45" s="586"/>
      <c r="Y45" s="591"/>
      <c r="Z45" s="586"/>
      <c r="AA45" s="586"/>
      <c r="AB45" s="586"/>
      <c r="AC45" s="586"/>
      <c r="AD45" s="586"/>
      <c r="AE45" s="146"/>
      <c r="AF45" s="146"/>
      <c r="AG45" s="593"/>
      <c r="AH45" s="572"/>
      <c r="AI45" s="595"/>
      <c r="AJ45" s="572"/>
      <c r="AK45" s="596"/>
      <c r="AL45" s="572"/>
      <c r="AM45" s="146"/>
      <c r="AN45" s="598"/>
      <c r="AO45" s="435"/>
    </row>
    <row r="46" spans="1:41" ht="15">
      <c r="A46" s="433" t="s">
        <v>567</v>
      </c>
      <c r="B46" s="227"/>
      <c r="E46" s="436">
        <v>80</v>
      </c>
      <c r="I46" s="411">
        <v>712</v>
      </c>
      <c r="J46" s="411"/>
      <c r="K46" s="411">
        <v>1120</v>
      </c>
      <c r="L46" s="38"/>
      <c r="M46" s="581"/>
      <c r="N46" s="146"/>
      <c r="O46" s="594"/>
      <c r="P46" s="146"/>
      <c r="Q46" s="582"/>
      <c r="R46" s="591"/>
      <c r="S46" s="586"/>
      <c r="T46" s="586"/>
      <c r="U46" s="592"/>
      <c r="V46" s="586"/>
      <c r="W46" s="586"/>
      <c r="X46" s="586"/>
      <c r="Y46" s="591"/>
      <c r="Z46" s="586"/>
      <c r="AA46" s="586"/>
      <c r="AB46" s="586"/>
      <c r="AC46" s="586"/>
      <c r="AD46" s="586"/>
      <c r="AE46" s="587"/>
      <c r="AF46" s="146"/>
      <c r="AG46" s="593"/>
      <c r="AH46" s="572"/>
      <c r="AI46" s="595"/>
      <c r="AJ46" s="572"/>
      <c r="AK46" s="596"/>
      <c r="AL46" s="597"/>
      <c r="AM46" s="146"/>
      <c r="AN46" s="590"/>
      <c r="AO46" s="435"/>
    </row>
    <row r="47" spans="1:41" ht="15">
      <c r="I47" s="411"/>
      <c r="J47" s="411"/>
      <c r="K47" s="411"/>
      <c r="L47" s="38"/>
      <c r="M47" s="338"/>
      <c r="N47" s="146"/>
      <c r="O47" s="146"/>
      <c r="P47" s="146"/>
      <c r="Q47" s="571"/>
      <c r="R47" s="146"/>
      <c r="S47" s="574"/>
      <c r="T47" s="574"/>
      <c r="U47" s="599"/>
      <c r="V47" s="574"/>
      <c r="W47" s="574"/>
      <c r="X47" s="574"/>
      <c r="Y47" s="574"/>
      <c r="Z47" s="574"/>
      <c r="AA47" s="574"/>
      <c r="AB47" s="574"/>
      <c r="AC47" s="574"/>
      <c r="AD47" s="574"/>
      <c r="AE47" s="593"/>
      <c r="AF47" s="146"/>
      <c r="AG47" s="600"/>
      <c r="AH47" s="146"/>
      <c r="AI47" s="146"/>
      <c r="AJ47" s="146"/>
      <c r="AK47" s="146"/>
      <c r="AL47" s="146"/>
      <c r="AM47" s="146"/>
      <c r="AN47" s="146"/>
    </row>
    <row r="48" spans="1:41" ht="15">
      <c r="I48" s="411"/>
      <c r="J48" s="411"/>
      <c r="K48" s="411"/>
      <c r="L48" s="38"/>
      <c r="M48" s="338"/>
      <c r="N48" s="146"/>
      <c r="O48" s="146"/>
      <c r="P48" s="146"/>
      <c r="Q48" s="146"/>
      <c r="R48" s="146"/>
      <c r="S48" s="574"/>
      <c r="T48" s="574"/>
      <c r="U48" s="601"/>
      <c r="V48" s="574"/>
      <c r="W48" s="574"/>
      <c r="X48" s="574"/>
      <c r="Y48" s="574"/>
      <c r="Z48" s="574"/>
      <c r="AA48" s="574"/>
      <c r="AB48" s="574"/>
      <c r="AC48" s="602"/>
      <c r="AD48" s="574"/>
      <c r="AE48" s="146"/>
      <c r="AF48" s="146"/>
      <c r="AG48" s="593"/>
      <c r="AH48" s="593"/>
      <c r="AI48" s="593"/>
      <c r="AJ48" s="593"/>
      <c r="AK48" s="146"/>
      <c r="AL48" s="146"/>
      <c r="AM48" s="146"/>
      <c r="AN48" s="603"/>
      <c r="AO48" s="435"/>
    </row>
    <row r="49" spans="1:40" ht="15">
      <c r="A49" s="146"/>
      <c r="I49" s="38"/>
      <c r="J49" s="38"/>
      <c r="K49" s="38"/>
      <c r="L49" s="38"/>
      <c r="M49" s="338"/>
      <c r="N49" s="146"/>
      <c r="O49" s="146"/>
      <c r="P49" s="146"/>
      <c r="Q49" s="146"/>
      <c r="R49" s="146"/>
      <c r="S49" s="574"/>
      <c r="T49" s="574"/>
      <c r="U49" s="574"/>
      <c r="V49" s="574"/>
      <c r="W49" s="574"/>
      <c r="X49" s="574"/>
      <c r="Y49" s="574"/>
      <c r="Z49" s="574"/>
      <c r="AA49" s="574"/>
      <c r="AB49" s="574"/>
      <c r="AC49" s="574"/>
      <c r="AD49" s="574"/>
      <c r="AE49" s="146"/>
      <c r="AF49" s="146"/>
      <c r="AG49" s="146"/>
      <c r="AH49" s="146"/>
      <c r="AI49" s="146"/>
      <c r="AJ49" s="146"/>
      <c r="AK49" s="146"/>
      <c r="AL49" s="146"/>
      <c r="AM49" s="146"/>
      <c r="AN49" s="146"/>
    </row>
    <row r="50" spans="1:40" ht="15">
      <c r="A50" s="569"/>
      <c r="I50" s="38"/>
      <c r="J50" s="38"/>
      <c r="K50" s="38"/>
      <c r="L50" s="38"/>
      <c r="M50" s="338"/>
      <c r="N50" s="146"/>
      <c r="O50" s="146"/>
      <c r="P50" s="146"/>
      <c r="Q50" s="146"/>
      <c r="R50" s="146"/>
      <c r="S50" s="574"/>
      <c r="T50" s="574"/>
      <c r="U50" s="574"/>
      <c r="V50" s="574"/>
      <c r="W50" s="574"/>
      <c r="X50" s="574"/>
      <c r="Y50" s="574"/>
      <c r="Z50" s="574"/>
      <c r="AA50" s="574"/>
      <c r="AB50" s="602"/>
      <c r="AC50" s="146"/>
      <c r="AD50" s="574"/>
      <c r="AE50" s="146"/>
      <c r="AF50" s="146"/>
      <c r="AG50" s="604"/>
      <c r="AH50" s="387"/>
      <c r="AI50" s="146"/>
      <c r="AJ50" s="600"/>
      <c r="AK50" s="146"/>
      <c r="AL50" s="146"/>
      <c r="AM50" s="146"/>
      <c r="AN50" s="146"/>
    </row>
    <row r="51" spans="1:40" ht="15">
      <c r="A51" s="570"/>
      <c r="I51" s="38"/>
      <c r="J51" s="38"/>
      <c r="K51" s="38"/>
      <c r="L51" s="38"/>
      <c r="M51" s="338"/>
      <c r="N51" s="146"/>
      <c r="O51" s="146"/>
      <c r="P51" s="146"/>
      <c r="Q51" s="146"/>
      <c r="R51" s="146"/>
      <c r="S51" s="574"/>
      <c r="T51" s="574"/>
      <c r="U51" s="574"/>
      <c r="V51" s="574"/>
      <c r="W51" s="574"/>
      <c r="X51" s="574"/>
      <c r="Y51" s="574"/>
      <c r="Z51" s="574"/>
      <c r="AA51" s="574"/>
      <c r="AB51" s="574"/>
      <c r="AC51" s="574"/>
      <c r="AD51" s="574"/>
      <c r="AE51" s="146"/>
      <c r="AF51" s="146"/>
      <c r="AG51" s="146"/>
      <c r="AH51" s="146"/>
      <c r="AI51" s="146"/>
      <c r="AJ51" s="146"/>
      <c r="AK51" s="146"/>
      <c r="AL51" s="146"/>
      <c r="AM51" s="146"/>
      <c r="AN51" s="146"/>
    </row>
    <row r="52" spans="1:40" ht="15">
      <c r="A52" s="570"/>
      <c r="I52" s="38"/>
      <c r="J52" s="38"/>
      <c r="K52" s="38"/>
      <c r="L52" s="38"/>
      <c r="M52" s="338"/>
      <c r="N52" s="146"/>
      <c r="O52" s="146"/>
      <c r="P52" s="146"/>
      <c r="Q52" s="146"/>
      <c r="R52" s="146"/>
      <c r="S52" s="146"/>
      <c r="T52" s="146"/>
      <c r="U52" s="146"/>
      <c r="V52" s="146"/>
      <c r="W52" s="146"/>
      <c r="X52" s="146"/>
      <c r="Y52" s="146"/>
      <c r="Z52" s="146"/>
      <c r="AA52" s="146"/>
      <c r="AB52" s="146"/>
      <c r="AC52" s="574"/>
      <c r="AD52" s="146"/>
      <c r="AE52" s="146"/>
      <c r="AF52" s="146"/>
      <c r="AG52" s="588"/>
      <c r="AH52" s="511"/>
      <c r="AI52" s="511"/>
      <c r="AJ52" s="511"/>
      <c r="AK52" s="146"/>
      <c r="AL52" s="146"/>
      <c r="AM52" s="146"/>
      <c r="AN52" s="146"/>
    </row>
    <row r="53" spans="1:40">
      <c r="A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row>
    <row r="54" spans="1:40">
      <c r="A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row>
    <row r="55" spans="1:40">
      <c r="A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row>
    <row r="56" spans="1:40">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row>
    <row r="57" spans="1:40">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row>
    <row r="58" spans="1:40">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row>
    <row r="59" spans="1:40">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row>
  </sheetData>
  <mergeCells count="6">
    <mergeCell ref="Q26:S26"/>
    <mergeCell ref="U26:W26"/>
    <mergeCell ref="A4:K4"/>
    <mergeCell ref="A6:K6"/>
    <mergeCell ref="G11:I11"/>
    <mergeCell ref="G12:I12"/>
  </mergeCells>
  <phoneticPr fontId="11" type="noConversion"/>
  <pageMargins left="1" right="0.75" top="1" bottom="0.5" header="0.5" footer="0.5"/>
  <pageSetup scale="90" orientation="portrait" r:id="rId1"/>
  <headerFooter alignWithMargins="0"/>
</worksheet>
</file>

<file path=xl/worksheets/sheet17.xml><?xml version="1.0" encoding="utf-8"?>
<worksheet xmlns="http://schemas.openxmlformats.org/spreadsheetml/2006/main" xmlns:r="http://schemas.openxmlformats.org/officeDocument/2006/relationships">
  <dimension ref="A6:U55"/>
  <sheetViews>
    <sheetView workbookViewId="0">
      <selection activeCell="D25" sqref="D25"/>
    </sheetView>
  </sheetViews>
  <sheetFormatPr defaultRowHeight="12.75"/>
  <cols>
    <col min="2" max="2" width="16.21875" customWidth="1"/>
    <col min="3" max="3" width="2" customWidth="1"/>
    <col min="4" max="4" width="13.109375" bestFit="1" customWidth="1"/>
    <col min="5" max="5" width="1.77734375" customWidth="1"/>
    <col min="6" max="6" width="8.109375" customWidth="1"/>
    <col min="7" max="7" width="3.5546875" customWidth="1"/>
    <col min="8" max="8" width="13.44140625" bestFit="1" customWidth="1"/>
    <col min="9" max="9" width="2.5546875" customWidth="1"/>
    <col min="10" max="10" width="8.5546875" customWidth="1"/>
    <col min="11" max="11" width="3.6640625" customWidth="1"/>
    <col min="12" max="12" width="14.33203125" bestFit="1" customWidth="1"/>
    <col min="13" max="13" width="3.109375" bestFit="1" customWidth="1"/>
    <col min="15" max="15" width="3.5546875" customWidth="1"/>
    <col min="16" max="16" width="12.5546875" bestFit="1" customWidth="1"/>
    <col min="17" max="17" width="2.33203125" customWidth="1"/>
    <col min="18" max="18" width="8.33203125" customWidth="1"/>
  </cols>
  <sheetData>
    <row r="6" spans="2:18" ht="15">
      <c r="B6" s="631" t="s">
        <v>8</v>
      </c>
      <c r="C6" s="631"/>
      <c r="D6" s="631"/>
      <c r="E6" s="631"/>
      <c r="F6" s="631"/>
      <c r="G6" s="631"/>
      <c r="H6" s="631"/>
      <c r="I6" s="631"/>
      <c r="J6" s="631"/>
      <c r="K6" s="631"/>
      <c r="L6" s="631"/>
      <c r="M6" s="631"/>
      <c r="N6" s="631"/>
      <c r="O6" s="631"/>
      <c r="P6" s="631"/>
      <c r="Q6" s="631"/>
      <c r="R6" s="631"/>
    </row>
    <row r="7" spans="2:18" ht="15">
      <c r="B7" s="631"/>
      <c r="C7" s="631"/>
      <c r="D7" s="631"/>
      <c r="E7" s="631"/>
      <c r="F7" s="631"/>
      <c r="G7" s="631"/>
      <c r="H7" s="631"/>
      <c r="I7" s="631"/>
      <c r="J7" s="631"/>
      <c r="K7" s="631"/>
      <c r="L7" s="631"/>
      <c r="M7" s="631"/>
      <c r="N7" s="631"/>
      <c r="O7" s="631"/>
      <c r="P7" s="631"/>
      <c r="Q7" s="631"/>
      <c r="R7" s="631"/>
    </row>
    <row r="8" spans="2:18" ht="15">
      <c r="B8" s="226"/>
      <c r="C8" s="226"/>
      <c r="D8" s="226"/>
      <c r="E8" s="226"/>
      <c r="F8" s="226"/>
      <c r="G8" s="226"/>
      <c r="H8" s="226"/>
      <c r="I8" s="226"/>
      <c r="J8" s="226"/>
      <c r="K8" s="226"/>
      <c r="L8" s="226"/>
      <c r="M8" s="227"/>
      <c r="N8" s="227"/>
      <c r="O8" s="227"/>
      <c r="P8" s="227"/>
      <c r="Q8" s="227"/>
      <c r="R8" s="227"/>
    </row>
    <row r="9" spans="2:18" ht="15">
      <c r="B9" s="631" t="s">
        <v>429</v>
      </c>
      <c r="C9" s="631"/>
      <c r="D9" s="631"/>
      <c r="E9" s="631"/>
      <c r="F9" s="631"/>
      <c r="G9" s="631"/>
      <c r="H9" s="631"/>
      <c r="I9" s="631"/>
      <c r="J9" s="631"/>
      <c r="K9" s="631"/>
      <c r="L9" s="631"/>
      <c r="M9" s="631"/>
      <c r="N9" s="631"/>
      <c r="O9" s="631"/>
      <c r="P9" s="631"/>
      <c r="Q9" s="631"/>
      <c r="R9" s="631"/>
    </row>
    <row r="10" spans="2:18" ht="15">
      <c r="B10" s="631" t="s">
        <v>782</v>
      </c>
      <c r="C10" s="631"/>
      <c r="D10" s="631"/>
      <c r="E10" s="631"/>
      <c r="F10" s="631"/>
      <c r="G10" s="631"/>
      <c r="H10" s="631"/>
      <c r="I10" s="631"/>
      <c r="J10" s="631"/>
      <c r="K10" s="631"/>
      <c r="L10" s="631"/>
      <c r="M10" s="631"/>
      <c r="N10" s="631"/>
      <c r="O10" s="631"/>
      <c r="P10" s="631"/>
      <c r="Q10" s="631"/>
      <c r="R10" s="631"/>
    </row>
    <row r="11" spans="2:18" ht="15">
      <c r="B11" s="226"/>
      <c r="C11" s="226"/>
      <c r="D11" s="226"/>
      <c r="E11" s="226"/>
      <c r="F11" s="226"/>
      <c r="G11" s="226"/>
      <c r="H11" s="226"/>
      <c r="I11" s="226"/>
      <c r="J11" s="226"/>
      <c r="K11" s="226"/>
      <c r="L11" s="226"/>
      <c r="M11" s="227"/>
      <c r="N11" s="227"/>
      <c r="O11" s="227"/>
      <c r="P11" s="227"/>
      <c r="Q11" s="227"/>
      <c r="R11" s="227"/>
    </row>
    <row r="12" spans="2:18" ht="15">
      <c r="B12" s="226"/>
      <c r="C12" s="226"/>
      <c r="D12" s="226"/>
      <c r="E12" s="226"/>
      <c r="F12" s="226"/>
      <c r="G12" s="226"/>
      <c r="H12" s="226"/>
      <c r="I12" s="226"/>
      <c r="J12" s="226"/>
      <c r="K12" s="226"/>
      <c r="L12" s="226"/>
      <c r="M12" s="227"/>
      <c r="N12" s="227"/>
      <c r="O12" s="227"/>
      <c r="P12" s="227"/>
      <c r="Q12" s="227"/>
      <c r="R12" s="227"/>
    </row>
    <row r="13" spans="2:18" ht="15">
      <c r="B13" s="228"/>
      <c r="C13" s="228"/>
      <c r="D13" s="635" t="s">
        <v>430</v>
      </c>
      <c r="E13" s="635"/>
      <c r="F13" s="635"/>
      <c r="G13" s="226"/>
      <c r="H13" s="226"/>
      <c r="I13" s="226"/>
      <c r="J13" s="226"/>
      <c r="K13" s="226"/>
      <c r="L13" s="226"/>
      <c r="M13" s="227"/>
      <c r="N13" s="227"/>
      <c r="O13" s="227"/>
      <c r="P13" s="635" t="s">
        <v>431</v>
      </c>
      <c r="Q13" s="635"/>
      <c r="R13" s="635"/>
    </row>
    <row r="14" spans="2:18" ht="15">
      <c r="B14" s="225" t="s">
        <v>254</v>
      </c>
      <c r="C14" s="225"/>
      <c r="D14" s="249" t="s">
        <v>432</v>
      </c>
      <c r="G14" s="226"/>
      <c r="H14" s="635" t="s">
        <v>433</v>
      </c>
      <c r="I14" s="635"/>
      <c r="J14" s="635"/>
      <c r="K14" s="226"/>
      <c r="L14" s="635" t="s">
        <v>434</v>
      </c>
      <c r="M14" s="635"/>
      <c r="N14" s="635"/>
      <c r="O14" s="227"/>
      <c r="P14" s="227"/>
      <c r="Q14" s="227"/>
      <c r="R14" s="225" t="s">
        <v>292</v>
      </c>
    </row>
    <row r="15" spans="2:18" ht="15">
      <c r="B15" s="229" t="s">
        <v>207</v>
      </c>
      <c r="C15" s="228"/>
      <c r="D15" s="229" t="s">
        <v>453</v>
      </c>
      <c r="E15" s="226"/>
      <c r="F15" s="229" t="s">
        <v>292</v>
      </c>
      <c r="G15" s="226"/>
      <c r="H15" s="229" t="s">
        <v>432</v>
      </c>
      <c r="I15" s="226"/>
      <c r="J15" s="229" t="s">
        <v>292</v>
      </c>
      <c r="K15" s="226"/>
      <c r="L15" s="229" t="s">
        <v>432</v>
      </c>
      <c r="M15" s="226"/>
      <c r="N15" s="229" t="s">
        <v>292</v>
      </c>
      <c r="O15" s="227"/>
      <c r="P15" s="229" t="s">
        <v>432</v>
      </c>
      <c r="Q15" s="226"/>
      <c r="R15" s="229" t="s">
        <v>435</v>
      </c>
    </row>
    <row r="16" spans="2:18" ht="15">
      <c r="B16" s="230" t="s">
        <v>209</v>
      </c>
      <c r="C16" s="231"/>
      <c r="D16" s="230" t="s">
        <v>229</v>
      </c>
      <c r="E16" s="231"/>
      <c r="F16" s="230" t="s">
        <v>211</v>
      </c>
      <c r="G16" s="231"/>
      <c r="H16" s="230" t="s">
        <v>231</v>
      </c>
      <c r="I16" s="231"/>
      <c r="J16" s="230" t="s">
        <v>243</v>
      </c>
      <c r="K16" s="226"/>
      <c r="L16" s="230" t="s">
        <v>257</v>
      </c>
      <c r="M16" s="231"/>
      <c r="N16" s="230" t="s">
        <v>264</v>
      </c>
      <c r="O16" s="227"/>
      <c r="P16" s="230" t="s">
        <v>436</v>
      </c>
      <c r="Q16" s="231"/>
      <c r="R16" s="230" t="s">
        <v>437</v>
      </c>
    </row>
    <row r="17" spans="1:21" ht="15">
      <c r="B17" s="226"/>
      <c r="C17" s="226"/>
      <c r="D17" s="226"/>
      <c r="E17" s="226"/>
      <c r="F17" s="226"/>
      <c r="G17" s="226"/>
      <c r="H17" s="226"/>
      <c r="I17" s="226"/>
      <c r="J17" s="226"/>
      <c r="K17" s="226"/>
      <c r="L17" s="254"/>
      <c r="M17" s="226"/>
      <c r="N17" s="226"/>
      <c r="O17" s="227"/>
      <c r="P17" s="226"/>
      <c r="Q17" s="226"/>
      <c r="R17" s="226"/>
    </row>
    <row r="18" spans="1:21" ht="15">
      <c r="A18" s="248"/>
      <c r="B18" s="226" t="s">
        <v>212</v>
      </c>
      <c r="C18" s="226"/>
      <c r="D18" s="232">
        <f ca="1">+'COS 1'!L275</f>
        <v>53116685.961379081</v>
      </c>
      <c r="E18" s="226"/>
      <c r="F18" s="224">
        <f ca="1">ROUND(D18/D$32,3)+0.001</f>
        <v>0.56699999999999995</v>
      </c>
      <c r="G18" s="226"/>
      <c r="H18" s="232">
        <v>44433532</v>
      </c>
      <c r="I18" s="405"/>
      <c r="J18" s="224">
        <f>ROUND(H18/H$32,3)+0.001</f>
        <v>0.54400000000000004</v>
      </c>
      <c r="K18" s="226"/>
      <c r="L18" s="504">
        <v>52378073</v>
      </c>
      <c r="M18" s="508"/>
      <c r="N18" s="224">
        <f>ROUND(L18/L$32,3)+0.001</f>
        <v>0.55900000000000005</v>
      </c>
      <c r="O18" s="227"/>
      <c r="P18" s="232">
        <f>+L18-H18</f>
        <v>7944541</v>
      </c>
      <c r="Q18" s="226"/>
      <c r="R18" s="224">
        <f>+P18/H18</f>
        <v>0.17879607229963174</v>
      </c>
      <c r="S18" s="326"/>
    </row>
    <row r="19" spans="1:21" ht="15">
      <c r="A19" s="248"/>
      <c r="B19" s="226"/>
      <c r="C19" s="226"/>
      <c r="D19" s="226"/>
      <c r="E19" s="226"/>
      <c r="F19" s="224"/>
      <c r="G19" s="226"/>
      <c r="H19" s="232"/>
      <c r="I19" s="226"/>
      <c r="J19" s="224"/>
      <c r="K19" s="226"/>
      <c r="L19" s="505"/>
      <c r="M19" s="475"/>
      <c r="N19" s="226"/>
      <c r="O19" s="227"/>
      <c r="P19" s="226"/>
      <c r="Q19" s="226"/>
      <c r="R19" s="224"/>
    </row>
    <row r="20" spans="1:21" ht="15">
      <c r="A20" s="248"/>
      <c r="B20" s="226" t="s">
        <v>213</v>
      </c>
      <c r="C20" s="226"/>
      <c r="D20" s="231">
        <f ca="1">+'COS 1'!N275</f>
        <v>22925549.289069496</v>
      </c>
      <c r="E20" s="226"/>
      <c r="F20" s="224">
        <f t="shared" ref="F20:F30" ca="1" si="0">ROUND(D20/D$32,3)</f>
        <v>0.24399999999999999</v>
      </c>
      <c r="G20" s="226"/>
      <c r="H20" s="247">
        <v>21432164.923999999</v>
      </c>
      <c r="I20" s="405" t="s">
        <v>532</v>
      </c>
      <c r="J20" s="224">
        <f t="shared" ref="J20:J30" si="1">ROUND(H20/H$32,3)</f>
        <v>0.26200000000000001</v>
      </c>
      <c r="K20" s="226"/>
      <c r="L20" s="506">
        <v>23347209.674400002</v>
      </c>
      <c r="M20" s="405" t="s">
        <v>532</v>
      </c>
      <c r="N20" s="224">
        <f>ROUND(L20/L$32,3)</f>
        <v>0.249</v>
      </c>
      <c r="O20" s="227"/>
      <c r="P20" s="231">
        <f>+L20-H20</f>
        <v>1915044.750400003</v>
      </c>
      <c r="Q20" s="226"/>
      <c r="R20" s="224">
        <f>+P20/H20</f>
        <v>8.9353770708227087E-2</v>
      </c>
      <c r="S20" s="326"/>
    </row>
    <row r="21" spans="1:21" ht="15">
      <c r="A21" s="248"/>
      <c r="B21" s="226"/>
      <c r="C21" s="226"/>
      <c r="D21" s="231"/>
      <c r="E21" s="226"/>
      <c r="F21" s="224"/>
      <c r="G21" s="226"/>
      <c r="H21" s="247"/>
      <c r="I21" s="226"/>
      <c r="J21" s="224"/>
      <c r="K21" s="226"/>
      <c r="L21" s="505"/>
      <c r="M21" s="475"/>
      <c r="N21" s="226"/>
      <c r="O21" s="227"/>
      <c r="P21" s="231"/>
      <c r="Q21" s="226"/>
      <c r="R21" s="224"/>
    </row>
    <row r="22" spans="1:21" ht="15">
      <c r="A22" s="248"/>
      <c r="B22" s="226" t="s">
        <v>214</v>
      </c>
      <c r="C22" s="226"/>
      <c r="D22" s="231">
        <f ca="1">+'COS 1'!P275</f>
        <v>2632499.6854807585</v>
      </c>
      <c r="E22" s="226"/>
      <c r="F22" s="224">
        <f t="shared" ca="1" si="0"/>
        <v>2.8000000000000001E-2</v>
      </c>
      <c r="G22" s="226"/>
      <c r="H22" s="247">
        <v>2147438</v>
      </c>
      <c r="I22" s="226"/>
      <c r="J22" s="224">
        <f t="shared" si="1"/>
        <v>2.5999999999999999E-2</v>
      </c>
      <c r="K22" s="226"/>
      <c r="L22" s="506">
        <v>2573282</v>
      </c>
      <c r="M22" s="475"/>
      <c r="N22" s="224">
        <f>ROUND(L22/L$32,3)</f>
        <v>2.7E-2</v>
      </c>
      <c r="O22" s="227"/>
      <c r="P22" s="231">
        <f>+L22-H22</f>
        <v>425844</v>
      </c>
      <c r="Q22" s="226"/>
      <c r="R22" s="224">
        <f>+P22/H22</f>
        <v>0.19830328046723583</v>
      </c>
      <c r="S22" s="326"/>
    </row>
    <row r="23" spans="1:21" ht="15">
      <c r="A23" s="248"/>
      <c r="B23" s="226"/>
      <c r="C23" s="226"/>
      <c r="D23" s="231"/>
      <c r="E23" s="226"/>
      <c r="F23" s="224"/>
      <c r="G23" s="226"/>
      <c r="H23" s="247"/>
      <c r="I23" s="226"/>
      <c r="J23" s="224"/>
      <c r="K23" s="226"/>
      <c r="L23" s="505"/>
      <c r="M23" s="475"/>
      <c r="N23" s="226"/>
      <c r="O23" s="227"/>
      <c r="P23" s="231"/>
      <c r="Q23" s="226"/>
      <c r="R23" s="224"/>
    </row>
    <row r="24" spans="1:21" ht="15">
      <c r="A24" s="248"/>
      <c r="B24" s="226" t="s">
        <v>438</v>
      </c>
      <c r="C24" s="226"/>
      <c r="D24" s="231">
        <f ca="1">+'COS 1'!R275</f>
        <v>7075701.3306366764</v>
      </c>
      <c r="E24" s="226"/>
      <c r="F24" s="224">
        <f t="shared" ca="1" si="0"/>
        <v>7.4999999999999997E-2</v>
      </c>
      <c r="G24" s="226"/>
      <c r="H24" s="247">
        <v>6325482</v>
      </c>
      <c r="I24" s="226"/>
      <c r="J24" s="224">
        <f t="shared" si="1"/>
        <v>7.6999999999999999E-2</v>
      </c>
      <c r="K24" s="226"/>
      <c r="L24" s="506">
        <v>7074356</v>
      </c>
      <c r="M24" s="475"/>
      <c r="N24" s="224">
        <f>ROUND(L24/L$32,3)</f>
        <v>7.4999999999999997E-2</v>
      </c>
      <c r="O24" s="227"/>
      <c r="P24" s="231">
        <f>+L24-H24</f>
        <v>748874</v>
      </c>
      <c r="Q24" s="226"/>
      <c r="R24" s="224">
        <f>+P24/H24</f>
        <v>0.11839002940803563</v>
      </c>
      <c r="S24" s="326"/>
      <c r="U24" s="205"/>
    </row>
    <row r="25" spans="1:21" ht="15">
      <c r="A25" s="248"/>
      <c r="B25" s="226"/>
      <c r="C25" s="226"/>
      <c r="D25" s="231"/>
      <c r="E25" s="226"/>
      <c r="F25" s="224"/>
      <c r="G25" s="226"/>
      <c r="H25" s="247"/>
      <c r="I25" s="226"/>
      <c r="J25" s="224"/>
      <c r="K25" s="226"/>
      <c r="L25" s="505"/>
      <c r="M25" s="475"/>
      <c r="N25" s="226"/>
      <c r="O25" s="227"/>
      <c r="P25" s="231"/>
      <c r="Q25" s="226"/>
      <c r="R25" s="224"/>
    </row>
    <row r="26" spans="1:21" ht="15">
      <c r="A26" s="248"/>
      <c r="B26" s="226" t="s">
        <v>337</v>
      </c>
      <c r="C26" s="226"/>
      <c r="D26" s="231">
        <f ca="1">+'COS 1'!T275</f>
        <v>1780930.9426934393</v>
      </c>
      <c r="E26" s="226"/>
      <c r="F26" s="224">
        <f t="shared" ca="1" si="0"/>
        <v>1.9E-2</v>
      </c>
      <c r="G26" s="226"/>
      <c r="H26" s="247">
        <v>1829521</v>
      </c>
      <c r="I26" s="226"/>
      <c r="J26" s="224">
        <f t="shared" si="1"/>
        <v>2.1999999999999999E-2</v>
      </c>
      <c r="K26" s="226"/>
      <c r="L26" s="506">
        <v>1875317</v>
      </c>
      <c r="M26" s="475"/>
      <c r="N26" s="224">
        <f>ROUND(L26/L$32,3)</f>
        <v>0.02</v>
      </c>
      <c r="O26" s="227"/>
      <c r="P26" s="231">
        <f>+L26-H26</f>
        <v>45796</v>
      </c>
      <c r="Q26" s="226"/>
      <c r="R26" s="224">
        <f>+P26/H26</f>
        <v>2.5031688622322454E-2</v>
      </c>
      <c r="S26" s="326"/>
    </row>
    <row r="27" spans="1:21" ht="15">
      <c r="A27" s="248"/>
      <c r="B27" s="226"/>
      <c r="C27" s="226"/>
      <c r="D27" s="231"/>
      <c r="E27" s="226"/>
      <c r="F27" s="224"/>
      <c r="G27" s="226"/>
      <c r="H27" s="247"/>
      <c r="I27" s="226"/>
      <c r="J27" s="224"/>
      <c r="K27" s="226"/>
      <c r="L27" s="505"/>
      <c r="M27" s="475"/>
      <c r="N27" s="226"/>
      <c r="O27" s="227"/>
      <c r="P27" s="231"/>
      <c r="Q27" s="226"/>
      <c r="R27" s="224"/>
    </row>
    <row r="28" spans="1:21" ht="15">
      <c r="A28" s="248"/>
      <c r="B28" s="226" t="s">
        <v>439</v>
      </c>
      <c r="C28" s="226"/>
      <c r="D28" s="231">
        <f ca="1">+'COS 1'!V275</f>
        <v>2185578.6083431747</v>
      </c>
      <c r="E28" s="226"/>
      <c r="F28" s="224">
        <f t="shared" ca="1" si="0"/>
        <v>2.3E-2</v>
      </c>
      <c r="G28" s="226"/>
      <c r="H28" s="247">
        <v>2319440</v>
      </c>
      <c r="I28" s="226"/>
      <c r="J28" s="224">
        <f t="shared" si="1"/>
        <v>2.8000000000000001E-2</v>
      </c>
      <c r="K28" s="226"/>
      <c r="L28" s="506">
        <v>2551347</v>
      </c>
      <c r="M28" s="475"/>
      <c r="N28" s="224">
        <f>ROUND(L28/L$32,3)</f>
        <v>2.7E-2</v>
      </c>
      <c r="O28" s="227"/>
      <c r="P28" s="231">
        <f>+L28-H28</f>
        <v>231907</v>
      </c>
      <c r="Q28" s="226"/>
      <c r="R28" s="224">
        <f>+P28/H28</f>
        <v>9.9984047873624665E-2</v>
      </c>
      <c r="S28" s="326"/>
    </row>
    <row r="29" spans="1:21" ht="15">
      <c r="B29" s="226"/>
      <c r="C29" s="226"/>
      <c r="D29" s="231"/>
      <c r="E29" s="226"/>
      <c r="F29" s="224"/>
      <c r="G29" s="226"/>
      <c r="H29" s="231"/>
      <c r="I29" s="226"/>
      <c r="J29" s="224"/>
      <c r="K29" s="226"/>
      <c r="L29" s="505"/>
      <c r="M29" s="475"/>
      <c r="N29" s="224"/>
      <c r="O29" s="227"/>
      <c r="P29" s="231"/>
      <c r="Q29" s="226"/>
      <c r="R29" s="224"/>
    </row>
    <row r="30" spans="1:21" ht="15">
      <c r="B30" s="226" t="s">
        <v>440</v>
      </c>
      <c r="C30" s="226"/>
      <c r="D30" s="234">
        <f ca="1">+'COS 1'!X275</f>
        <v>4086745.3512295056</v>
      </c>
      <c r="E30" s="226"/>
      <c r="F30" s="233">
        <f t="shared" ca="1" si="0"/>
        <v>4.3999999999999997E-2</v>
      </c>
      <c r="G30" s="226"/>
      <c r="H30" s="259">
        <v>3344560</v>
      </c>
      <c r="I30" s="226"/>
      <c r="J30" s="233">
        <f t="shared" si="1"/>
        <v>4.1000000000000002E-2</v>
      </c>
      <c r="K30" s="226"/>
      <c r="L30" s="507">
        <v>4003927</v>
      </c>
      <c r="M30" s="475"/>
      <c r="N30" s="233">
        <f>ROUND(L30/L$32,3)</f>
        <v>4.2999999999999997E-2</v>
      </c>
      <c r="O30" s="227"/>
      <c r="P30" s="234">
        <f>+L30-H30</f>
        <v>659367</v>
      </c>
      <c r="Q30" s="226"/>
      <c r="R30" s="224">
        <f>+P30/H30</f>
        <v>0.19714611189513717</v>
      </c>
    </row>
    <row r="31" spans="1:21" ht="15">
      <c r="B31" s="226"/>
      <c r="C31" s="226"/>
      <c r="D31" s="231"/>
      <c r="E31" s="226"/>
      <c r="F31" s="226"/>
      <c r="G31" s="226"/>
      <c r="H31" s="231"/>
      <c r="I31" s="226"/>
      <c r="J31" s="226"/>
      <c r="K31" s="226"/>
      <c r="L31" s="231"/>
      <c r="M31" s="226"/>
      <c r="N31" s="226"/>
      <c r="O31" s="227"/>
      <c r="P31" s="231"/>
      <c r="Q31" s="226"/>
      <c r="R31" s="224"/>
      <c r="T31" s="327"/>
    </row>
    <row r="32" spans="1:21" ht="15.75" thickBot="1">
      <c r="B32" s="226" t="s">
        <v>441</v>
      </c>
      <c r="C32" s="226"/>
      <c r="D32" s="231">
        <f ca="1">SUM(D18:D30)</f>
        <v>93803691.168832138</v>
      </c>
      <c r="E32" s="226"/>
      <c r="F32" s="235">
        <f ca="1">SUM(F18:F30)</f>
        <v>1</v>
      </c>
      <c r="G32" s="226"/>
      <c r="H32" s="231">
        <f>SUM(H18:H30)</f>
        <v>81832137.923999995</v>
      </c>
      <c r="I32" s="226"/>
      <c r="J32" s="235">
        <f>SUM(J18:J30)</f>
        <v>1</v>
      </c>
      <c r="K32" s="226"/>
      <c r="L32" s="231">
        <f>SUM(L18:L30)</f>
        <v>93803511.674400002</v>
      </c>
      <c r="M32" s="226"/>
      <c r="N32" s="235">
        <f>SUM(N18:N30)</f>
        <v>1</v>
      </c>
      <c r="O32" s="227"/>
      <c r="P32" s="231">
        <f>SUM(P18:P30)</f>
        <v>11971373.750400003</v>
      </c>
      <c r="Q32" s="226"/>
      <c r="R32" s="224">
        <f>+P32/H32</f>
        <v>0.14629183660725306</v>
      </c>
    </row>
    <row r="33" spans="2:18" ht="15.75" thickTop="1">
      <c r="B33" s="226"/>
      <c r="C33" s="226"/>
      <c r="D33" s="231"/>
      <c r="E33" s="226"/>
      <c r="F33" s="226"/>
      <c r="G33" s="226"/>
      <c r="H33" s="231"/>
      <c r="I33" s="226"/>
      <c r="J33" s="226"/>
      <c r="K33" s="226"/>
      <c r="L33" s="231"/>
      <c r="M33" s="226"/>
      <c r="N33" s="226"/>
      <c r="O33" s="227"/>
      <c r="P33" s="231"/>
      <c r="Q33" s="226"/>
      <c r="R33" s="224"/>
    </row>
    <row r="34" spans="2:18" ht="15">
      <c r="B34" s="236" t="s">
        <v>442</v>
      </c>
      <c r="C34" s="236"/>
      <c r="D34" s="234">
        <f>+'COS 1'!J272</f>
        <v>2671843.7041407805</v>
      </c>
      <c r="E34" s="236"/>
      <c r="F34" s="236"/>
      <c r="G34" s="236"/>
      <c r="H34" s="259">
        <v>2325695.088756165</v>
      </c>
      <c r="I34" s="236"/>
      <c r="J34" s="236"/>
      <c r="K34" s="236"/>
      <c r="L34" s="234">
        <f>+D34</f>
        <v>2671843.7041407805</v>
      </c>
      <c r="M34" s="236"/>
      <c r="N34" s="236"/>
      <c r="O34" s="237"/>
      <c r="P34" s="234">
        <f>+L34-H34</f>
        <v>346148.61538461549</v>
      </c>
      <c r="Q34" s="236"/>
      <c r="R34" s="224">
        <f>+P34/H34</f>
        <v>0.1488366282657215</v>
      </c>
    </row>
    <row r="35" spans="2:18" ht="15">
      <c r="B35" s="226"/>
      <c r="C35" s="226"/>
      <c r="D35" s="226"/>
      <c r="E35" s="226"/>
      <c r="F35" s="226"/>
      <c r="G35" s="226"/>
      <c r="H35" s="226"/>
      <c r="I35" s="226"/>
      <c r="J35" s="226"/>
      <c r="K35" s="226"/>
      <c r="L35" s="226"/>
      <c r="M35" s="226"/>
      <c r="N35" s="226"/>
      <c r="O35" s="227"/>
      <c r="P35" s="226"/>
      <c r="Q35" s="226"/>
      <c r="R35" s="224"/>
    </row>
    <row r="36" spans="2:18" ht="15.75" thickBot="1">
      <c r="B36" s="226" t="s">
        <v>443</v>
      </c>
      <c r="C36" s="226"/>
      <c r="D36" s="238">
        <f ca="1">+D34+D32</f>
        <v>96475534.872972921</v>
      </c>
      <c r="E36" s="226"/>
      <c r="F36" s="226"/>
      <c r="G36" s="226"/>
      <c r="H36" s="238">
        <f>+H34+H32</f>
        <v>84157833.012756154</v>
      </c>
      <c r="I36" s="226"/>
      <c r="J36" s="226"/>
      <c r="K36" s="226"/>
      <c r="L36" s="238">
        <f>+L34+L32</f>
        <v>96475355.378540784</v>
      </c>
      <c r="M36" s="226"/>
      <c r="N36" s="226"/>
      <c r="O36" s="227"/>
      <c r="P36" s="238">
        <f>+L36-H36</f>
        <v>12317522.36578463</v>
      </c>
      <c r="Q36" s="226"/>
      <c r="R36" s="224">
        <f>+P36/H36</f>
        <v>0.14636216172435917</v>
      </c>
    </row>
    <row r="37" spans="2:18" ht="13.5" thickTop="1"/>
    <row r="38" spans="2:18" ht="15">
      <c r="B38" s="236" t="s">
        <v>577</v>
      </c>
    </row>
    <row r="39" spans="2:18" ht="15">
      <c r="B39" s="38"/>
      <c r="C39" s="38"/>
      <c r="D39" s="241"/>
      <c r="L39" s="205"/>
    </row>
    <row r="40" spans="2:18" ht="15">
      <c r="B40" s="38"/>
      <c r="C40" s="38"/>
      <c r="D40" s="242"/>
      <c r="H40" s="205"/>
    </row>
    <row r="41" spans="2:18">
      <c r="D41" s="205"/>
      <c r="H41" s="205"/>
      <c r="P41" s="205"/>
    </row>
    <row r="43" spans="2:18">
      <c r="D43" s="530"/>
      <c r="L43" s="205"/>
    </row>
    <row r="44" spans="2:18">
      <c r="D44" s="530"/>
    </row>
    <row r="46" spans="2:18">
      <c r="L46" s="527"/>
    </row>
    <row r="47" spans="2:18">
      <c r="L47" s="526"/>
    </row>
    <row r="48" spans="2:18">
      <c r="H48" s="145"/>
      <c r="L48" s="145"/>
    </row>
    <row r="49" spans="4:12">
      <c r="H49" s="145"/>
      <c r="L49" s="145"/>
    </row>
    <row r="50" spans="4:12">
      <c r="H50" s="145"/>
      <c r="L50" s="145"/>
    </row>
    <row r="51" spans="4:12">
      <c r="H51" s="145"/>
      <c r="L51" s="145"/>
    </row>
    <row r="52" spans="4:12">
      <c r="D52" s="327"/>
      <c r="H52" s="145"/>
      <c r="L52" s="145"/>
    </row>
    <row r="53" spans="4:12">
      <c r="H53" s="145"/>
      <c r="L53" s="145"/>
    </row>
    <row r="54" spans="4:12">
      <c r="H54" s="145"/>
      <c r="L54" s="145"/>
    </row>
    <row r="55" spans="4:12">
      <c r="H55" s="145"/>
      <c r="L55" s="145"/>
    </row>
  </sheetData>
  <mergeCells count="8">
    <mergeCell ref="H14:J14"/>
    <mergeCell ref="L14:N14"/>
    <mergeCell ref="B6:R6"/>
    <mergeCell ref="B9:R9"/>
    <mergeCell ref="B10:R10"/>
    <mergeCell ref="D13:F13"/>
    <mergeCell ref="P13:R13"/>
    <mergeCell ref="B7:R7"/>
  </mergeCells>
  <phoneticPr fontId="11" type="noConversion"/>
  <pageMargins left="0.75" right="0.75" top="1" bottom="1" header="0.5" footer="0.5"/>
  <pageSetup scale="75" orientation="landscape" r:id="rId1"/>
  <headerFooter alignWithMargins="0"/>
</worksheet>
</file>

<file path=xl/worksheets/sheet18.xml><?xml version="1.0" encoding="utf-8"?>
<worksheet xmlns="http://schemas.openxmlformats.org/spreadsheetml/2006/main" xmlns:r="http://schemas.openxmlformats.org/officeDocument/2006/relationships">
  <dimension ref="A1:AB89"/>
  <sheetViews>
    <sheetView workbookViewId="0">
      <selection activeCell="M19" sqref="M19"/>
    </sheetView>
  </sheetViews>
  <sheetFormatPr defaultRowHeight="12.75"/>
  <cols>
    <col min="1" max="1" width="14.33203125" style="519" bestFit="1" customWidth="1"/>
    <col min="2" max="2" width="9.21875" customWidth="1"/>
    <col min="3" max="3" width="31" customWidth="1"/>
    <col min="4" max="4" width="11.5546875" customWidth="1"/>
    <col min="5" max="5" width="12.44140625" customWidth="1"/>
    <col min="6" max="6" width="13.77734375" bestFit="1" customWidth="1"/>
    <col min="7" max="7" width="14.33203125" style="212" customWidth="1"/>
    <col min="8" max="8" width="13.88671875" style="498" bestFit="1" customWidth="1"/>
    <col min="9" max="9" width="9" bestFit="1" customWidth="1"/>
    <col min="10" max="10" width="10" bestFit="1" customWidth="1"/>
    <col min="15" max="15" width="9.109375" bestFit="1" customWidth="1"/>
    <col min="17" max="17" width="11.5546875" bestFit="1" customWidth="1"/>
    <col min="21" max="21" width="11.44140625" customWidth="1"/>
    <col min="23" max="23" width="11.5546875" bestFit="1" customWidth="1"/>
    <col min="24" max="24" width="10" bestFit="1" customWidth="1"/>
    <col min="25" max="25" width="11.5546875" bestFit="1" customWidth="1"/>
    <col min="27" max="27" width="10" bestFit="1" customWidth="1"/>
    <col min="28" max="28" width="11.6640625" bestFit="1" customWidth="1"/>
  </cols>
  <sheetData>
    <row r="1" spans="1:8">
      <c r="B1" t="s">
        <v>458</v>
      </c>
      <c r="E1" s="444"/>
    </row>
    <row r="2" spans="1:8">
      <c r="B2" t="s">
        <v>459</v>
      </c>
    </row>
    <row r="3" spans="1:8">
      <c r="D3" s="534" t="s">
        <v>460</v>
      </c>
      <c r="E3" s="534" t="s">
        <v>462</v>
      </c>
      <c r="F3" s="534" t="s">
        <v>760</v>
      </c>
      <c r="G3" s="535" t="s">
        <v>787</v>
      </c>
      <c r="H3" s="534"/>
    </row>
    <row r="4" spans="1:8">
      <c r="D4" s="528" t="s">
        <v>461</v>
      </c>
      <c r="E4" s="528" t="s">
        <v>731</v>
      </c>
      <c r="F4" s="528" t="s">
        <v>463</v>
      </c>
      <c r="G4" s="536" t="s">
        <v>767</v>
      </c>
      <c r="H4" s="528" t="s">
        <v>464</v>
      </c>
    </row>
    <row r="5" spans="1:8">
      <c r="B5">
        <v>301000</v>
      </c>
      <c r="C5" t="s">
        <v>466</v>
      </c>
      <c r="D5" s="145">
        <v>37450.43</v>
      </c>
      <c r="E5" s="145"/>
      <c r="H5" s="145">
        <f t="shared" ref="H5:H36" si="0">+D5+E5+F5+G5</f>
        <v>37450.43</v>
      </c>
    </row>
    <row r="6" spans="1:8">
      <c r="B6">
        <v>302000</v>
      </c>
      <c r="C6" t="s">
        <v>467</v>
      </c>
      <c r="D6" s="145">
        <v>70260.820000000036</v>
      </c>
      <c r="E6" s="145"/>
      <c r="H6" s="145">
        <f t="shared" si="0"/>
        <v>70260.820000000036</v>
      </c>
    </row>
    <row r="7" spans="1:8">
      <c r="B7">
        <v>339100</v>
      </c>
      <c r="C7" t="s">
        <v>468</v>
      </c>
      <c r="D7" s="145">
        <v>776821.99366280099</v>
      </c>
      <c r="E7" s="145">
        <v>-342859.84183356923</v>
      </c>
      <c r="H7" s="145">
        <f t="shared" si="0"/>
        <v>433962.15182923176</v>
      </c>
    </row>
    <row r="8" spans="1:8" s="498" customFormat="1">
      <c r="A8" s="519"/>
      <c r="B8" s="401">
        <v>339300</v>
      </c>
      <c r="C8" s="401" t="s">
        <v>730</v>
      </c>
      <c r="D8" s="256">
        <v>237771.62535093338</v>
      </c>
      <c r="E8" s="145"/>
      <c r="G8" s="212"/>
      <c r="H8" s="145">
        <f t="shared" si="0"/>
        <v>237771.62535093338</v>
      </c>
    </row>
    <row r="9" spans="1:8">
      <c r="B9" s="401">
        <v>339600</v>
      </c>
      <c r="C9" s="401" t="s">
        <v>469</v>
      </c>
      <c r="D9" s="256"/>
      <c r="E9" s="145"/>
      <c r="H9" s="145">
        <f t="shared" si="0"/>
        <v>0</v>
      </c>
    </row>
    <row r="10" spans="1:8">
      <c r="B10">
        <v>303200</v>
      </c>
      <c r="C10" t="s">
        <v>470</v>
      </c>
      <c r="D10" s="145">
        <v>1077363.07</v>
      </c>
      <c r="E10" s="145"/>
      <c r="H10" s="145">
        <f t="shared" si="0"/>
        <v>1077363.07</v>
      </c>
    </row>
    <row r="11" spans="1:8">
      <c r="B11">
        <v>304100</v>
      </c>
      <c r="C11" t="s">
        <v>471</v>
      </c>
      <c r="D11" s="145">
        <v>6958360.6735499967</v>
      </c>
      <c r="E11" s="145">
        <v>-885666.15631953999</v>
      </c>
      <c r="H11" s="145">
        <f t="shared" si="0"/>
        <v>6072694.5172304567</v>
      </c>
    </row>
    <row r="12" spans="1:8">
      <c r="B12">
        <v>305000</v>
      </c>
      <c r="C12" t="s">
        <v>472</v>
      </c>
      <c r="D12" s="145">
        <v>986753.19444444473</v>
      </c>
      <c r="E12" s="145">
        <v>-389055.06391323172</v>
      </c>
      <c r="H12" s="145">
        <f t="shared" si="0"/>
        <v>597698.13053121301</v>
      </c>
    </row>
    <row r="13" spans="1:8">
      <c r="B13">
        <v>306000</v>
      </c>
      <c r="C13" t="s">
        <v>473</v>
      </c>
      <c r="D13" s="145">
        <v>7449190.8330885312</v>
      </c>
      <c r="E13" s="145">
        <v>-484650.96135422646</v>
      </c>
      <c r="H13" s="145">
        <f t="shared" si="0"/>
        <v>6964539.8717343044</v>
      </c>
    </row>
    <row r="14" spans="1:8">
      <c r="B14">
        <v>307000</v>
      </c>
      <c r="C14" t="s">
        <v>474</v>
      </c>
      <c r="D14" s="145"/>
      <c r="E14" s="145"/>
      <c r="H14" s="145">
        <f t="shared" si="0"/>
        <v>0</v>
      </c>
    </row>
    <row r="15" spans="1:8">
      <c r="B15">
        <v>309000</v>
      </c>
      <c r="C15" t="s">
        <v>475</v>
      </c>
      <c r="D15" s="145">
        <v>27882254.050000016</v>
      </c>
      <c r="E15" s="145">
        <v>-3251088.1243398604</v>
      </c>
      <c r="H15" s="145">
        <f t="shared" si="0"/>
        <v>24631165.925660156</v>
      </c>
    </row>
    <row r="16" spans="1:8">
      <c r="B16">
        <v>303300</v>
      </c>
      <c r="C16" t="s">
        <v>476</v>
      </c>
      <c r="D16" s="145">
        <v>195966.12999999995</v>
      </c>
      <c r="E16" s="145"/>
      <c r="H16" s="145">
        <f t="shared" si="0"/>
        <v>195966.12999999995</v>
      </c>
    </row>
    <row r="17" spans="1:28">
      <c r="B17">
        <v>304200</v>
      </c>
      <c r="C17" t="s">
        <v>477</v>
      </c>
      <c r="D17" s="145">
        <v>9602924.4755555522</v>
      </c>
      <c r="E17" s="145">
        <v>-2364347.0598753849</v>
      </c>
      <c r="H17" s="145">
        <f t="shared" si="0"/>
        <v>7238577.4156801673</v>
      </c>
    </row>
    <row r="18" spans="1:28">
      <c r="B18">
        <v>310000</v>
      </c>
      <c r="C18" t="s">
        <v>720</v>
      </c>
      <c r="D18" s="145">
        <v>3374873.2899999972</v>
      </c>
      <c r="E18" s="145">
        <v>-567089.10037036135</v>
      </c>
      <c r="H18" s="145">
        <f t="shared" si="0"/>
        <v>2807784.1896296358</v>
      </c>
    </row>
    <row r="19" spans="1:28">
      <c r="B19">
        <v>311200</v>
      </c>
      <c r="C19" t="s">
        <v>478</v>
      </c>
      <c r="D19" s="145">
        <v>11941694.205933694</v>
      </c>
      <c r="E19" s="145">
        <v>-5448737.7702063667</v>
      </c>
      <c r="H19" s="145">
        <f t="shared" si="0"/>
        <v>6492956.4357273271</v>
      </c>
    </row>
    <row r="20" spans="1:28">
      <c r="B20">
        <v>311300</v>
      </c>
      <c r="C20" t="s">
        <v>479</v>
      </c>
      <c r="D20" s="145">
        <v>698586.55222222209</v>
      </c>
      <c r="E20" s="145">
        <v>-396280.26876685157</v>
      </c>
      <c r="H20" s="145">
        <f t="shared" si="0"/>
        <v>302306.28345537052</v>
      </c>
    </row>
    <row r="21" spans="1:28">
      <c r="B21">
        <v>311400</v>
      </c>
      <c r="C21" t="s">
        <v>480</v>
      </c>
      <c r="D21" s="145">
        <v>7727.880000000001</v>
      </c>
      <c r="E21" s="145">
        <v>-9082.4975519999898</v>
      </c>
      <c r="H21" s="145">
        <f t="shared" si="0"/>
        <v>-1354.6175519999888</v>
      </c>
    </row>
    <row r="22" spans="1:28">
      <c r="B22">
        <v>311500</v>
      </c>
      <c r="C22" t="s">
        <v>481</v>
      </c>
      <c r="D22" s="145">
        <v>-1481.0061538461539</v>
      </c>
      <c r="E22">
        <v>1517.2606608903286</v>
      </c>
      <c r="H22" s="145">
        <f t="shared" si="0"/>
        <v>36.254507044174716</v>
      </c>
    </row>
    <row r="23" spans="1:28">
      <c r="B23">
        <v>311520</v>
      </c>
      <c r="C23" t="s">
        <v>482</v>
      </c>
      <c r="D23" s="145">
        <v>14739895.636495719</v>
      </c>
      <c r="E23" s="145">
        <v>-1179101.1172283923</v>
      </c>
      <c r="H23" s="145">
        <f t="shared" si="0"/>
        <v>13560794.519267326</v>
      </c>
    </row>
    <row r="24" spans="1:28" s="498" customFormat="1">
      <c r="A24" s="519"/>
      <c r="B24" s="498">
        <v>311530</v>
      </c>
      <c r="C24" s="498" t="s">
        <v>732</v>
      </c>
      <c r="D24" s="145"/>
      <c r="E24" s="145">
        <v>242.36999999999992</v>
      </c>
      <c r="G24" s="212"/>
      <c r="H24" s="145">
        <f t="shared" si="0"/>
        <v>242.36999999999992</v>
      </c>
    </row>
    <row r="25" spans="1:28">
      <c r="B25">
        <v>311540</v>
      </c>
      <c r="C25" t="s">
        <v>483</v>
      </c>
      <c r="D25" s="145">
        <v>285667.13937606837</v>
      </c>
      <c r="E25" s="145">
        <v>70384.360975131567</v>
      </c>
      <c r="H25" s="145">
        <f t="shared" si="0"/>
        <v>356051.50035119994</v>
      </c>
      <c r="I25" s="145"/>
    </row>
    <row r="26" spans="1:28">
      <c r="B26">
        <v>303400</v>
      </c>
      <c r="C26" t="s">
        <v>484</v>
      </c>
      <c r="D26" s="145">
        <v>800183.34</v>
      </c>
      <c r="E26" s="145"/>
      <c r="H26" s="145">
        <f t="shared" si="0"/>
        <v>800183.34</v>
      </c>
      <c r="L26" s="401"/>
      <c r="M26" s="401"/>
      <c r="N26" s="401"/>
      <c r="O26" s="401"/>
      <c r="P26" s="401"/>
      <c r="Q26" s="401"/>
      <c r="R26" s="401"/>
      <c r="S26" s="401"/>
      <c r="T26" s="401"/>
      <c r="U26" s="401"/>
      <c r="V26" s="401"/>
      <c r="W26" s="401"/>
      <c r="X26" s="401"/>
      <c r="Y26" s="401"/>
      <c r="Z26" s="401"/>
      <c r="AA26" s="401"/>
      <c r="AB26" s="401"/>
    </row>
    <row r="27" spans="1:28">
      <c r="B27">
        <v>304300</v>
      </c>
      <c r="C27" t="s">
        <v>485</v>
      </c>
      <c r="D27" s="145">
        <v>26418623.956444427</v>
      </c>
      <c r="E27" s="145">
        <v>-3708400.976443639</v>
      </c>
      <c r="H27" s="145">
        <f t="shared" si="0"/>
        <v>22710222.980000786</v>
      </c>
      <c r="L27" s="401"/>
      <c r="M27" s="401"/>
      <c r="N27" s="401"/>
      <c r="O27" s="401"/>
      <c r="P27" s="401"/>
      <c r="Q27" s="401"/>
      <c r="R27" s="401"/>
      <c r="S27" s="401"/>
      <c r="T27" s="401"/>
      <c r="U27" s="401"/>
      <c r="V27" s="401"/>
      <c r="W27" s="401"/>
      <c r="X27" s="401"/>
      <c r="Y27" s="401"/>
      <c r="Z27" s="401"/>
      <c r="AA27" s="401"/>
      <c r="AB27" s="401"/>
    </row>
    <row r="28" spans="1:28" s="401" customFormat="1">
      <c r="B28" s="401">
        <v>320100</v>
      </c>
      <c r="C28" s="401" t="s">
        <v>486</v>
      </c>
      <c r="D28" s="256">
        <v>52590018.706162363</v>
      </c>
      <c r="E28" s="256">
        <v>-17299877.15869914</v>
      </c>
      <c r="G28" s="479"/>
      <c r="H28" s="256">
        <f t="shared" si="0"/>
        <v>35290141.547463223</v>
      </c>
    </row>
    <row r="29" spans="1:28" s="401" customFormat="1">
      <c r="B29" s="401">
        <v>3201001</v>
      </c>
      <c r="C29" s="401" t="s">
        <v>487</v>
      </c>
      <c r="D29" s="256"/>
      <c r="G29" s="479"/>
      <c r="H29" s="256">
        <f t="shared" si="0"/>
        <v>0</v>
      </c>
    </row>
    <row r="30" spans="1:28" s="401" customFormat="1">
      <c r="B30" s="401">
        <v>320200</v>
      </c>
      <c r="C30" s="401" t="s">
        <v>488</v>
      </c>
      <c r="D30" s="256">
        <v>508587.92</v>
      </c>
      <c r="E30" s="256">
        <v>-398140.78263466625</v>
      </c>
      <c r="G30" s="479"/>
      <c r="H30" s="256">
        <f t="shared" si="0"/>
        <v>110447.13736533374</v>
      </c>
      <c r="I30" s="256"/>
    </row>
    <row r="31" spans="1:28" s="401" customFormat="1">
      <c r="B31" s="401">
        <v>303500</v>
      </c>
      <c r="C31" s="401" t="s">
        <v>489</v>
      </c>
      <c r="D31" s="256">
        <v>7692948.2194994874</v>
      </c>
      <c r="E31" s="256">
        <v>3547.3436675195471</v>
      </c>
      <c r="G31" s="479"/>
      <c r="H31" s="256">
        <f t="shared" si="0"/>
        <v>7696495.5631670067</v>
      </c>
    </row>
    <row r="32" spans="1:28" s="401" customFormat="1">
      <c r="B32" s="401">
        <v>304400</v>
      </c>
      <c r="C32" s="401" t="s">
        <v>490</v>
      </c>
      <c r="D32" s="256">
        <v>909077.21461538435</v>
      </c>
      <c r="E32" s="256">
        <v>-606074.27725229354</v>
      </c>
      <c r="G32" s="479"/>
      <c r="H32" s="256">
        <f t="shared" si="0"/>
        <v>303002.93736309081</v>
      </c>
    </row>
    <row r="33" spans="1:21" s="401" customFormat="1">
      <c r="B33" s="401">
        <v>330000</v>
      </c>
      <c r="C33" s="401" t="s">
        <v>491</v>
      </c>
      <c r="D33" s="256">
        <v>1771358.2399999995</v>
      </c>
      <c r="E33" s="256">
        <v>-312225.24460088869</v>
      </c>
      <c r="F33" s="256"/>
      <c r="G33" s="479"/>
      <c r="H33" s="256">
        <f t="shared" si="0"/>
        <v>1459132.995399111</v>
      </c>
    </row>
    <row r="34" spans="1:21" s="401" customFormat="1">
      <c r="B34" s="401">
        <v>330100</v>
      </c>
      <c r="C34" s="401" t="s">
        <v>492</v>
      </c>
      <c r="D34" s="256">
        <v>12083403.728290591</v>
      </c>
      <c r="E34" s="256">
        <v>-3825468.2842437397</v>
      </c>
      <c r="F34" s="256"/>
      <c r="G34" s="479"/>
      <c r="H34" s="256">
        <f t="shared" si="0"/>
        <v>8257935.4440468512</v>
      </c>
      <c r="I34" s="256"/>
      <c r="R34" s="605"/>
      <c r="S34" s="605"/>
      <c r="T34" s="605"/>
    </row>
    <row r="35" spans="1:21" s="401" customFormat="1">
      <c r="B35" s="401">
        <v>330200</v>
      </c>
      <c r="C35" s="401" t="s">
        <v>493</v>
      </c>
      <c r="D35" s="256">
        <v>3582591.2739393716</v>
      </c>
      <c r="E35" s="256">
        <v>-160053.13317365802</v>
      </c>
      <c r="F35" s="256"/>
      <c r="G35" s="479"/>
      <c r="H35" s="256">
        <f t="shared" si="0"/>
        <v>3422538.1407657135</v>
      </c>
      <c r="O35" s="606"/>
      <c r="P35" s="606"/>
      <c r="Q35" s="607"/>
      <c r="R35" s="607"/>
      <c r="S35" s="607"/>
      <c r="T35" s="607"/>
      <c r="U35" s="607"/>
    </row>
    <row r="36" spans="1:21" s="401" customFormat="1">
      <c r="B36" s="401">
        <v>330400</v>
      </c>
      <c r="C36" s="401" t="s">
        <v>494</v>
      </c>
      <c r="D36" s="256">
        <v>2581756.8999999994</v>
      </c>
      <c r="E36" s="256">
        <v>-142964.1445599999</v>
      </c>
      <c r="G36" s="479"/>
      <c r="H36" s="256">
        <f t="shared" si="0"/>
        <v>2438792.7554399995</v>
      </c>
      <c r="I36" s="256"/>
      <c r="L36" s="499"/>
      <c r="O36" s="256"/>
      <c r="P36" s="256"/>
      <c r="Q36" s="256"/>
    </row>
    <row r="37" spans="1:21" s="401" customFormat="1" ht="14.25" customHeight="1">
      <c r="A37" s="479"/>
      <c r="B37" s="401">
        <v>331001</v>
      </c>
      <c r="C37" s="401" t="s">
        <v>722</v>
      </c>
      <c r="D37" s="479">
        <v>7565128.7999999942</v>
      </c>
      <c r="E37" s="256">
        <v>-1249189.8</v>
      </c>
      <c r="F37" s="256">
        <v>-1762372.3089432786</v>
      </c>
      <c r="G37" s="479">
        <v>-856139.13411442412</v>
      </c>
      <c r="H37" s="256">
        <f>+D37+E37+F37+G37</f>
        <v>3697427.5569422911</v>
      </c>
      <c r="I37" s="479"/>
      <c r="J37" s="479"/>
      <c r="K37" s="479"/>
      <c r="L37" s="499"/>
      <c r="P37" s="608"/>
      <c r="Q37" s="479"/>
      <c r="R37" s="256"/>
      <c r="S37" s="256"/>
      <c r="U37" s="256"/>
    </row>
    <row r="38" spans="1:21" s="401" customFormat="1">
      <c r="A38" s="256"/>
      <c r="C38" s="401" t="s">
        <v>721</v>
      </c>
      <c r="D38" s="256">
        <v>13270497.380000006</v>
      </c>
      <c r="E38" s="256">
        <v>-2191287.21</v>
      </c>
      <c r="F38" s="256">
        <v>-3091494.9007102638</v>
      </c>
      <c r="G38" s="479">
        <v>-1501810.800125564</v>
      </c>
      <c r="H38" s="256">
        <f t="shared" ref="H38:H76" si="1">+D38+E38+F38+G38</f>
        <v>6485904.4691641778</v>
      </c>
      <c r="I38" s="479"/>
      <c r="J38" s="479"/>
      <c r="K38" s="479"/>
      <c r="L38" s="499"/>
      <c r="P38" s="608"/>
      <c r="Q38" s="479"/>
      <c r="R38" s="256"/>
      <c r="S38" s="256"/>
      <c r="T38" s="256"/>
      <c r="U38" s="256"/>
    </row>
    <row r="39" spans="1:21" s="401" customFormat="1">
      <c r="A39" s="520"/>
      <c r="C39" s="401" t="s">
        <v>723</v>
      </c>
      <c r="D39" s="256">
        <v>102853946.19242197</v>
      </c>
      <c r="E39" s="256">
        <v>-16983729.390000001</v>
      </c>
      <c r="F39" s="256">
        <v>-23960853.995647315</v>
      </c>
      <c r="G39" s="479">
        <v>-11639892.824221551</v>
      </c>
      <c r="H39" s="256">
        <f t="shared" si="1"/>
        <v>50269469.98255311</v>
      </c>
      <c r="I39" s="479"/>
      <c r="J39" s="479"/>
      <c r="K39" s="479"/>
      <c r="L39" s="499"/>
      <c r="P39" s="608"/>
      <c r="Q39" s="479"/>
      <c r="R39" s="256"/>
      <c r="S39" s="256"/>
      <c r="T39" s="256"/>
      <c r="U39" s="256"/>
    </row>
    <row r="40" spans="1:21" s="401" customFormat="1">
      <c r="A40" s="256"/>
      <c r="C40" s="401" t="s">
        <v>724</v>
      </c>
      <c r="D40" s="256">
        <v>55709289.422293097</v>
      </c>
      <c r="E40" s="256">
        <v>-9198980.9900000002</v>
      </c>
      <c r="F40" s="256"/>
      <c r="G40" s="479"/>
      <c r="H40" s="256">
        <f t="shared" si="1"/>
        <v>46510308.432293095</v>
      </c>
      <c r="I40" s="479"/>
      <c r="J40" s="479"/>
      <c r="K40" s="479"/>
      <c r="L40" s="499"/>
      <c r="P40" s="608"/>
      <c r="Q40" s="479"/>
      <c r="R40" s="256"/>
      <c r="S40" s="256"/>
      <c r="T40" s="256"/>
      <c r="U40" s="256"/>
    </row>
    <row r="41" spans="1:21" s="401" customFormat="1">
      <c r="C41" s="401" t="s">
        <v>725</v>
      </c>
      <c r="D41" s="256">
        <v>92694476.730000034</v>
      </c>
      <c r="E41" s="256">
        <v>-15306149.810000001</v>
      </c>
      <c r="F41" s="256"/>
      <c r="G41" s="479"/>
      <c r="H41" s="256">
        <f t="shared" si="1"/>
        <v>77388326.920000032</v>
      </c>
      <c r="I41" s="479"/>
      <c r="J41" s="479"/>
      <c r="K41" s="479"/>
      <c r="L41" s="499"/>
      <c r="P41" s="608"/>
      <c r="Q41" s="479"/>
      <c r="R41" s="256"/>
      <c r="S41" s="256"/>
      <c r="T41" s="256"/>
      <c r="U41" s="256"/>
    </row>
    <row r="42" spans="1:21" s="401" customFormat="1">
      <c r="B42" s="401">
        <v>333000</v>
      </c>
      <c r="C42" s="401" t="s">
        <v>495</v>
      </c>
      <c r="D42" s="256">
        <v>50133322.426976748</v>
      </c>
      <c r="E42" s="256">
        <v>-20716230.637935605</v>
      </c>
      <c r="F42" s="256">
        <v>-20840817.71671357</v>
      </c>
      <c r="G42" s="479"/>
      <c r="H42" s="256">
        <f t="shared" si="1"/>
        <v>8576274.0723275729</v>
      </c>
      <c r="I42" s="479"/>
      <c r="J42" s="479"/>
      <c r="K42" s="479"/>
      <c r="L42" s="499"/>
      <c r="R42" s="256"/>
      <c r="U42" s="256"/>
    </row>
    <row r="43" spans="1:21" s="401" customFormat="1">
      <c r="B43" s="401">
        <v>334100</v>
      </c>
      <c r="C43" s="401" t="s">
        <v>496</v>
      </c>
      <c r="D43" s="256">
        <v>17509021.40833775</v>
      </c>
      <c r="E43" s="256">
        <v>907141.21447527548</v>
      </c>
      <c r="F43" s="256">
        <v>-849570.91682446178</v>
      </c>
      <c r="G43" s="479"/>
      <c r="H43" s="256">
        <f t="shared" si="1"/>
        <v>17566591.705988564</v>
      </c>
      <c r="I43" s="479"/>
      <c r="J43" s="479"/>
      <c r="K43" s="479"/>
      <c r="L43" s="499"/>
    </row>
    <row r="44" spans="1:21" s="401" customFormat="1">
      <c r="B44" s="401">
        <v>334110</v>
      </c>
      <c r="C44" s="401" t="s">
        <v>497</v>
      </c>
      <c r="D44" s="256">
        <v>2270905.3044444425</v>
      </c>
      <c r="E44" s="256">
        <v>-421478.68621037068</v>
      </c>
      <c r="F44" s="256"/>
      <c r="G44" s="479"/>
      <c r="H44" s="256">
        <f t="shared" si="1"/>
        <v>1849426.6182340719</v>
      </c>
      <c r="I44" s="479"/>
      <c r="J44" s="479"/>
      <c r="K44" s="479"/>
      <c r="L44" s="499"/>
    </row>
    <row r="45" spans="1:21" s="401" customFormat="1">
      <c r="B45" s="401">
        <v>334120</v>
      </c>
      <c r="C45" s="401" t="s">
        <v>498</v>
      </c>
      <c r="D45" s="256">
        <v>242891.55333333323</v>
      </c>
      <c r="E45" s="256">
        <v>342233.75533402804</v>
      </c>
      <c r="F45" s="256"/>
      <c r="G45" s="479"/>
      <c r="H45" s="256">
        <f t="shared" si="1"/>
        <v>585125.30866736127</v>
      </c>
      <c r="I45" s="479"/>
      <c r="J45" s="479"/>
      <c r="K45" s="479"/>
      <c r="L45" s="499"/>
    </row>
    <row r="46" spans="1:21" s="401" customFormat="1">
      <c r="B46" s="401">
        <v>334130</v>
      </c>
      <c r="C46" s="401" t="s">
        <v>499</v>
      </c>
      <c r="D46" s="256">
        <v>6082046.5322222169</v>
      </c>
      <c r="E46" s="256">
        <v>47165.763531990924</v>
      </c>
      <c r="F46" s="256"/>
      <c r="G46" s="479"/>
      <c r="H46" s="256">
        <f t="shared" si="1"/>
        <v>6129212.2957542082</v>
      </c>
      <c r="I46" s="479"/>
      <c r="J46" s="479"/>
      <c r="K46" s="479"/>
      <c r="L46" s="499"/>
      <c r="O46" s="609"/>
    </row>
    <row r="47" spans="1:21" s="401" customFormat="1">
      <c r="B47" s="401">
        <v>334131</v>
      </c>
      <c r="C47" s="401" t="s">
        <v>726</v>
      </c>
      <c r="D47" s="256">
        <v>314140.64999999997</v>
      </c>
      <c r="E47" s="256">
        <v>-50402.961799999997</v>
      </c>
      <c r="F47" s="256"/>
      <c r="G47" s="479"/>
      <c r="H47" s="256">
        <f t="shared" si="1"/>
        <v>263737.68819999998</v>
      </c>
      <c r="I47" s="479"/>
      <c r="J47" s="479"/>
      <c r="K47" s="479"/>
      <c r="L47" s="499"/>
      <c r="O47" s="609"/>
    </row>
    <row r="48" spans="1:21" s="401" customFormat="1">
      <c r="B48" s="401">
        <v>334200</v>
      </c>
      <c r="C48" s="401" t="s">
        <v>500</v>
      </c>
      <c r="D48" s="256">
        <v>18446207.750893954</v>
      </c>
      <c r="E48" s="256">
        <v>-6435091.0121286251</v>
      </c>
      <c r="F48" s="256"/>
      <c r="G48" s="479"/>
      <c r="H48" s="256">
        <f t="shared" si="1"/>
        <v>12011116.738765329</v>
      </c>
      <c r="I48" s="479"/>
      <c r="J48" s="479"/>
      <c r="K48" s="479"/>
      <c r="L48" s="499"/>
      <c r="R48" s="605"/>
      <c r="S48" s="605"/>
      <c r="T48" s="605"/>
    </row>
    <row r="49" spans="1:28" s="401" customFormat="1">
      <c r="B49" s="401">
        <v>334300</v>
      </c>
      <c r="C49" s="401" t="s">
        <v>501</v>
      </c>
      <c r="D49" s="256">
        <v>510582.20564102591</v>
      </c>
      <c r="E49" s="256">
        <v>85563.037120166628</v>
      </c>
      <c r="F49" s="256"/>
      <c r="G49" s="479"/>
      <c r="H49" s="256">
        <f t="shared" si="1"/>
        <v>596145.24276119249</v>
      </c>
      <c r="I49" s="479"/>
      <c r="J49" s="479"/>
      <c r="K49" s="479"/>
      <c r="L49" s="499"/>
      <c r="O49" s="606"/>
      <c r="P49" s="606"/>
      <c r="Q49" s="607"/>
      <c r="R49" s="607"/>
      <c r="S49" s="607"/>
      <c r="T49" s="607"/>
      <c r="U49" s="607"/>
    </row>
    <row r="50" spans="1:28" s="401" customFormat="1">
      <c r="B50" s="401">
        <v>335000</v>
      </c>
      <c r="C50" s="401" t="s">
        <v>502</v>
      </c>
      <c r="D50" s="256">
        <v>14553432.936702345</v>
      </c>
      <c r="E50" s="256">
        <v>-3785678.8742556195</v>
      </c>
      <c r="F50" s="256">
        <v>-1733580.3495530523</v>
      </c>
      <c r="G50" s="479"/>
      <c r="H50" s="256">
        <f t="shared" si="1"/>
        <v>9034173.7128936723</v>
      </c>
      <c r="I50" s="479"/>
      <c r="J50" s="479"/>
      <c r="K50" s="479"/>
      <c r="L50" s="499"/>
      <c r="O50" s="256"/>
      <c r="P50" s="256"/>
      <c r="Q50" s="256"/>
      <c r="W50" s="607"/>
      <c r="X50" s="607"/>
      <c r="Y50" s="607"/>
      <c r="Z50" s="607"/>
      <c r="AA50" s="607"/>
      <c r="AB50" s="607"/>
    </row>
    <row r="51" spans="1:28" s="401" customFormat="1">
      <c r="B51" s="401">
        <v>304500</v>
      </c>
      <c r="C51" s="401" t="s">
        <v>503</v>
      </c>
      <c r="D51" s="256">
        <v>4272344.4093882497</v>
      </c>
      <c r="E51" s="256">
        <v>-364489.0744164596</v>
      </c>
      <c r="G51" s="479"/>
      <c r="H51" s="256">
        <f t="shared" si="1"/>
        <v>3907855.3349717902</v>
      </c>
      <c r="I51" s="479"/>
      <c r="J51" s="479"/>
      <c r="K51" s="500"/>
      <c r="L51" s="499"/>
      <c r="P51" s="608"/>
      <c r="Q51" s="479"/>
      <c r="R51" s="256"/>
      <c r="S51" s="256"/>
      <c r="U51" s="256"/>
      <c r="W51" s="610"/>
      <c r="X51" s="610"/>
      <c r="Y51" s="610"/>
      <c r="Z51" s="611"/>
      <c r="AA51" s="610"/>
      <c r="AB51" s="610"/>
    </row>
    <row r="52" spans="1:28" s="401" customFormat="1" ht="15">
      <c r="B52" s="401">
        <v>304600</v>
      </c>
      <c r="C52" s="401" t="s">
        <v>504</v>
      </c>
      <c r="D52" s="256">
        <v>5754869.8166666673</v>
      </c>
      <c r="E52" s="256">
        <v>-1501208.3257400715</v>
      </c>
      <c r="G52" s="479"/>
      <c r="H52" s="256">
        <f t="shared" si="1"/>
        <v>4253661.4909265954</v>
      </c>
      <c r="I52" s="479"/>
      <c r="J52" s="479"/>
      <c r="K52" s="256"/>
      <c r="P52" s="608"/>
      <c r="Q52" s="479"/>
      <c r="R52" s="256"/>
      <c r="S52" s="256"/>
      <c r="T52" s="256"/>
      <c r="U52" s="256"/>
      <c r="W52" s="612"/>
      <c r="X52" s="612"/>
      <c r="Y52" s="612"/>
      <c r="Z52" s="611"/>
      <c r="AA52" s="612"/>
      <c r="AB52" s="612"/>
    </row>
    <row r="53" spans="1:28" s="401" customFormat="1">
      <c r="B53" s="401">
        <v>304700</v>
      </c>
      <c r="C53" s="401" t="s">
        <v>505</v>
      </c>
      <c r="D53" s="256">
        <v>1786123.5577777789</v>
      </c>
      <c r="E53" s="256">
        <v>-416578.06334896974</v>
      </c>
      <c r="F53" s="256"/>
      <c r="G53" s="479"/>
      <c r="H53" s="256">
        <f t="shared" si="1"/>
        <v>1369545.4944288093</v>
      </c>
      <c r="I53" s="479"/>
      <c r="J53" s="479"/>
      <c r="K53" s="479"/>
      <c r="U53" s="256"/>
      <c r="W53" s="610"/>
      <c r="X53" s="610"/>
      <c r="Y53" s="610"/>
      <c r="AA53" s="610"/>
      <c r="AB53" s="610"/>
    </row>
    <row r="54" spans="1:28" s="401" customFormat="1">
      <c r="B54" s="401">
        <v>304800</v>
      </c>
      <c r="C54" s="401" t="s">
        <v>506</v>
      </c>
      <c r="D54" s="256">
        <v>1652590.6085470095</v>
      </c>
      <c r="E54" s="256">
        <v>-380739.07069532986</v>
      </c>
      <c r="G54" s="479"/>
      <c r="H54" s="256">
        <f t="shared" si="1"/>
        <v>1271851.5378516796</v>
      </c>
    </row>
    <row r="55" spans="1:28" s="401" customFormat="1">
      <c r="B55" s="401">
        <v>340100</v>
      </c>
      <c r="C55" s="401" t="s">
        <v>507</v>
      </c>
      <c r="D55" s="256">
        <v>767891.290485073</v>
      </c>
      <c r="E55" s="256">
        <v>-537144.0088833262</v>
      </c>
      <c r="G55" s="479"/>
      <c r="H55" s="256">
        <f t="shared" si="1"/>
        <v>230747.2816017468</v>
      </c>
    </row>
    <row r="56" spans="1:28" s="401" customFormat="1">
      <c r="B56" s="401">
        <v>340210</v>
      </c>
      <c r="C56" s="401" t="s">
        <v>508</v>
      </c>
      <c r="D56" s="256">
        <v>81973.903333333321</v>
      </c>
      <c r="E56" s="256">
        <v>-82763.618888888886</v>
      </c>
      <c r="G56" s="479"/>
      <c r="H56" s="256">
        <f t="shared" si="1"/>
        <v>-789.71555555556552</v>
      </c>
    </row>
    <row r="57" spans="1:28" s="401" customFormat="1">
      <c r="B57" s="401">
        <v>340220</v>
      </c>
      <c r="C57" s="401" t="s">
        <v>509</v>
      </c>
      <c r="D57" s="256">
        <v>847824.34222222259</v>
      </c>
      <c r="E57" s="256">
        <v>-1006858.5033425906</v>
      </c>
      <c r="G57" s="479"/>
      <c r="H57" s="256">
        <f t="shared" si="1"/>
        <v>-159034.16112036805</v>
      </c>
    </row>
    <row r="58" spans="1:28" s="401" customFormat="1">
      <c r="B58" s="401">
        <v>340230</v>
      </c>
      <c r="C58" s="401" t="s">
        <v>510</v>
      </c>
      <c r="D58" s="256">
        <v>736455.15888888924</v>
      </c>
      <c r="E58" s="256">
        <v>-399253.4996203708</v>
      </c>
      <c r="G58" s="479"/>
      <c r="H58" s="256">
        <f t="shared" si="1"/>
        <v>337201.65926851844</v>
      </c>
    </row>
    <row r="59" spans="1:28" s="401" customFormat="1">
      <c r="B59" s="401">
        <v>340300</v>
      </c>
      <c r="C59" s="401" t="s">
        <v>727</v>
      </c>
      <c r="D59" s="256">
        <v>3586099.8426052015</v>
      </c>
      <c r="E59" s="256">
        <v>-4546239.976642034</v>
      </c>
      <c r="G59" s="479"/>
      <c r="H59" s="256">
        <f t="shared" si="1"/>
        <v>-960140.13403683249</v>
      </c>
    </row>
    <row r="60" spans="1:28" s="401" customFormat="1">
      <c r="B60" s="401">
        <v>340315</v>
      </c>
      <c r="C60" s="401" t="s">
        <v>729</v>
      </c>
      <c r="D60" s="256">
        <v>11545570.234589351</v>
      </c>
      <c r="E60" s="256">
        <v>-1574381.4155579754</v>
      </c>
      <c r="G60" s="479"/>
      <c r="H60" s="256">
        <f t="shared" si="1"/>
        <v>9971188.8190313764</v>
      </c>
    </row>
    <row r="61" spans="1:28">
      <c r="B61">
        <v>340320</v>
      </c>
      <c r="C61" t="s">
        <v>511</v>
      </c>
      <c r="D61" s="145">
        <v>3480.9899999999984</v>
      </c>
      <c r="E61" s="145">
        <v>-262926.93733333366</v>
      </c>
      <c r="H61" s="145">
        <f t="shared" si="1"/>
        <v>-259445.94733333366</v>
      </c>
      <c r="L61" s="401"/>
      <c r="M61" s="401"/>
      <c r="N61" s="401"/>
      <c r="O61" s="401"/>
      <c r="P61" s="401"/>
      <c r="Q61" s="401"/>
      <c r="R61" s="401"/>
      <c r="S61" s="401"/>
      <c r="T61" s="401"/>
      <c r="U61" s="401"/>
      <c r="V61" s="401"/>
      <c r="W61" s="401"/>
      <c r="X61" s="401"/>
      <c r="Y61" s="401"/>
      <c r="Z61" s="401"/>
      <c r="AA61" s="401"/>
      <c r="AB61" s="401"/>
    </row>
    <row r="62" spans="1:28" s="498" customFormat="1">
      <c r="A62" s="519"/>
      <c r="B62" s="498">
        <v>340325</v>
      </c>
      <c r="C62" s="498" t="s">
        <v>728</v>
      </c>
      <c r="D62" s="145">
        <v>700218.11999999988</v>
      </c>
      <c r="E62" s="145">
        <v>-520452.69200000033</v>
      </c>
      <c r="G62" s="212"/>
      <c r="H62" s="145">
        <f t="shared" si="1"/>
        <v>179765.42799999955</v>
      </c>
      <c r="L62" s="401"/>
      <c r="M62" s="401"/>
      <c r="N62" s="401"/>
      <c r="O62" s="401"/>
      <c r="P62" s="401"/>
      <c r="Q62" s="401"/>
      <c r="R62" s="401"/>
      <c r="S62" s="401"/>
      <c r="T62" s="401"/>
      <c r="U62" s="401"/>
      <c r="V62" s="401"/>
      <c r="W62" s="401"/>
      <c r="X62" s="401"/>
      <c r="Y62" s="401"/>
      <c r="Z62" s="401"/>
      <c r="AA62" s="401"/>
      <c r="AB62" s="401"/>
    </row>
    <row r="63" spans="1:28">
      <c r="B63">
        <v>340330</v>
      </c>
      <c r="C63" t="s">
        <v>512</v>
      </c>
      <c r="D63" s="145">
        <v>765081.17999999982</v>
      </c>
      <c r="E63" s="145">
        <v>-739774.80799999915</v>
      </c>
      <c r="H63" s="145">
        <f t="shared" si="1"/>
        <v>25306.372000000672</v>
      </c>
      <c r="L63" s="401"/>
      <c r="M63" s="401"/>
      <c r="N63" s="401"/>
      <c r="O63" s="401"/>
      <c r="P63" s="401"/>
      <c r="Q63" s="401"/>
      <c r="R63" s="401"/>
      <c r="S63" s="401"/>
      <c r="T63" s="401"/>
      <c r="U63" s="401"/>
      <c r="V63" s="401"/>
      <c r="W63" s="401"/>
      <c r="X63" s="401"/>
      <c r="Y63" s="401"/>
      <c r="Z63" s="401"/>
      <c r="AA63" s="401"/>
      <c r="AB63" s="401"/>
    </row>
    <row r="64" spans="1:28">
      <c r="B64">
        <v>340500</v>
      </c>
      <c r="C64" t="s">
        <v>513</v>
      </c>
      <c r="D64" s="145">
        <v>65686.09333333328</v>
      </c>
      <c r="E64" s="145">
        <v>-64317.163162673554</v>
      </c>
      <c r="H64" s="145">
        <f t="shared" si="1"/>
        <v>1368.9301706597253</v>
      </c>
      <c r="L64" s="401"/>
      <c r="M64" s="401"/>
      <c r="N64" s="401"/>
      <c r="O64" s="401"/>
      <c r="P64" s="401"/>
      <c r="Q64" s="401"/>
      <c r="R64" s="401"/>
      <c r="S64" s="401"/>
      <c r="T64" s="401"/>
      <c r="U64" s="401"/>
      <c r="V64" s="401"/>
      <c r="W64" s="401"/>
      <c r="X64" s="401"/>
      <c r="Y64" s="401"/>
      <c r="Z64" s="401"/>
      <c r="AA64" s="401"/>
      <c r="AB64" s="401"/>
    </row>
    <row r="65" spans="2:28">
      <c r="B65">
        <v>341100</v>
      </c>
      <c r="C65" t="s">
        <v>514</v>
      </c>
      <c r="D65" s="145">
        <v>1959641.1394169775</v>
      </c>
      <c r="E65" s="145">
        <v>-847663.64991076232</v>
      </c>
      <c r="F65" s="328"/>
      <c r="H65" s="145">
        <f t="shared" si="1"/>
        <v>1111977.4895062153</v>
      </c>
      <c r="L65" s="401"/>
      <c r="M65" s="401"/>
      <c r="N65" s="401"/>
      <c r="O65" s="401"/>
      <c r="P65" s="401"/>
      <c r="Q65" s="401"/>
      <c r="R65" s="401"/>
      <c r="S65" s="401"/>
      <c r="T65" s="401"/>
      <c r="U65" s="401"/>
      <c r="V65" s="401"/>
      <c r="W65" s="401"/>
      <c r="X65" s="401"/>
      <c r="Y65" s="401"/>
      <c r="Z65" s="401"/>
      <c r="AA65" s="401"/>
      <c r="AB65" s="401"/>
    </row>
    <row r="66" spans="2:28">
      <c r="B66">
        <v>341200</v>
      </c>
      <c r="C66" t="s">
        <v>515</v>
      </c>
      <c r="D66" s="145">
        <v>1891615.8188555564</v>
      </c>
      <c r="E66" s="145">
        <v>-686502.37259296328</v>
      </c>
      <c r="H66" s="145">
        <f t="shared" si="1"/>
        <v>1205113.4462625931</v>
      </c>
      <c r="L66" s="401"/>
      <c r="M66" s="401"/>
      <c r="N66" s="401"/>
      <c r="O66" s="401"/>
      <c r="P66" s="401"/>
      <c r="Q66" s="401"/>
      <c r="R66" s="401"/>
      <c r="S66" s="401"/>
      <c r="T66" s="401"/>
      <c r="U66" s="401"/>
      <c r="V66" s="401"/>
      <c r="W66" s="401"/>
      <c r="X66" s="401"/>
      <c r="Y66" s="401"/>
      <c r="Z66" s="401"/>
      <c r="AA66" s="401"/>
      <c r="AB66" s="401"/>
    </row>
    <row r="67" spans="2:28">
      <c r="B67">
        <v>341300</v>
      </c>
      <c r="C67" t="s">
        <v>516</v>
      </c>
      <c r="D67" s="145">
        <v>332674.06977501564</v>
      </c>
      <c r="E67" s="145">
        <v>-194805.1465932423</v>
      </c>
      <c r="H67" s="145">
        <f t="shared" si="1"/>
        <v>137868.92318177334</v>
      </c>
      <c r="L67" s="401"/>
      <c r="M67" s="401"/>
      <c r="N67" s="401"/>
      <c r="O67" s="401"/>
      <c r="P67" s="401"/>
      <c r="Q67" s="401"/>
      <c r="R67" s="401"/>
      <c r="S67" s="401"/>
      <c r="T67" s="401"/>
      <c r="U67" s="401"/>
      <c r="V67" s="401"/>
      <c r="W67" s="401"/>
      <c r="X67" s="401"/>
      <c r="Y67" s="401"/>
      <c r="Z67" s="401"/>
      <c r="AA67" s="401"/>
      <c r="AB67" s="401"/>
    </row>
    <row r="68" spans="2:28">
      <c r="B68">
        <v>341400</v>
      </c>
      <c r="C68" t="s">
        <v>517</v>
      </c>
      <c r="D68" s="145">
        <v>581428.68444444414</v>
      </c>
      <c r="E68" s="145">
        <v>-219147.21396512253</v>
      </c>
      <c r="H68" s="145">
        <f t="shared" si="1"/>
        <v>362281.47047932161</v>
      </c>
      <c r="L68" s="401"/>
      <c r="M68" s="401"/>
      <c r="N68" s="401"/>
      <c r="O68" s="401"/>
      <c r="P68" s="401"/>
      <c r="Q68" s="401"/>
      <c r="R68" s="401"/>
      <c r="S68" s="401"/>
      <c r="T68" s="401"/>
      <c r="U68" s="401"/>
      <c r="V68" s="401"/>
      <c r="W68" s="401"/>
      <c r="X68" s="401"/>
      <c r="Y68" s="401"/>
      <c r="Z68" s="401"/>
      <c r="AA68" s="401"/>
      <c r="AB68" s="401"/>
    </row>
    <row r="69" spans="2:28">
      <c r="B69">
        <v>342000</v>
      </c>
      <c r="C69" t="s">
        <v>518</v>
      </c>
      <c r="D69" s="145">
        <v>37494.295555555502</v>
      </c>
      <c r="E69" s="145">
        <v>-35009.196804629581</v>
      </c>
      <c r="H69" s="145">
        <f t="shared" si="1"/>
        <v>2485.0987509259212</v>
      </c>
      <c r="L69" s="401"/>
      <c r="M69" s="401"/>
      <c r="N69" s="401"/>
      <c r="O69" s="401"/>
      <c r="P69" s="401"/>
      <c r="Q69" s="401"/>
      <c r="R69" s="401"/>
      <c r="S69" s="401"/>
      <c r="T69" s="401"/>
      <c r="U69" s="401"/>
      <c r="V69" s="401"/>
      <c r="W69" s="401"/>
      <c r="X69" s="401"/>
      <c r="Y69" s="401"/>
      <c r="Z69" s="401"/>
      <c r="AA69" s="401"/>
      <c r="AB69" s="401"/>
    </row>
    <row r="70" spans="2:28">
      <c r="B70">
        <v>343000</v>
      </c>
      <c r="C70" t="s">
        <v>519</v>
      </c>
      <c r="D70" s="145">
        <v>2635323.3567521349</v>
      </c>
      <c r="E70" s="145">
        <v>-1203412.486402761</v>
      </c>
      <c r="H70" s="145">
        <f t="shared" si="1"/>
        <v>1431910.8703493739</v>
      </c>
      <c r="L70" s="401"/>
      <c r="M70" s="401"/>
      <c r="N70" s="401"/>
      <c r="O70" s="401"/>
      <c r="P70" s="401"/>
      <c r="Q70" s="401"/>
      <c r="R70" s="401"/>
      <c r="S70" s="401"/>
      <c r="T70" s="401"/>
      <c r="U70" s="401"/>
      <c r="V70" s="401"/>
      <c r="W70" s="401"/>
      <c r="X70" s="401"/>
      <c r="Y70" s="401"/>
      <c r="Z70" s="401"/>
      <c r="AA70" s="401"/>
      <c r="AB70" s="401"/>
    </row>
    <row r="71" spans="2:28">
      <c r="B71">
        <v>344000</v>
      </c>
      <c r="C71" t="s">
        <v>520</v>
      </c>
      <c r="D71" s="145">
        <v>1265249.865617123</v>
      </c>
      <c r="E71" s="145">
        <v>-746019.32015382324</v>
      </c>
      <c r="H71" s="145">
        <f t="shared" si="1"/>
        <v>519230.54546329973</v>
      </c>
      <c r="L71" s="401"/>
      <c r="M71" s="401"/>
      <c r="N71" s="401"/>
      <c r="O71" s="401"/>
      <c r="P71" s="401"/>
      <c r="Q71" s="401"/>
      <c r="R71" s="401"/>
      <c r="S71" s="401"/>
      <c r="T71" s="401"/>
      <c r="U71" s="401"/>
      <c r="V71" s="401"/>
      <c r="W71" s="401"/>
      <c r="X71" s="401"/>
      <c r="Y71" s="401"/>
      <c r="Z71" s="401"/>
      <c r="AA71" s="401"/>
      <c r="AB71" s="401"/>
    </row>
    <row r="72" spans="2:28">
      <c r="B72">
        <v>345000</v>
      </c>
      <c r="C72" t="s">
        <v>521</v>
      </c>
      <c r="D72" s="145">
        <v>1440949.9752136758</v>
      </c>
      <c r="E72" s="145">
        <v>-932292.082241775</v>
      </c>
      <c r="H72" s="145">
        <f t="shared" si="1"/>
        <v>508657.89297190076</v>
      </c>
      <c r="L72" s="401"/>
      <c r="M72" s="401"/>
      <c r="N72" s="401"/>
      <c r="O72" s="401"/>
      <c r="P72" s="401"/>
      <c r="Q72" s="401"/>
      <c r="R72" s="401"/>
      <c r="S72" s="401"/>
      <c r="T72" s="401"/>
      <c r="U72" s="401"/>
      <c r="V72" s="401"/>
      <c r="W72" s="401"/>
      <c r="X72" s="401"/>
      <c r="Y72" s="401"/>
      <c r="Z72" s="401"/>
      <c r="AA72" s="401"/>
      <c r="AB72" s="401"/>
    </row>
    <row r="73" spans="2:28">
      <c r="B73">
        <v>346100</v>
      </c>
      <c r="C73" t="s">
        <v>522</v>
      </c>
      <c r="D73" s="145">
        <v>1805032.8279933019</v>
      </c>
      <c r="E73" s="145">
        <v>-1384448.875385412</v>
      </c>
      <c r="H73" s="145">
        <f t="shared" si="1"/>
        <v>420583.95260788989</v>
      </c>
      <c r="L73" s="401"/>
      <c r="M73" s="401"/>
      <c r="N73" s="401"/>
      <c r="O73" s="401"/>
      <c r="P73" s="401"/>
      <c r="Q73" s="401"/>
      <c r="R73" s="401"/>
      <c r="S73" s="401"/>
      <c r="T73" s="401"/>
      <c r="U73" s="401"/>
      <c r="V73" s="401"/>
      <c r="W73" s="401"/>
      <c r="X73" s="401"/>
      <c r="Y73" s="401"/>
      <c r="Z73" s="401"/>
      <c r="AA73" s="401"/>
      <c r="AB73" s="401"/>
    </row>
    <row r="74" spans="2:28">
      <c r="B74">
        <v>346190</v>
      </c>
      <c r="C74" t="s">
        <v>523</v>
      </c>
      <c r="D74" s="145">
        <v>3427142.150856643</v>
      </c>
      <c r="E74" s="145">
        <v>-308826.48337473103</v>
      </c>
      <c r="H74" s="145">
        <f t="shared" si="1"/>
        <v>3118315.6674819118</v>
      </c>
      <c r="L74" s="401"/>
      <c r="M74" s="401"/>
      <c r="N74" s="401"/>
      <c r="O74" s="401"/>
      <c r="P74" s="401"/>
      <c r="Q74" s="401"/>
      <c r="R74" s="401"/>
      <c r="S74" s="401"/>
      <c r="T74" s="401"/>
      <c r="U74" s="401"/>
      <c r="V74" s="401"/>
      <c r="W74" s="401"/>
      <c r="X74" s="401"/>
      <c r="Y74" s="401"/>
      <c r="Z74" s="401"/>
      <c r="AA74" s="401"/>
      <c r="AB74" s="401"/>
    </row>
    <row r="75" spans="2:28">
      <c r="B75">
        <v>346200</v>
      </c>
      <c r="C75" t="s">
        <v>524</v>
      </c>
      <c r="D75" s="145">
        <v>283748.77</v>
      </c>
      <c r="E75" s="145">
        <v>-92993.313945333401</v>
      </c>
      <c r="H75" s="145">
        <f t="shared" si="1"/>
        <v>190755.4560546666</v>
      </c>
      <c r="L75" s="401"/>
      <c r="M75" s="401"/>
      <c r="N75" s="401"/>
      <c r="O75" s="401"/>
      <c r="P75" s="401"/>
      <c r="Q75" s="401"/>
      <c r="R75" s="401"/>
      <c r="S75" s="401"/>
      <c r="T75" s="401"/>
      <c r="U75" s="401"/>
      <c r="V75" s="401"/>
      <c r="W75" s="401"/>
      <c r="X75" s="401"/>
      <c r="Y75" s="401"/>
      <c r="Z75" s="401"/>
      <c r="AA75" s="401"/>
      <c r="AB75" s="401"/>
    </row>
    <row r="76" spans="2:28">
      <c r="B76">
        <v>347000</v>
      </c>
      <c r="C76" t="s">
        <v>525</v>
      </c>
      <c r="D76" s="145">
        <v>1520140.7242681126</v>
      </c>
      <c r="E76" s="145">
        <v>-686262.21212780895</v>
      </c>
      <c r="H76" s="145">
        <f t="shared" si="1"/>
        <v>833878.51214030362</v>
      </c>
      <c r="L76" s="401"/>
      <c r="M76" s="401"/>
      <c r="N76" s="401"/>
      <c r="O76" s="401"/>
      <c r="P76" s="401"/>
      <c r="Q76" s="401"/>
      <c r="R76" s="401"/>
      <c r="S76" s="401"/>
      <c r="T76" s="401"/>
      <c r="U76" s="401"/>
      <c r="V76" s="401"/>
      <c r="W76" s="401"/>
      <c r="X76" s="401"/>
      <c r="Y76" s="401"/>
      <c r="Z76" s="401"/>
      <c r="AA76" s="401"/>
      <c r="AB76" s="401"/>
    </row>
    <row r="77" spans="2:28">
      <c r="B77">
        <v>348000</v>
      </c>
      <c r="C77" t="s">
        <v>526</v>
      </c>
      <c r="D77" s="145">
        <v>377207.33915651939</v>
      </c>
      <c r="E77" s="145">
        <v>-218958.48032062419</v>
      </c>
      <c r="H77" s="145">
        <f>+D77+E77+F77+G77+E78</f>
        <v>161416.6788358952</v>
      </c>
      <c r="L77" s="401"/>
      <c r="M77" s="401"/>
      <c r="N77" s="401"/>
      <c r="O77" s="401"/>
      <c r="P77" s="401"/>
      <c r="Q77" s="401"/>
      <c r="R77" s="401"/>
      <c r="S77" s="401"/>
      <c r="T77" s="401"/>
      <c r="U77" s="401"/>
      <c r="V77" s="401"/>
      <c r="W77" s="401"/>
      <c r="X77" s="401"/>
      <c r="Y77" s="401"/>
      <c r="Z77" s="401"/>
      <c r="AA77" s="401"/>
      <c r="AB77" s="401"/>
    </row>
    <row r="78" spans="2:28" s="401" customFormat="1">
      <c r="B78" s="401">
        <v>354200</v>
      </c>
      <c r="C78" s="401" t="s">
        <v>733</v>
      </c>
      <c r="D78" s="531"/>
      <c r="E78" s="531">
        <v>3167.82</v>
      </c>
      <c r="F78" s="531"/>
      <c r="G78" s="532"/>
      <c r="H78" s="533">
        <f>+(D78+E78+F78+G78)*0</f>
        <v>0</v>
      </c>
    </row>
    <row r="79" spans="2:28">
      <c r="D79" s="212">
        <f>SUM(D5:D78)</f>
        <v>627540378.35148668</v>
      </c>
      <c r="E79" s="212">
        <f>SUM(E5:E78)</f>
        <v>-136601886.40138403</v>
      </c>
      <c r="F79" s="479">
        <f>SUM(F5:F78)</f>
        <v>-52238690.188391939</v>
      </c>
      <c r="G79" s="212">
        <f>SUM(G5:G78)</f>
        <v>-13997842.758461539</v>
      </c>
      <c r="H79" s="212">
        <f>SUM(H5:H78)</f>
        <v>424701959.00324929</v>
      </c>
      <c r="L79" s="401"/>
      <c r="M79" s="401"/>
      <c r="N79" s="401"/>
      <c r="O79" s="401"/>
      <c r="P79" s="401"/>
      <c r="Q79" s="401"/>
      <c r="R79" s="401"/>
      <c r="S79" s="401"/>
      <c r="T79" s="401"/>
      <c r="U79" s="401"/>
      <c r="V79" s="401"/>
      <c r="W79" s="401"/>
      <c r="X79" s="401"/>
      <c r="Y79" s="401"/>
      <c r="Z79" s="401"/>
      <c r="AA79" s="401"/>
      <c r="AB79" s="401"/>
    </row>
    <row r="80" spans="2:28">
      <c r="D80" s="145"/>
      <c r="E80" s="145"/>
      <c r="F80" s="256"/>
      <c r="H80" s="328"/>
      <c r="L80" s="401"/>
      <c r="M80" s="401"/>
      <c r="N80" s="401"/>
      <c r="O80" s="401"/>
      <c r="P80" s="401"/>
      <c r="Q80" s="401"/>
      <c r="R80" s="401"/>
      <c r="S80" s="401"/>
      <c r="T80" s="401"/>
      <c r="U80" s="401"/>
      <c r="V80" s="401"/>
      <c r="W80" s="401"/>
      <c r="X80" s="401"/>
      <c r="Y80" s="401"/>
      <c r="Z80" s="401"/>
      <c r="AA80" s="401"/>
      <c r="AB80" s="401"/>
    </row>
    <row r="81" spans="5:28">
      <c r="E81" s="212"/>
      <c r="F81" s="479"/>
      <c r="H81" s="328"/>
      <c r="L81" s="401"/>
      <c r="M81" s="401"/>
      <c r="N81" s="401"/>
      <c r="O81" s="401"/>
      <c r="P81" s="401"/>
      <c r="Q81" s="401"/>
      <c r="R81" s="401"/>
      <c r="S81" s="401"/>
      <c r="T81" s="401"/>
      <c r="U81" s="401"/>
      <c r="V81" s="401"/>
      <c r="W81" s="401"/>
      <c r="X81" s="401"/>
      <c r="Y81" s="401"/>
      <c r="Z81" s="401"/>
      <c r="AA81" s="401"/>
      <c r="AB81" s="401"/>
    </row>
    <row r="82" spans="5:28">
      <c r="E82" s="328"/>
      <c r="F82" s="401"/>
      <c r="H82" s="212"/>
      <c r="L82" s="401"/>
      <c r="M82" s="401"/>
      <c r="N82" s="401"/>
      <c r="O82" s="401"/>
      <c r="P82" s="401"/>
      <c r="Q82" s="401"/>
      <c r="R82" s="401"/>
      <c r="S82" s="401"/>
      <c r="T82" s="401"/>
      <c r="U82" s="401"/>
      <c r="V82" s="401"/>
      <c r="W82" s="401"/>
      <c r="X82" s="401"/>
      <c r="Y82" s="401"/>
      <c r="Z82" s="401"/>
      <c r="AA82" s="401"/>
      <c r="AB82" s="401"/>
    </row>
    <row r="83" spans="5:28">
      <c r="L83" s="401"/>
      <c r="M83" s="401"/>
      <c r="N83" s="401"/>
      <c r="O83" s="401"/>
      <c r="P83" s="401"/>
      <c r="Q83" s="401"/>
      <c r="R83" s="401"/>
      <c r="S83" s="401"/>
      <c r="T83" s="401"/>
      <c r="U83" s="401"/>
      <c r="V83" s="401"/>
      <c r="W83" s="401"/>
      <c r="X83" s="401"/>
      <c r="Y83" s="401"/>
      <c r="Z83" s="401"/>
      <c r="AA83" s="401"/>
      <c r="AB83" s="401"/>
    </row>
    <row r="84" spans="5:28">
      <c r="F84" s="521"/>
      <c r="H84" s="145"/>
      <c r="L84" s="401"/>
      <c r="M84" s="401"/>
      <c r="N84" s="401"/>
      <c r="O84" s="401"/>
      <c r="P84" s="401"/>
      <c r="Q84" s="401"/>
      <c r="R84" s="401"/>
      <c r="S84" s="401"/>
      <c r="T84" s="401"/>
      <c r="U84" s="401"/>
      <c r="V84" s="401"/>
      <c r="W84" s="401"/>
      <c r="X84" s="401"/>
      <c r="Y84" s="401"/>
      <c r="Z84" s="401"/>
      <c r="AA84" s="401"/>
      <c r="AB84" s="401"/>
    </row>
    <row r="85" spans="5:28">
      <c r="F85" s="328"/>
      <c r="H85" s="145"/>
      <c r="L85" s="401"/>
      <c r="M85" s="401"/>
      <c r="N85" s="401"/>
      <c r="O85" s="401"/>
      <c r="P85" s="401"/>
      <c r="Q85" s="401"/>
      <c r="R85" s="401"/>
      <c r="S85" s="401"/>
      <c r="T85" s="401"/>
      <c r="U85" s="401"/>
      <c r="V85" s="401"/>
      <c r="W85" s="401"/>
      <c r="X85" s="401"/>
      <c r="Y85" s="401"/>
      <c r="Z85" s="401"/>
      <c r="AA85" s="401"/>
      <c r="AB85" s="401"/>
    </row>
    <row r="88" spans="5:28">
      <c r="F88" s="145"/>
    </row>
    <row r="89" spans="5:28">
      <c r="F89" s="407"/>
    </row>
  </sheetData>
  <phoneticPr fontId="11" type="noConversion"/>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dimension ref="C4:M63"/>
  <sheetViews>
    <sheetView workbookViewId="0">
      <selection activeCell="E59" sqref="E59"/>
    </sheetView>
  </sheetViews>
  <sheetFormatPr defaultRowHeight="12.75"/>
  <cols>
    <col min="3" max="4" width="3.88671875" customWidth="1"/>
    <col min="6" max="6" width="22.77734375" customWidth="1"/>
    <col min="7" max="7" width="17.77734375" customWidth="1"/>
    <col min="8" max="8" width="5.88671875" customWidth="1"/>
    <col min="9" max="9" width="10.21875" customWidth="1"/>
    <col min="10" max="10" width="3.88671875" customWidth="1"/>
    <col min="11" max="11" width="19.21875" customWidth="1"/>
    <col min="12" max="12" width="6" customWidth="1"/>
  </cols>
  <sheetData>
    <row r="4" spans="3:13" ht="15">
      <c r="C4" s="638" t="s">
        <v>198</v>
      </c>
      <c r="D4" s="638"/>
      <c r="E4" s="638"/>
      <c r="F4" s="638"/>
      <c r="G4" s="638"/>
      <c r="H4" s="638"/>
      <c r="I4" s="638"/>
      <c r="J4" s="638"/>
      <c r="K4" s="638"/>
    </row>
    <row r="5" spans="3:13" ht="15">
      <c r="C5" s="353"/>
      <c r="D5" s="353"/>
      <c r="E5" s="353"/>
      <c r="F5" s="353"/>
      <c r="G5" s="353"/>
      <c r="H5" s="353"/>
      <c r="I5" s="298"/>
      <c r="J5" s="353"/>
      <c r="K5" s="353"/>
      <c r="M5" s="219"/>
    </row>
    <row r="6" spans="3:13" ht="15">
      <c r="C6" s="638" t="s">
        <v>32</v>
      </c>
      <c r="D6" s="638"/>
      <c r="E6" s="638"/>
      <c r="F6" s="638"/>
      <c r="G6" s="638"/>
      <c r="H6" s="638"/>
      <c r="I6" s="638"/>
      <c r="J6" s="638"/>
      <c r="K6" s="638"/>
    </row>
    <row r="7" spans="3:13" ht="15">
      <c r="C7" s="353"/>
      <c r="D7" s="353"/>
      <c r="E7" s="353"/>
      <c r="F7" s="353"/>
      <c r="G7" s="353"/>
      <c r="H7" s="353"/>
      <c r="I7" s="298"/>
      <c r="J7" s="353"/>
      <c r="K7" s="353"/>
      <c r="M7" s="444"/>
    </row>
    <row r="8" spans="3:13" ht="15">
      <c r="C8" s="353"/>
      <c r="D8" s="353"/>
      <c r="E8" s="219"/>
      <c r="F8" s="353"/>
      <c r="G8" s="353"/>
      <c r="H8" s="353"/>
      <c r="I8" s="298"/>
      <c r="J8" s="353"/>
      <c r="K8" s="353"/>
    </row>
    <row r="9" spans="3:13" ht="15">
      <c r="C9" s="637" t="s">
        <v>33</v>
      </c>
      <c r="D9" s="637"/>
      <c r="E9" s="637"/>
      <c r="F9" s="352"/>
      <c r="G9" s="354" t="s">
        <v>34</v>
      </c>
      <c r="H9" s="352"/>
      <c r="I9" s="355" t="s">
        <v>312</v>
      </c>
      <c r="J9" s="352"/>
      <c r="K9" s="354" t="s">
        <v>35</v>
      </c>
      <c r="M9" s="219"/>
    </row>
    <row r="10" spans="3:13" ht="15">
      <c r="C10" s="356"/>
      <c r="D10" s="356"/>
      <c r="E10" s="356"/>
      <c r="F10" s="352"/>
      <c r="G10" s="356"/>
      <c r="H10" s="352"/>
      <c r="I10" s="357"/>
      <c r="J10" s="352"/>
      <c r="K10" s="356"/>
    </row>
    <row r="11" spans="3:13" ht="15">
      <c r="C11" s="358" t="s">
        <v>36</v>
      </c>
      <c r="D11" s="353"/>
      <c r="E11" s="353"/>
      <c r="F11" s="353"/>
      <c r="G11" s="353"/>
      <c r="H11" s="353"/>
      <c r="I11" s="298"/>
      <c r="J11" s="353"/>
      <c r="K11" s="353"/>
    </row>
    <row r="12" spans="3:13" ht="15">
      <c r="C12" s="353"/>
      <c r="D12" s="353" t="s">
        <v>37</v>
      </c>
      <c r="E12" s="353"/>
      <c r="F12" s="353"/>
      <c r="G12" s="353"/>
      <c r="H12" s="353"/>
      <c r="I12" s="298"/>
      <c r="J12" s="353"/>
      <c r="K12" s="353"/>
    </row>
    <row r="13" spans="3:13" ht="15">
      <c r="C13" s="353"/>
      <c r="D13" s="353"/>
      <c r="E13" s="353" t="s">
        <v>38</v>
      </c>
      <c r="F13" s="353"/>
      <c r="G13" s="353" t="s">
        <v>39</v>
      </c>
      <c r="H13" s="353"/>
      <c r="I13" s="298">
        <v>1250</v>
      </c>
      <c r="J13" s="353"/>
      <c r="K13" s="353" t="s">
        <v>224</v>
      </c>
    </row>
    <row r="14" spans="3:13" ht="15">
      <c r="C14" s="353"/>
      <c r="D14" s="353"/>
      <c r="E14" s="353" t="s">
        <v>40</v>
      </c>
      <c r="F14" s="353"/>
      <c r="G14" s="353" t="s">
        <v>39</v>
      </c>
      <c r="H14" s="353"/>
      <c r="I14" s="298">
        <v>1250</v>
      </c>
      <c r="J14" s="353"/>
      <c r="K14" s="353" t="s">
        <v>224</v>
      </c>
    </row>
    <row r="15" spans="3:13" ht="15">
      <c r="C15" s="353"/>
      <c r="D15" s="353"/>
      <c r="E15" s="353" t="s">
        <v>41</v>
      </c>
      <c r="F15" s="353"/>
      <c r="G15" s="353" t="s">
        <v>39</v>
      </c>
      <c r="H15" s="353"/>
      <c r="I15" s="298">
        <v>1250</v>
      </c>
      <c r="J15" s="353"/>
      <c r="K15" s="353" t="s">
        <v>224</v>
      </c>
    </row>
    <row r="16" spans="3:13" ht="15">
      <c r="C16" s="353"/>
      <c r="D16" s="353"/>
      <c r="E16" s="353" t="s">
        <v>42</v>
      </c>
      <c r="F16" s="353"/>
      <c r="G16" s="353" t="s">
        <v>39</v>
      </c>
      <c r="H16" s="353"/>
      <c r="I16" s="298">
        <v>1250</v>
      </c>
      <c r="J16" s="353"/>
      <c r="K16" s="353" t="s">
        <v>224</v>
      </c>
    </row>
    <row r="17" spans="3:11" ht="15">
      <c r="C17" s="353"/>
      <c r="D17" s="353"/>
      <c r="E17" s="353" t="s">
        <v>43</v>
      </c>
      <c r="F17" s="353"/>
      <c r="G17" s="353" t="s">
        <v>39</v>
      </c>
      <c r="H17" s="460"/>
      <c r="I17" s="298">
        <v>1250</v>
      </c>
      <c r="J17" s="353"/>
      <c r="K17" s="353" t="s">
        <v>224</v>
      </c>
    </row>
    <row r="18" spans="3:11" ht="15">
      <c r="C18" s="353"/>
      <c r="D18" s="353"/>
      <c r="E18" s="353" t="s">
        <v>44</v>
      </c>
      <c r="F18" s="353"/>
      <c r="G18" s="353" t="s">
        <v>39</v>
      </c>
      <c r="H18" s="460"/>
      <c r="I18" s="298">
        <v>1250</v>
      </c>
      <c r="J18" s="353"/>
      <c r="K18" s="353" t="s">
        <v>224</v>
      </c>
    </row>
    <row r="19" spans="3:11" ht="15">
      <c r="C19" s="353"/>
      <c r="D19" s="353" t="s">
        <v>45</v>
      </c>
      <c r="E19" s="353"/>
      <c r="F19" s="353"/>
      <c r="G19" s="353"/>
      <c r="H19" s="353"/>
      <c r="I19" s="298"/>
      <c r="J19" s="353"/>
      <c r="K19" s="353"/>
    </row>
    <row r="20" spans="3:11" ht="15">
      <c r="C20" s="353"/>
      <c r="D20" s="353"/>
      <c r="E20" s="353" t="s">
        <v>46</v>
      </c>
      <c r="F20" s="353"/>
      <c r="G20" s="353" t="s">
        <v>45</v>
      </c>
      <c r="H20" s="353"/>
      <c r="I20" s="298">
        <v>1000</v>
      </c>
      <c r="J20" s="353"/>
      <c r="K20" s="353" t="s">
        <v>224</v>
      </c>
    </row>
    <row r="21" spans="3:11" ht="15">
      <c r="C21" s="353"/>
      <c r="D21" s="353"/>
      <c r="E21" s="353" t="s">
        <v>47</v>
      </c>
      <c r="F21" s="353"/>
      <c r="G21" s="353" t="s">
        <v>45</v>
      </c>
      <c r="H21" s="353"/>
      <c r="I21" s="298">
        <v>1000</v>
      </c>
      <c r="J21" s="353"/>
      <c r="K21" s="353" t="s">
        <v>224</v>
      </c>
    </row>
    <row r="22" spans="3:11" ht="15">
      <c r="C22" s="353"/>
      <c r="D22" s="353" t="s">
        <v>48</v>
      </c>
      <c r="E22" s="353"/>
      <c r="F22" s="353"/>
      <c r="G22" s="353" t="s">
        <v>49</v>
      </c>
      <c r="H22" s="353"/>
      <c r="I22" s="359"/>
      <c r="J22" s="353"/>
      <c r="K22" s="353" t="s">
        <v>224</v>
      </c>
    </row>
    <row r="23" spans="3:11" ht="15">
      <c r="C23" s="353"/>
      <c r="D23" s="353" t="s">
        <v>48</v>
      </c>
      <c r="E23" s="353"/>
      <c r="F23" s="353"/>
      <c r="G23" s="353" t="s">
        <v>50</v>
      </c>
      <c r="H23" s="353"/>
      <c r="I23" s="359"/>
      <c r="J23" s="353"/>
      <c r="K23" s="353" t="s">
        <v>224</v>
      </c>
    </row>
    <row r="24" spans="3:11" ht="15">
      <c r="C24" s="353"/>
      <c r="D24" s="353" t="s">
        <v>51</v>
      </c>
      <c r="E24" s="353"/>
      <c r="F24" s="353"/>
      <c r="G24" s="353"/>
      <c r="H24" s="353"/>
      <c r="I24" s="359"/>
      <c r="J24" s="353"/>
      <c r="K24" s="353" t="s">
        <v>224</v>
      </c>
    </row>
    <row r="25" spans="3:11" ht="15">
      <c r="C25" s="353"/>
      <c r="D25" s="353" t="s">
        <v>52</v>
      </c>
      <c r="E25" s="353"/>
      <c r="F25" s="353"/>
      <c r="G25" s="353"/>
      <c r="H25" s="353"/>
      <c r="I25" s="360"/>
      <c r="J25" s="353"/>
      <c r="K25" s="353" t="s">
        <v>224</v>
      </c>
    </row>
    <row r="26" spans="3:11" ht="24.75" customHeight="1">
      <c r="C26" s="358" t="s">
        <v>53</v>
      </c>
      <c r="D26" s="353"/>
      <c r="E26" s="353"/>
      <c r="F26" s="353"/>
      <c r="G26" s="353"/>
      <c r="H26" s="353"/>
      <c r="I26" s="298"/>
      <c r="J26" s="353"/>
      <c r="K26" s="353"/>
    </row>
    <row r="27" spans="3:11" ht="15">
      <c r="C27" s="353"/>
      <c r="D27" s="353" t="s">
        <v>54</v>
      </c>
      <c r="E27" s="353"/>
      <c r="F27" s="353"/>
      <c r="G27" s="353"/>
      <c r="H27" s="353"/>
      <c r="I27" s="298"/>
      <c r="J27" s="353"/>
      <c r="K27" s="353"/>
    </row>
    <row r="28" spans="3:11" ht="15">
      <c r="C28" s="353"/>
      <c r="D28" s="353"/>
      <c r="E28" s="353" t="s">
        <v>55</v>
      </c>
      <c r="F28" s="353"/>
      <c r="G28" s="353" t="s">
        <v>56</v>
      </c>
      <c r="H28" s="353"/>
      <c r="I28" s="298">
        <v>100</v>
      </c>
      <c r="J28" s="353"/>
      <c r="K28" s="353" t="s">
        <v>224</v>
      </c>
    </row>
    <row r="29" spans="3:11" ht="15">
      <c r="C29" s="353"/>
      <c r="D29" s="353"/>
      <c r="E29" s="353" t="s">
        <v>57</v>
      </c>
      <c r="F29" s="353"/>
      <c r="G29" s="353" t="s">
        <v>56</v>
      </c>
      <c r="H29" s="353"/>
      <c r="I29" s="298">
        <v>100</v>
      </c>
      <c r="J29" s="353"/>
      <c r="K29" s="353" t="s">
        <v>224</v>
      </c>
    </row>
    <row r="30" spans="3:11" ht="15">
      <c r="C30" s="353"/>
      <c r="D30" s="353"/>
      <c r="E30" s="353" t="s">
        <v>58</v>
      </c>
      <c r="F30" s="353"/>
      <c r="G30" s="353" t="s">
        <v>56</v>
      </c>
      <c r="H30" s="353"/>
      <c r="I30" s="298">
        <v>400</v>
      </c>
      <c r="J30" s="353"/>
      <c r="K30" s="353" t="s">
        <v>224</v>
      </c>
    </row>
    <row r="31" spans="3:11" ht="15">
      <c r="C31" s="353"/>
      <c r="D31" s="353" t="s">
        <v>59</v>
      </c>
      <c r="E31" s="353"/>
      <c r="F31" s="353"/>
      <c r="G31" s="353"/>
      <c r="H31" s="353"/>
      <c r="I31" s="298"/>
      <c r="J31" s="353"/>
      <c r="K31" s="353"/>
    </row>
    <row r="32" spans="3:11" ht="15">
      <c r="C32" s="353"/>
      <c r="D32" s="353"/>
      <c r="E32" s="353" t="s">
        <v>60</v>
      </c>
      <c r="F32" s="353"/>
      <c r="G32" s="353" t="s">
        <v>56</v>
      </c>
      <c r="H32" s="353"/>
      <c r="I32" s="298">
        <v>60</v>
      </c>
      <c r="J32" s="353"/>
      <c r="K32" s="353" t="s">
        <v>224</v>
      </c>
    </row>
    <row r="33" spans="3:11" ht="15">
      <c r="C33" s="353"/>
      <c r="D33" s="353"/>
      <c r="E33" s="353" t="s">
        <v>61</v>
      </c>
      <c r="F33" s="353"/>
      <c r="G33" s="353" t="s">
        <v>56</v>
      </c>
      <c r="H33" s="353"/>
      <c r="I33" s="459">
        <v>40</v>
      </c>
      <c r="J33" s="353"/>
      <c r="K33" s="353" t="s">
        <v>224</v>
      </c>
    </row>
    <row r="34" spans="3:11" ht="15">
      <c r="C34" s="353"/>
      <c r="D34" s="353"/>
      <c r="E34" s="353"/>
      <c r="F34" s="353"/>
      <c r="G34" s="353"/>
      <c r="H34" s="353"/>
      <c r="I34" s="360"/>
      <c r="J34" s="353"/>
      <c r="K34" s="353"/>
    </row>
    <row r="35" spans="3:11" ht="15">
      <c r="C35" s="353"/>
      <c r="D35" s="353"/>
      <c r="E35" s="361" t="s">
        <v>62</v>
      </c>
      <c r="F35" s="353"/>
      <c r="G35" s="353"/>
      <c r="H35" s="353"/>
      <c r="I35" s="298">
        <f>SUM(I13:I34)</f>
        <v>10200</v>
      </c>
      <c r="J35" s="353"/>
      <c r="K35" s="353"/>
    </row>
    <row r="36" spans="3:11" ht="15">
      <c r="C36" s="353"/>
      <c r="D36" s="353"/>
      <c r="E36" s="353"/>
      <c r="F36" s="353"/>
      <c r="G36" s="353"/>
      <c r="H36" s="353"/>
      <c r="I36" s="298"/>
      <c r="J36" s="353"/>
      <c r="K36" s="353"/>
    </row>
    <row r="37" spans="3:11" ht="15">
      <c r="C37" s="358" t="s">
        <v>36</v>
      </c>
      <c r="D37" s="353"/>
      <c r="E37" s="353"/>
      <c r="F37" s="353"/>
      <c r="G37" s="353"/>
      <c r="H37" s="353"/>
      <c r="I37" s="298"/>
      <c r="J37" s="353"/>
      <c r="K37" s="353"/>
    </row>
    <row r="38" spans="3:11" ht="15">
      <c r="C38" s="353"/>
      <c r="D38" s="353" t="s">
        <v>63</v>
      </c>
      <c r="E38" s="353"/>
      <c r="F38" s="353"/>
      <c r="G38" s="353"/>
      <c r="H38" s="353"/>
      <c r="I38" s="298"/>
      <c r="J38" s="353"/>
      <c r="K38" s="353"/>
    </row>
    <row r="39" spans="3:11" ht="15">
      <c r="C39" s="353"/>
      <c r="D39" s="353"/>
      <c r="E39" s="353" t="s">
        <v>64</v>
      </c>
      <c r="F39" s="353"/>
      <c r="G39" s="353" t="s">
        <v>65</v>
      </c>
      <c r="H39" s="353"/>
      <c r="I39" s="298">
        <v>700</v>
      </c>
      <c r="J39" s="353"/>
      <c r="K39" s="353" t="s">
        <v>66</v>
      </c>
    </row>
    <row r="40" spans="3:11" ht="15">
      <c r="C40" s="353"/>
      <c r="D40" s="353"/>
      <c r="E40" s="353" t="s">
        <v>67</v>
      </c>
      <c r="F40" s="353"/>
      <c r="G40" s="353" t="s">
        <v>65</v>
      </c>
      <c r="H40" s="353"/>
      <c r="I40" s="298">
        <v>700</v>
      </c>
      <c r="J40" s="353"/>
      <c r="K40" s="353" t="s">
        <v>66</v>
      </c>
    </row>
    <row r="41" spans="3:11" ht="15">
      <c r="C41" s="353"/>
      <c r="D41" s="353"/>
      <c r="E41" s="353" t="s">
        <v>68</v>
      </c>
      <c r="F41" s="353"/>
      <c r="G41" s="353" t="s">
        <v>65</v>
      </c>
      <c r="H41" s="353"/>
      <c r="I41" s="298">
        <v>700</v>
      </c>
      <c r="J41" s="353"/>
      <c r="K41" s="353" t="s">
        <v>66</v>
      </c>
    </row>
    <row r="42" spans="3:11" ht="15">
      <c r="C42" s="353"/>
      <c r="D42" s="353"/>
      <c r="E42" s="353" t="s">
        <v>69</v>
      </c>
      <c r="F42" s="353"/>
      <c r="G42" s="353" t="s">
        <v>65</v>
      </c>
      <c r="H42" s="353"/>
      <c r="I42" s="298">
        <v>800</v>
      </c>
      <c r="J42" s="353"/>
      <c r="K42" s="353" t="s">
        <v>66</v>
      </c>
    </row>
    <row r="43" spans="3:11" ht="15">
      <c r="C43" s="353"/>
      <c r="D43" s="353"/>
      <c r="E43" s="353" t="s">
        <v>70</v>
      </c>
      <c r="F43" s="353"/>
      <c r="G43" s="353" t="s">
        <v>65</v>
      </c>
      <c r="H43" s="362"/>
      <c r="I43" s="298">
        <v>800</v>
      </c>
      <c r="J43" s="353"/>
      <c r="K43" s="353" t="s">
        <v>66</v>
      </c>
    </row>
    <row r="44" spans="3:11" ht="15">
      <c r="C44" s="353"/>
      <c r="D44" s="353"/>
      <c r="E44" s="353" t="s">
        <v>71</v>
      </c>
      <c r="F44" s="353"/>
      <c r="G44" s="353" t="s">
        <v>65</v>
      </c>
      <c r="H44" s="353"/>
      <c r="I44" s="298">
        <v>900</v>
      </c>
      <c r="J44" s="353"/>
      <c r="K44" s="353" t="s">
        <v>66</v>
      </c>
    </row>
    <row r="45" spans="3:11" ht="15">
      <c r="C45" s="353"/>
      <c r="D45" s="353" t="s">
        <v>72</v>
      </c>
      <c r="E45" s="353"/>
      <c r="F45" s="353"/>
      <c r="G45" s="353"/>
      <c r="H45" s="353"/>
      <c r="I45" s="298"/>
      <c r="J45" s="353"/>
      <c r="K45" s="353"/>
    </row>
    <row r="46" spans="3:11" ht="15">
      <c r="C46" s="353"/>
      <c r="D46" s="353"/>
      <c r="E46" s="353" t="s">
        <v>73</v>
      </c>
      <c r="F46" s="353"/>
      <c r="G46" s="353" t="s">
        <v>65</v>
      </c>
      <c r="H46" s="353"/>
      <c r="I46" s="298">
        <v>765</v>
      </c>
      <c r="J46" s="353"/>
      <c r="K46" s="353" t="s">
        <v>66</v>
      </c>
    </row>
    <row r="47" spans="3:11" ht="15">
      <c r="C47" s="353"/>
      <c r="D47" s="353" t="s">
        <v>63</v>
      </c>
      <c r="E47" s="353"/>
      <c r="F47" s="353"/>
      <c r="G47" s="353"/>
      <c r="H47" s="353"/>
      <c r="I47" s="298"/>
      <c r="J47" s="353"/>
      <c r="K47" s="353"/>
    </row>
    <row r="48" spans="3:11" ht="15">
      <c r="C48" s="353"/>
      <c r="D48" s="353"/>
      <c r="E48" s="353" t="s">
        <v>74</v>
      </c>
      <c r="F48" s="353"/>
      <c r="G48" s="353" t="s">
        <v>65</v>
      </c>
      <c r="H48" s="353"/>
      <c r="I48" s="298">
        <v>200</v>
      </c>
      <c r="J48" s="353"/>
      <c r="K48" s="353" t="s">
        <v>66</v>
      </c>
    </row>
    <row r="49" spans="3:11" ht="15">
      <c r="C49" s="353"/>
      <c r="D49" s="353"/>
      <c r="E49" s="353" t="s">
        <v>75</v>
      </c>
      <c r="F49" s="353"/>
      <c r="G49" s="353" t="s">
        <v>65</v>
      </c>
      <c r="H49" s="353"/>
      <c r="I49" s="298">
        <v>500</v>
      </c>
      <c r="J49" s="353"/>
      <c r="K49" s="353" t="s">
        <v>66</v>
      </c>
    </row>
    <row r="50" spans="3:11" ht="15">
      <c r="C50" s="353"/>
      <c r="D50" s="353"/>
      <c r="E50" s="353" t="s">
        <v>76</v>
      </c>
      <c r="F50" s="353"/>
      <c r="G50" s="353" t="s">
        <v>65</v>
      </c>
      <c r="H50" s="353"/>
      <c r="I50" s="298">
        <v>250</v>
      </c>
      <c r="J50" s="353"/>
      <c r="K50" s="353" t="s">
        <v>66</v>
      </c>
    </row>
    <row r="51" spans="3:11" ht="15">
      <c r="C51" s="353"/>
      <c r="D51" s="353" t="s">
        <v>77</v>
      </c>
      <c r="E51" s="353"/>
      <c r="F51" s="353"/>
      <c r="G51" s="353"/>
      <c r="H51" s="353"/>
      <c r="I51" s="298"/>
      <c r="J51" s="353"/>
      <c r="K51" s="353"/>
    </row>
    <row r="52" spans="3:11" ht="15">
      <c r="C52" s="353"/>
      <c r="D52" s="353"/>
      <c r="E52" s="353" t="s">
        <v>78</v>
      </c>
      <c r="F52" s="353"/>
      <c r="G52" s="353" t="s">
        <v>79</v>
      </c>
      <c r="H52" s="353"/>
      <c r="I52" s="298">
        <v>372</v>
      </c>
      <c r="J52" s="353"/>
      <c r="K52" s="353" t="s">
        <v>66</v>
      </c>
    </row>
    <row r="53" spans="3:11" ht="15">
      <c r="C53" s="353"/>
      <c r="D53" s="353"/>
      <c r="E53" s="353" t="s">
        <v>80</v>
      </c>
      <c r="F53" s="353"/>
      <c r="G53" s="353" t="s">
        <v>79</v>
      </c>
      <c r="H53" s="362"/>
      <c r="I53" s="298">
        <v>180</v>
      </c>
      <c r="J53" s="353"/>
      <c r="K53" s="353" t="s">
        <v>66</v>
      </c>
    </row>
    <row r="54" spans="3:11" ht="15">
      <c r="C54" s="353"/>
      <c r="D54" s="353"/>
      <c r="E54" s="353" t="s">
        <v>81</v>
      </c>
      <c r="F54" s="353"/>
      <c r="G54" s="353" t="s">
        <v>79</v>
      </c>
      <c r="H54" s="353"/>
      <c r="I54" s="459">
        <v>580</v>
      </c>
      <c r="J54" s="353"/>
      <c r="K54" s="353" t="s">
        <v>66</v>
      </c>
    </row>
    <row r="55" spans="3:11" ht="15">
      <c r="C55" s="353"/>
      <c r="D55" s="353"/>
      <c r="E55" s="353"/>
      <c r="F55" s="353"/>
      <c r="G55" s="353"/>
      <c r="H55" s="353"/>
      <c r="I55" s="298"/>
      <c r="J55" s="353"/>
      <c r="K55" s="353"/>
    </row>
    <row r="56" spans="3:11" ht="15">
      <c r="C56" s="353"/>
      <c r="D56" s="353"/>
      <c r="E56" s="363" t="s">
        <v>82</v>
      </c>
      <c r="F56" s="353"/>
      <c r="G56" s="353"/>
      <c r="H56" s="353"/>
      <c r="I56" s="298">
        <f>SUM(I39:I55)</f>
        <v>7447</v>
      </c>
      <c r="J56" s="353"/>
      <c r="K56" s="353"/>
    </row>
    <row r="57" spans="3:11" ht="15">
      <c r="C57" s="353"/>
      <c r="D57" s="353"/>
      <c r="E57" s="353"/>
      <c r="F57" s="353"/>
      <c r="G57" s="353"/>
      <c r="H57" s="353"/>
      <c r="I57" s="298"/>
      <c r="J57" s="353"/>
      <c r="K57" s="353"/>
    </row>
    <row r="58" spans="3:11" ht="15">
      <c r="C58" s="353"/>
      <c r="D58" s="353"/>
      <c r="E58" s="353"/>
      <c r="F58" s="353"/>
      <c r="G58" s="353"/>
      <c r="H58" s="353"/>
      <c r="I58" s="298"/>
    </row>
    <row r="59" spans="3:11" ht="15">
      <c r="C59" s="353"/>
      <c r="D59" s="353"/>
      <c r="E59" s="363" t="s">
        <v>788</v>
      </c>
      <c r="F59" s="353"/>
      <c r="G59" s="353"/>
      <c r="H59" s="353"/>
      <c r="I59" s="298">
        <v>6305</v>
      </c>
    </row>
    <row r="60" spans="3:11" ht="15">
      <c r="C60" s="353"/>
      <c r="D60" s="353"/>
      <c r="E60" s="353"/>
      <c r="F60" s="353"/>
      <c r="G60" s="353"/>
      <c r="H60" s="353"/>
      <c r="I60" s="298"/>
    </row>
    <row r="61" spans="3:11" ht="15">
      <c r="C61" s="353"/>
      <c r="D61" s="353"/>
      <c r="E61" s="353"/>
      <c r="F61" s="353"/>
      <c r="G61" s="353"/>
      <c r="H61" s="353"/>
      <c r="I61" s="298"/>
    </row>
    <row r="62" spans="3:11" ht="15">
      <c r="C62" s="353"/>
      <c r="D62" s="353"/>
      <c r="E62" s="361" t="s">
        <v>83</v>
      </c>
      <c r="F62" s="353"/>
      <c r="G62" s="353"/>
      <c r="H62" s="353"/>
      <c r="I62" s="298">
        <f>I35+I56+I59</f>
        <v>23952</v>
      </c>
    </row>
    <row r="63" spans="3:11" ht="15">
      <c r="C63" s="353"/>
      <c r="D63" s="353"/>
      <c r="E63" s="353"/>
      <c r="F63" s="353"/>
      <c r="G63" s="353"/>
      <c r="H63" s="353"/>
      <c r="I63" s="298"/>
    </row>
  </sheetData>
  <mergeCells count="3">
    <mergeCell ref="C9:E9"/>
    <mergeCell ref="C4:K4"/>
    <mergeCell ref="C6:K6"/>
  </mergeCells>
  <phoneticPr fontId="11" type="noConversion"/>
  <pageMargins left="0.75" right="0.75" top="1" bottom="1" header="0.5" footer="0.5"/>
  <pageSetup scale="66"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autoPageBreaks="0"/>
  </sheetPr>
  <dimension ref="A1:AB1599"/>
  <sheetViews>
    <sheetView workbookViewId="0">
      <selection activeCell="R36" sqref="R36"/>
    </sheetView>
  </sheetViews>
  <sheetFormatPr defaultColWidth="9.77734375" defaultRowHeight="15"/>
  <cols>
    <col min="1" max="1" width="9.6640625" style="38" bestFit="1" customWidth="1"/>
    <col min="2" max="3" width="7.77734375" style="38" customWidth="1"/>
    <col min="4" max="4" width="2" style="38" customWidth="1"/>
    <col min="5" max="5" width="8.6640625" style="38" customWidth="1"/>
    <col min="6" max="6" width="1.88671875" style="38" customWidth="1"/>
    <col min="7" max="7" width="8.6640625" style="38" customWidth="1"/>
    <col min="8" max="8" width="2" style="38" customWidth="1"/>
    <col min="9" max="9" width="8.6640625" style="38" customWidth="1"/>
    <col min="10" max="10" width="2" style="38" customWidth="1"/>
    <col min="11" max="11" width="8.6640625" style="38" customWidth="1"/>
    <col min="12" max="12" width="2" style="38" customWidth="1"/>
    <col min="13" max="13" width="8.6640625" style="38" customWidth="1"/>
    <col min="14" max="14" width="4.77734375" style="38" customWidth="1"/>
    <col min="15" max="15" width="10.5546875" style="38" customWidth="1"/>
    <col min="16" max="16" width="10.6640625" style="38" customWidth="1"/>
    <col min="17" max="17" width="9.77734375" style="38" customWidth="1"/>
    <col min="18" max="18" width="10.44140625" style="38" bestFit="1" customWidth="1"/>
    <col min="19" max="19" width="7.5546875" style="38" bestFit="1" customWidth="1"/>
    <col min="20" max="20" width="7.77734375" style="38" customWidth="1"/>
    <col min="21" max="21" width="10.77734375" style="38" customWidth="1"/>
    <col min="22" max="22" width="7.77734375" style="38" customWidth="1"/>
    <col min="23" max="23" width="8.77734375" style="38" customWidth="1"/>
    <col min="24" max="24" width="2.77734375" style="38" customWidth="1"/>
    <col min="25" max="25" width="9.77734375" style="38" customWidth="1"/>
    <col min="26" max="26" width="2.77734375" style="38" customWidth="1"/>
    <col min="27" max="27" width="7.77734375" style="38" customWidth="1"/>
    <col min="28" max="16384" width="9.77734375" style="38"/>
  </cols>
  <sheetData>
    <row r="1" spans="1:28">
      <c r="B1" s="37" t="s">
        <v>7</v>
      </c>
      <c r="C1" s="37"/>
      <c r="D1" s="37"/>
      <c r="E1" s="37"/>
      <c r="F1" s="37"/>
      <c r="G1" s="37"/>
      <c r="H1" s="37"/>
      <c r="I1" s="37"/>
      <c r="J1" s="37"/>
      <c r="K1" s="37"/>
      <c r="L1" s="37"/>
      <c r="M1" s="37"/>
    </row>
    <row r="2" spans="1:28">
      <c r="B2" s="37"/>
      <c r="C2" s="37"/>
      <c r="D2" s="37"/>
      <c r="E2" s="37"/>
      <c r="F2" s="37"/>
      <c r="G2" s="37"/>
      <c r="H2" s="37"/>
      <c r="I2" s="37"/>
      <c r="J2" s="37"/>
      <c r="K2" s="37"/>
      <c r="L2" s="37"/>
      <c r="M2" s="37"/>
    </row>
    <row r="3" spans="1:28" ht="13.35" customHeight="1">
      <c r="B3" s="37"/>
      <c r="C3" s="37"/>
      <c r="D3" s="37"/>
      <c r="E3" s="37"/>
      <c r="F3" s="37"/>
      <c r="G3" s="37"/>
      <c r="H3" s="37"/>
      <c r="I3" s="37"/>
      <c r="J3" s="37"/>
      <c r="K3" s="37"/>
      <c r="L3" s="37"/>
      <c r="M3" s="37"/>
    </row>
    <row r="4" spans="1:28" ht="13.35" customHeight="1">
      <c r="B4" s="1" t="s">
        <v>200</v>
      </c>
      <c r="C4" s="1"/>
      <c r="D4" s="1"/>
      <c r="E4" s="1"/>
      <c r="F4" s="1"/>
      <c r="G4" s="1"/>
      <c r="H4" s="1"/>
      <c r="I4" s="1"/>
      <c r="J4" s="1"/>
      <c r="K4" s="1"/>
      <c r="L4" s="1"/>
      <c r="M4" s="1"/>
      <c r="N4" s="2"/>
      <c r="O4" s="2"/>
      <c r="P4" s="2"/>
      <c r="Q4" s="2"/>
      <c r="R4" s="2"/>
      <c r="S4" s="2"/>
      <c r="T4" s="2"/>
      <c r="U4" s="2"/>
      <c r="V4" s="2"/>
      <c r="W4" s="2"/>
      <c r="X4" s="2"/>
      <c r="Y4" s="2"/>
      <c r="Z4" s="2"/>
      <c r="AA4" s="2"/>
      <c r="AB4" s="2"/>
    </row>
    <row r="5" spans="1:28" ht="13.35" customHeight="1">
      <c r="B5" s="2"/>
      <c r="C5" s="2"/>
      <c r="D5" s="2"/>
      <c r="E5" s="2"/>
      <c r="F5" s="2"/>
      <c r="G5" s="2"/>
      <c r="H5" s="2"/>
      <c r="I5" s="2"/>
      <c r="J5" s="2"/>
      <c r="K5" s="2"/>
      <c r="L5" s="2"/>
      <c r="M5" s="2"/>
      <c r="N5" s="2"/>
      <c r="O5" s="2"/>
      <c r="P5" s="2"/>
      <c r="Q5" s="2"/>
      <c r="R5" s="2"/>
      <c r="S5" s="2"/>
      <c r="T5" s="2"/>
      <c r="U5" s="2"/>
      <c r="V5" s="2"/>
      <c r="W5" s="2"/>
      <c r="X5" s="2"/>
      <c r="Y5" s="2"/>
      <c r="Z5" s="2"/>
      <c r="AA5" s="2"/>
      <c r="AB5" s="2"/>
    </row>
    <row r="6" spans="1:28" ht="13.35" customHeight="1">
      <c r="B6" s="2"/>
      <c r="C6" s="2"/>
      <c r="D6" s="2"/>
      <c r="E6" s="2"/>
      <c r="F6" s="2"/>
      <c r="G6" s="2"/>
      <c r="H6" s="2"/>
      <c r="I6" s="2"/>
      <c r="J6" s="2"/>
      <c r="K6" s="2"/>
      <c r="L6" s="2"/>
      <c r="M6" s="2"/>
      <c r="N6" s="2"/>
      <c r="O6" s="2"/>
      <c r="P6" s="2"/>
      <c r="Q6" s="2"/>
      <c r="R6" s="2"/>
      <c r="S6" s="2"/>
      <c r="T6" s="2"/>
      <c r="U6" s="2"/>
      <c r="V6" s="2"/>
      <c r="W6" s="2"/>
      <c r="X6" s="2"/>
      <c r="Y6" s="2"/>
      <c r="Z6" s="2"/>
      <c r="AA6" s="2"/>
      <c r="AB6" s="2"/>
    </row>
    <row r="7" spans="1:28" ht="13.35" customHeight="1">
      <c r="B7" s="2" t="s">
        <v>201</v>
      </c>
      <c r="C7" s="2"/>
      <c r="D7" s="2"/>
      <c r="E7" s="2"/>
      <c r="F7" s="2"/>
      <c r="G7" s="2"/>
      <c r="H7" s="2"/>
      <c r="I7" s="2"/>
      <c r="J7" s="2"/>
      <c r="K7" s="2"/>
      <c r="L7" s="2"/>
      <c r="M7" s="2"/>
      <c r="N7" s="2"/>
      <c r="O7" s="2"/>
      <c r="P7" s="2"/>
      <c r="Q7" s="2"/>
      <c r="R7" s="2"/>
      <c r="S7" s="2"/>
      <c r="T7" s="2"/>
      <c r="U7" s="2"/>
      <c r="V7" s="2"/>
      <c r="W7" s="2"/>
      <c r="X7" s="2"/>
      <c r="Y7" s="2"/>
      <c r="Z7" s="2"/>
      <c r="AA7" s="2"/>
      <c r="AB7" s="2"/>
    </row>
    <row r="8" spans="1:28" ht="13.35" customHeight="1">
      <c r="B8" s="2"/>
      <c r="C8" s="2"/>
      <c r="D8" s="2"/>
      <c r="E8" s="2"/>
      <c r="F8" s="2"/>
      <c r="G8" s="2"/>
      <c r="H8" s="2"/>
      <c r="I8" s="2"/>
      <c r="J8" s="2"/>
      <c r="K8" s="2"/>
      <c r="L8" s="2"/>
      <c r="M8" s="2"/>
      <c r="N8" s="2"/>
      <c r="O8" s="2"/>
      <c r="P8" s="2"/>
      <c r="Q8" s="2"/>
      <c r="R8" s="2"/>
      <c r="S8" s="2"/>
      <c r="T8" s="2"/>
      <c r="U8" s="2"/>
      <c r="V8" s="2"/>
      <c r="W8" s="2"/>
      <c r="X8" s="2"/>
      <c r="Y8" s="2"/>
      <c r="Z8" s="2"/>
      <c r="AA8" s="2"/>
      <c r="AB8" s="2"/>
    </row>
    <row r="9" spans="1:28" ht="25.15" customHeight="1">
      <c r="B9" s="616" t="s">
        <v>202</v>
      </c>
      <c r="C9" s="616"/>
      <c r="D9" s="616"/>
      <c r="E9" s="616"/>
      <c r="F9" s="616"/>
      <c r="G9" s="616"/>
      <c r="H9" s="616"/>
      <c r="I9" s="616"/>
      <c r="J9" s="616"/>
      <c r="K9" s="616"/>
      <c r="L9" s="616"/>
      <c r="M9" s="616"/>
      <c r="N9" s="2"/>
      <c r="O9" s="2"/>
      <c r="P9" s="2"/>
      <c r="Q9" s="2"/>
      <c r="R9" s="2"/>
      <c r="S9" s="2"/>
      <c r="T9" s="2"/>
      <c r="U9" s="2"/>
      <c r="V9" s="2"/>
      <c r="W9" s="2"/>
      <c r="X9" s="2"/>
      <c r="Y9" s="2"/>
      <c r="Z9" s="2"/>
      <c r="AA9" s="2"/>
      <c r="AB9" s="2"/>
    </row>
    <row r="10" spans="1:28" ht="10.7"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ht="13.35" customHeight="1">
      <c r="B11" s="2"/>
      <c r="C11" s="2"/>
      <c r="D11" s="2"/>
      <c r="E11" s="2"/>
      <c r="F11" s="1" t="s">
        <v>203</v>
      </c>
      <c r="G11" s="37"/>
      <c r="H11" s="1"/>
      <c r="I11" s="2"/>
      <c r="J11" s="2"/>
      <c r="K11" s="2"/>
      <c r="L11" s="2"/>
      <c r="M11" s="2"/>
      <c r="N11" s="2"/>
      <c r="O11" s="2"/>
      <c r="P11" s="2"/>
      <c r="Q11" s="2"/>
      <c r="R11" s="2"/>
      <c r="S11" s="2"/>
      <c r="T11" s="2"/>
      <c r="U11" s="2"/>
      <c r="V11" s="2"/>
      <c r="W11" s="2"/>
      <c r="X11" s="2"/>
      <c r="Y11" s="2"/>
      <c r="Z11" s="2"/>
      <c r="AA11" s="2"/>
      <c r="AB11" s="2"/>
    </row>
    <row r="12" spans="1:28" ht="13.35" customHeight="1">
      <c r="B12" s="1" t="s">
        <v>204</v>
      </c>
      <c r="C12" s="1"/>
      <c r="D12" s="2"/>
      <c r="E12" s="2"/>
      <c r="F12" s="1" t="s">
        <v>205</v>
      </c>
      <c r="G12" s="37"/>
      <c r="H12" s="1"/>
      <c r="I12" s="2"/>
      <c r="J12" s="1" t="s">
        <v>206</v>
      </c>
      <c r="K12" s="37"/>
      <c r="L12" s="1"/>
      <c r="M12" s="2"/>
      <c r="N12" s="2"/>
      <c r="O12" s="2"/>
      <c r="P12" s="467"/>
      <c r="Q12" s="2"/>
      <c r="R12" s="2"/>
      <c r="S12" s="2"/>
      <c r="T12" s="2"/>
      <c r="U12" s="2"/>
      <c r="V12" s="2"/>
      <c r="W12" s="2"/>
      <c r="X12" s="2"/>
      <c r="Y12" s="2"/>
      <c r="Z12" s="2"/>
      <c r="AA12" s="2"/>
      <c r="AB12" s="2"/>
    </row>
    <row r="13" spans="1:28" ht="13.35" customHeight="1">
      <c r="B13" s="1" t="s">
        <v>207</v>
      </c>
      <c r="C13" s="1"/>
      <c r="D13" s="2"/>
      <c r="E13" s="2"/>
      <c r="F13" s="1" t="s">
        <v>575</v>
      </c>
      <c r="G13" s="37"/>
      <c r="H13" s="1"/>
      <c r="I13" s="2"/>
      <c r="J13" s="1" t="s">
        <v>208</v>
      </c>
      <c r="K13" s="37"/>
      <c r="L13" s="1"/>
      <c r="M13" s="2"/>
      <c r="N13" s="2"/>
      <c r="O13" s="2"/>
      <c r="P13" s="467"/>
      <c r="Q13"/>
      <c r="R13"/>
      <c r="S13"/>
      <c r="T13"/>
      <c r="U13"/>
      <c r="V13"/>
      <c r="W13"/>
      <c r="X13"/>
      <c r="Y13" s="2"/>
      <c r="Z13" s="2"/>
      <c r="AA13" s="2"/>
      <c r="AB13" s="2"/>
    </row>
    <row r="14" spans="1:28" ht="13.35" customHeight="1">
      <c r="B14" s="3" t="s">
        <v>209</v>
      </c>
      <c r="C14" s="3"/>
      <c r="D14" s="2"/>
      <c r="E14" s="2"/>
      <c r="F14" s="3" t="s">
        <v>210</v>
      </c>
      <c r="G14" s="134"/>
      <c r="H14" s="3"/>
      <c r="I14" s="2"/>
      <c r="J14" s="3" t="s">
        <v>211</v>
      </c>
      <c r="K14" s="134"/>
      <c r="L14" s="3"/>
      <c r="M14" s="2"/>
      <c r="N14" s="2"/>
      <c r="O14" s="2"/>
      <c r="P14" s="467"/>
      <c r="Q14" s="445"/>
      <c r="R14" s="444"/>
      <c r="S14" s="445"/>
      <c r="T14"/>
      <c r="U14"/>
      <c r="V14"/>
      <c r="W14"/>
      <c r="X14"/>
      <c r="Y14" s="2"/>
      <c r="Z14" s="2"/>
      <c r="AA14" s="2"/>
      <c r="AB14" s="2"/>
    </row>
    <row r="15" spans="1:28" ht="12.75" customHeight="1">
      <c r="B15" s="2"/>
      <c r="C15" s="2"/>
      <c r="D15" s="2"/>
      <c r="E15" s="2"/>
      <c r="F15" s="2"/>
      <c r="G15" s="2"/>
      <c r="H15" s="2"/>
      <c r="I15" s="2"/>
      <c r="J15" s="2"/>
      <c r="K15" s="2"/>
      <c r="L15" s="2"/>
      <c r="M15" s="2"/>
      <c r="N15" s="2"/>
      <c r="O15" s="468"/>
      <c r="P15" s="467"/>
      <c r="Q15" s="443"/>
      <c r="R15" s="444"/>
      <c r="S15" s="446"/>
      <c r="T15" s="145"/>
      <c r="U15" s="145"/>
      <c r="V15" s="145"/>
      <c r="W15" s="145"/>
      <c r="X15"/>
      <c r="Y15" s="2"/>
      <c r="Z15" s="2"/>
      <c r="AA15" s="2"/>
      <c r="AB15" s="2"/>
    </row>
    <row r="16" spans="1:28" ht="13.35" customHeight="1">
      <c r="A16" s="269"/>
      <c r="B16" s="2" t="s">
        <v>212</v>
      </c>
      <c r="C16" s="2"/>
      <c r="D16" s="2"/>
      <c r="E16" s="2"/>
      <c r="F16" s="2"/>
      <c r="G16" s="329">
        <v>16598</v>
      </c>
      <c r="I16" s="2"/>
      <c r="J16" s="2"/>
      <c r="K16" s="5">
        <f>ROUND(G16/G$24,4)</f>
        <v>0.495</v>
      </c>
      <c r="L16" s="2"/>
      <c r="M16" s="2"/>
      <c r="N16" s="2"/>
      <c r="O16" s="468"/>
      <c r="P16" s="467"/>
      <c r="Q16" s="443"/>
      <c r="R16" s="444"/>
      <c r="S16" s="446"/>
      <c r="T16" s="145"/>
      <c r="U16" s="145"/>
      <c r="V16" s="145"/>
      <c r="W16" s="145"/>
      <c r="X16"/>
      <c r="Y16" s="2"/>
      <c r="Z16" s="2"/>
      <c r="AA16" s="2"/>
      <c r="AB16" s="2"/>
    </row>
    <row r="17" spans="1:28" ht="13.35" customHeight="1">
      <c r="A17" s="269"/>
      <c r="B17" s="2" t="s">
        <v>213</v>
      </c>
      <c r="C17" s="2"/>
      <c r="D17" s="2"/>
      <c r="E17" s="2"/>
      <c r="F17" s="2"/>
      <c r="G17" s="329">
        <v>10430</v>
      </c>
      <c r="I17" s="2"/>
      <c r="J17" s="2"/>
      <c r="K17" s="5">
        <f t="shared" ref="K17:K22" si="0">ROUND(G17/G$24,4)</f>
        <v>0.311</v>
      </c>
      <c r="L17" s="2"/>
      <c r="M17" s="2"/>
      <c r="N17" s="2"/>
      <c r="O17" s="468"/>
      <c r="P17" s="467"/>
      <c r="Q17" s="443"/>
      <c r="R17" s="444"/>
      <c r="S17" s="446"/>
      <c r="T17" s="145"/>
      <c r="U17"/>
      <c r="V17"/>
      <c r="W17" s="145"/>
      <c r="X17"/>
      <c r="Y17" s="2"/>
      <c r="Z17" s="2"/>
      <c r="AA17" s="2"/>
      <c r="AB17" s="2"/>
    </row>
    <row r="18" spans="1:28" ht="13.35" customHeight="1">
      <c r="A18" s="269"/>
      <c r="B18" s="2" t="s">
        <v>214</v>
      </c>
      <c r="C18" s="2"/>
      <c r="D18" s="2"/>
      <c r="E18" s="2"/>
      <c r="F18" s="2"/>
      <c r="G18" s="329">
        <v>1444</v>
      </c>
      <c r="I18" s="2"/>
      <c r="J18" s="2"/>
      <c r="K18" s="5">
        <f t="shared" si="0"/>
        <v>4.3099999999999999E-2</v>
      </c>
      <c r="L18" s="2"/>
      <c r="M18" s="2"/>
      <c r="N18" s="2"/>
      <c r="O18" s="468"/>
      <c r="P18" s="467"/>
      <c r="Q18" s="443"/>
      <c r="R18" s="444"/>
      <c r="S18" s="446"/>
      <c r="T18" s="145"/>
      <c r="U18"/>
      <c r="V18"/>
      <c r="W18" s="145"/>
      <c r="X18"/>
      <c r="Y18" s="2"/>
      <c r="Z18" s="2"/>
      <c r="AA18" s="2"/>
      <c r="AB18" s="2"/>
    </row>
    <row r="19" spans="1:28" ht="13.35" customHeight="1">
      <c r="A19" s="269"/>
      <c r="B19" s="2" t="s">
        <v>216</v>
      </c>
      <c r="C19" s="2"/>
      <c r="D19" s="2"/>
      <c r="E19" s="2"/>
      <c r="F19" s="2"/>
      <c r="G19" s="329">
        <v>3708</v>
      </c>
      <c r="I19" s="2"/>
      <c r="J19" s="2"/>
      <c r="K19" s="5">
        <f t="shared" si="0"/>
        <v>0.1106</v>
      </c>
      <c r="L19" s="2"/>
      <c r="M19" s="2"/>
      <c r="N19" s="2"/>
      <c r="O19" s="468"/>
      <c r="P19" s="467"/>
      <c r="Q19" s="443"/>
      <c r="R19" s="446"/>
      <c r="S19" s="446"/>
      <c r="T19" s="145"/>
      <c r="U19"/>
      <c r="V19"/>
      <c r="W19" s="145"/>
      <c r="X19"/>
      <c r="Y19" s="2"/>
      <c r="Z19" s="2"/>
      <c r="AA19" s="2"/>
      <c r="AB19" s="2"/>
    </row>
    <row r="20" spans="1:28" ht="13.35" customHeight="1">
      <c r="A20" s="269"/>
      <c r="B20" s="2" t="s">
        <v>337</v>
      </c>
      <c r="C20" s="2"/>
      <c r="D20" s="2"/>
      <c r="E20" s="2"/>
      <c r="F20" s="2"/>
      <c r="G20" s="329">
        <v>1156</v>
      </c>
      <c r="I20" s="2"/>
      <c r="J20" s="2"/>
      <c r="K20" s="5">
        <f t="shared" si="0"/>
        <v>3.4500000000000003E-2</v>
      </c>
      <c r="L20" s="2"/>
      <c r="M20" s="2"/>
      <c r="N20" s="2"/>
      <c r="O20" s="2"/>
      <c r="P20" s="467"/>
      <c r="Q20" s="212"/>
      <c r="R20" s="212"/>
      <c r="S20" s="444"/>
      <c r="T20"/>
      <c r="U20"/>
      <c r="V20"/>
      <c r="W20" s="145"/>
      <c r="X20"/>
      <c r="Y20" s="2"/>
      <c r="Z20" s="2"/>
      <c r="AA20" s="2"/>
      <c r="AB20" s="2"/>
    </row>
    <row r="21" spans="1:28" ht="13.35" customHeight="1">
      <c r="B21" s="2" t="s">
        <v>218</v>
      </c>
      <c r="C21" s="2"/>
      <c r="D21" s="2"/>
      <c r="E21" s="2"/>
      <c r="F21" s="2"/>
      <c r="G21" s="329">
        <v>88.761104278191809</v>
      </c>
      <c r="I21" s="2"/>
      <c r="J21" s="2"/>
      <c r="K21" s="5">
        <f t="shared" si="0"/>
        <v>2.5999999999999999E-3</v>
      </c>
      <c r="L21" s="2"/>
      <c r="M21" s="2"/>
      <c r="N21" s="2"/>
      <c r="O21" s="468"/>
      <c r="P21" s="467"/>
      <c r="Q21" s="444"/>
      <c r="R21" s="328"/>
      <c r="S21" s="444"/>
      <c r="T21"/>
      <c r="U21"/>
      <c r="V21"/>
      <c r="W21"/>
      <c r="X21"/>
      <c r="Y21" s="2"/>
      <c r="Z21" s="2"/>
      <c r="AA21" s="2"/>
      <c r="AB21" s="2"/>
    </row>
    <row r="22" spans="1:28" ht="13.35" customHeight="1">
      <c r="B22" s="2" t="s">
        <v>219</v>
      </c>
      <c r="C22" s="2"/>
      <c r="D22" s="2"/>
      <c r="E22" s="2"/>
      <c r="F22" s="2"/>
      <c r="G22" s="330">
        <v>107.65647544783565</v>
      </c>
      <c r="I22" s="2"/>
      <c r="J22" s="2"/>
      <c r="K22" s="5">
        <f t="shared" si="0"/>
        <v>3.2000000000000002E-3</v>
      </c>
      <c r="L22" s="2"/>
      <c r="M22" s="2"/>
      <c r="N22" s="2"/>
      <c r="O22" s="468"/>
      <c r="P22" s="467"/>
      <c r="Q22" s="444"/>
      <c r="R22" s="444"/>
      <c r="S22" s="444"/>
      <c r="T22"/>
      <c r="U22"/>
      <c r="V22"/>
      <c r="W22"/>
      <c r="X22"/>
      <c r="Y22" s="2"/>
      <c r="Z22" s="2"/>
      <c r="AA22" s="2"/>
      <c r="AB22" s="2"/>
    </row>
    <row r="23" spans="1:28" ht="13.35" customHeight="1">
      <c r="B23" s="2"/>
      <c r="C23" s="2"/>
      <c r="D23" s="2"/>
      <c r="E23" s="2"/>
      <c r="F23" s="2"/>
      <c r="G23" s="329"/>
      <c r="I23" s="2"/>
      <c r="J23" s="2"/>
      <c r="K23" s="7"/>
      <c r="L23" s="2"/>
      <c r="M23" s="2"/>
      <c r="N23" s="2"/>
      <c r="O23" s="2"/>
      <c r="P23" s="467"/>
      <c r="Q23" s="444"/>
      <c r="R23" s="444"/>
      <c r="S23" s="444"/>
      <c r="T23"/>
      <c r="U23"/>
      <c r="V23"/>
      <c r="W23"/>
      <c r="X23"/>
      <c r="Y23" s="2"/>
      <c r="Z23" s="2"/>
      <c r="AA23" s="2"/>
      <c r="AB23" s="2"/>
    </row>
    <row r="24" spans="1:28" ht="13.35" customHeight="1" thickBot="1">
      <c r="B24" s="2" t="s">
        <v>220</v>
      </c>
      <c r="C24" s="2"/>
      <c r="D24" s="2"/>
      <c r="E24" s="2"/>
      <c r="F24" s="2"/>
      <c r="G24" s="166">
        <f>SUM(G16:G23)</f>
        <v>33532.417579726032</v>
      </c>
      <c r="I24" s="2"/>
      <c r="J24" s="2"/>
      <c r="K24" s="5">
        <f>SUM(K16:K23)</f>
        <v>1.0000000000000002</v>
      </c>
      <c r="L24" s="2"/>
      <c r="M24" s="2"/>
      <c r="N24" s="2"/>
      <c r="O24" s="2"/>
      <c r="P24" s="467"/>
      <c r="Q24" s="444"/>
      <c r="R24" s="447"/>
      <c r="S24" s="447"/>
      <c r="T24"/>
      <c r="U24"/>
      <c r="V24"/>
      <c r="W24"/>
      <c r="X24"/>
      <c r="Y24" s="2"/>
      <c r="Z24" s="2"/>
      <c r="AA24" s="2"/>
      <c r="AB24" s="2"/>
    </row>
    <row r="25" spans="1:28" ht="13.35" customHeight="1" thickTop="1">
      <c r="B25" s="2"/>
      <c r="C25" s="2"/>
      <c r="D25" s="2"/>
      <c r="E25" s="2"/>
      <c r="F25" s="2"/>
      <c r="G25" s="153"/>
      <c r="H25" s="2"/>
      <c r="I25" s="2"/>
      <c r="J25" s="2"/>
      <c r="K25" s="9"/>
      <c r="L25" s="2"/>
      <c r="M25" s="2"/>
      <c r="N25" s="2"/>
      <c r="O25" s="2"/>
      <c r="P25" s="467"/>
      <c r="Q25" s="444"/>
      <c r="R25" s="447"/>
      <c r="S25" s="447"/>
      <c r="T25"/>
      <c r="U25"/>
      <c r="V25"/>
      <c r="W25"/>
      <c r="X25"/>
      <c r="Y25" s="2"/>
      <c r="Z25" s="2"/>
      <c r="AA25" s="2"/>
      <c r="AB25" s="2"/>
    </row>
    <row r="26" spans="1:28" ht="13.35" customHeight="1">
      <c r="B26" s="2"/>
      <c r="C26" s="2"/>
      <c r="D26" s="2"/>
      <c r="E26" s="2"/>
      <c r="F26" s="2"/>
      <c r="G26" s="10"/>
      <c r="H26" s="2"/>
      <c r="I26" s="2"/>
      <c r="J26" s="2"/>
      <c r="K26" s="2"/>
      <c r="L26" s="2"/>
      <c r="M26" s="2"/>
      <c r="N26" s="2"/>
      <c r="O26" s="2"/>
      <c r="P26" s="467"/>
      <c r="Q26" s="2"/>
      <c r="R26" s="331"/>
      <c r="S26" s="332"/>
      <c r="T26" s="2"/>
      <c r="U26" s="2"/>
      <c r="V26" s="2"/>
      <c r="W26" s="2"/>
      <c r="X26" s="2"/>
      <c r="Y26" s="2"/>
      <c r="Z26" s="2"/>
      <c r="AA26" s="2"/>
      <c r="AB26" s="2"/>
    </row>
    <row r="27" spans="1:28" ht="13.35" customHeight="1">
      <c r="B27" s="2" t="s">
        <v>221</v>
      </c>
      <c r="C27" s="2"/>
      <c r="D27" s="2"/>
      <c r="E27" s="2"/>
      <c r="F27" s="2"/>
      <c r="G27" s="2"/>
      <c r="H27" s="2"/>
      <c r="I27" s="2"/>
      <c r="J27" s="2"/>
      <c r="K27" s="2"/>
      <c r="L27" s="2"/>
      <c r="M27" s="2"/>
      <c r="N27" s="2"/>
      <c r="O27" s="2"/>
      <c r="P27" s="467"/>
      <c r="Q27" s="2"/>
      <c r="R27" s="2"/>
      <c r="S27" s="2"/>
      <c r="T27" s="2"/>
      <c r="U27" s="2"/>
      <c r="V27" s="2"/>
      <c r="W27" s="2"/>
      <c r="X27" s="2"/>
      <c r="Y27" s="2"/>
      <c r="Z27" s="2"/>
      <c r="AA27" s="2"/>
      <c r="AB27" s="2"/>
    </row>
    <row r="28" spans="1:28" ht="13.35" customHeight="1">
      <c r="B28" s="2" t="s">
        <v>222</v>
      </c>
      <c r="C28" s="2"/>
      <c r="D28" s="2"/>
      <c r="E28" s="2"/>
      <c r="F28" s="2"/>
      <c r="G28" s="2"/>
      <c r="H28" s="2"/>
      <c r="I28" s="2"/>
      <c r="J28" s="2"/>
      <c r="K28" s="2"/>
      <c r="L28" s="2"/>
      <c r="M28" s="2"/>
      <c r="N28" s="2"/>
      <c r="O28" s="2"/>
      <c r="P28" s="467"/>
      <c r="Q28" s="2"/>
      <c r="R28" s="2"/>
      <c r="S28" s="2"/>
      <c r="T28" s="2"/>
      <c r="U28" s="2"/>
      <c r="V28" s="2"/>
      <c r="W28" s="2"/>
      <c r="X28" s="2"/>
      <c r="Y28" s="2"/>
      <c r="Z28" s="2"/>
      <c r="AA28" s="2"/>
      <c r="AB28" s="2"/>
    </row>
    <row r="29" spans="1:28" ht="9.1999999999999993" customHeight="1">
      <c r="B29" s="2"/>
      <c r="C29" s="2"/>
      <c r="D29" s="2"/>
      <c r="E29" s="2"/>
      <c r="F29" s="2"/>
      <c r="G29" s="2"/>
      <c r="H29" s="2"/>
      <c r="I29" s="2"/>
      <c r="J29" s="2"/>
      <c r="K29" s="2"/>
      <c r="L29" s="2"/>
      <c r="M29" s="2"/>
      <c r="N29" s="2"/>
      <c r="O29" s="2"/>
      <c r="P29" s="467"/>
      <c r="Q29" s="2"/>
      <c r="R29" s="2"/>
      <c r="S29" s="2"/>
      <c r="T29" s="2"/>
      <c r="U29" s="2"/>
      <c r="V29" s="2"/>
      <c r="W29" s="2"/>
      <c r="X29" s="2"/>
      <c r="Y29" s="2"/>
      <c r="Z29" s="2"/>
      <c r="AA29" s="2"/>
      <c r="AB29" s="2"/>
    </row>
    <row r="30" spans="1:28" ht="27.6" customHeight="1">
      <c r="B30" s="616" t="s">
        <v>223</v>
      </c>
      <c r="C30" s="616"/>
      <c r="D30" s="616"/>
      <c r="E30" s="616"/>
      <c r="F30" s="616"/>
      <c r="G30" s="616"/>
      <c r="H30" s="616"/>
      <c r="I30" s="616"/>
      <c r="J30" s="616"/>
      <c r="K30" s="616"/>
      <c r="L30" s="616"/>
      <c r="M30" s="616"/>
      <c r="N30" s="2"/>
      <c r="O30" s="2"/>
      <c r="P30" s="467"/>
      <c r="Q30" s="2"/>
      <c r="R30" s="2"/>
      <c r="S30" s="2"/>
      <c r="T30" s="2"/>
      <c r="U30" s="2"/>
      <c r="V30" s="2"/>
      <c r="W30" s="2"/>
      <c r="X30" s="2"/>
      <c r="Y30" s="2"/>
      <c r="Z30" s="2"/>
      <c r="AA30" s="2"/>
      <c r="AB30" s="2"/>
    </row>
    <row r="31" spans="1:28" ht="7.9" customHeight="1">
      <c r="B31" s="2"/>
      <c r="C31" s="2"/>
      <c r="D31" s="2"/>
      <c r="E31" s="2"/>
      <c r="F31" s="2"/>
      <c r="G31" s="2"/>
      <c r="H31" s="2"/>
      <c r="I31" s="2"/>
      <c r="J31" s="2"/>
      <c r="K31" s="2"/>
      <c r="L31" s="2"/>
      <c r="M31" s="2"/>
      <c r="N31" s="2"/>
      <c r="O31" s="2"/>
      <c r="P31" s="2"/>
      <c r="Q31" s="2"/>
      <c r="R31" s="2"/>
      <c r="S31" s="2"/>
      <c r="T31" s="2"/>
      <c r="U31" s="2"/>
      <c r="V31" s="2"/>
      <c r="W31" s="2"/>
      <c r="X31" s="2"/>
      <c r="Y31" s="2"/>
      <c r="Z31" s="2"/>
      <c r="AA31" s="2"/>
      <c r="AB31" s="2"/>
    </row>
    <row r="32" spans="1:28" ht="13.35" customHeight="1">
      <c r="B32" s="2"/>
      <c r="C32" s="2"/>
      <c r="D32" s="2"/>
      <c r="E32" s="1" t="s">
        <v>203</v>
      </c>
      <c r="F32" s="1"/>
      <c r="G32" s="1"/>
      <c r="H32" s="2"/>
      <c r="I32" s="1" t="s">
        <v>224</v>
      </c>
      <c r="J32" s="1"/>
      <c r="K32" s="1"/>
      <c r="L32" s="2"/>
      <c r="M32" s="2"/>
      <c r="N32" s="2"/>
      <c r="O32" s="2"/>
      <c r="P32" s="2"/>
      <c r="Q32" s="2"/>
      <c r="R32" s="2"/>
      <c r="S32" s="2"/>
      <c r="T32" s="2"/>
      <c r="U32" s="2"/>
      <c r="V32" s="2"/>
      <c r="W32" s="2"/>
      <c r="X32" s="2"/>
      <c r="Y32" s="2"/>
      <c r="Z32" s="2"/>
      <c r="AA32" s="2"/>
      <c r="AB32" s="2"/>
    </row>
    <row r="33" spans="2:28" ht="13.35" customHeight="1">
      <c r="B33" s="2"/>
      <c r="C33" s="2"/>
      <c r="D33" s="2"/>
      <c r="E33" s="1" t="s">
        <v>225</v>
      </c>
      <c r="F33" s="1"/>
      <c r="G33" s="1"/>
      <c r="H33" s="2"/>
      <c r="I33" s="1" t="s">
        <v>226</v>
      </c>
      <c r="J33" s="1"/>
      <c r="K33" s="1"/>
      <c r="L33" s="2"/>
      <c r="M33" s="2"/>
      <c r="N33" s="2"/>
      <c r="O33" s="2"/>
      <c r="P33" s="2"/>
      <c r="Q33" s="2"/>
      <c r="R33" s="2"/>
      <c r="S33" s="2"/>
      <c r="T33" s="2"/>
      <c r="U33" s="2"/>
      <c r="V33" s="2"/>
      <c r="W33" s="2"/>
      <c r="X33" s="2"/>
      <c r="Y33" s="2"/>
      <c r="Z33" s="2"/>
      <c r="AA33" s="2"/>
      <c r="AB33" s="2"/>
    </row>
    <row r="34" spans="2:28" ht="13.35" customHeight="1">
      <c r="B34" s="1" t="s">
        <v>204</v>
      </c>
      <c r="C34" s="1"/>
      <c r="D34" s="2"/>
      <c r="E34" s="11" t="s">
        <v>206</v>
      </c>
      <c r="F34" s="11"/>
      <c r="G34" s="11" t="s">
        <v>227</v>
      </c>
      <c r="H34" s="12"/>
      <c r="I34" s="11" t="s">
        <v>206</v>
      </c>
      <c r="J34" s="11"/>
      <c r="K34" s="11" t="s">
        <v>227</v>
      </c>
      <c r="L34" s="12"/>
      <c r="M34" s="12" t="s">
        <v>206</v>
      </c>
      <c r="N34" s="2"/>
      <c r="O34" s="2"/>
      <c r="P34" s="2"/>
      <c r="Q34" s="2"/>
      <c r="R34" s="2"/>
      <c r="S34" s="2"/>
      <c r="T34" s="2"/>
      <c r="U34" s="2"/>
      <c r="V34" s="2"/>
      <c r="W34" s="2"/>
      <c r="X34" s="2"/>
      <c r="Y34" s="2"/>
      <c r="Z34" s="2"/>
      <c r="AA34" s="2"/>
      <c r="AB34" s="2"/>
    </row>
    <row r="35" spans="2:28" ht="13.35" customHeight="1">
      <c r="B35" s="1" t="s">
        <v>207</v>
      </c>
      <c r="C35" s="1"/>
      <c r="D35" s="2"/>
      <c r="E35" s="12" t="s">
        <v>228</v>
      </c>
      <c r="F35" s="12"/>
      <c r="G35" s="12" t="s">
        <v>208</v>
      </c>
      <c r="H35" s="12"/>
      <c r="I35" s="12" t="s">
        <v>208</v>
      </c>
      <c r="J35" s="12"/>
      <c r="K35" s="12" t="s">
        <v>208</v>
      </c>
      <c r="L35" s="12"/>
      <c r="M35" s="12" t="s">
        <v>208</v>
      </c>
      <c r="N35" s="2"/>
      <c r="O35" s="2"/>
      <c r="P35" s="2"/>
      <c r="Q35" s="2"/>
      <c r="R35" s="2"/>
      <c r="S35" s="2"/>
      <c r="T35" s="2"/>
      <c r="U35" s="2"/>
      <c r="V35" s="2"/>
      <c r="W35" s="2"/>
      <c r="X35" s="2"/>
      <c r="Y35" s="2"/>
      <c r="Z35" s="2"/>
      <c r="AA35" s="2"/>
      <c r="AB35" s="2"/>
    </row>
    <row r="36" spans="2:28" ht="13.35" customHeight="1">
      <c r="B36" s="3" t="s">
        <v>209</v>
      </c>
      <c r="C36" s="3"/>
      <c r="D36" s="2"/>
      <c r="E36" s="11" t="s">
        <v>229</v>
      </c>
      <c r="F36" s="2"/>
      <c r="G36" s="13" t="s">
        <v>230</v>
      </c>
      <c r="H36" s="2"/>
      <c r="I36" s="11" t="s">
        <v>231</v>
      </c>
      <c r="J36" s="2"/>
      <c r="K36" s="13" t="s">
        <v>232</v>
      </c>
      <c r="L36" s="2"/>
      <c r="M36" s="11" t="s">
        <v>233</v>
      </c>
      <c r="N36" s="2"/>
      <c r="O36" s="2"/>
      <c r="P36" s="2"/>
      <c r="Q36" s="2"/>
      <c r="R36" s="2"/>
      <c r="S36" s="2"/>
      <c r="T36" s="2"/>
      <c r="U36" s="2"/>
      <c r="V36" s="2"/>
      <c r="W36" s="2"/>
      <c r="X36" s="2"/>
      <c r="Y36" s="2"/>
      <c r="Z36" s="2"/>
      <c r="AA36" s="2"/>
      <c r="AB36" s="2"/>
    </row>
    <row r="37" spans="2:28" ht="13.35" customHeight="1">
      <c r="B37" s="2"/>
      <c r="C37" s="2"/>
      <c r="D37" s="2"/>
      <c r="E37" s="2"/>
      <c r="F37" s="2"/>
      <c r="G37" s="5">
        <f>'F 2 B'!$H$33</f>
        <v>0.60609999999999997</v>
      </c>
      <c r="H37" s="2"/>
      <c r="I37" s="2"/>
      <c r="J37" s="2"/>
      <c r="K37" s="5">
        <f>'F 2 B'!$H$35</f>
        <v>0.39389999999999997</v>
      </c>
      <c r="L37" s="2"/>
      <c r="M37" s="2"/>
      <c r="N37" s="2"/>
      <c r="O37" s="2"/>
      <c r="P37" s="2"/>
      <c r="Q37" s="2"/>
      <c r="R37" s="2"/>
      <c r="S37" s="2"/>
      <c r="T37" s="2"/>
      <c r="U37" s="2"/>
      <c r="V37" s="2"/>
      <c r="W37" s="2"/>
      <c r="X37" s="2"/>
      <c r="Y37" s="2"/>
      <c r="Z37" s="2"/>
      <c r="AA37" s="2"/>
      <c r="AB37" s="2"/>
    </row>
    <row r="38" spans="2:28" ht="8.25" customHeight="1">
      <c r="B38" s="2"/>
      <c r="C38" s="2"/>
      <c r="D38" s="2"/>
      <c r="E38" s="2"/>
      <c r="F38" s="2"/>
      <c r="G38" s="2"/>
      <c r="H38" s="2"/>
      <c r="I38" s="2"/>
      <c r="J38" s="2"/>
      <c r="K38" s="2"/>
      <c r="L38" s="2"/>
      <c r="M38" s="2"/>
      <c r="N38" s="2"/>
      <c r="O38" s="2"/>
      <c r="P38" s="2"/>
      <c r="Q38" s="2"/>
      <c r="R38" s="2"/>
      <c r="S38" s="2"/>
      <c r="T38" s="2"/>
      <c r="U38" s="2"/>
      <c r="V38" s="2"/>
      <c r="W38" s="2"/>
      <c r="X38" s="2"/>
      <c r="Y38" s="2"/>
      <c r="Z38" s="2"/>
      <c r="AA38" s="2"/>
      <c r="AB38" s="2"/>
    </row>
    <row r="39" spans="2:28" ht="13.35" customHeight="1">
      <c r="B39" s="2" t="s">
        <v>212</v>
      </c>
      <c r="C39" s="2"/>
      <c r="D39" s="2"/>
      <c r="E39" s="5">
        <f t="shared" ref="E39:E45" si="1">K16</f>
        <v>0.495</v>
      </c>
      <c r="F39" s="2"/>
      <c r="G39" s="5">
        <f>ROUND(E39*G$37,4)+0.0001</f>
        <v>0.30009999999999998</v>
      </c>
      <c r="H39" s="2"/>
      <c r="I39" s="5">
        <f>'F 2 B'!$J$17</f>
        <v>0.52590000000000003</v>
      </c>
      <c r="J39" s="2"/>
      <c r="K39" s="5">
        <f>ROUND(I39*K$37,4)</f>
        <v>0.2072</v>
      </c>
      <c r="L39" s="2"/>
      <c r="M39" s="5">
        <f t="shared" ref="M39:M45" si="2">G39+K39</f>
        <v>0.50729999999999997</v>
      </c>
      <c r="N39" s="2"/>
      <c r="O39" s="2"/>
      <c r="P39" s="2"/>
      <c r="Q39" s="5"/>
      <c r="R39" s="2"/>
      <c r="S39" s="2"/>
      <c r="T39" s="2"/>
      <c r="U39" s="2"/>
      <c r="V39" s="2"/>
      <c r="W39" s="2"/>
      <c r="X39" s="2"/>
      <c r="Y39" s="2"/>
      <c r="Z39" s="2"/>
      <c r="AA39" s="2"/>
      <c r="AB39" s="2"/>
    </row>
    <row r="40" spans="2:28" ht="13.35" customHeight="1">
      <c r="B40" s="2" t="s">
        <v>213</v>
      </c>
      <c r="C40" s="2"/>
      <c r="D40" s="2"/>
      <c r="E40" s="5">
        <f t="shared" si="1"/>
        <v>0.311</v>
      </c>
      <c r="F40" s="2"/>
      <c r="G40" s="5">
        <f t="shared" ref="G40:G44" si="3">ROUND(E40*G$37,4)</f>
        <v>0.1885</v>
      </c>
      <c r="H40" s="2"/>
      <c r="I40" s="5">
        <f>'F 2 B'!$J$18</f>
        <v>0.31209999999999999</v>
      </c>
      <c r="J40" s="2"/>
      <c r="K40" s="5">
        <f>ROUND(I40*K$37,4)</f>
        <v>0.1229</v>
      </c>
      <c r="L40" s="2"/>
      <c r="M40" s="5">
        <f t="shared" si="2"/>
        <v>0.31140000000000001</v>
      </c>
      <c r="N40" s="2"/>
      <c r="O40" s="2"/>
      <c r="P40" s="2"/>
      <c r="Q40" s="5"/>
      <c r="R40" s="2"/>
      <c r="S40" s="2"/>
      <c r="T40" s="2"/>
      <c r="U40" s="2"/>
      <c r="V40" s="2"/>
      <c r="W40" s="2"/>
      <c r="X40" s="2"/>
      <c r="Y40" s="2"/>
      <c r="Z40" s="2"/>
      <c r="AA40" s="2"/>
      <c r="AB40" s="2"/>
    </row>
    <row r="41" spans="2:28" ht="13.35" customHeight="1">
      <c r="B41" s="2" t="s">
        <v>214</v>
      </c>
      <c r="C41" s="2"/>
      <c r="D41" s="2"/>
      <c r="E41" s="5">
        <f t="shared" si="1"/>
        <v>4.3099999999999999E-2</v>
      </c>
      <c r="F41" s="2"/>
      <c r="G41" s="5">
        <f t="shared" si="3"/>
        <v>2.6100000000000002E-2</v>
      </c>
      <c r="H41" s="2"/>
      <c r="I41" s="5">
        <f>'F 2 B'!$J$19</f>
        <v>3.56E-2</v>
      </c>
      <c r="J41" s="2"/>
      <c r="K41" s="5">
        <f>ROUND(I41*K$37,4)</f>
        <v>1.4E-2</v>
      </c>
      <c r="L41" s="2"/>
      <c r="M41" s="5">
        <f t="shared" si="2"/>
        <v>4.0100000000000004E-2</v>
      </c>
      <c r="N41" s="2"/>
      <c r="O41" s="2"/>
      <c r="P41" s="2"/>
      <c r="Q41" s="5"/>
      <c r="R41" s="2"/>
      <c r="S41" s="2"/>
      <c r="T41" s="2"/>
      <c r="U41" s="2"/>
      <c r="V41" s="2"/>
      <c r="W41" s="2"/>
      <c r="X41" s="2"/>
      <c r="Y41" s="2"/>
      <c r="Z41" s="2"/>
      <c r="AA41" s="2"/>
      <c r="AB41" s="2"/>
    </row>
    <row r="42" spans="2:28" ht="13.35" customHeight="1">
      <c r="B42" s="2" t="s">
        <v>216</v>
      </c>
      <c r="C42" s="2"/>
      <c r="D42" s="2"/>
      <c r="E42" s="5">
        <f t="shared" si="1"/>
        <v>0.1106</v>
      </c>
      <c r="F42" s="2"/>
      <c r="G42" s="5">
        <f t="shared" si="3"/>
        <v>6.7000000000000004E-2</v>
      </c>
      <c r="H42" s="2"/>
      <c r="I42" s="5">
        <f>'F 2 B'!$J$20</f>
        <v>9.7900000000000001E-2</v>
      </c>
      <c r="J42" s="2"/>
      <c r="K42" s="5">
        <f>ROUND(I42*K$37,4)</f>
        <v>3.8600000000000002E-2</v>
      </c>
      <c r="L42" s="2"/>
      <c r="M42" s="5">
        <f t="shared" si="2"/>
        <v>0.1056</v>
      </c>
      <c r="N42" s="2"/>
      <c r="O42" s="2"/>
      <c r="P42" s="2"/>
      <c r="Q42" s="5"/>
      <c r="R42" s="2"/>
      <c r="S42" s="2"/>
      <c r="T42" s="2"/>
      <c r="U42" s="2"/>
      <c r="V42" s="2"/>
      <c r="W42" s="2"/>
      <c r="X42" s="2"/>
      <c r="Y42" s="2"/>
      <c r="Z42" s="2"/>
      <c r="AA42" s="2"/>
      <c r="AB42" s="2"/>
    </row>
    <row r="43" spans="2:28" ht="13.35" customHeight="1">
      <c r="B43" s="2" t="s">
        <v>337</v>
      </c>
      <c r="C43" s="2"/>
      <c r="D43" s="2"/>
      <c r="E43" s="5">
        <f t="shared" si="1"/>
        <v>3.4500000000000003E-2</v>
      </c>
      <c r="F43" s="2"/>
      <c r="G43" s="5">
        <f t="shared" si="3"/>
        <v>2.0899999999999998E-2</v>
      </c>
      <c r="H43" s="2"/>
      <c r="I43" s="5">
        <f>'F 2 B'!$J$21</f>
        <v>2.8500000000000001E-2</v>
      </c>
      <c r="J43" s="2"/>
      <c r="K43" s="5">
        <f>ROUND(I43*K$37,4)</f>
        <v>1.12E-2</v>
      </c>
      <c r="L43" s="2"/>
      <c r="M43" s="5">
        <f t="shared" si="2"/>
        <v>3.2099999999999997E-2</v>
      </c>
      <c r="N43" s="2"/>
      <c r="O43" s="2"/>
      <c r="P43" s="2"/>
      <c r="Q43" s="5"/>
      <c r="R43" s="2"/>
      <c r="S43" s="2"/>
      <c r="T43" s="2"/>
      <c r="U43" s="2"/>
      <c r="V43" s="2"/>
      <c r="W43" s="2"/>
      <c r="X43" s="2"/>
      <c r="Y43" s="2"/>
      <c r="Z43" s="2"/>
      <c r="AA43" s="2"/>
      <c r="AB43" s="2"/>
    </row>
    <row r="44" spans="2:28" ht="13.35" customHeight="1">
      <c r="B44" s="2" t="s">
        <v>218</v>
      </c>
      <c r="C44" s="2"/>
      <c r="D44" s="2"/>
      <c r="E44" s="5">
        <f t="shared" si="1"/>
        <v>2.5999999999999999E-3</v>
      </c>
      <c r="F44" s="2"/>
      <c r="G44" s="5">
        <f t="shared" si="3"/>
        <v>1.6000000000000001E-3</v>
      </c>
      <c r="H44" s="2"/>
      <c r="I44" s="2"/>
      <c r="J44" s="2"/>
      <c r="K44" s="2"/>
      <c r="L44" s="2"/>
      <c r="M44" s="5">
        <f t="shared" si="2"/>
        <v>1.6000000000000001E-3</v>
      </c>
      <c r="N44" s="2"/>
      <c r="O44" s="2"/>
      <c r="P44" s="2"/>
      <c r="Q44" s="5"/>
      <c r="R44" s="2"/>
      <c r="S44" s="2"/>
      <c r="T44" s="2"/>
      <c r="U44" s="2"/>
      <c r="V44" s="2"/>
      <c r="W44" s="2"/>
      <c r="X44" s="2"/>
      <c r="Y44" s="2"/>
      <c r="Z44" s="2"/>
      <c r="AA44" s="2"/>
      <c r="AB44" s="2"/>
    </row>
    <row r="45" spans="2:28" ht="13.35" customHeight="1">
      <c r="B45" s="2" t="s">
        <v>219</v>
      </c>
      <c r="C45" s="2"/>
      <c r="D45" s="2"/>
      <c r="E45" s="5">
        <f t="shared" si="1"/>
        <v>3.2000000000000002E-3</v>
      </c>
      <c r="F45" s="2"/>
      <c r="G45" s="270">
        <f>ROUND(E45*G$37,4)+0</f>
        <v>1.9E-3</v>
      </c>
      <c r="H45" s="2"/>
      <c r="I45" s="2"/>
      <c r="J45" s="2"/>
      <c r="K45" s="2"/>
      <c r="L45" s="2"/>
      <c r="M45" s="5">
        <f t="shared" si="2"/>
        <v>1.9E-3</v>
      </c>
      <c r="N45" s="2"/>
      <c r="O45" s="2"/>
      <c r="P45" s="2"/>
      <c r="Q45" s="5"/>
      <c r="R45" s="2"/>
      <c r="S45" s="2"/>
      <c r="T45" s="2"/>
      <c r="U45" s="2"/>
      <c r="V45" s="2"/>
      <c r="W45" s="2"/>
      <c r="X45" s="2"/>
      <c r="Y45" s="2"/>
      <c r="Z45" s="2"/>
      <c r="AA45" s="2"/>
      <c r="AB45" s="2"/>
    </row>
    <row r="46" spans="2:28" ht="8.25" customHeight="1">
      <c r="B46" s="2"/>
      <c r="C46" s="2"/>
      <c r="D46" s="2"/>
      <c r="E46" s="7"/>
      <c r="F46" s="2"/>
      <c r="G46" s="7"/>
      <c r="H46" s="2"/>
      <c r="I46" s="7"/>
      <c r="J46" s="2"/>
      <c r="K46" s="7"/>
      <c r="L46" s="2"/>
      <c r="M46" s="7"/>
      <c r="N46" s="2"/>
      <c r="O46" s="2"/>
      <c r="P46" s="2"/>
      <c r="Q46" s="14"/>
      <c r="R46" s="2"/>
      <c r="S46" s="2"/>
      <c r="T46" s="2"/>
      <c r="U46" s="2"/>
      <c r="V46" s="2"/>
      <c r="W46" s="2"/>
      <c r="X46" s="2"/>
      <c r="Y46" s="2"/>
      <c r="Z46" s="2"/>
      <c r="AA46" s="2"/>
      <c r="AB46" s="2"/>
    </row>
    <row r="47" spans="2:28" ht="13.35" customHeight="1" thickBot="1">
      <c r="B47" s="2" t="s">
        <v>220</v>
      </c>
      <c r="C47" s="2"/>
      <c r="D47" s="2"/>
      <c r="E47" s="5">
        <f>SUM(E39:E46)</f>
        <v>1.0000000000000002</v>
      </c>
      <c r="F47" s="2"/>
      <c r="G47" s="149">
        <f>SUM(G39:G46)</f>
        <v>0.60609999999999997</v>
      </c>
      <c r="H47" s="2"/>
      <c r="I47" s="5">
        <f>SUM(I39:I46)</f>
        <v>1</v>
      </c>
      <c r="J47" s="2"/>
      <c r="K47" s="5">
        <f>SUM(K39:K46)</f>
        <v>0.39390000000000003</v>
      </c>
      <c r="L47" s="2"/>
      <c r="M47" s="5">
        <f>SUM(M39:M46)</f>
        <v>1</v>
      </c>
      <c r="N47" s="2"/>
      <c r="O47" s="2"/>
      <c r="P47" s="2"/>
      <c r="Q47" s="5"/>
      <c r="R47" s="2"/>
      <c r="S47" s="2"/>
      <c r="T47" s="2"/>
      <c r="U47" s="2"/>
      <c r="V47" s="2"/>
      <c r="W47" s="2"/>
      <c r="X47" s="2"/>
      <c r="Y47" s="2"/>
      <c r="Z47" s="2"/>
      <c r="AA47" s="2"/>
      <c r="AB47" s="2"/>
    </row>
    <row r="48" spans="2:28" ht="13.35" customHeight="1" thickTop="1">
      <c r="E48" s="271"/>
      <c r="G48" s="272"/>
      <c r="I48" s="271"/>
      <c r="K48" s="271"/>
      <c r="M48" s="271"/>
      <c r="N48" s="2"/>
      <c r="O48" s="2"/>
      <c r="P48" s="2"/>
      <c r="Q48" s="2"/>
      <c r="R48" s="2"/>
      <c r="S48" s="2"/>
      <c r="T48" s="2"/>
      <c r="U48" s="2"/>
      <c r="V48" s="2"/>
      <c r="W48" s="2"/>
      <c r="X48" s="2"/>
      <c r="Y48" s="2"/>
      <c r="Z48" s="2"/>
      <c r="AA48" s="2"/>
      <c r="AB48" s="2"/>
    </row>
    <row r="49" spans="2:28" ht="25.9" customHeight="1">
      <c r="B49" s="617" t="s">
        <v>234</v>
      </c>
      <c r="C49" s="617"/>
      <c r="D49" s="617"/>
      <c r="E49" s="617"/>
      <c r="F49" s="617"/>
      <c r="G49" s="617"/>
      <c r="H49" s="617"/>
      <c r="I49" s="617"/>
      <c r="J49" s="617"/>
      <c r="K49" s="617"/>
      <c r="L49" s="617"/>
      <c r="M49" s="617"/>
      <c r="N49" s="2"/>
      <c r="O49" s="2"/>
      <c r="P49" s="2"/>
      <c r="Q49" s="2"/>
      <c r="R49" s="2"/>
      <c r="S49" s="2"/>
      <c r="T49" s="2"/>
      <c r="U49" s="2"/>
      <c r="V49" s="2"/>
      <c r="W49" s="2"/>
      <c r="X49" s="2"/>
      <c r="Y49" s="2"/>
      <c r="Z49" s="2"/>
      <c r="AA49" s="2"/>
      <c r="AB49" s="2"/>
    </row>
    <row r="50" spans="2:28" ht="13.35" customHeight="1">
      <c r="N50" s="2"/>
      <c r="O50" s="2"/>
      <c r="P50" s="2"/>
      <c r="Q50" s="2"/>
      <c r="R50" s="2"/>
      <c r="S50" s="2"/>
      <c r="T50" s="2"/>
      <c r="U50" s="2"/>
      <c r="V50" s="2"/>
      <c r="W50" s="2"/>
      <c r="X50" s="2"/>
      <c r="Y50" s="2"/>
      <c r="Z50" s="2"/>
      <c r="AA50" s="2"/>
      <c r="AB50" s="2"/>
    </row>
    <row r="51" spans="2:28" ht="13.3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2:28">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2:28">
      <c r="B53" s="2"/>
      <c r="C53" s="2"/>
      <c r="D53" s="2"/>
      <c r="E53" s="2"/>
      <c r="F53" s="2"/>
      <c r="G53" s="2"/>
      <c r="H53" s="2"/>
      <c r="I53" s="2"/>
      <c r="J53" s="2"/>
      <c r="K53" s="2"/>
      <c r="L53" s="2"/>
      <c r="M53" s="2"/>
      <c r="N53" s="2"/>
      <c r="O53" s="2"/>
      <c r="P53" s="2"/>
      <c r="Q53" s="2"/>
      <c r="R53" s="2"/>
      <c r="S53" s="2"/>
      <c r="T53" s="2"/>
      <c r="U53" s="2"/>
      <c r="V53" s="2"/>
      <c r="W53" s="2"/>
      <c r="X53" s="2"/>
      <c r="Y53" s="2"/>
      <c r="Z53" s="2"/>
      <c r="AA53" s="2"/>
      <c r="AB53" s="2"/>
    </row>
    <row r="54" spans="2:28">
      <c r="B54" s="2"/>
      <c r="C54" s="2"/>
      <c r="D54" s="2"/>
      <c r="E54" s="2"/>
      <c r="F54" s="2"/>
      <c r="G54" s="2"/>
      <c r="H54" s="2"/>
      <c r="I54" s="2"/>
      <c r="J54" s="2"/>
      <c r="K54" s="2"/>
      <c r="L54" s="2"/>
      <c r="M54" s="2"/>
      <c r="N54" s="2"/>
      <c r="O54" s="2"/>
      <c r="P54" s="2"/>
      <c r="Q54" s="2"/>
      <c r="R54" s="2"/>
      <c r="S54" s="2"/>
      <c r="T54" s="2"/>
      <c r="U54" s="2"/>
      <c r="V54" s="2"/>
      <c r="W54" s="2"/>
      <c r="X54" s="2"/>
      <c r="Y54" s="2"/>
      <c r="Z54" s="2"/>
      <c r="AA54" s="2"/>
      <c r="AB54" s="2"/>
    </row>
    <row r="55" spans="2:28">
      <c r="B55" s="2"/>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2:28">
      <c r="B56" s="2"/>
      <c r="C56" s="2"/>
      <c r="D56" s="2"/>
      <c r="E56" s="2"/>
      <c r="F56" s="2"/>
      <c r="G56" s="2"/>
      <c r="H56" s="2"/>
      <c r="I56" s="2"/>
      <c r="J56" s="2"/>
      <c r="K56" s="2"/>
      <c r="L56" s="2"/>
      <c r="M56" s="2"/>
      <c r="N56" s="2"/>
      <c r="O56" s="2"/>
      <c r="P56" s="2"/>
      <c r="Q56" s="2"/>
      <c r="R56" s="2"/>
      <c r="S56" s="2"/>
      <c r="T56" s="2"/>
      <c r="U56" s="2"/>
      <c r="V56" s="2"/>
      <c r="W56" s="2"/>
      <c r="X56" s="2"/>
      <c r="Y56" s="2"/>
      <c r="Z56" s="2"/>
      <c r="AA56" s="2"/>
      <c r="AB56" s="2"/>
    </row>
    <row r="57" spans="2:28">
      <c r="B57" s="2"/>
      <c r="C57" s="2"/>
      <c r="D57" s="2"/>
      <c r="E57" s="2"/>
      <c r="F57" s="2"/>
      <c r="G57" s="2"/>
      <c r="H57" s="2"/>
      <c r="I57" s="2"/>
      <c r="J57" s="2"/>
      <c r="K57" s="2"/>
      <c r="L57" s="2"/>
      <c r="M57" s="2"/>
      <c r="N57" s="2"/>
      <c r="O57" s="2"/>
      <c r="P57" s="2"/>
      <c r="Q57" s="2"/>
      <c r="R57" s="2"/>
      <c r="S57" s="2"/>
      <c r="T57" s="2"/>
      <c r="U57" s="2"/>
      <c r="V57" s="2"/>
      <c r="W57" s="2"/>
      <c r="X57" s="2"/>
      <c r="Y57" s="2"/>
      <c r="Z57" s="2"/>
      <c r="AA57" s="2"/>
      <c r="AB57" s="2"/>
    </row>
    <row r="58" spans="2:28">
      <c r="B58" s="2"/>
      <c r="C58" s="2"/>
      <c r="D58" s="2"/>
      <c r="E58" s="2"/>
      <c r="F58" s="2"/>
      <c r="G58" s="2"/>
      <c r="H58" s="2"/>
      <c r="I58" s="2"/>
      <c r="J58" s="2"/>
      <c r="K58" s="2"/>
      <c r="L58" s="2"/>
      <c r="M58" s="2"/>
      <c r="N58" s="2"/>
      <c r="O58" s="2"/>
      <c r="P58" s="2"/>
      <c r="Q58" s="2"/>
      <c r="R58" s="2"/>
      <c r="S58" s="2"/>
      <c r="T58" s="2"/>
      <c r="U58" s="2"/>
      <c r="V58" s="2"/>
      <c r="W58" s="2"/>
      <c r="X58" s="2"/>
      <c r="Y58" s="2"/>
      <c r="Z58" s="2"/>
      <c r="AA58" s="2"/>
      <c r="AB58" s="2"/>
    </row>
    <row r="59" spans="2:28">
      <c r="B59" s="2"/>
      <c r="C59" s="2"/>
      <c r="D59" s="2"/>
      <c r="E59" s="2"/>
      <c r="F59" s="2"/>
      <c r="G59" s="2"/>
      <c r="H59" s="2"/>
      <c r="I59" s="2"/>
      <c r="J59" s="2"/>
      <c r="K59" s="2"/>
      <c r="L59" s="2"/>
      <c r="M59" s="2"/>
      <c r="N59" s="2"/>
      <c r="O59" s="2"/>
      <c r="P59" s="2"/>
      <c r="Q59" s="2"/>
      <c r="R59" s="2"/>
      <c r="S59" s="2"/>
      <c r="T59" s="2"/>
      <c r="U59" s="2"/>
      <c r="V59" s="2"/>
      <c r="W59" s="2"/>
      <c r="X59" s="2"/>
      <c r="Y59" s="2"/>
      <c r="Z59" s="2"/>
      <c r="AA59" s="2"/>
      <c r="AB59" s="2"/>
    </row>
    <row r="60" spans="2:28">
      <c r="B60" s="2"/>
      <c r="C60" s="2"/>
      <c r="D60" s="2"/>
      <c r="E60" s="2"/>
      <c r="F60" s="2"/>
      <c r="G60" s="2"/>
      <c r="H60" s="2"/>
      <c r="I60" s="2"/>
      <c r="J60" s="2"/>
      <c r="K60" s="2"/>
      <c r="L60" s="2"/>
      <c r="M60" s="2"/>
      <c r="N60" s="2"/>
      <c r="O60" s="2"/>
      <c r="P60" s="2"/>
      <c r="Q60" s="2"/>
      <c r="R60" s="2"/>
      <c r="S60" s="2"/>
      <c r="T60" s="2"/>
      <c r="U60" s="2"/>
      <c r="V60" s="2"/>
      <c r="W60" s="2"/>
      <c r="X60" s="2"/>
      <c r="Y60" s="2"/>
      <c r="Z60" s="2"/>
      <c r="AA60" s="2"/>
      <c r="AB60" s="2"/>
    </row>
    <row r="61" spans="2:28">
      <c r="B61" s="2"/>
      <c r="C61" s="2"/>
      <c r="D61" s="2"/>
      <c r="E61" s="2"/>
      <c r="F61" s="2"/>
      <c r="G61" s="2"/>
      <c r="H61" s="2"/>
      <c r="I61" s="2"/>
      <c r="J61" s="2"/>
      <c r="K61" s="2"/>
      <c r="L61" s="2"/>
      <c r="M61" s="2"/>
      <c r="N61" s="2"/>
      <c r="O61" s="2"/>
      <c r="P61" s="2"/>
      <c r="Q61" s="2"/>
      <c r="R61" s="2"/>
      <c r="S61" s="2"/>
      <c r="T61" s="2"/>
      <c r="U61" s="2"/>
      <c r="V61" s="2"/>
      <c r="W61" s="2"/>
      <c r="X61" s="2"/>
      <c r="Y61" s="2"/>
      <c r="Z61" s="2"/>
      <c r="AA61" s="2"/>
      <c r="AB61" s="2"/>
    </row>
    <row r="62" spans="2:28">
      <c r="B62" s="2"/>
      <c r="C62" s="2"/>
      <c r="D62" s="2"/>
      <c r="E62" s="2"/>
      <c r="F62" s="2"/>
      <c r="G62" s="2"/>
      <c r="H62" s="2"/>
      <c r="I62" s="2"/>
      <c r="J62" s="2"/>
      <c r="K62" s="2"/>
      <c r="L62" s="2"/>
      <c r="M62" s="2"/>
      <c r="N62" s="2"/>
      <c r="O62" s="2"/>
      <c r="P62" s="2"/>
      <c r="Q62" s="2"/>
      <c r="R62" s="2"/>
      <c r="S62" s="2"/>
      <c r="T62" s="2"/>
      <c r="U62" s="2"/>
      <c r="V62" s="2"/>
      <c r="W62" s="2"/>
      <c r="X62" s="2"/>
      <c r="Y62" s="2"/>
      <c r="Z62" s="2"/>
      <c r="AA62" s="2"/>
      <c r="AB62" s="2"/>
    </row>
    <row r="63" spans="2:28">
      <c r="B63" s="2"/>
      <c r="C63" s="2"/>
      <c r="D63" s="2"/>
      <c r="E63" s="2"/>
      <c r="F63" s="2"/>
      <c r="G63" s="2"/>
      <c r="H63" s="2"/>
      <c r="I63" s="2"/>
      <c r="J63" s="2"/>
      <c r="K63" s="2"/>
      <c r="L63" s="2"/>
      <c r="M63" s="2"/>
      <c r="N63" s="2"/>
      <c r="O63" s="2"/>
      <c r="P63" s="2"/>
      <c r="Q63" s="2"/>
      <c r="R63" s="2"/>
      <c r="S63" s="2"/>
      <c r="T63" s="2"/>
      <c r="U63" s="2"/>
      <c r="V63" s="2"/>
      <c r="W63" s="2"/>
      <c r="X63" s="2"/>
      <c r="Y63" s="2"/>
      <c r="Z63" s="2"/>
      <c r="AA63" s="2"/>
      <c r="AB63" s="2"/>
    </row>
    <row r="64" spans="2:28">
      <c r="B64" s="2"/>
      <c r="C64" s="2"/>
      <c r="D64" s="2"/>
      <c r="E64" s="2"/>
      <c r="F64" s="2"/>
      <c r="G64" s="2"/>
      <c r="H64" s="2"/>
      <c r="I64" s="2"/>
      <c r="J64" s="2"/>
      <c r="K64" s="2"/>
      <c r="L64" s="2"/>
      <c r="M64" s="2"/>
      <c r="N64" s="2"/>
      <c r="O64" s="2"/>
      <c r="P64" s="2"/>
      <c r="Q64" s="2"/>
      <c r="AB64" s="2"/>
    </row>
    <row r="65" spans="2:28">
      <c r="B65" s="2"/>
      <c r="C65" s="2"/>
      <c r="D65" s="2"/>
      <c r="E65" s="2"/>
      <c r="F65" s="2"/>
      <c r="G65" s="2"/>
      <c r="H65" s="2"/>
      <c r="I65" s="2"/>
      <c r="J65" s="2"/>
      <c r="K65" s="2"/>
      <c r="L65" s="2"/>
      <c r="M65" s="2"/>
      <c r="N65" s="2"/>
      <c r="O65" s="2"/>
      <c r="P65" s="2"/>
      <c r="Q65" s="2"/>
      <c r="AB65" s="2"/>
    </row>
    <row r="66" spans="2:28">
      <c r="B66" s="2"/>
      <c r="C66" s="2"/>
      <c r="D66" s="2"/>
      <c r="E66" s="2"/>
      <c r="F66" s="2"/>
      <c r="G66" s="2"/>
      <c r="H66" s="2"/>
      <c r="I66" s="2"/>
      <c r="J66" s="2"/>
      <c r="K66" s="2"/>
      <c r="L66" s="2"/>
      <c r="M66" s="2"/>
      <c r="N66" s="2"/>
      <c r="O66" s="2"/>
      <c r="P66" s="2"/>
      <c r="Q66" s="2"/>
      <c r="AB66" s="2"/>
    </row>
    <row r="67" spans="2:28">
      <c r="B67" s="2"/>
      <c r="C67" s="2"/>
      <c r="D67" s="2"/>
      <c r="E67" s="2"/>
      <c r="F67" s="2"/>
      <c r="G67" s="2"/>
      <c r="H67" s="2"/>
      <c r="I67" s="2"/>
      <c r="J67" s="2"/>
      <c r="K67" s="2"/>
      <c r="L67" s="2"/>
      <c r="M67" s="2"/>
      <c r="N67" s="2"/>
      <c r="O67" s="2"/>
      <c r="P67" s="2"/>
      <c r="Q67" s="2"/>
      <c r="AB67" s="2"/>
    </row>
    <row r="68" spans="2:28">
      <c r="B68" s="2"/>
      <c r="C68" s="2"/>
      <c r="D68" s="2"/>
      <c r="E68" s="2"/>
      <c r="F68" s="2"/>
      <c r="G68" s="2"/>
      <c r="H68" s="2"/>
      <c r="I68" s="2"/>
      <c r="J68" s="2"/>
      <c r="K68" s="2"/>
      <c r="L68" s="2"/>
      <c r="M68" s="2"/>
      <c r="N68" s="2"/>
      <c r="O68" s="2"/>
      <c r="P68" s="2"/>
      <c r="Q68" s="2"/>
      <c r="AB68" s="2"/>
    </row>
    <row r="69" spans="2:28">
      <c r="B69" s="2"/>
      <c r="C69" s="2"/>
      <c r="D69" s="2"/>
      <c r="E69" s="2"/>
      <c r="F69" s="2"/>
      <c r="G69" s="2"/>
      <c r="H69" s="2"/>
      <c r="I69" s="2"/>
      <c r="J69" s="2"/>
      <c r="K69" s="2"/>
      <c r="L69" s="2"/>
      <c r="M69" s="2"/>
      <c r="N69" s="2"/>
      <c r="O69" s="2"/>
      <c r="P69" s="2"/>
      <c r="Q69" s="2"/>
      <c r="AB69" s="2"/>
    </row>
    <row r="70" spans="2:28">
      <c r="B70" s="2"/>
      <c r="C70" s="2"/>
      <c r="D70" s="2"/>
      <c r="E70" s="2"/>
      <c r="F70" s="2"/>
      <c r="G70" s="2"/>
      <c r="H70" s="2"/>
      <c r="I70" s="2"/>
      <c r="J70" s="2"/>
      <c r="K70" s="2"/>
      <c r="L70" s="2"/>
      <c r="M70" s="2"/>
      <c r="N70" s="2"/>
      <c r="O70" s="2"/>
      <c r="P70" s="2"/>
      <c r="Q70" s="2"/>
      <c r="AB70" s="2"/>
    </row>
    <row r="71" spans="2:28">
      <c r="B71" s="2"/>
      <c r="C71" s="2"/>
      <c r="D71" s="2"/>
      <c r="E71" s="2"/>
      <c r="F71" s="2"/>
      <c r="G71" s="2"/>
      <c r="H71" s="2"/>
      <c r="I71" s="2"/>
      <c r="J71" s="2"/>
      <c r="K71" s="2"/>
      <c r="L71" s="2"/>
      <c r="M71" s="2"/>
      <c r="N71" s="2"/>
      <c r="O71" s="2"/>
      <c r="P71" s="2"/>
      <c r="Q71" s="2"/>
      <c r="AB71" s="2"/>
    </row>
    <row r="72" spans="2:28">
      <c r="B72" s="2"/>
      <c r="C72" s="2"/>
      <c r="D72" s="2"/>
      <c r="E72" s="2"/>
      <c r="F72" s="2"/>
      <c r="G72" s="2"/>
      <c r="H72" s="2"/>
      <c r="I72" s="2"/>
      <c r="J72" s="2"/>
      <c r="K72" s="2"/>
      <c r="L72" s="2"/>
      <c r="M72" s="2"/>
      <c r="N72" s="2"/>
      <c r="O72" s="2"/>
      <c r="P72" s="2"/>
      <c r="Q72" s="2"/>
      <c r="AB72" s="2"/>
    </row>
    <row r="73" spans="2:28">
      <c r="B73" s="2"/>
      <c r="C73" s="2"/>
      <c r="D73" s="2"/>
      <c r="E73" s="2"/>
      <c r="F73" s="2"/>
      <c r="G73" s="2"/>
      <c r="H73" s="2"/>
      <c r="I73" s="2"/>
      <c r="J73" s="2"/>
      <c r="K73" s="2"/>
      <c r="L73" s="2"/>
      <c r="M73" s="2"/>
      <c r="N73" s="2"/>
      <c r="O73" s="2"/>
      <c r="P73" s="2"/>
      <c r="Q73" s="2"/>
      <c r="AB73" s="2"/>
    </row>
    <row r="74" spans="2:28">
      <c r="B74" s="2"/>
      <c r="C74" s="2"/>
      <c r="D74" s="2"/>
      <c r="E74" s="2"/>
      <c r="F74" s="2"/>
      <c r="G74" s="2"/>
      <c r="H74" s="2"/>
      <c r="I74" s="2"/>
      <c r="J74" s="2"/>
      <c r="K74" s="2"/>
      <c r="L74" s="2"/>
      <c r="M74" s="2"/>
      <c r="N74" s="2"/>
      <c r="O74" s="2"/>
      <c r="P74" s="2"/>
      <c r="Q74" s="2"/>
      <c r="AB74" s="2"/>
    </row>
    <row r="75" spans="2:28">
      <c r="B75" s="2"/>
      <c r="C75" s="2"/>
      <c r="D75" s="2"/>
      <c r="E75" s="2"/>
      <c r="F75" s="2"/>
      <c r="G75" s="2"/>
      <c r="H75" s="2"/>
      <c r="I75" s="2"/>
      <c r="J75" s="2"/>
      <c r="K75" s="2"/>
      <c r="L75" s="2"/>
      <c r="M75" s="2"/>
      <c r="N75" s="2"/>
      <c r="O75" s="2"/>
      <c r="P75" s="2"/>
      <c r="Q75" s="2"/>
      <c r="AB75" s="2"/>
    </row>
    <row r="76" spans="2:28">
      <c r="B76" s="2"/>
      <c r="C76" s="2"/>
      <c r="D76" s="2"/>
      <c r="E76" s="2"/>
      <c r="F76" s="2"/>
      <c r="G76" s="2"/>
      <c r="H76" s="2"/>
      <c r="I76" s="2"/>
      <c r="J76" s="2"/>
      <c r="K76" s="2"/>
      <c r="L76" s="2"/>
      <c r="M76" s="2"/>
      <c r="N76" s="2"/>
      <c r="O76" s="2"/>
      <c r="P76" s="2"/>
      <c r="Q76" s="2"/>
      <c r="AB76" s="2"/>
    </row>
    <row r="77" spans="2:28">
      <c r="B77" s="2"/>
      <c r="C77" s="2"/>
      <c r="D77" s="2"/>
      <c r="E77" s="2"/>
      <c r="F77" s="2"/>
      <c r="G77" s="2"/>
      <c r="H77" s="2"/>
      <c r="I77" s="2"/>
      <c r="J77" s="2"/>
      <c r="K77" s="2"/>
      <c r="L77" s="2"/>
      <c r="M77" s="2"/>
      <c r="N77" s="2"/>
      <c r="O77" s="2"/>
      <c r="P77" s="2"/>
      <c r="Q77" s="2"/>
      <c r="AB77" s="2"/>
    </row>
    <row r="78" spans="2:28" ht="12.75" customHeight="1">
      <c r="B78" s="2"/>
      <c r="C78" s="2"/>
      <c r="D78" s="2"/>
      <c r="E78" s="2"/>
      <c r="F78" s="2"/>
      <c r="G78" s="2"/>
      <c r="H78" s="2"/>
      <c r="I78" s="2"/>
      <c r="J78" s="2"/>
      <c r="K78" s="2"/>
      <c r="L78" s="2"/>
      <c r="M78" s="2"/>
      <c r="N78" s="2"/>
      <c r="O78" s="2"/>
      <c r="P78" s="2"/>
      <c r="Q78" s="2"/>
      <c r="AB78" s="2"/>
    </row>
    <row r="79" spans="2:28">
      <c r="B79" s="2"/>
      <c r="C79" s="2"/>
      <c r="D79" s="2"/>
      <c r="E79" s="2"/>
      <c r="F79" s="2"/>
      <c r="G79" s="2"/>
      <c r="H79" s="2"/>
      <c r="I79" s="2"/>
      <c r="J79" s="2"/>
      <c r="K79" s="2"/>
      <c r="L79" s="2"/>
      <c r="M79" s="2"/>
      <c r="N79" s="2"/>
      <c r="O79" s="2"/>
      <c r="P79" s="2"/>
      <c r="Q79" s="2"/>
      <c r="AB79" s="2"/>
    </row>
    <row r="80" spans="2:28">
      <c r="B80" s="2"/>
      <c r="C80" s="2"/>
      <c r="D80" s="2"/>
      <c r="E80" s="2"/>
      <c r="F80" s="2"/>
      <c r="G80" s="2"/>
      <c r="H80" s="2"/>
      <c r="I80" s="2"/>
      <c r="J80" s="2"/>
      <c r="K80" s="2"/>
      <c r="L80" s="2"/>
      <c r="M80" s="2"/>
      <c r="N80" s="2"/>
      <c r="O80" s="2"/>
      <c r="P80" s="2"/>
      <c r="Q80" s="2"/>
      <c r="AB80" s="2"/>
    </row>
    <row r="81" spans="2:28">
      <c r="B81" s="2"/>
      <c r="C81" s="2"/>
      <c r="D81" s="2"/>
      <c r="E81" s="2"/>
      <c r="F81" s="2"/>
      <c r="G81" s="2"/>
      <c r="H81" s="2"/>
      <c r="I81" s="2"/>
      <c r="J81" s="2"/>
      <c r="K81" s="2"/>
      <c r="L81" s="2"/>
      <c r="M81" s="2"/>
      <c r="N81" s="2"/>
      <c r="O81" s="2"/>
      <c r="P81" s="2"/>
      <c r="Q81" s="2"/>
      <c r="AB81" s="2"/>
    </row>
    <row r="82" spans="2:28">
      <c r="B82" s="2"/>
      <c r="C82" s="2"/>
      <c r="D82" s="2"/>
      <c r="E82" s="2"/>
      <c r="F82" s="2"/>
      <c r="G82" s="2"/>
      <c r="H82" s="2"/>
      <c r="I82" s="2"/>
      <c r="J82" s="2"/>
      <c r="K82" s="2"/>
      <c r="L82" s="2"/>
      <c r="M82" s="2"/>
      <c r="N82" s="2"/>
      <c r="O82" s="2"/>
      <c r="P82" s="2"/>
      <c r="Q82" s="2"/>
      <c r="AB82" s="2"/>
    </row>
    <row r="83" spans="2:28">
      <c r="B83" s="2"/>
      <c r="C83" s="2"/>
      <c r="D83" s="2"/>
      <c r="E83" s="2"/>
      <c r="F83" s="2"/>
      <c r="G83" s="2"/>
      <c r="H83" s="2"/>
      <c r="I83" s="2"/>
      <c r="J83" s="2"/>
      <c r="K83" s="2"/>
      <c r="L83" s="2"/>
      <c r="M83" s="2"/>
      <c r="N83" s="2"/>
      <c r="O83" s="2"/>
      <c r="P83" s="2"/>
      <c r="Q83" s="2"/>
      <c r="AB83" s="2"/>
    </row>
    <row r="84" spans="2:28">
      <c r="B84" s="2"/>
      <c r="C84" s="2"/>
      <c r="D84" s="2"/>
      <c r="E84" s="2"/>
      <c r="F84" s="2"/>
      <c r="G84" s="2"/>
      <c r="H84" s="2"/>
      <c r="I84" s="2"/>
      <c r="J84" s="2"/>
      <c r="K84" s="2"/>
      <c r="L84" s="2"/>
      <c r="M84" s="2"/>
      <c r="N84" s="2"/>
      <c r="O84" s="2"/>
      <c r="P84" s="2"/>
      <c r="Q84" s="2"/>
      <c r="AB84" s="2"/>
    </row>
    <row r="85" spans="2:28">
      <c r="B85" s="2"/>
      <c r="C85" s="2"/>
      <c r="D85" s="2"/>
      <c r="E85" s="2"/>
      <c r="F85" s="2"/>
      <c r="G85" s="2"/>
      <c r="H85" s="2"/>
      <c r="I85" s="2"/>
      <c r="J85" s="2"/>
      <c r="K85" s="2"/>
      <c r="L85" s="2"/>
      <c r="M85" s="2"/>
      <c r="N85" s="2"/>
      <c r="O85" s="2"/>
      <c r="P85" s="2"/>
      <c r="Q85" s="2"/>
      <c r="AA85" s="273"/>
      <c r="AB85" s="2"/>
    </row>
    <row r="86" spans="2:28">
      <c r="B86" s="2"/>
      <c r="C86" s="2"/>
      <c r="D86" s="2"/>
      <c r="E86" s="2"/>
      <c r="F86" s="2"/>
      <c r="G86" s="2"/>
      <c r="H86" s="2"/>
      <c r="I86" s="2"/>
      <c r="J86" s="2"/>
      <c r="K86" s="2"/>
      <c r="L86" s="2"/>
      <c r="M86" s="2"/>
      <c r="N86" s="2"/>
      <c r="O86" s="2"/>
      <c r="P86" s="2"/>
      <c r="Q86" s="2"/>
      <c r="AA86" s="273"/>
      <c r="AB86" s="2"/>
    </row>
    <row r="87" spans="2:28">
      <c r="B87" s="2"/>
      <c r="C87" s="2"/>
      <c r="D87" s="2"/>
      <c r="E87" s="2"/>
      <c r="F87" s="2"/>
      <c r="G87" s="2"/>
      <c r="H87" s="2"/>
      <c r="I87" s="2"/>
      <c r="J87" s="2"/>
      <c r="K87" s="2"/>
      <c r="L87" s="2"/>
      <c r="M87" s="2"/>
      <c r="N87" s="2"/>
      <c r="O87" s="2"/>
      <c r="P87" s="2"/>
      <c r="Q87" s="2"/>
      <c r="AB87" s="2"/>
    </row>
    <row r="88" spans="2:28">
      <c r="B88" s="2"/>
      <c r="C88" s="2"/>
      <c r="D88" s="2"/>
      <c r="E88" s="2"/>
      <c r="F88" s="2"/>
      <c r="G88" s="2"/>
      <c r="H88" s="2"/>
      <c r="I88" s="2"/>
      <c r="J88" s="2"/>
      <c r="K88" s="2"/>
      <c r="L88" s="2"/>
      <c r="M88" s="2"/>
      <c r="N88" s="2"/>
      <c r="O88" s="2"/>
      <c r="P88" s="2"/>
      <c r="Q88" s="2"/>
      <c r="AB88" s="2"/>
    </row>
    <row r="89" spans="2:28">
      <c r="B89" s="2"/>
      <c r="C89" s="2"/>
      <c r="D89" s="2"/>
      <c r="E89" s="2"/>
      <c r="F89" s="2"/>
      <c r="G89" s="2"/>
      <c r="H89" s="2"/>
      <c r="I89" s="2"/>
      <c r="J89" s="2"/>
      <c r="K89" s="2"/>
      <c r="L89" s="2"/>
      <c r="M89" s="2"/>
      <c r="N89" s="2"/>
      <c r="O89" s="2"/>
      <c r="P89" s="2"/>
      <c r="Q89" s="2"/>
      <c r="AB89" s="2"/>
    </row>
    <row r="90" spans="2:28">
      <c r="B90" s="2"/>
      <c r="C90" s="2"/>
      <c r="D90" s="2"/>
      <c r="E90" s="2"/>
      <c r="F90" s="2"/>
      <c r="G90" s="2"/>
      <c r="H90" s="2"/>
      <c r="I90" s="2"/>
      <c r="J90" s="2"/>
      <c r="K90" s="2"/>
      <c r="L90" s="2"/>
      <c r="M90" s="2"/>
      <c r="N90" s="2"/>
      <c r="O90" s="2"/>
      <c r="P90" s="2"/>
      <c r="Q90" s="2"/>
      <c r="AB90" s="2"/>
    </row>
    <row r="91" spans="2:28">
      <c r="B91" s="2"/>
      <c r="C91" s="2"/>
      <c r="D91" s="2"/>
      <c r="E91" s="2"/>
      <c r="F91" s="2"/>
      <c r="G91" s="2"/>
      <c r="H91" s="2"/>
      <c r="I91" s="2"/>
      <c r="J91" s="2"/>
      <c r="K91" s="2"/>
      <c r="L91" s="2"/>
      <c r="M91" s="2"/>
      <c r="N91" s="2"/>
      <c r="O91" s="2"/>
      <c r="P91" s="2"/>
      <c r="Q91" s="2"/>
      <c r="AB91" s="2"/>
    </row>
    <row r="92" spans="2:28">
      <c r="B92" s="2"/>
      <c r="C92" s="2"/>
      <c r="D92" s="2"/>
      <c r="E92" s="2"/>
      <c r="F92" s="2"/>
      <c r="G92" s="2"/>
      <c r="H92" s="2"/>
      <c r="I92" s="2"/>
      <c r="J92" s="2"/>
      <c r="K92" s="2"/>
      <c r="L92" s="2"/>
      <c r="M92" s="2"/>
      <c r="N92" s="2"/>
      <c r="O92" s="2"/>
      <c r="P92" s="2"/>
      <c r="Q92" s="2"/>
      <c r="AB92" s="2"/>
    </row>
    <row r="93" spans="2:28">
      <c r="B93" s="2"/>
      <c r="C93" s="2"/>
      <c r="D93" s="2"/>
      <c r="E93" s="2"/>
      <c r="F93" s="2"/>
      <c r="G93" s="2"/>
      <c r="H93" s="2"/>
      <c r="I93" s="2"/>
      <c r="J93" s="2"/>
      <c r="K93" s="2"/>
      <c r="L93" s="2"/>
      <c r="M93" s="2"/>
      <c r="N93" s="2"/>
      <c r="O93" s="2"/>
      <c r="P93" s="2"/>
      <c r="Q93" s="2"/>
      <c r="AB93" s="2"/>
    </row>
    <row r="94" spans="2:28">
      <c r="B94" s="2"/>
      <c r="C94" s="2"/>
      <c r="D94" s="2"/>
      <c r="E94" s="2"/>
      <c r="F94" s="2"/>
      <c r="G94" s="2"/>
      <c r="H94" s="2"/>
      <c r="I94" s="2"/>
      <c r="J94" s="2"/>
      <c r="K94" s="2"/>
      <c r="L94" s="2"/>
      <c r="M94" s="2"/>
      <c r="N94" s="2"/>
      <c r="O94" s="2"/>
      <c r="P94" s="2"/>
      <c r="Q94" s="2"/>
      <c r="AB94" s="2"/>
    </row>
    <row r="95" spans="2:28">
      <c r="B95" s="2"/>
      <c r="C95" s="2"/>
      <c r="D95" s="2"/>
      <c r="E95" s="2"/>
      <c r="F95" s="2"/>
      <c r="G95" s="2"/>
      <c r="H95" s="2"/>
      <c r="I95" s="2"/>
      <c r="J95" s="2"/>
      <c r="K95" s="2"/>
      <c r="L95" s="2"/>
      <c r="M95" s="2"/>
      <c r="N95" s="2"/>
      <c r="O95" s="2"/>
      <c r="P95" s="2"/>
      <c r="Q95" s="2"/>
      <c r="AB95" s="2"/>
    </row>
    <row r="96" spans="2:28">
      <c r="B96" s="2"/>
      <c r="C96" s="2"/>
      <c r="D96" s="2"/>
      <c r="E96" s="2"/>
      <c r="F96" s="2"/>
      <c r="G96" s="2"/>
      <c r="H96" s="2"/>
      <c r="I96" s="2"/>
      <c r="J96" s="2"/>
      <c r="K96" s="2"/>
      <c r="L96" s="2"/>
      <c r="M96" s="2"/>
      <c r="N96" s="2"/>
      <c r="O96" s="2"/>
      <c r="P96" s="2"/>
      <c r="Q96" s="2"/>
      <c r="AB96" s="2"/>
    </row>
    <row r="97" spans="2:28">
      <c r="B97" s="2"/>
      <c r="C97" s="2"/>
      <c r="D97" s="2"/>
      <c r="E97" s="2"/>
      <c r="F97" s="2"/>
      <c r="G97" s="2"/>
      <c r="H97" s="2"/>
      <c r="I97" s="2"/>
      <c r="J97" s="2"/>
      <c r="K97" s="2"/>
      <c r="L97" s="2"/>
      <c r="M97" s="2"/>
      <c r="N97" s="2"/>
      <c r="O97" s="2"/>
      <c r="P97" s="2"/>
      <c r="Q97" s="2"/>
      <c r="AB97" s="2"/>
    </row>
    <row r="98" spans="2:28">
      <c r="B98" s="2"/>
      <c r="C98" s="2"/>
      <c r="D98" s="2"/>
      <c r="E98" s="2"/>
      <c r="F98" s="2"/>
      <c r="G98" s="2"/>
      <c r="H98" s="2"/>
      <c r="I98" s="2"/>
      <c r="J98" s="2"/>
      <c r="K98" s="2"/>
      <c r="L98" s="2"/>
      <c r="M98" s="2"/>
      <c r="N98" s="2"/>
      <c r="O98" s="2"/>
      <c r="P98" s="2"/>
      <c r="Q98" s="2"/>
      <c r="AB98" s="2"/>
    </row>
    <row r="99" spans="2:28">
      <c r="B99" s="2"/>
      <c r="C99" s="2"/>
      <c r="D99" s="2"/>
      <c r="E99" s="2"/>
      <c r="F99" s="2"/>
      <c r="G99" s="2"/>
      <c r="H99" s="2"/>
      <c r="I99" s="2"/>
      <c r="J99" s="2"/>
      <c r="K99" s="2"/>
      <c r="L99" s="2"/>
      <c r="M99" s="2"/>
      <c r="N99" s="2"/>
      <c r="O99" s="2"/>
      <c r="P99" s="2"/>
      <c r="Q99" s="2"/>
      <c r="AB99" s="2"/>
    </row>
    <row r="100" spans="2:28">
      <c r="B100" s="2"/>
      <c r="C100" s="2"/>
      <c r="D100" s="2"/>
      <c r="E100" s="2"/>
      <c r="F100" s="2"/>
      <c r="G100" s="2"/>
      <c r="H100" s="2"/>
      <c r="I100" s="2"/>
      <c r="J100" s="2"/>
      <c r="K100" s="2"/>
      <c r="L100" s="2"/>
      <c r="M100" s="2"/>
      <c r="N100" s="2"/>
      <c r="O100" s="2"/>
      <c r="P100" s="2"/>
      <c r="Q100" s="2"/>
      <c r="AB100" s="2"/>
    </row>
    <row r="101" spans="2:28">
      <c r="B101" s="2"/>
      <c r="C101" s="2"/>
      <c r="D101" s="2"/>
      <c r="E101" s="2"/>
      <c r="F101" s="2"/>
      <c r="G101" s="2"/>
      <c r="H101" s="2"/>
      <c r="I101" s="2"/>
      <c r="J101" s="2"/>
      <c r="K101" s="2"/>
      <c r="L101" s="2"/>
      <c r="M101" s="2"/>
      <c r="N101" s="2"/>
      <c r="O101" s="2"/>
      <c r="P101" s="2"/>
      <c r="Q101" s="2"/>
      <c r="AB101" s="2"/>
    </row>
    <row r="102" spans="2:28">
      <c r="B102" s="2"/>
      <c r="C102" s="2"/>
      <c r="D102" s="2"/>
      <c r="E102" s="2"/>
      <c r="F102" s="2"/>
      <c r="G102" s="2"/>
      <c r="H102" s="2"/>
      <c r="I102" s="2"/>
      <c r="J102" s="2"/>
      <c r="K102" s="2"/>
      <c r="L102" s="2"/>
      <c r="M102" s="2"/>
      <c r="N102" s="2"/>
      <c r="O102" s="2"/>
      <c r="P102" s="2"/>
      <c r="Q102" s="2"/>
      <c r="AB102" s="2"/>
    </row>
    <row r="103" spans="2:28">
      <c r="B103" s="2"/>
      <c r="C103" s="2"/>
      <c r="D103" s="2"/>
      <c r="E103" s="2"/>
      <c r="F103" s="2"/>
      <c r="G103" s="2"/>
      <c r="H103" s="2"/>
      <c r="I103" s="2"/>
      <c r="J103" s="2"/>
      <c r="K103" s="2"/>
      <c r="L103" s="2"/>
      <c r="M103" s="2"/>
      <c r="N103" s="2"/>
      <c r="O103" s="2"/>
      <c r="P103" s="2"/>
      <c r="Q103" s="2"/>
      <c r="AB103" s="2"/>
    </row>
    <row r="104" spans="2:28">
      <c r="B104" s="2"/>
      <c r="C104" s="2"/>
      <c r="D104" s="2"/>
      <c r="E104" s="2"/>
      <c r="F104" s="2"/>
      <c r="G104" s="2"/>
      <c r="H104" s="2"/>
      <c r="I104" s="2"/>
      <c r="J104" s="2"/>
      <c r="K104" s="2"/>
      <c r="L104" s="2"/>
      <c r="M104" s="2"/>
      <c r="N104" s="2"/>
      <c r="O104" s="2"/>
      <c r="P104" s="2"/>
      <c r="Q104" s="2"/>
      <c r="AB104" s="2"/>
    </row>
    <row r="105" spans="2:28">
      <c r="B105" s="2"/>
      <c r="C105" s="2"/>
      <c r="D105" s="2"/>
      <c r="E105" s="2"/>
      <c r="F105" s="2"/>
      <c r="G105" s="2"/>
      <c r="H105" s="2"/>
      <c r="I105" s="2"/>
      <c r="J105" s="2"/>
      <c r="K105" s="2"/>
      <c r="L105" s="2"/>
      <c r="M105" s="2"/>
      <c r="N105" s="2"/>
      <c r="O105" s="2"/>
      <c r="P105" s="2"/>
      <c r="Q105" s="2"/>
      <c r="AB105" s="2"/>
    </row>
    <row r="106" spans="2:28">
      <c r="B106" s="2"/>
      <c r="C106" s="2"/>
      <c r="D106" s="2"/>
      <c r="E106" s="2"/>
      <c r="F106" s="2"/>
      <c r="G106" s="2"/>
      <c r="H106" s="2"/>
      <c r="I106" s="2"/>
      <c r="J106" s="2"/>
      <c r="K106" s="2"/>
      <c r="L106" s="2"/>
      <c r="M106" s="2"/>
      <c r="N106" s="2"/>
      <c r="O106" s="2"/>
      <c r="P106" s="2"/>
      <c r="Q106" s="2"/>
      <c r="AB106" s="2"/>
    </row>
    <row r="107" spans="2:28">
      <c r="B107" s="2"/>
      <c r="C107" s="2"/>
      <c r="D107" s="2"/>
      <c r="E107" s="2"/>
      <c r="F107" s="2"/>
      <c r="G107" s="2"/>
      <c r="H107" s="2"/>
      <c r="I107" s="2"/>
      <c r="J107" s="2"/>
      <c r="K107" s="2"/>
      <c r="L107" s="2"/>
      <c r="M107" s="2"/>
      <c r="N107" s="2"/>
      <c r="O107" s="2"/>
      <c r="P107" s="2"/>
      <c r="Q107" s="2"/>
      <c r="AB107" s="2"/>
    </row>
    <row r="108" spans="2:28">
      <c r="B108" s="2"/>
      <c r="C108" s="2"/>
      <c r="D108" s="2"/>
      <c r="E108" s="2"/>
      <c r="F108" s="2"/>
      <c r="G108" s="2"/>
      <c r="H108" s="2"/>
      <c r="I108" s="2"/>
      <c r="J108" s="2"/>
      <c r="K108" s="2"/>
      <c r="L108" s="2"/>
      <c r="M108" s="2"/>
      <c r="N108" s="2"/>
      <c r="O108" s="2"/>
      <c r="P108" s="2"/>
      <c r="Q108" s="2"/>
      <c r="R108" s="2" t="s">
        <v>235</v>
      </c>
      <c r="S108" s="2"/>
      <c r="T108" s="2"/>
      <c r="U108" s="2"/>
      <c r="V108" s="2"/>
      <c r="W108" s="2"/>
      <c r="X108" s="2"/>
      <c r="Y108" s="2"/>
      <c r="Z108" s="2"/>
      <c r="AA108" s="2"/>
      <c r="AB108" s="2"/>
    </row>
    <row r="109" spans="2:28">
      <c r="B109" s="2"/>
      <c r="C109" s="2"/>
      <c r="D109" s="2"/>
      <c r="E109" s="2"/>
      <c r="F109" s="2"/>
      <c r="G109" s="2"/>
      <c r="H109" s="2"/>
      <c r="I109" s="2"/>
      <c r="J109" s="2"/>
      <c r="K109" s="2"/>
      <c r="L109" s="2"/>
      <c r="M109" s="2"/>
      <c r="N109" s="2"/>
      <c r="O109" s="2"/>
      <c r="P109" s="2"/>
      <c r="Q109" s="2"/>
      <c r="R109" s="2"/>
      <c r="S109" s="2"/>
      <c r="T109" s="2"/>
      <c r="U109" s="2"/>
      <c r="V109" s="2"/>
      <c r="W109" s="14"/>
      <c r="X109" s="2"/>
      <c r="Y109" s="2"/>
      <c r="Z109" s="2"/>
      <c r="AA109" s="2"/>
      <c r="AB109" s="2"/>
    </row>
    <row r="110" spans="2:28">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2:28">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2:28">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2:28">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2:28">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2:28">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2:28">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2:28">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2:28">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2:28">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2:28">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2:28">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2:28">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2:28">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2:28">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2:28">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2:28">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2:28">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2:28">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2:28">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2:28">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2:28">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2:28">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2:28">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2:28">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2:28">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2:28">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2:28">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2:28">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2:28">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2:28">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2:28">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2:28">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2:28">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2:28">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2:28">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2:28">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2:28">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2:28">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2:28">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2:28">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2:28">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2:28">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2:28">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2:28">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2:28">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2:28">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2:28">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2:28">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2:28">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2:28">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2:28">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2:28">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2:28">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2:28">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2:28">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2:28">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2:28">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2:28">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2:28">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2:28">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2:28">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2:28">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2:28">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2:28">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2:28">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2:28">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2:28">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2:28">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spans="2:28">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spans="2:28">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spans="2:28">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spans="2:28">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spans="2:28">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spans="2:28">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spans="2:28">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spans="2:28">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spans="2:28">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2:28">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spans="2:28">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spans="2:28">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spans="2:28">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spans="2:28">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spans="2:28">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spans="2:28">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spans="2:28">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spans="2:28">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2:28">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spans="2:28">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spans="2:28">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spans="2:28">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spans="2:28">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spans="2:28">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spans="2:28">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spans="2:28">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spans="2:28">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spans="2:28">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spans="2:28">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2:28">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2:28">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2:28">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2:28">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2:28">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2:28">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2:28">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2:28">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2:28">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2:28">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2:28">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2:28">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2:28">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2:28">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2:28">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2:28">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2:28">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2:28">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2:28">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2:28">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2:28">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2:28">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2:28">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2:28">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2:28">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2:28">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2:28">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2:28">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2:28">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2:28">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2:28">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2:28">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2:28">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2:28">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2:28">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2:28">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2:28">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2:28">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2:28">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2:28">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2:28">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2:28">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2:28">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2:28">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2:28">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2:28">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2:28">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2:28">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2:28">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spans="2:28">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spans="2:28">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row>
    <row r="259" spans="2:28">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row>
    <row r="260" spans="2:28">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row>
    <row r="261" spans="2:28">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row>
    <row r="262" spans="2:28">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row>
    <row r="263" spans="2:28">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row>
    <row r="264" spans="2:28">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row>
    <row r="265" spans="2:28">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row>
    <row r="266" spans="2:28">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row>
    <row r="267" spans="2:28">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row>
    <row r="268" spans="2:28">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row>
    <row r="269" spans="2:28">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row>
    <row r="270" spans="2:28">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row>
    <row r="271" spans="2:28">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row>
    <row r="272" spans="2:28">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row>
    <row r="273" spans="2:28">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row>
    <row r="274" spans="2:28">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row>
    <row r="275" spans="2:28">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row>
    <row r="276" spans="2:28">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row>
    <row r="277" spans="2:28">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row>
    <row r="278" spans="2:28">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row>
    <row r="279" spans="2:28">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row>
    <row r="280" spans="2:28">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row>
    <row r="281" spans="2:28">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row>
    <row r="282" spans="2:28">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row>
    <row r="283" spans="2:28">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row>
    <row r="284" spans="2:28">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row>
    <row r="285" spans="2:28">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row>
    <row r="286" spans="2:28">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row>
    <row r="287" spans="2:28">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row>
    <row r="288" spans="2:28">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row>
    <row r="289" spans="2:28">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row>
    <row r="290" spans="2:28">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row>
    <row r="291" spans="2:28">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row>
    <row r="292" spans="2:28">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row>
    <row r="293" spans="2:28">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row>
    <row r="294" spans="2:28">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row>
    <row r="295" spans="2:28">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row>
    <row r="296" spans="2:28">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row>
    <row r="297" spans="2:28">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row>
    <row r="298" spans="2:28">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row>
    <row r="299" spans="2:28">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row>
    <row r="300" spans="2:28">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row>
    <row r="301" spans="2:28">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row>
    <row r="302" spans="2:28">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row>
    <row r="303" spans="2:28">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row>
    <row r="304" spans="2:28">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row>
    <row r="305" spans="2:28">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row>
    <row r="306" spans="2:28">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row>
    <row r="307" spans="2:28">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row>
    <row r="308" spans="2:28">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row>
    <row r="309" spans="2:28">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row>
    <row r="310" spans="2:28">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row>
    <row r="311" spans="2:28">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row>
    <row r="312" spans="2:28">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row>
    <row r="313" spans="2:28">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row>
    <row r="314" spans="2:28">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row>
    <row r="315" spans="2:28">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row>
    <row r="316" spans="2:28">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row>
    <row r="317" spans="2:28">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row>
    <row r="318" spans="2:28">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row>
    <row r="319" spans="2:28">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row>
    <row r="320" spans="2:28">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row>
    <row r="321" spans="2:28">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row>
    <row r="322" spans="2:28">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row>
    <row r="323" spans="2:28">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row>
    <row r="324" spans="2:28">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row>
    <row r="325" spans="2:28">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row>
    <row r="326" spans="2:28">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row>
    <row r="327" spans="2:28">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row>
    <row r="328" spans="2:28">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row>
    <row r="329" spans="2:28">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row>
    <row r="330" spans="2:28">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row>
    <row r="331" spans="2:28">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row>
    <row r="332" spans="2:28">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row>
    <row r="333" spans="2:28">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row>
    <row r="334" spans="2:28">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row>
    <row r="335" spans="2:28">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row>
    <row r="336" spans="2:28">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row>
    <row r="337" spans="2:28">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row>
    <row r="338" spans="2:28">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row>
    <row r="339" spans="2:28">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row>
    <row r="340" spans="2:28">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row>
    <row r="341" spans="2:28">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row>
    <row r="342" spans="2:28">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row>
    <row r="343" spans="2:28">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row>
    <row r="344" spans="2:28">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row>
    <row r="345" spans="2:28">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row>
    <row r="346" spans="2:28">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row>
    <row r="347" spans="2:28">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row>
    <row r="348" spans="2:28">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row>
    <row r="349" spans="2:28">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row>
    <row r="350" spans="2:28">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row>
    <row r="351" spans="2:28">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row>
    <row r="352" spans="2:28">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row>
    <row r="353" spans="2:28">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row>
    <row r="354" spans="2:28">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row>
    <row r="355" spans="2:28">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row>
    <row r="356" spans="2:28">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row>
    <row r="357" spans="2:28">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row>
    <row r="358" spans="2:28">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row>
    <row r="359" spans="2:28">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row>
    <row r="360" spans="2:28">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row>
    <row r="361" spans="2:28">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row>
    <row r="362" spans="2:28">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row>
    <row r="363" spans="2:28">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row>
    <row r="364" spans="2:28">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row>
    <row r="365" spans="2:28">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row>
    <row r="366" spans="2:28">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row>
    <row r="367" spans="2:28">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row>
    <row r="368" spans="2:28">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row>
    <row r="369" spans="2:28">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row>
    <row r="370" spans="2:28">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row>
    <row r="371" spans="2:28">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row>
    <row r="372" spans="2:28">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row>
    <row r="373" spans="2:28">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row>
    <row r="374" spans="2:28">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row>
    <row r="375" spans="2:28">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row>
    <row r="376" spans="2:28">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row>
    <row r="377" spans="2:28">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row>
    <row r="378" spans="2:28">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row>
    <row r="379" spans="2:28">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row>
    <row r="380" spans="2:28">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row>
    <row r="381" spans="2:28">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row>
    <row r="382" spans="2:28">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row>
    <row r="383" spans="2:28">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row>
    <row r="384" spans="2:28">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row>
    <row r="385" spans="2:28">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row>
    <row r="386" spans="2:28">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row>
    <row r="387" spans="2:28">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row>
    <row r="388" spans="2:28">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row>
    <row r="389" spans="2:28">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row>
    <row r="390" spans="2:28">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row>
    <row r="391" spans="2:28">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row>
    <row r="392" spans="2:28">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row>
    <row r="393" spans="2:28">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row>
    <row r="394" spans="2:28">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row>
    <row r="395" spans="2:28">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row>
    <row r="396" spans="2:28">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row>
    <row r="397" spans="2:28">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row>
    <row r="398" spans="2:28">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row>
    <row r="399" spans="2:28">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row>
    <row r="400" spans="2:28">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row>
    <row r="401" spans="2:28">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row>
    <row r="402" spans="2:28">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row>
    <row r="403" spans="2:28">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row>
    <row r="404" spans="2:28">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row>
    <row r="405" spans="2:28">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row>
    <row r="406" spans="2:28">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row>
    <row r="407" spans="2:28">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row>
    <row r="408" spans="2:28">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row>
    <row r="409" spans="2:28">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row>
    <row r="410" spans="2:28">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row>
    <row r="411" spans="2:28">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row>
    <row r="412" spans="2:28">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row>
    <row r="413" spans="2:28">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row>
    <row r="414" spans="2:28">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row>
    <row r="415" spans="2:28">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row>
    <row r="416" spans="2:28">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row>
    <row r="417" spans="2:28">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row>
    <row r="418" spans="2:28">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row>
    <row r="419" spans="2:28">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row>
    <row r="420" spans="2:28">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row>
    <row r="421" spans="2:28">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row>
    <row r="422" spans="2:28">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row>
    <row r="423" spans="2:28">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row>
    <row r="424" spans="2:28">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row>
    <row r="425" spans="2:28">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row>
    <row r="426" spans="2:28">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row>
    <row r="427" spans="2:28">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row>
    <row r="428" spans="2:28">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row>
    <row r="429" spans="2:28">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row>
    <row r="430" spans="2:28">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row>
    <row r="431" spans="2:28">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row>
    <row r="432" spans="2:28">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row>
    <row r="433" spans="2:28">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row>
    <row r="434" spans="2:28">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row>
    <row r="435" spans="2:28">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row>
    <row r="436" spans="2:28">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row>
    <row r="437" spans="2:28">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row>
    <row r="438" spans="2:28">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row>
    <row r="439" spans="2:28">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row>
    <row r="440" spans="2:28">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row>
    <row r="441" spans="2:28">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row>
    <row r="442" spans="2:28">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row>
    <row r="443" spans="2:28">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row>
    <row r="444" spans="2:28">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row>
    <row r="445" spans="2:28">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row>
    <row r="446" spans="2:28">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row>
    <row r="447" spans="2:28">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row>
    <row r="448" spans="2:28">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row>
    <row r="449" spans="2:28">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row>
    <row r="450" spans="2:28">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row>
    <row r="451" spans="2:28">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row>
    <row r="452" spans="2:28">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row>
    <row r="453" spans="2:28">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row>
    <row r="454" spans="2:28">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row>
    <row r="455" spans="2:28">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row>
    <row r="456" spans="2:28">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row>
    <row r="457" spans="2:28">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row>
    <row r="458" spans="2:28">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row>
    <row r="459" spans="2:28">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row>
    <row r="460" spans="2:28">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row>
    <row r="461" spans="2:28">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row>
    <row r="462" spans="2:28">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row>
    <row r="463" spans="2:28">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row>
    <row r="464" spans="2:28">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row>
    <row r="465" spans="2:28">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row>
    <row r="466" spans="2:28">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row>
    <row r="467" spans="2:28">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row>
    <row r="468" spans="2:28">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row>
    <row r="469" spans="2:28">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row>
    <row r="470" spans="2:28">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row>
    <row r="471" spans="2:28">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row>
    <row r="472" spans="2:28">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row>
    <row r="473" spans="2:28">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row>
    <row r="474" spans="2:28">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row>
    <row r="475" spans="2:28">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row>
    <row r="476" spans="2:28">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row>
    <row r="477" spans="2:28">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row>
    <row r="478" spans="2:28">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row>
    <row r="479" spans="2:28">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row>
    <row r="480" spans="2:28">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row>
    <row r="481" spans="2:28">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row>
    <row r="482" spans="2:28">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row>
    <row r="483" spans="2:28">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row>
    <row r="484" spans="2:28">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row>
    <row r="485" spans="2:28">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row>
    <row r="486" spans="2:28">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row>
    <row r="487" spans="2:28">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row>
    <row r="488" spans="2:28">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row>
    <row r="489" spans="2:28">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row>
    <row r="490" spans="2:28">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row>
    <row r="491" spans="2:28">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row>
    <row r="492" spans="2:28">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row>
    <row r="493" spans="2:28">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row>
    <row r="494" spans="2:28">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row>
    <row r="495" spans="2:28">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row>
    <row r="496" spans="2:28">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row>
    <row r="497" spans="2:28">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row>
    <row r="498" spans="2:28">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row>
    <row r="499" spans="2:28">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row>
    <row r="500" spans="2:28">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row>
    <row r="501" spans="2:28">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row>
    <row r="502" spans="2:28">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row>
    <row r="503" spans="2:28">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row>
    <row r="504" spans="2:28">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row>
    <row r="505" spans="2:28">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row>
    <row r="506" spans="2:28">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row>
    <row r="507" spans="2:28">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row>
    <row r="508" spans="2:28">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row>
    <row r="509" spans="2:28">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row>
    <row r="510" spans="2:28">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row>
    <row r="511" spans="2:28">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row>
    <row r="512" spans="2:28">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row>
    <row r="513" spans="2:28">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row>
    <row r="514" spans="2:28">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row>
    <row r="515" spans="2:28">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row>
    <row r="516" spans="2:28">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row>
    <row r="517" spans="2:28">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row>
    <row r="518" spans="2:28">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row>
    <row r="519" spans="2:28">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row>
    <row r="520" spans="2:28">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row>
    <row r="521" spans="2:28">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row>
    <row r="522" spans="2:28">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row>
    <row r="523" spans="2:28">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row>
    <row r="524" spans="2:28">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row>
    <row r="525" spans="2:28">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row>
    <row r="526" spans="2:28">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row>
    <row r="527" spans="2:28">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row>
    <row r="528" spans="2:28">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row>
    <row r="529" spans="2:28">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row>
    <row r="530" spans="2:28">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row>
    <row r="531" spans="2:28">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row>
    <row r="532" spans="2:28">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row>
    <row r="533" spans="2:28">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row>
    <row r="534" spans="2:28">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row>
    <row r="535" spans="2:28">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row>
    <row r="536" spans="2:28">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row>
    <row r="537" spans="2:28">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row>
    <row r="538" spans="2:28">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row>
    <row r="539" spans="2:28">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row>
    <row r="540" spans="2:28">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row>
    <row r="541" spans="2:28">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row>
    <row r="542" spans="2:28">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row>
    <row r="543" spans="2:28">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row>
    <row r="544" spans="2:28">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row>
    <row r="545" spans="2:28">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row>
    <row r="546" spans="2:28">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row>
    <row r="547" spans="2:28">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row>
    <row r="548" spans="2:28">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row>
    <row r="549" spans="2:28">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row>
    <row r="550" spans="2:28">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row>
    <row r="551" spans="2:28">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row>
    <row r="552" spans="2:28">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row>
    <row r="553" spans="2:28">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row>
    <row r="554" spans="2:28">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row>
    <row r="555" spans="2:28">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row>
    <row r="556" spans="2:28">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row>
    <row r="557" spans="2:28">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row>
    <row r="558" spans="2:28">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row>
    <row r="559" spans="2:28">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row>
    <row r="560" spans="2:28">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row>
    <row r="561" spans="2:28">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row>
    <row r="562" spans="2:28">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row>
    <row r="563" spans="2:28">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row>
    <row r="564" spans="2:28">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row>
    <row r="565" spans="2:28">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row>
    <row r="566" spans="2:28">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row>
    <row r="567" spans="2:28">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row>
    <row r="568" spans="2:28">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row>
    <row r="569" spans="2:28">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row>
    <row r="570" spans="2:28">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row>
    <row r="571" spans="2:28">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row>
    <row r="572" spans="2:28">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row>
    <row r="573" spans="2:28">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row>
    <row r="574" spans="2:28">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row>
    <row r="575" spans="2:28">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row>
    <row r="576" spans="2:28">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row>
    <row r="577" spans="2:28">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row>
    <row r="578" spans="2:28">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row>
    <row r="579" spans="2:28">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row>
    <row r="580" spans="2:28">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row>
    <row r="581" spans="2:28">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row>
    <row r="582" spans="2:28">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row>
    <row r="583" spans="2:28">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row>
    <row r="584" spans="2:28">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row>
    <row r="585" spans="2:28">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row>
    <row r="586" spans="2:28">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row>
    <row r="587" spans="2:28">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row>
    <row r="588" spans="2:28">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row>
    <row r="589" spans="2:28">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row>
    <row r="590" spans="2:28">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row>
    <row r="591" spans="2:28">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row>
    <row r="592" spans="2:28">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row>
    <row r="593" spans="2:28">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row>
    <row r="594" spans="2:28">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row>
    <row r="595" spans="2:28">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row>
    <row r="596" spans="2:28">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row>
    <row r="597" spans="2:28">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row>
    <row r="598" spans="2:28">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row>
    <row r="599" spans="2:28">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row>
    <row r="600" spans="2:28">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row>
    <row r="601" spans="2:28">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row>
    <row r="602" spans="2:28">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row>
    <row r="603" spans="2:28">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row>
    <row r="604" spans="2:28">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row>
    <row r="605" spans="2:28">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row>
    <row r="606" spans="2:28">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row>
    <row r="607" spans="2:28">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row>
    <row r="608" spans="2:28">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row>
    <row r="609" spans="2:28">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row>
    <row r="610" spans="2:28">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row>
    <row r="611" spans="2:28">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row>
    <row r="612" spans="2:28">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row>
    <row r="613" spans="2:28">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row>
    <row r="614" spans="2:28">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row>
    <row r="615" spans="2:28">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row>
    <row r="616" spans="2:28">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row>
    <row r="617" spans="2:28">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row>
    <row r="618" spans="2:28">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row>
    <row r="619" spans="2:28">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row>
    <row r="620" spans="2:28">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row>
    <row r="621" spans="2:28">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row>
    <row r="622" spans="2:28">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row>
    <row r="623" spans="2:28">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row>
    <row r="624" spans="2:28">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row>
    <row r="625" spans="2:28">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row>
    <row r="626" spans="2:28">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row>
    <row r="627" spans="2:28">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row>
    <row r="628" spans="2:28">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row>
    <row r="629" spans="2:28">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row>
    <row r="630" spans="2:28">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row>
    <row r="631" spans="2:28">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row>
    <row r="632" spans="2:28">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row>
    <row r="633" spans="2:28">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row>
    <row r="634" spans="2:28">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row>
    <row r="635" spans="2:28">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row>
    <row r="636" spans="2:28">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row>
    <row r="637" spans="2:28">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row>
    <row r="638" spans="2:28">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row>
    <row r="639" spans="2:28">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row>
    <row r="640" spans="2:28">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row>
    <row r="641" spans="2:28">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row>
    <row r="642" spans="2:28">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row>
    <row r="643" spans="2:28">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row>
    <row r="644" spans="2:28">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row>
    <row r="645" spans="2:28">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row>
    <row r="646" spans="2:28">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row>
    <row r="647" spans="2:28">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row>
    <row r="648" spans="2:28">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row>
    <row r="649" spans="2:28">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row>
    <row r="650" spans="2:28">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row>
    <row r="651" spans="2:28">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row>
    <row r="652" spans="2:28">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row>
    <row r="653" spans="2:28">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row>
    <row r="654" spans="2:28">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row>
    <row r="655" spans="2:28">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row>
    <row r="656" spans="2:28">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row>
    <row r="657" spans="2:28">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row>
    <row r="658" spans="2:28">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row>
    <row r="659" spans="2:28">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row>
    <row r="660" spans="2:28">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row>
    <row r="661" spans="2:28">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row>
    <row r="662" spans="2:28">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row>
    <row r="663" spans="2:28">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row>
    <row r="664" spans="2:28">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row>
    <row r="665" spans="2:28">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row>
    <row r="666" spans="2:28">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row>
    <row r="667" spans="2:28">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row>
    <row r="668" spans="2:28">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row>
    <row r="669" spans="2:28">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row>
    <row r="670" spans="2:28">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row>
    <row r="671" spans="2:28">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row>
    <row r="672" spans="2:28">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row>
    <row r="673" spans="2:28">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row>
    <row r="674" spans="2:28">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row>
    <row r="675" spans="2:28">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row>
    <row r="676" spans="2:28">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row>
    <row r="677" spans="2:28">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row>
    <row r="678" spans="2:28">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row>
    <row r="679" spans="2:28">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row>
    <row r="680" spans="2:28">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row>
    <row r="681" spans="2:28">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row>
    <row r="682" spans="2:28">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row>
    <row r="683" spans="2:28">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row>
    <row r="684" spans="2:28">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row>
    <row r="685" spans="2:28">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row>
    <row r="686" spans="2:28">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row>
    <row r="687" spans="2:28">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row>
    <row r="688" spans="2:28">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row>
    <row r="689" spans="2:28">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row>
    <row r="690" spans="2:28">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row>
    <row r="691" spans="2:28">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row>
    <row r="692" spans="2:28">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row>
    <row r="693" spans="2:28">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row>
    <row r="694" spans="2:28">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row>
    <row r="695" spans="2:28">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row>
    <row r="696" spans="2:28">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row>
    <row r="697" spans="2:28">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row>
    <row r="698" spans="2:28">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row>
    <row r="699" spans="2:28">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row>
    <row r="700" spans="2:28">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row>
    <row r="701" spans="2:28">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row>
    <row r="702" spans="2:28">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row>
    <row r="703" spans="2:28">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row>
    <row r="704" spans="2:28">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row>
    <row r="705" spans="2:28">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row>
    <row r="706" spans="2:28">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row>
    <row r="707" spans="2:28">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row>
    <row r="708" spans="2:28">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row>
    <row r="709" spans="2:28">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row>
    <row r="710" spans="2:28">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row>
    <row r="711" spans="2:28">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row>
    <row r="712" spans="2:28">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row>
    <row r="713" spans="2:28">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row>
    <row r="714" spans="2:28">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row>
    <row r="715" spans="2:28">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row>
    <row r="716" spans="2:28">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row>
    <row r="717" spans="2:28">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row>
    <row r="718" spans="2:28">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row>
    <row r="719" spans="2:28">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row>
    <row r="720" spans="2:28">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row>
    <row r="721" spans="2:28">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row>
    <row r="722" spans="2:28">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row>
    <row r="723" spans="2:28">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row>
    <row r="724" spans="2:28">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row>
    <row r="725" spans="2:28">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row>
    <row r="726" spans="2:28">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row>
    <row r="727" spans="2:28">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row>
    <row r="728" spans="2:28">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row>
    <row r="729" spans="2:28">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row>
    <row r="730" spans="2:28">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row>
    <row r="731" spans="2:28">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row>
    <row r="732" spans="2:28">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row>
    <row r="733" spans="2:28">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row>
    <row r="734" spans="2:28">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row>
    <row r="735" spans="2:28">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row>
    <row r="736" spans="2:28">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row>
    <row r="737" spans="2:28">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row>
    <row r="738" spans="2:28">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row>
    <row r="739" spans="2:28">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row>
    <row r="740" spans="2:28">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row>
    <row r="741" spans="2:28">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row>
    <row r="742" spans="2:28">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row>
    <row r="743" spans="2:28">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row>
    <row r="744" spans="2:28">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row>
    <row r="745" spans="2:28">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row>
    <row r="746" spans="2:28">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row>
    <row r="747" spans="2:28">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row>
    <row r="748" spans="2:28">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row>
    <row r="749" spans="2:28">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row>
    <row r="750" spans="2:28">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row>
    <row r="751" spans="2:28">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row>
    <row r="752" spans="2:28">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row>
    <row r="753" spans="2:28">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row>
    <row r="754" spans="2:28">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row>
    <row r="755" spans="2:28">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row>
    <row r="756" spans="2:28">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row>
    <row r="757" spans="2:28">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row>
    <row r="758" spans="2:28">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row>
    <row r="759" spans="2:28">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row>
    <row r="760" spans="2:28">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row>
    <row r="761" spans="2:28">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row>
    <row r="762" spans="2:28">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row>
    <row r="763" spans="2:28">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row>
    <row r="764" spans="2:28">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row>
    <row r="765" spans="2:28">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row>
    <row r="766" spans="2:28">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row>
    <row r="767" spans="2:28">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row>
    <row r="768" spans="2:28">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row>
    <row r="769" spans="2:28">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row>
    <row r="770" spans="2:28">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row>
    <row r="771" spans="2:28">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row>
    <row r="772" spans="2:28">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row>
    <row r="773" spans="2:28">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row>
    <row r="774" spans="2:28">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row>
    <row r="775" spans="2:28">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row>
    <row r="776" spans="2:28">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row>
    <row r="777" spans="2:28">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row>
    <row r="778" spans="2:28">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row>
    <row r="779" spans="2:28">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row>
    <row r="780" spans="2:28">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row>
    <row r="781" spans="2:28">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row>
    <row r="782" spans="2:28">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row>
    <row r="783" spans="2:28">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row>
    <row r="784" spans="2:28">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row>
    <row r="785" spans="2:28">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row>
    <row r="786" spans="2:28">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row>
    <row r="787" spans="2:28">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row>
    <row r="788" spans="2:28">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row>
    <row r="789" spans="2:28">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row>
    <row r="790" spans="2:28">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row>
    <row r="791" spans="2:28">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row>
    <row r="792" spans="2:28">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row>
    <row r="793" spans="2:28">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row>
    <row r="794" spans="2:28">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row>
    <row r="795" spans="2:28">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row>
    <row r="796" spans="2:28">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row>
    <row r="797" spans="2:28">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row>
    <row r="798" spans="2:28">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row>
    <row r="799" spans="2:28">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row>
    <row r="800" spans="2:28">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row>
    <row r="801" spans="2:28">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row>
    <row r="802" spans="2:28">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row>
    <row r="803" spans="2:28">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row>
    <row r="804" spans="2:28">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row>
    <row r="805" spans="2:28">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row>
    <row r="806" spans="2:28">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row>
    <row r="807" spans="2:28">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row>
    <row r="808" spans="2:28">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row>
    <row r="809" spans="2:28">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row>
    <row r="810" spans="2:28">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row>
    <row r="811" spans="2:28">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row>
    <row r="812" spans="2:28">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row>
    <row r="813" spans="2:28">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row>
    <row r="814" spans="2:28">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row>
    <row r="815" spans="2:28">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row>
    <row r="816" spans="2:28">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row>
    <row r="817" spans="2:28">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row>
    <row r="818" spans="2:28">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row>
    <row r="819" spans="2:28">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row>
    <row r="820" spans="2:28">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row>
    <row r="821" spans="2:28">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row>
    <row r="822" spans="2:28">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row>
    <row r="823" spans="2:28">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row>
    <row r="824" spans="2:28">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row>
    <row r="825" spans="2:28">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row>
    <row r="826" spans="2:28">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row>
    <row r="827" spans="2:28">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row>
    <row r="828" spans="2:28">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row>
    <row r="829" spans="2:28">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row>
    <row r="830" spans="2:28">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row>
    <row r="831" spans="2:28">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row>
    <row r="832" spans="2:28">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row>
    <row r="833" spans="2:28">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row>
    <row r="834" spans="2:28">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row>
    <row r="835" spans="2:28">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row>
    <row r="836" spans="2:28">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row>
    <row r="837" spans="2:28">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row>
    <row r="838" spans="2:28">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row>
    <row r="839" spans="2:28">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row>
    <row r="840" spans="2:28">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row>
    <row r="841" spans="2:28">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row>
    <row r="842" spans="2:28">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row>
    <row r="843" spans="2:28">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row>
    <row r="844" spans="2:28">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row>
    <row r="845" spans="2:28">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row>
    <row r="846" spans="2:28">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row>
    <row r="847" spans="2:28">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row>
    <row r="848" spans="2:28">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row>
    <row r="849" spans="2:28">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row>
    <row r="850" spans="2:28">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row>
    <row r="851" spans="2:28">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row>
    <row r="852" spans="2:28">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row>
    <row r="853" spans="2:28">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row>
    <row r="854" spans="2:28">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row>
    <row r="855" spans="2:28">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row>
    <row r="856" spans="2:28">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row>
    <row r="857" spans="2:28">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row>
    <row r="858" spans="2:28">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row>
    <row r="859" spans="2:28">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row>
    <row r="860" spans="2:28">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row>
    <row r="861" spans="2:28">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row>
    <row r="862" spans="2:28">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row>
    <row r="863" spans="2:28">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row>
    <row r="864" spans="2:28">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row>
    <row r="865" spans="2:28">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row>
    <row r="866" spans="2:28">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row>
    <row r="867" spans="2:28">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row>
    <row r="868" spans="2:28">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row>
    <row r="869" spans="2:28">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row>
    <row r="870" spans="2:28">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row>
    <row r="871" spans="2:28">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row>
    <row r="872" spans="2:28">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row>
    <row r="873" spans="2:28">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row>
    <row r="874" spans="2:28">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row>
    <row r="875" spans="2:28">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row>
    <row r="876" spans="2:28">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row>
    <row r="877" spans="2:28">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row>
    <row r="878" spans="2:28">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row>
    <row r="879" spans="2:28">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row>
    <row r="880" spans="2:28">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row>
    <row r="881" spans="2:28">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row>
    <row r="882" spans="2:28">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row>
    <row r="883" spans="2:28">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row>
    <row r="884" spans="2:28">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row>
    <row r="885" spans="2:28">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row>
    <row r="886" spans="2:28">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row>
    <row r="887" spans="2:28">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row>
    <row r="888" spans="2:28">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row>
    <row r="889" spans="2:28">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row>
    <row r="890" spans="2:28">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row>
    <row r="891" spans="2:28">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row>
    <row r="892" spans="2:28">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row>
    <row r="893" spans="2:28">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row>
    <row r="894" spans="2:28">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row>
    <row r="895" spans="2:28">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row>
    <row r="896" spans="2:28">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row>
    <row r="897" spans="2:28">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row>
    <row r="898" spans="2:28">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row>
    <row r="899" spans="2:28">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row>
    <row r="900" spans="2:28">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row>
    <row r="901" spans="2:28">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row>
    <row r="902" spans="2:28">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row>
    <row r="903" spans="2:28">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row>
    <row r="904" spans="2:28">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row>
    <row r="905" spans="2:28">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row>
    <row r="906" spans="2:28">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row>
    <row r="907" spans="2:28">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row>
    <row r="908" spans="2:28">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row>
    <row r="909" spans="2:28">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row>
    <row r="910" spans="2:28">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row>
    <row r="911" spans="2:28">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row>
    <row r="912" spans="2:28">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row>
    <row r="913" spans="2:28">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row>
    <row r="914" spans="2:28">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row>
    <row r="915" spans="2:28">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row>
    <row r="916" spans="2:28">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row>
    <row r="917" spans="2:28">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row>
    <row r="918" spans="2:28">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row>
    <row r="919" spans="2:28">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row>
    <row r="920" spans="2:28">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row>
    <row r="921" spans="2:28">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row>
    <row r="922" spans="2:28">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row>
    <row r="923" spans="2:28">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row>
    <row r="924" spans="2:28">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row>
    <row r="925" spans="2:28">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row>
    <row r="926" spans="2:28">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row>
    <row r="927" spans="2:28">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row>
    <row r="928" spans="2:28">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row>
    <row r="929" spans="2:28">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row>
    <row r="930" spans="2:28">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row>
    <row r="931" spans="2:28">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row>
    <row r="932" spans="2:28">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row>
    <row r="933" spans="2:28">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row>
    <row r="934" spans="2:28">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row>
    <row r="935" spans="2:28">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row>
    <row r="936" spans="2:28">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row>
    <row r="937" spans="2:28">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row>
    <row r="938" spans="2:28">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row>
    <row r="939" spans="2:28">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row>
    <row r="940" spans="2:28">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row>
    <row r="941" spans="2:28">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row>
    <row r="942" spans="2:28">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row>
    <row r="943" spans="2:28">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row>
    <row r="944" spans="2:28">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row>
    <row r="945" spans="2:28">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row>
    <row r="946" spans="2:28">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row>
    <row r="947" spans="2:28">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row>
    <row r="948" spans="2:28">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row>
    <row r="949" spans="2:28">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row>
    <row r="950" spans="2:28">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row>
    <row r="951" spans="2:28">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row>
    <row r="952" spans="2:28">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row>
    <row r="953" spans="2:28">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row>
    <row r="954" spans="2:28">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row>
    <row r="955" spans="2:28">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row>
    <row r="956" spans="2:28">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row>
    <row r="957" spans="2:28">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row>
    <row r="958" spans="2:28">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row>
    <row r="959" spans="2:28">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row>
    <row r="960" spans="2:28">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row>
    <row r="961" spans="2:28">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row>
    <row r="962" spans="2:28">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row>
    <row r="963" spans="2:28">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row>
    <row r="964" spans="2:28">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row>
    <row r="965" spans="2:28">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row>
    <row r="966" spans="2:28">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row>
    <row r="967" spans="2:28">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row>
    <row r="968" spans="2:28">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row>
    <row r="969" spans="2:28">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row>
    <row r="970" spans="2:28">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row>
    <row r="971" spans="2:28">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row>
    <row r="972" spans="2:28">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row>
    <row r="973" spans="2:28">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row>
    <row r="974" spans="2:28">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row>
    <row r="975" spans="2:28">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row>
    <row r="976" spans="2:28">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row>
    <row r="977" spans="2:28">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row>
    <row r="978" spans="2:28">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row>
    <row r="979" spans="2:28">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row>
    <row r="980" spans="2:28">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row>
    <row r="981" spans="2:28">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row>
    <row r="982" spans="2:28">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row>
    <row r="983" spans="2:28">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row>
    <row r="984" spans="2:28">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row>
    <row r="985" spans="2:28">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row>
    <row r="986" spans="2:28">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row>
    <row r="987" spans="2:28">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row>
    <row r="988" spans="2:28">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row>
    <row r="989" spans="2:28">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row>
    <row r="990" spans="2:28">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row>
    <row r="991" spans="2:28">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row>
    <row r="992" spans="2:28">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row>
    <row r="993" spans="2:28">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row>
    <row r="994" spans="2:28">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row>
    <row r="995" spans="2:28">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row>
    <row r="996" spans="2:28">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row>
    <row r="997" spans="2:28">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row>
    <row r="998" spans="2:28">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row>
    <row r="999" spans="2:28">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row>
    <row r="1000" spans="2:28">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row>
    <row r="1001" spans="2:28">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row>
    <row r="1002" spans="2:28">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row>
    <row r="1003" spans="2:28">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row>
    <row r="1004" spans="2:28">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row>
    <row r="1005" spans="2:28">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row>
    <row r="1006" spans="2:28">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row>
    <row r="1007" spans="2:28">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row>
    <row r="1008" spans="2:28">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row>
    <row r="1009" spans="2:28">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row>
    <row r="1010" spans="2:28">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row>
    <row r="1011" spans="2:28">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row>
    <row r="1012" spans="2:28">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row>
    <row r="1013" spans="2:28">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row>
    <row r="1014" spans="2:28">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row>
    <row r="1015" spans="2:28">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row>
    <row r="1016" spans="2:28">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row>
    <row r="1017" spans="2:28">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row>
    <row r="1018" spans="2:28">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row>
    <row r="1019" spans="2:28">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row>
    <row r="1020" spans="2:28">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row>
    <row r="1021" spans="2:28">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row>
    <row r="1022" spans="2:28">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row>
    <row r="1023" spans="2:28">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row>
    <row r="1024" spans="2:28">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row>
    <row r="1025" spans="2:28">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row>
    <row r="1026" spans="2:28">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row>
    <row r="1027" spans="2:28">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row>
    <row r="1028" spans="2:28">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row>
    <row r="1029" spans="2:28">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row>
    <row r="1030" spans="2:28">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row>
    <row r="1031" spans="2:28">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row>
    <row r="1032" spans="2:28">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row>
    <row r="1033" spans="2:28">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row>
    <row r="1034" spans="2:28">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row>
    <row r="1035" spans="2:28">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row>
    <row r="1036" spans="2:28">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row>
    <row r="1037" spans="2:28">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row>
    <row r="1038" spans="2:28">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2:28">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row>
    <row r="1040" spans="2:28">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row>
    <row r="1041" spans="2:28">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row>
    <row r="1042" spans="2:28">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row>
    <row r="1043" spans="2:28">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row>
    <row r="1044" spans="2:28">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row>
    <row r="1045" spans="2:28">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row>
    <row r="1046" spans="2:28">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row>
    <row r="1047" spans="2:28">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row>
    <row r="1048" spans="2:28">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row>
    <row r="1049" spans="2:28">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row>
    <row r="1050" spans="2:28">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row>
    <row r="1051" spans="2:28">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row>
    <row r="1052" spans="2:28">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row>
    <row r="1053" spans="2:28">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row>
    <row r="1054" spans="2:28">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row>
    <row r="1055" spans="2:28">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row>
    <row r="1056" spans="2:28">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row>
    <row r="1057" spans="2:28">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row>
    <row r="1058" spans="2:28">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row>
    <row r="1059" spans="2:28">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row>
    <row r="1060" spans="2:28">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row>
    <row r="1061" spans="2:28">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row>
    <row r="1062" spans="2:28">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row>
    <row r="1063" spans="2:28">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row>
    <row r="1064" spans="2:28">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row>
    <row r="1065" spans="2:28">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row>
    <row r="1066" spans="2:28">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row>
    <row r="1067" spans="2:28">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row>
    <row r="1068" spans="2:28">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row>
    <row r="1069" spans="2:28">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row>
    <row r="1070" spans="2:28">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row>
    <row r="1071" spans="2:28">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row>
    <row r="1072" spans="2:28">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row>
    <row r="1073" spans="2:28">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row>
    <row r="1074" spans="2:28">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row>
    <row r="1075" spans="2:28">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row>
    <row r="1076" spans="2:28">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row>
    <row r="1077" spans="2:28">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row>
    <row r="1078" spans="2:28">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row>
    <row r="1079" spans="2:28">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row>
    <row r="1080" spans="2:28">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row>
    <row r="1081" spans="2:28">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row>
    <row r="1082" spans="2:28">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row>
    <row r="1083" spans="2:28">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row>
    <row r="1084" spans="2:28">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row>
    <row r="1085" spans="2:28">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row>
    <row r="1086" spans="2:28">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row>
    <row r="1087" spans="2:28">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row>
    <row r="1088" spans="2:28">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row>
    <row r="1089" spans="2:28">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row>
    <row r="1090" spans="2:28">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row>
    <row r="1091" spans="2:28">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row>
    <row r="1092" spans="2:28">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row>
    <row r="1093" spans="2:28">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row>
    <row r="1094" spans="2:28">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row>
    <row r="1095" spans="2:28">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row>
    <row r="1096" spans="2:28">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row>
    <row r="1097" spans="2:28">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row>
    <row r="1098" spans="2:28">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row>
    <row r="1099" spans="2:28">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row>
    <row r="1100" spans="2:28">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row>
    <row r="1101" spans="2:28">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row>
    <row r="1102" spans="2:28">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row>
    <row r="1103" spans="2:28">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row>
    <row r="1104" spans="2:28">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row>
    <row r="1105" spans="2:28">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row>
    <row r="1106" spans="2:28">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row>
    <row r="1107" spans="2:28">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row>
    <row r="1108" spans="2:28">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row>
    <row r="1109" spans="2:28">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row>
    <row r="1110" spans="2:28">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row>
    <row r="1111" spans="2:28">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row>
    <row r="1112" spans="2:28">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row>
    <row r="1113" spans="2:28">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row>
    <row r="1114" spans="2:28">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row>
    <row r="1115" spans="2:28">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row>
    <row r="1116" spans="2:28">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row>
    <row r="1117" spans="2:28">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row>
    <row r="1118" spans="2:28">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row>
    <row r="1119" spans="2:28">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row>
    <row r="1120" spans="2:28">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row>
    <row r="1121" spans="2:28">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row>
    <row r="1122" spans="2:28">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row>
    <row r="1123" spans="2:28">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row>
    <row r="1124" spans="2:28">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row>
    <row r="1125" spans="2:28">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row>
    <row r="1126" spans="2:28">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row>
    <row r="1127" spans="2:28">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row>
    <row r="1128" spans="2:28">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row>
    <row r="1129" spans="2:28">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row>
    <row r="1130" spans="2:28">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row>
    <row r="1131" spans="2:28">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row>
    <row r="1132" spans="2:28">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row>
    <row r="1133" spans="2:28">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row>
    <row r="1134" spans="2:28">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row>
    <row r="1135" spans="2:28">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row>
    <row r="1136" spans="2:28">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row>
    <row r="1137" spans="2:28">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row>
    <row r="1138" spans="2:28">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row>
    <row r="1139" spans="2:28">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row>
    <row r="1140" spans="2:28">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row>
    <row r="1141" spans="2:28">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row>
    <row r="1142" spans="2:28">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row>
    <row r="1143" spans="2:28">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row>
    <row r="1144" spans="2:28">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row>
    <row r="1145" spans="2:28">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row>
    <row r="1146" spans="2:28">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row>
    <row r="1147" spans="2:28">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row>
    <row r="1148" spans="2:28">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row>
    <row r="1149" spans="2:28">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row>
    <row r="1150" spans="2:28">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row>
    <row r="1151" spans="2:28">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row>
    <row r="1152" spans="2:28">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row>
    <row r="1153" spans="2:28">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row>
    <row r="1154" spans="2:28">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row>
    <row r="1155" spans="2:28">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row>
    <row r="1156" spans="2:28">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row>
    <row r="1157" spans="2:28">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row>
    <row r="1158" spans="2:28">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row>
    <row r="1159" spans="2:28">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row>
    <row r="1160" spans="2:28">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row>
    <row r="1161" spans="2:28">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row>
    <row r="1162" spans="2:28">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row>
    <row r="1163" spans="2:28">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row>
    <row r="1164" spans="2:28">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row>
    <row r="1165" spans="2:28">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row>
    <row r="1166" spans="2:28">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row>
    <row r="1167" spans="2:28">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row>
    <row r="1168" spans="2:28">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row>
    <row r="1169" spans="2:28">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row>
    <row r="1170" spans="2:28">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row>
    <row r="1171" spans="2:28">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row>
    <row r="1172" spans="2:28">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row>
    <row r="1173" spans="2:28">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row>
    <row r="1174" spans="2:28">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row>
    <row r="1175" spans="2:28">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row>
    <row r="1176" spans="2:28">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row>
    <row r="1177" spans="2:28">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row>
    <row r="1178" spans="2:28">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row>
    <row r="1179" spans="2:28">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row>
    <row r="1180" spans="2:28">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row>
    <row r="1181" spans="2:28">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row>
    <row r="1182" spans="2:28">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row>
    <row r="1183" spans="2:28">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row>
    <row r="1184" spans="2:28">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row>
    <row r="1185" spans="2:28">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row>
    <row r="1186" spans="2:28">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row>
    <row r="1187" spans="2:28">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row>
    <row r="1188" spans="2:28">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row>
    <row r="1189" spans="2:28">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row>
    <row r="1190" spans="2:28">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row>
    <row r="1191" spans="2:28">
      <c r="B1191" s="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row>
    <row r="1192" spans="2:28">
      <c r="B1192" s="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row>
    <row r="1193" spans="2:28">
      <c r="B1193" s="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row>
    <row r="1194" spans="2:28">
      <c r="B1194" s="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row>
    <row r="1195" spans="2:28">
      <c r="B1195" s="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row>
    <row r="1196" spans="2:28">
      <c r="B1196" s="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row>
    <row r="1197" spans="2:28">
      <c r="B1197" s="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row>
    <row r="1198" spans="2:28">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row>
    <row r="1199" spans="2:28">
      <c r="B1199" s="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row>
    <row r="1200" spans="2:28">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row>
    <row r="1201" spans="2:28">
      <c r="B1201" s="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row>
    <row r="1202" spans="2:28">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row>
    <row r="1203" spans="2:28">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row>
    <row r="1204" spans="2:28">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row>
    <row r="1205" spans="2:28">
      <c r="B1205" s="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row>
    <row r="1206" spans="2:28">
      <c r="B1206" s="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row>
    <row r="1207" spans="2:28">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row>
    <row r="1208" spans="2:28">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row>
    <row r="1209" spans="2:28">
      <c r="B1209" s="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row>
    <row r="1210" spans="2:28">
      <c r="B1210" s="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row>
    <row r="1211" spans="2:28">
      <c r="B1211" s="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row>
    <row r="1212" spans="2:28">
      <c r="B1212" s="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row>
    <row r="1213" spans="2:28">
      <c r="B1213" s="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row>
    <row r="1214" spans="2:28">
      <c r="B1214" s="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row>
    <row r="1215" spans="2:28">
      <c r="B1215" s="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row>
    <row r="1216" spans="2:28">
      <c r="B1216" s="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row>
    <row r="1217" spans="2:28">
      <c r="B1217" s="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row>
    <row r="1218" spans="2:28">
      <c r="B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row>
    <row r="1219" spans="2:28">
      <c r="B1219" s="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row>
    <row r="1220" spans="2:28">
      <c r="B1220" s="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row>
    <row r="1221" spans="2:28">
      <c r="B1221" s="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row>
    <row r="1222" spans="2:28">
      <c r="B1222" s="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row>
    <row r="1223" spans="2:28">
      <c r="B1223" s="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row>
    <row r="1224" spans="2:28">
      <c r="B1224" s="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row>
    <row r="1225" spans="2:28">
      <c r="B1225" s="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row>
    <row r="1226" spans="2:28">
      <c r="B1226" s="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row>
    <row r="1227" spans="2:28">
      <c r="B1227" s="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row>
    <row r="1228" spans="2:28">
      <c r="B1228" s="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row>
    <row r="1229" spans="2:28">
      <c r="B1229" s="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row>
    <row r="1230" spans="2:28">
      <c r="B1230" s="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row>
    <row r="1231" spans="2:28">
      <c r="B1231" s="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row>
    <row r="1232" spans="2:28">
      <c r="B1232" s="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row>
    <row r="1233" spans="2:28">
      <c r="B1233" s="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row>
    <row r="1234" spans="2:28">
      <c r="B1234" s="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row>
    <row r="1235" spans="2:28">
      <c r="B1235" s="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row>
    <row r="1236" spans="2:28">
      <c r="B1236" s="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row>
    <row r="1237" spans="2:28">
      <c r="B1237" s="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row>
    <row r="1238" spans="2:28">
      <c r="B1238" s="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row>
    <row r="1239" spans="2:28">
      <c r="B1239" s="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row>
    <row r="1240" spans="2:28">
      <c r="B1240" s="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row>
    <row r="1241" spans="2:28">
      <c r="B1241" s="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row>
    <row r="1242" spans="2:28">
      <c r="B1242" s="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row>
    <row r="1243" spans="2:28">
      <c r="B1243" s="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row>
    <row r="1244" spans="2:28">
      <c r="B1244" s="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row>
    <row r="1245" spans="2:28">
      <c r="B1245" s="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row>
    <row r="1246" spans="2:28">
      <c r="B1246" s="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row>
    <row r="1247" spans="2:28">
      <c r="B1247" s="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row>
    <row r="1248" spans="2:28">
      <c r="B1248" s="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row>
    <row r="1249" spans="2:28">
      <c r="B1249" s="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row>
    <row r="1250" spans="2:28">
      <c r="B1250" s="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row>
    <row r="1251" spans="2:28">
      <c r="B1251" s="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row>
    <row r="1252" spans="2:28">
      <c r="B1252" s="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row>
    <row r="1253" spans="2:28">
      <c r="B1253" s="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row>
    <row r="1254" spans="2:28">
      <c r="B1254" s="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row>
    <row r="1255" spans="2:28">
      <c r="B1255" s="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row>
    <row r="1256" spans="2:28">
      <c r="B1256" s="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row>
    <row r="1257" spans="2:28">
      <c r="B1257" s="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row>
    <row r="1258" spans="2:28">
      <c r="B1258" s="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row>
    <row r="1259" spans="2:28">
      <c r="B1259" s="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row>
    <row r="1260" spans="2:28">
      <c r="B1260" s="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row>
    <row r="1261" spans="2:28">
      <c r="B1261" s="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row>
    <row r="1262" spans="2:28">
      <c r="B1262" s="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row>
    <row r="1263" spans="2:28">
      <c r="B1263" s="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row>
    <row r="1264" spans="2:28">
      <c r="B1264" s="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row>
    <row r="1265" spans="2:28">
      <c r="B1265" s="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row>
    <row r="1266" spans="2:28">
      <c r="B1266" s="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row>
    <row r="1267" spans="2:28">
      <c r="B1267" s="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row>
    <row r="1268" spans="2:28">
      <c r="B1268" s="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row>
    <row r="1269" spans="2:28">
      <c r="B1269" s="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row>
    <row r="1270" spans="2:28">
      <c r="B1270" s="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row>
    <row r="1271" spans="2:28">
      <c r="B1271" s="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row>
    <row r="1272" spans="2:28">
      <c r="B1272" s="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row>
    <row r="1273" spans="2:28">
      <c r="B1273" s="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row>
    <row r="1274" spans="2:28">
      <c r="B1274" s="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row>
    <row r="1275" spans="2:28">
      <c r="B1275" s="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row>
    <row r="1276" spans="2:28">
      <c r="B1276" s="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row>
    <row r="1277" spans="2:28">
      <c r="B1277" s="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row>
    <row r="1278" spans="2:28">
      <c r="B1278" s="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row>
    <row r="1279" spans="2:28">
      <c r="B1279" s="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row>
    <row r="1280" spans="2:28">
      <c r="B1280" s="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row>
    <row r="1281" spans="2:28">
      <c r="B1281" s="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row>
    <row r="1282" spans="2:28">
      <c r="B1282" s="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row>
    <row r="1283" spans="2:28">
      <c r="B1283" s="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row>
    <row r="1284" spans="2:28">
      <c r="B1284" s="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row>
    <row r="1285" spans="2:28">
      <c r="B1285" s="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row>
    <row r="1286" spans="2:28">
      <c r="B1286" s="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row>
    <row r="1287" spans="2:28">
      <c r="B1287" s="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row>
    <row r="1288" spans="2:28">
      <c r="B1288" s="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row>
    <row r="1289" spans="2:28">
      <c r="B1289" s="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row>
    <row r="1290" spans="2:28">
      <c r="B1290" s="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row>
    <row r="1291" spans="2:28">
      <c r="B1291" s="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row>
    <row r="1292" spans="2:28">
      <c r="B1292" s="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row>
    <row r="1293" spans="2:28">
      <c r="B1293" s="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row>
    <row r="1294" spans="2:28">
      <c r="B1294" s="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row>
    <row r="1295" spans="2:28">
      <c r="B1295" s="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row>
    <row r="1296" spans="2:28">
      <c r="B1296" s="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row>
    <row r="1297" spans="2:28">
      <c r="B1297" s="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row>
    <row r="1298" spans="2:28">
      <c r="B1298" s="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row>
    <row r="1299" spans="2:28">
      <c r="B1299" s="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row>
    <row r="1300" spans="2:28">
      <c r="B1300" s="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row>
    <row r="1301" spans="2:28">
      <c r="B1301" s="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row>
    <row r="1302" spans="2:28">
      <c r="B1302" s="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row>
    <row r="1303" spans="2:28">
      <c r="B1303" s="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row>
    <row r="1304" spans="2:28">
      <c r="B1304" s="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row>
    <row r="1305" spans="2:28">
      <c r="B1305" s="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row>
    <row r="1306" spans="2:28">
      <c r="B1306" s="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row>
    <row r="1307" spans="2:28">
      <c r="B1307" s="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row>
    <row r="1308" spans="2:28">
      <c r="B1308" s="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row>
    <row r="1309" spans="2:28">
      <c r="B1309" s="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row>
    <row r="1310" spans="2:28">
      <c r="B1310" s="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row>
    <row r="1311" spans="2:28">
      <c r="B1311" s="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row>
    <row r="1312" spans="2:28">
      <c r="B1312" s="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row>
    <row r="1313" spans="2:28">
      <c r="B1313" s="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row>
    <row r="1314" spans="2:28">
      <c r="B1314" s="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row>
    <row r="1315" spans="2:28">
      <c r="B1315" s="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row>
    <row r="1316" spans="2:28">
      <c r="B1316" s="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row>
    <row r="1317" spans="2:28">
      <c r="B1317" s="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row>
    <row r="1318" spans="2:28">
      <c r="B1318" s="2"/>
      <c r="C1318" s="2"/>
      <c r="D1318" s="2"/>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row>
    <row r="1319" spans="2:28">
      <c r="B1319" s="2"/>
      <c r="C1319" s="2"/>
      <c r="D1319" s="2"/>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row>
    <row r="1320" spans="2:28">
      <c r="B1320" s="2"/>
      <c r="C1320" s="2"/>
      <c r="D1320" s="2"/>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row>
    <row r="1321" spans="2:28">
      <c r="B1321" s="2"/>
      <c r="C1321" s="2"/>
      <c r="D1321" s="2"/>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row>
    <row r="1322" spans="2:28">
      <c r="B1322" s="2"/>
      <c r="C1322" s="2"/>
      <c r="D1322" s="2"/>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row>
    <row r="1323" spans="2:28">
      <c r="B1323" s="2"/>
      <c r="C1323" s="2"/>
      <c r="D1323" s="2"/>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row>
    <row r="1324" spans="2:28">
      <c r="B1324" s="2"/>
      <c r="C1324" s="2"/>
      <c r="D1324" s="2"/>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row>
    <row r="1325" spans="2:28">
      <c r="B1325" s="2"/>
      <c r="C1325" s="2"/>
      <c r="D1325" s="2"/>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row>
    <row r="1326" spans="2:28">
      <c r="B1326" s="2"/>
      <c r="C1326" s="2"/>
      <c r="D1326" s="2"/>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row>
    <row r="1327" spans="2:28">
      <c r="B1327" s="2"/>
      <c r="C1327" s="2"/>
      <c r="D1327" s="2"/>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row>
    <row r="1328" spans="2:28">
      <c r="B1328" s="2"/>
      <c r="C1328" s="2"/>
      <c r="D1328" s="2"/>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row>
    <row r="1329" spans="2:28">
      <c r="B1329" s="2"/>
      <c r="C1329" s="2"/>
      <c r="D1329" s="2"/>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row>
    <row r="1330" spans="2:28">
      <c r="B1330" s="2"/>
      <c r="C1330" s="2"/>
      <c r="D1330" s="2"/>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row>
    <row r="1331" spans="2:28">
      <c r="B1331" s="2"/>
      <c r="C1331" s="2"/>
      <c r="D1331" s="2"/>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row>
    <row r="1332" spans="2:28">
      <c r="B1332" s="2"/>
      <c r="C1332" s="2"/>
      <c r="D1332" s="2"/>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row>
    <row r="1333" spans="2:28">
      <c r="B1333" s="2"/>
      <c r="C1333" s="2"/>
      <c r="D1333" s="2"/>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row>
    <row r="1334" spans="2:28">
      <c r="B1334" s="2"/>
      <c r="C1334" s="2"/>
      <c r="D1334" s="2"/>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row>
    <row r="1335" spans="2:28">
      <c r="B1335" s="2"/>
      <c r="C1335" s="2"/>
      <c r="D1335" s="2"/>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row>
    <row r="1336" spans="2:28">
      <c r="B1336" s="2"/>
      <c r="C1336" s="2"/>
      <c r="D1336" s="2"/>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row>
    <row r="1337" spans="2:28">
      <c r="B1337" s="2"/>
      <c r="C1337" s="2"/>
      <c r="D1337" s="2"/>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row>
    <row r="1338" spans="2:28">
      <c r="B1338" s="2"/>
      <c r="C1338" s="2"/>
      <c r="D1338" s="2"/>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row>
    <row r="1339" spans="2:28">
      <c r="B1339" s="2"/>
      <c r="C1339" s="2"/>
      <c r="D1339" s="2"/>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row>
    <row r="1340" spans="2:28">
      <c r="B1340" s="2"/>
      <c r="C1340" s="2"/>
      <c r="D1340" s="2"/>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row>
    <row r="1341" spans="2:28">
      <c r="B1341" s="2"/>
      <c r="C1341" s="2"/>
      <c r="D1341" s="2"/>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row>
    <row r="1342" spans="2:28">
      <c r="B1342" s="2"/>
      <c r="C1342" s="2"/>
      <c r="D1342" s="2"/>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row>
    <row r="1343" spans="2:28">
      <c r="B1343" s="2"/>
      <c r="C1343" s="2"/>
      <c r="D1343" s="2"/>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row>
    <row r="1344" spans="2:28">
      <c r="B1344" s="2"/>
      <c r="C1344" s="2"/>
      <c r="D1344" s="2"/>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row>
    <row r="1345" spans="2:28">
      <c r="B1345" s="2"/>
      <c r="C1345" s="2"/>
      <c r="D1345" s="2"/>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row>
    <row r="1346" spans="2:28">
      <c r="B1346" s="2"/>
      <c r="C1346" s="2"/>
      <c r="D1346" s="2"/>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row>
    <row r="1347" spans="2:28">
      <c r="B1347" s="2"/>
      <c r="C1347" s="2"/>
      <c r="D1347" s="2"/>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row>
    <row r="1348" spans="2:28">
      <c r="B1348" s="2"/>
      <c r="C1348" s="2"/>
      <c r="D1348" s="2"/>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row>
    <row r="1349" spans="2:28">
      <c r="B1349" s="2"/>
      <c r="C1349" s="2"/>
      <c r="D1349" s="2"/>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row>
    <row r="1350" spans="2:28">
      <c r="B1350" s="2"/>
      <c r="C1350" s="2"/>
      <c r="D1350" s="2"/>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row>
    <row r="1351" spans="2:28">
      <c r="B1351" s="2"/>
      <c r="C1351" s="2"/>
      <c r="D1351" s="2"/>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row>
    <row r="1352" spans="2:28">
      <c r="B1352" s="2"/>
      <c r="C1352" s="2"/>
      <c r="D1352" s="2"/>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row>
    <row r="1353" spans="2:28">
      <c r="B1353" s="2"/>
      <c r="C1353" s="2"/>
      <c r="D1353" s="2"/>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row>
    <row r="1354" spans="2:28">
      <c r="B1354" s="2"/>
      <c r="C1354" s="2"/>
      <c r="D1354" s="2"/>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row>
    <row r="1355" spans="2:28">
      <c r="B1355" s="2"/>
      <c r="C1355" s="2"/>
      <c r="D1355" s="2"/>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row>
    <row r="1356" spans="2:28">
      <c r="B1356" s="2"/>
      <c r="C1356" s="2"/>
      <c r="D1356" s="2"/>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row>
    <row r="1357" spans="2:28">
      <c r="B1357" s="2"/>
      <c r="C1357" s="2"/>
      <c r="D1357" s="2"/>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row>
    <row r="1358" spans="2:28">
      <c r="B1358" s="2"/>
      <c r="C1358" s="2"/>
      <c r="D1358" s="2"/>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row>
    <row r="1359" spans="2:28">
      <c r="B1359" s="2"/>
      <c r="C1359" s="2"/>
      <c r="D1359" s="2"/>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row>
    <row r="1360" spans="2:28">
      <c r="B1360" s="2"/>
      <c r="C1360" s="2"/>
      <c r="D1360" s="2"/>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row>
    <row r="1361" spans="2:28">
      <c r="B1361" s="2"/>
      <c r="C1361" s="2"/>
      <c r="D1361" s="2"/>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row>
    <row r="1362" spans="2:28">
      <c r="B1362" s="2"/>
      <c r="C1362" s="2"/>
      <c r="D1362" s="2"/>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row>
    <row r="1363" spans="2:28">
      <c r="B1363" s="2"/>
      <c r="C1363" s="2"/>
      <c r="D1363" s="2"/>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row>
    <row r="1364" spans="2:28">
      <c r="B1364" s="2"/>
      <c r="C1364" s="2"/>
      <c r="D1364" s="2"/>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row>
    <row r="1365" spans="2:28">
      <c r="B1365" s="2"/>
      <c r="C1365" s="2"/>
      <c r="D1365" s="2"/>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row>
    <row r="1366" spans="2:28">
      <c r="B1366" s="2"/>
      <c r="C1366" s="2"/>
      <c r="D1366" s="2"/>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row>
    <row r="1367" spans="2:28">
      <c r="B1367" s="2"/>
      <c r="C1367" s="2"/>
      <c r="D1367" s="2"/>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row>
    <row r="1368" spans="2:28">
      <c r="B1368" s="2"/>
      <c r="C1368" s="2"/>
      <c r="D1368" s="2"/>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row>
    <row r="1369" spans="2:28">
      <c r="B1369" s="2"/>
      <c r="C1369" s="2"/>
      <c r="D1369" s="2"/>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row>
    <row r="1370" spans="2:28">
      <c r="B1370" s="2"/>
      <c r="C1370" s="2"/>
      <c r="D1370" s="2"/>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row>
    <row r="1371" spans="2:28">
      <c r="B1371" s="2"/>
      <c r="C1371" s="2"/>
      <c r="D1371" s="2"/>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row>
    <row r="1372" spans="2:28">
      <c r="B1372" s="2"/>
      <c r="C1372" s="2"/>
      <c r="D1372" s="2"/>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row>
    <row r="1373" spans="2:28">
      <c r="B1373" s="2"/>
      <c r="C1373" s="2"/>
      <c r="D1373" s="2"/>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row>
    <row r="1374" spans="2:28">
      <c r="B1374" s="2"/>
      <c r="C1374" s="2"/>
      <c r="D1374" s="2"/>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row>
    <row r="1375" spans="2:28">
      <c r="B1375" s="2"/>
      <c r="C1375" s="2"/>
      <c r="D1375" s="2"/>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row>
    <row r="1376" spans="2:28">
      <c r="B1376" s="2"/>
      <c r="C1376" s="2"/>
      <c r="D1376" s="2"/>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row>
    <row r="1377" spans="2:28">
      <c r="B1377" s="2"/>
      <c r="C1377" s="2"/>
      <c r="D1377" s="2"/>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row>
    <row r="1378" spans="2:28">
      <c r="B1378" s="2"/>
      <c r="C1378" s="2"/>
      <c r="D1378" s="2"/>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row>
    <row r="1379" spans="2:28">
      <c r="B1379" s="2"/>
      <c r="C1379" s="2"/>
      <c r="D1379" s="2"/>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row>
    <row r="1380" spans="2:28">
      <c r="B1380" s="2"/>
      <c r="C1380" s="2"/>
      <c r="D1380" s="2"/>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row>
    <row r="1381" spans="2:28">
      <c r="B1381" s="2"/>
      <c r="C1381" s="2"/>
      <c r="D1381" s="2"/>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row>
    <row r="1382" spans="2:28">
      <c r="B1382" s="2"/>
      <c r="C1382" s="2"/>
      <c r="D1382" s="2"/>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row>
    <row r="1383" spans="2:28">
      <c r="B1383" s="2"/>
      <c r="C1383" s="2"/>
      <c r="D1383" s="2"/>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row>
    <row r="1384" spans="2:28">
      <c r="B1384" s="2"/>
      <c r="C1384" s="2"/>
      <c r="D1384" s="2"/>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row>
    <row r="1385" spans="2:28">
      <c r="B1385" s="2"/>
      <c r="C1385" s="2"/>
      <c r="D1385" s="2"/>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row>
    <row r="1386" spans="2:28">
      <c r="B1386" s="2"/>
      <c r="C1386" s="2"/>
      <c r="D1386" s="2"/>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row>
    <row r="1387" spans="2:28">
      <c r="B1387" s="2"/>
      <c r="C1387" s="2"/>
      <c r="D1387" s="2"/>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row>
    <row r="1388" spans="2:28">
      <c r="B1388" s="2"/>
      <c r="C1388" s="2"/>
      <c r="D1388" s="2"/>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row>
    <row r="1389" spans="2:28">
      <c r="B1389" s="2"/>
      <c r="C1389" s="2"/>
      <c r="D1389" s="2"/>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row>
    <row r="1390" spans="2:28">
      <c r="B1390" s="2"/>
      <c r="C1390" s="2"/>
      <c r="D1390" s="2"/>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row>
    <row r="1391" spans="2:28">
      <c r="B1391" s="2"/>
      <c r="C1391" s="2"/>
      <c r="D1391" s="2"/>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row>
    <row r="1392" spans="2:28">
      <c r="B1392" s="2"/>
      <c r="C1392" s="2"/>
      <c r="D1392" s="2"/>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row>
    <row r="1393" spans="2:28">
      <c r="B1393" s="2"/>
      <c r="C1393" s="2"/>
      <c r="D1393" s="2"/>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row>
    <row r="1394" spans="2:28">
      <c r="B1394" s="2"/>
      <c r="C1394" s="2"/>
      <c r="D1394" s="2"/>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row>
    <row r="1395" spans="2:28">
      <c r="B1395" s="2"/>
      <c r="C1395" s="2"/>
      <c r="D1395" s="2"/>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row>
    <row r="1396" spans="2:28">
      <c r="B1396" s="2"/>
      <c r="C1396" s="2"/>
      <c r="D1396" s="2"/>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row>
    <row r="1397" spans="2:28">
      <c r="B1397" s="2"/>
      <c r="C1397" s="2"/>
      <c r="D1397" s="2"/>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row>
    <row r="1398" spans="2:28">
      <c r="B1398" s="2"/>
      <c r="C1398" s="2"/>
      <c r="D1398" s="2"/>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row>
    <row r="1399" spans="2:28">
      <c r="B1399" s="2"/>
      <c r="C1399" s="2"/>
      <c r="D1399" s="2"/>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row>
    <row r="1400" spans="2:28">
      <c r="B1400" s="2"/>
      <c r="C1400" s="2"/>
      <c r="D1400" s="2"/>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row>
    <row r="1401" spans="2:28">
      <c r="B1401" s="2"/>
      <c r="C1401" s="2"/>
      <c r="D1401" s="2"/>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row>
    <row r="1402" spans="2:28">
      <c r="B1402" s="2"/>
      <c r="C1402" s="2"/>
      <c r="D1402" s="2"/>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row>
    <row r="1403" spans="2:28">
      <c r="B1403" s="2"/>
      <c r="C1403" s="2"/>
      <c r="D1403" s="2"/>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row>
    <row r="1404" spans="2:28">
      <c r="B1404" s="2"/>
      <c r="C1404" s="2"/>
      <c r="D1404" s="2"/>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row>
    <row r="1405" spans="2:28">
      <c r="B1405" s="2"/>
      <c r="C1405" s="2"/>
      <c r="D1405" s="2"/>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row>
    <row r="1406" spans="2:28">
      <c r="B1406" s="2"/>
      <c r="C1406" s="2"/>
      <c r="D1406" s="2"/>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row>
    <row r="1407" spans="2:28">
      <c r="B1407" s="2"/>
      <c r="C1407" s="2"/>
      <c r="D1407" s="2"/>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row>
    <row r="1408" spans="2:28">
      <c r="B1408" s="2"/>
      <c r="C1408" s="2"/>
      <c r="D1408" s="2"/>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row>
    <row r="1409" spans="2:28">
      <c r="B1409" s="2"/>
      <c r="C1409" s="2"/>
      <c r="D1409" s="2"/>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row>
    <row r="1410" spans="2:28">
      <c r="B1410" s="2"/>
      <c r="C1410" s="2"/>
      <c r="D1410" s="2"/>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row>
    <row r="1411" spans="2:28">
      <c r="B1411" s="2"/>
      <c r="C1411" s="2"/>
      <c r="D1411" s="2"/>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row>
    <row r="1412" spans="2:28">
      <c r="B1412" s="2"/>
      <c r="C1412" s="2"/>
      <c r="D1412" s="2"/>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row>
    <row r="1413" spans="2:28">
      <c r="B1413" s="2"/>
      <c r="C1413" s="2"/>
      <c r="D1413" s="2"/>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row>
    <row r="1414" spans="2:28">
      <c r="B1414" s="2"/>
      <c r="C1414" s="2"/>
      <c r="D1414" s="2"/>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row>
    <row r="1415" spans="2:28">
      <c r="B1415" s="2"/>
      <c r="C1415" s="2"/>
      <c r="D1415" s="2"/>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row>
    <row r="1416" spans="2:28">
      <c r="B1416" s="2"/>
      <c r="C1416" s="2"/>
      <c r="D1416" s="2"/>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row>
    <row r="1417" spans="2:28">
      <c r="B1417" s="2"/>
      <c r="C1417" s="2"/>
      <c r="D1417" s="2"/>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row>
    <row r="1418" spans="2:28">
      <c r="B1418" s="2"/>
      <c r="C1418" s="2"/>
      <c r="D1418" s="2"/>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row>
    <row r="1419" spans="2:28">
      <c r="B1419" s="2"/>
      <c r="C1419" s="2"/>
      <c r="D1419" s="2"/>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row>
    <row r="1420" spans="2:28">
      <c r="B1420" s="2"/>
      <c r="C1420" s="2"/>
      <c r="D1420" s="2"/>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row>
    <row r="1421" spans="2:28">
      <c r="B1421" s="2"/>
      <c r="C1421" s="2"/>
      <c r="D1421" s="2"/>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row>
    <row r="1422" spans="2:28">
      <c r="B1422" s="2"/>
      <c r="C1422" s="2"/>
      <c r="D1422" s="2"/>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row>
    <row r="1423" spans="2:28">
      <c r="B1423" s="2"/>
      <c r="C1423" s="2"/>
      <c r="D1423" s="2"/>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row>
    <row r="1424" spans="2:28">
      <c r="B1424" s="2"/>
      <c r="C1424" s="2"/>
      <c r="D1424" s="2"/>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row>
    <row r="1425" spans="2:28">
      <c r="B1425" s="2"/>
      <c r="C1425" s="2"/>
      <c r="D1425" s="2"/>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row>
    <row r="1426" spans="2:28">
      <c r="B1426" s="2"/>
      <c r="C1426" s="2"/>
      <c r="D1426" s="2"/>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row>
    <row r="1427" spans="2:28">
      <c r="B1427" s="2"/>
      <c r="C1427" s="2"/>
      <c r="D1427" s="2"/>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row>
    <row r="1428" spans="2:28">
      <c r="B1428" s="2"/>
      <c r="C1428" s="2"/>
      <c r="D1428" s="2"/>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row>
    <row r="1429" spans="2:28">
      <c r="B1429" s="2"/>
      <c r="C1429" s="2"/>
      <c r="D1429" s="2"/>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row>
    <row r="1430" spans="2:28">
      <c r="B1430" s="2"/>
      <c r="C1430" s="2"/>
      <c r="D1430" s="2"/>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row>
    <row r="1431" spans="2:28">
      <c r="B1431" s="2"/>
      <c r="C1431" s="2"/>
      <c r="D1431" s="2"/>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row>
    <row r="1432" spans="2:28">
      <c r="B1432" s="2"/>
      <c r="C1432" s="2"/>
      <c r="D1432" s="2"/>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row>
    <row r="1433" spans="2:28">
      <c r="B1433" s="2"/>
      <c r="C1433" s="2"/>
      <c r="D1433" s="2"/>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row>
    <row r="1434" spans="2:28">
      <c r="B1434" s="2"/>
      <c r="C1434" s="2"/>
      <c r="D1434" s="2"/>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row>
    <row r="1435" spans="2:28">
      <c r="B1435" s="2"/>
      <c r="C1435" s="2"/>
      <c r="D1435" s="2"/>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row>
    <row r="1436" spans="2:28">
      <c r="B1436" s="2"/>
      <c r="C1436" s="2"/>
      <c r="D1436" s="2"/>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row>
    <row r="1437" spans="2:28">
      <c r="B1437" s="2"/>
      <c r="C1437" s="2"/>
      <c r="D1437" s="2"/>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row>
    <row r="1438" spans="2:28">
      <c r="B1438" s="2"/>
      <c r="C1438" s="2"/>
      <c r="D1438" s="2"/>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row>
    <row r="1439" spans="2:28">
      <c r="B1439" s="2"/>
      <c r="C1439" s="2"/>
      <c r="D1439" s="2"/>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row>
    <row r="1440" spans="2:28">
      <c r="B1440" s="2"/>
      <c r="C1440" s="2"/>
      <c r="D1440" s="2"/>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row>
    <row r="1441" spans="2:28">
      <c r="B1441" s="2"/>
      <c r="C1441" s="2"/>
      <c r="D1441" s="2"/>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row>
    <row r="1442" spans="2:28">
      <c r="B1442" s="2"/>
      <c r="C1442" s="2"/>
      <c r="D1442" s="2"/>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row>
    <row r="1443" spans="2:28">
      <c r="B1443" s="2"/>
      <c r="C1443" s="2"/>
      <c r="D1443" s="2"/>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row>
    <row r="1444" spans="2:28">
      <c r="B1444" s="2"/>
      <c r="C1444" s="2"/>
      <c r="D1444" s="2"/>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row>
    <row r="1445" spans="2:28">
      <c r="B1445" s="2"/>
      <c r="C1445" s="2"/>
      <c r="D1445" s="2"/>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row>
    <row r="1446" spans="2:28">
      <c r="B1446" s="2"/>
      <c r="C1446" s="2"/>
      <c r="D1446" s="2"/>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row>
    <row r="1447" spans="2:28">
      <c r="B1447" s="2"/>
      <c r="C1447" s="2"/>
      <c r="D1447" s="2"/>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row>
    <row r="1448" spans="2:28">
      <c r="B1448" s="2"/>
      <c r="C1448" s="2"/>
      <c r="D1448" s="2"/>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row>
    <row r="1449" spans="2:28">
      <c r="B1449" s="2"/>
      <c r="C1449" s="2"/>
      <c r="D1449" s="2"/>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row>
    <row r="1450" spans="2:28">
      <c r="B1450" s="2"/>
      <c r="C1450" s="2"/>
      <c r="D1450" s="2"/>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row>
    <row r="1451" spans="2:28">
      <c r="B1451" s="2"/>
      <c r="C1451" s="2"/>
      <c r="D1451" s="2"/>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row>
    <row r="1452" spans="2:28">
      <c r="B1452" s="2"/>
      <c r="C1452" s="2"/>
      <c r="D1452" s="2"/>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row>
    <row r="1453" spans="2:28">
      <c r="B1453" s="2"/>
      <c r="C1453" s="2"/>
      <c r="D1453" s="2"/>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row>
    <row r="1454" spans="2:28">
      <c r="B1454" s="2"/>
      <c r="C1454" s="2"/>
      <c r="D1454" s="2"/>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row>
    <row r="1455" spans="2:28">
      <c r="B1455" s="2"/>
      <c r="C1455" s="2"/>
      <c r="D1455" s="2"/>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row>
    <row r="1456" spans="2:28">
      <c r="B1456" s="2"/>
      <c r="C1456" s="2"/>
      <c r="D1456" s="2"/>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row>
    <row r="1457" spans="2:28">
      <c r="B1457" s="2"/>
      <c r="C1457" s="2"/>
      <c r="D1457" s="2"/>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row>
    <row r="1458" spans="2:28">
      <c r="B1458" s="2"/>
      <c r="C1458" s="2"/>
      <c r="D1458" s="2"/>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row>
    <row r="1459" spans="2:28">
      <c r="B1459" s="2"/>
      <c r="C1459" s="2"/>
      <c r="D1459" s="2"/>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row>
    <row r="1460" spans="2:28">
      <c r="B1460" s="2"/>
      <c r="C1460" s="2"/>
      <c r="D1460" s="2"/>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row>
    <row r="1461" spans="2:28">
      <c r="B1461" s="2"/>
      <c r="C1461" s="2"/>
      <c r="D1461" s="2"/>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row>
    <row r="1462" spans="2:28">
      <c r="B1462" s="2"/>
      <c r="C1462" s="2"/>
      <c r="D1462" s="2"/>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row>
    <row r="1463" spans="2:28">
      <c r="B1463" s="2"/>
      <c r="C1463" s="2"/>
      <c r="D1463" s="2"/>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row>
    <row r="1464" spans="2:28">
      <c r="B1464" s="2"/>
      <c r="C1464" s="2"/>
      <c r="D1464" s="2"/>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row>
    <row r="1465" spans="2:28">
      <c r="B1465" s="2"/>
      <c r="C1465" s="2"/>
      <c r="D1465" s="2"/>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row>
    <row r="1466" spans="2:28">
      <c r="B1466" s="2"/>
      <c r="C1466" s="2"/>
      <c r="D1466" s="2"/>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row>
    <row r="1467" spans="2:28">
      <c r="B1467" s="2"/>
      <c r="C1467" s="2"/>
      <c r="D1467" s="2"/>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row>
    <row r="1468" spans="2:28">
      <c r="B1468" s="2"/>
      <c r="C1468" s="2"/>
      <c r="D1468" s="2"/>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row>
    <row r="1469" spans="2:28">
      <c r="B1469" s="2"/>
      <c r="C1469" s="2"/>
      <c r="D1469" s="2"/>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row>
    <row r="1470" spans="2:28">
      <c r="B1470" s="2"/>
      <c r="C1470" s="2"/>
      <c r="D1470" s="2"/>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row>
    <row r="1471" spans="2:28">
      <c r="B1471" s="2"/>
      <c r="C1471" s="2"/>
      <c r="D1471" s="2"/>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row>
    <row r="1472" spans="2:28">
      <c r="B1472" s="2"/>
      <c r="C1472" s="2"/>
      <c r="D1472" s="2"/>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row>
    <row r="1473" spans="2:28">
      <c r="B1473" s="2"/>
      <c r="C1473" s="2"/>
      <c r="D1473" s="2"/>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row>
    <row r="1474" spans="2:28">
      <c r="B1474" s="2"/>
      <c r="C1474" s="2"/>
      <c r="D1474" s="2"/>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row>
    <row r="1475" spans="2:28">
      <c r="B1475" s="2"/>
      <c r="C1475" s="2"/>
      <c r="D1475" s="2"/>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row>
    <row r="1476" spans="2:28">
      <c r="B1476" s="2"/>
      <c r="C1476" s="2"/>
      <c r="D1476" s="2"/>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row>
    <row r="1477" spans="2:28">
      <c r="B1477" s="2"/>
      <c r="C1477" s="2"/>
      <c r="D1477" s="2"/>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row>
    <row r="1478" spans="2:28">
      <c r="B1478" s="2"/>
      <c r="C1478" s="2"/>
      <c r="D1478" s="2"/>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row>
    <row r="1479" spans="2:28">
      <c r="B1479" s="2"/>
      <c r="C1479" s="2"/>
      <c r="D1479" s="2"/>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row>
    <row r="1480" spans="2:28">
      <c r="B1480" s="2"/>
      <c r="C1480" s="2"/>
      <c r="D1480" s="2"/>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row>
    <row r="1481" spans="2:28">
      <c r="B1481" s="2"/>
      <c r="C1481" s="2"/>
      <c r="D1481" s="2"/>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row>
    <row r="1482" spans="2:28">
      <c r="B1482" s="2"/>
      <c r="C1482" s="2"/>
      <c r="D1482" s="2"/>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row>
    <row r="1483" spans="2:28">
      <c r="B1483" s="2"/>
      <c r="C1483" s="2"/>
      <c r="D1483" s="2"/>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row>
    <row r="1484" spans="2:28">
      <c r="B1484" s="2"/>
      <c r="C1484" s="2"/>
      <c r="D1484" s="2"/>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row>
    <row r="1485" spans="2:28">
      <c r="B1485" s="2"/>
      <c r="C1485" s="2"/>
      <c r="D1485" s="2"/>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row>
    <row r="1486" spans="2:28">
      <c r="B1486" s="2"/>
      <c r="C1486" s="2"/>
      <c r="D1486" s="2"/>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row>
    <row r="1487" spans="2:28">
      <c r="B1487" s="2"/>
      <c r="C1487" s="2"/>
      <c r="D1487" s="2"/>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row>
    <row r="1488" spans="2:28">
      <c r="B1488" s="2"/>
      <c r="C1488" s="2"/>
      <c r="D1488" s="2"/>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row>
    <row r="1489" spans="2:28">
      <c r="B1489" s="2"/>
      <c r="C1489" s="2"/>
      <c r="D1489" s="2"/>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row>
    <row r="1490" spans="2:28">
      <c r="B1490" s="2"/>
      <c r="C1490" s="2"/>
      <c r="D1490" s="2"/>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row>
    <row r="1491" spans="2:28">
      <c r="B1491" s="2"/>
      <c r="C1491" s="2"/>
      <c r="D1491" s="2"/>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row>
    <row r="1492" spans="2:28">
      <c r="B1492" s="2"/>
      <c r="C1492" s="2"/>
      <c r="D1492" s="2"/>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row>
    <row r="1493" spans="2:28">
      <c r="B1493" s="2"/>
      <c r="C1493" s="2"/>
      <c r="D1493" s="2"/>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row>
    <row r="1494" spans="2:28">
      <c r="B1494" s="2"/>
      <c r="C1494" s="2"/>
      <c r="D1494" s="2"/>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row>
    <row r="1495" spans="2:28">
      <c r="B1495" s="2"/>
      <c r="C1495" s="2"/>
      <c r="D1495" s="2"/>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row>
    <row r="1496" spans="2:28">
      <c r="B1496" s="2"/>
      <c r="C1496" s="2"/>
      <c r="D1496" s="2"/>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row>
    <row r="1497" spans="2:28">
      <c r="B1497" s="2"/>
      <c r="C1497" s="2"/>
      <c r="D1497" s="2"/>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row>
    <row r="1498" spans="2:28">
      <c r="B1498" s="2"/>
      <c r="C1498" s="2"/>
      <c r="D1498" s="2"/>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row>
    <row r="1499" spans="2:28">
      <c r="B1499" s="2"/>
      <c r="C1499" s="2"/>
      <c r="D1499" s="2"/>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row>
    <row r="1500" spans="2:28">
      <c r="B1500" s="2"/>
      <c r="C1500" s="2"/>
      <c r="D1500" s="2"/>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row>
    <row r="1501" spans="2:28">
      <c r="B1501" s="2"/>
      <c r="C1501" s="2"/>
      <c r="D1501" s="2"/>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row>
    <row r="1502" spans="2:28">
      <c r="B1502" s="2"/>
      <c r="C1502" s="2"/>
      <c r="D1502" s="2"/>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row>
    <row r="1503" spans="2:28">
      <c r="B1503" s="2"/>
      <c r="C1503" s="2"/>
      <c r="D1503" s="2"/>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row>
    <row r="1504" spans="2:28">
      <c r="B1504" s="2"/>
      <c r="C1504" s="2"/>
      <c r="D1504" s="2"/>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row>
    <row r="1505" spans="2:28">
      <c r="B1505" s="2"/>
      <c r="C1505" s="2"/>
      <c r="D1505" s="2"/>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row>
    <row r="1506" spans="2:28">
      <c r="B1506" s="2"/>
      <c r="C1506" s="2"/>
      <c r="D1506" s="2"/>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row>
    <row r="1507" spans="2:28">
      <c r="B1507" s="2"/>
      <c r="C1507" s="2"/>
      <c r="D1507" s="2"/>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row>
    <row r="1508" spans="2:28">
      <c r="B1508" s="2"/>
      <c r="C1508" s="2"/>
      <c r="D1508" s="2"/>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row>
    <row r="1509" spans="2:28">
      <c r="B1509" s="2"/>
      <c r="C1509" s="2"/>
      <c r="D1509" s="2"/>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row>
    <row r="1510" spans="2:28">
      <c r="B1510" s="2"/>
      <c r="C1510" s="2"/>
      <c r="D1510" s="2"/>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row>
    <row r="1511" spans="2:28">
      <c r="B1511" s="2"/>
      <c r="C1511" s="2"/>
      <c r="D1511" s="2"/>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row>
    <row r="1512" spans="2:28">
      <c r="B1512" s="2"/>
      <c r="C1512" s="2"/>
      <c r="D1512" s="2"/>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row>
    <row r="1513" spans="2:28">
      <c r="B1513" s="2"/>
      <c r="C1513" s="2"/>
      <c r="D1513" s="2"/>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row>
    <row r="1514" spans="2:28">
      <c r="B1514" s="2"/>
      <c r="C1514" s="2"/>
      <c r="D1514" s="2"/>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row>
    <row r="1515" spans="2:28">
      <c r="B1515" s="2"/>
      <c r="C1515" s="2"/>
      <c r="D1515" s="2"/>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row>
    <row r="1516" spans="2:28">
      <c r="B1516" s="2"/>
      <c r="C1516" s="2"/>
      <c r="D1516" s="2"/>
      <c r="E1516" s="2"/>
      <c r="F1516" s="2"/>
      <c r="G1516" s="2"/>
      <c r="H1516" s="2"/>
      <c r="I1516" s="2"/>
      <c r="J1516" s="2"/>
      <c r="K1516" s="2"/>
      <c r="L1516" s="2"/>
      <c r="M1516" s="2"/>
      <c r="N1516" s="2"/>
      <c r="O1516" s="2"/>
      <c r="P1516" s="2"/>
      <c r="Q1516" s="2"/>
      <c r="R1516" s="2"/>
      <c r="S1516" s="2"/>
      <c r="T1516" s="2"/>
      <c r="U1516" s="2"/>
      <c r="V1516" s="2"/>
      <c r="W1516" s="2"/>
      <c r="X1516" s="2"/>
      <c r="Y1516" s="2"/>
      <c r="Z1516" s="2"/>
      <c r="AA1516" s="2"/>
      <c r="AB1516" s="2"/>
    </row>
    <row r="1517" spans="2:28">
      <c r="B1517" s="2"/>
      <c r="C1517" s="2"/>
      <c r="D1517" s="2"/>
      <c r="E1517" s="2"/>
      <c r="F1517" s="2"/>
      <c r="G1517" s="2"/>
      <c r="H1517" s="2"/>
      <c r="I1517" s="2"/>
      <c r="J1517" s="2"/>
      <c r="K1517" s="2"/>
      <c r="L1517" s="2"/>
      <c r="M1517" s="2"/>
      <c r="N1517" s="2"/>
      <c r="O1517" s="2"/>
      <c r="P1517" s="2"/>
      <c r="Q1517" s="2"/>
      <c r="R1517" s="2"/>
      <c r="S1517" s="2"/>
      <c r="T1517" s="2"/>
      <c r="U1517" s="2"/>
      <c r="V1517" s="2"/>
      <c r="W1517" s="2"/>
      <c r="X1517" s="2"/>
      <c r="Y1517" s="2"/>
      <c r="Z1517" s="2"/>
      <c r="AA1517" s="2"/>
      <c r="AB1517" s="2"/>
    </row>
    <row r="1518" spans="2:28">
      <c r="B1518" s="2"/>
      <c r="C1518" s="2"/>
      <c r="D1518" s="2"/>
      <c r="E1518" s="2"/>
      <c r="F1518" s="2"/>
      <c r="G1518" s="2"/>
      <c r="H1518" s="2"/>
      <c r="I1518" s="2"/>
      <c r="J1518" s="2"/>
      <c r="K1518" s="2"/>
      <c r="L1518" s="2"/>
      <c r="M1518" s="2"/>
      <c r="N1518" s="2"/>
      <c r="O1518" s="2"/>
      <c r="P1518" s="2"/>
      <c r="Q1518" s="2"/>
      <c r="R1518" s="2"/>
      <c r="S1518" s="2"/>
      <c r="T1518" s="2"/>
      <c r="U1518" s="2"/>
      <c r="V1518" s="2"/>
      <c r="W1518" s="2"/>
      <c r="X1518" s="2"/>
      <c r="Y1518" s="2"/>
      <c r="Z1518" s="2"/>
      <c r="AA1518" s="2"/>
      <c r="AB1518" s="2"/>
    </row>
    <row r="1519" spans="2:28">
      <c r="B1519" s="2"/>
      <c r="C1519" s="2"/>
      <c r="D1519" s="2"/>
      <c r="E1519" s="2"/>
      <c r="F1519" s="2"/>
      <c r="G1519" s="2"/>
      <c r="H1519" s="2"/>
      <c r="I1519" s="2"/>
      <c r="J1519" s="2"/>
      <c r="K1519" s="2"/>
      <c r="L1519" s="2"/>
      <c r="M1519" s="2"/>
      <c r="N1519" s="2"/>
      <c r="O1519" s="2"/>
      <c r="P1519" s="2"/>
      <c r="Q1519" s="2"/>
      <c r="R1519" s="2"/>
      <c r="S1519" s="2"/>
      <c r="T1519" s="2"/>
      <c r="U1519" s="2"/>
      <c r="V1519" s="2"/>
      <c r="W1519" s="2"/>
      <c r="X1519" s="2"/>
      <c r="Y1519" s="2"/>
      <c r="Z1519" s="2"/>
      <c r="AA1519" s="2"/>
      <c r="AB1519" s="2"/>
    </row>
    <row r="1520" spans="2:28">
      <c r="B1520" s="2"/>
      <c r="C1520" s="2"/>
      <c r="D1520" s="2"/>
      <c r="E1520" s="2"/>
      <c r="F1520" s="2"/>
      <c r="G1520" s="2"/>
      <c r="H1520" s="2"/>
      <c r="I1520" s="2"/>
      <c r="J1520" s="2"/>
      <c r="K1520" s="2"/>
      <c r="L1520" s="2"/>
      <c r="M1520" s="2"/>
      <c r="N1520" s="2"/>
      <c r="O1520" s="2"/>
      <c r="P1520" s="2"/>
      <c r="Q1520" s="2"/>
      <c r="R1520" s="2"/>
      <c r="S1520" s="2"/>
      <c r="T1520" s="2"/>
      <c r="U1520" s="2"/>
      <c r="V1520" s="2"/>
      <c r="W1520" s="2"/>
      <c r="X1520" s="2"/>
      <c r="Y1520" s="2"/>
      <c r="Z1520" s="2"/>
      <c r="AA1520" s="2"/>
      <c r="AB1520" s="2"/>
    </row>
    <row r="1521" spans="2:28">
      <c r="B1521" s="2"/>
      <c r="C1521" s="2"/>
      <c r="D1521" s="2"/>
      <c r="E1521" s="2"/>
      <c r="F1521" s="2"/>
      <c r="G1521" s="2"/>
      <c r="H1521" s="2"/>
      <c r="I1521" s="2"/>
      <c r="J1521" s="2"/>
      <c r="K1521" s="2"/>
      <c r="L1521" s="2"/>
      <c r="M1521" s="2"/>
      <c r="N1521" s="2"/>
      <c r="O1521" s="2"/>
      <c r="P1521" s="2"/>
      <c r="Q1521" s="2"/>
      <c r="R1521" s="2"/>
      <c r="S1521" s="2"/>
      <c r="T1521" s="2"/>
      <c r="U1521" s="2"/>
      <c r="V1521" s="2"/>
      <c r="W1521" s="2"/>
      <c r="X1521" s="2"/>
      <c r="Y1521" s="2"/>
      <c r="Z1521" s="2"/>
      <c r="AA1521" s="2"/>
      <c r="AB1521" s="2"/>
    </row>
    <row r="1522" spans="2:28">
      <c r="B1522" s="2"/>
      <c r="C1522" s="2"/>
      <c r="D1522" s="2"/>
      <c r="E1522" s="2"/>
      <c r="F1522" s="2"/>
      <c r="G1522" s="2"/>
      <c r="H1522" s="2"/>
      <c r="I1522" s="2"/>
      <c r="J1522" s="2"/>
      <c r="K1522" s="2"/>
      <c r="L1522" s="2"/>
      <c r="M1522" s="2"/>
      <c r="N1522" s="2"/>
      <c r="O1522" s="2"/>
      <c r="P1522" s="2"/>
      <c r="Q1522" s="2"/>
      <c r="R1522" s="2"/>
      <c r="S1522" s="2"/>
      <c r="T1522" s="2"/>
      <c r="U1522" s="2"/>
      <c r="V1522" s="2"/>
      <c r="W1522" s="2"/>
      <c r="X1522" s="2"/>
      <c r="Y1522" s="2"/>
      <c r="Z1522" s="2"/>
      <c r="AA1522" s="2"/>
      <c r="AB1522" s="2"/>
    </row>
    <row r="1523" spans="2:28">
      <c r="B1523" s="2"/>
      <c r="C1523" s="2"/>
      <c r="D1523" s="2"/>
      <c r="E1523" s="2"/>
      <c r="F1523" s="2"/>
      <c r="G1523" s="2"/>
      <c r="H1523" s="2"/>
      <c r="I1523" s="2"/>
      <c r="J1523" s="2"/>
      <c r="K1523" s="2"/>
      <c r="L1523" s="2"/>
      <c r="M1523" s="2"/>
      <c r="N1523" s="2"/>
      <c r="O1523" s="2"/>
      <c r="P1523" s="2"/>
      <c r="Q1523" s="2"/>
      <c r="R1523" s="2"/>
      <c r="S1523" s="2"/>
      <c r="T1523" s="2"/>
      <c r="U1523" s="2"/>
      <c r="V1523" s="2"/>
      <c r="W1523" s="2"/>
      <c r="X1523" s="2"/>
      <c r="Y1523" s="2"/>
      <c r="Z1523" s="2"/>
      <c r="AA1523" s="2"/>
      <c r="AB1523" s="2"/>
    </row>
    <row r="1524" spans="2:28">
      <c r="B1524" s="2"/>
      <c r="C1524" s="2"/>
      <c r="D1524" s="2"/>
      <c r="E1524" s="2"/>
      <c r="F1524" s="2"/>
      <c r="G1524" s="2"/>
      <c r="H1524" s="2"/>
      <c r="I1524" s="2"/>
      <c r="J1524" s="2"/>
      <c r="K1524" s="2"/>
      <c r="L1524" s="2"/>
      <c r="M1524" s="2"/>
      <c r="N1524" s="2"/>
      <c r="O1524" s="2"/>
      <c r="P1524" s="2"/>
      <c r="Q1524" s="2"/>
      <c r="R1524" s="2"/>
      <c r="S1524" s="2"/>
      <c r="T1524" s="2"/>
      <c r="U1524" s="2"/>
      <c r="V1524" s="2"/>
      <c r="W1524" s="2"/>
      <c r="X1524" s="2"/>
      <c r="Y1524" s="2"/>
      <c r="Z1524" s="2"/>
      <c r="AA1524" s="2"/>
      <c r="AB1524" s="2"/>
    </row>
    <row r="1525" spans="2:28">
      <c r="B1525" s="2"/>
      <c r="C1525" s="2"/>
      <c r="D1525" s="2"/>
      <c r="E1525" s="2"/>
      <c r="F1525" s="2"/>
      <c r="G1525" s="2"/>
      <c r="H1525" s="2"/>
      <c r="I1525" s="2"/>
      <c r="J1525" s="2"/>
      <c r="K1525" s="2"/>
      <c r="L1525" s="2"/>
      <c r="M1525" s="2"/>
      <c r="N1525" s="2"/>
      <c r="O1525" s="2"/>
      <c r="P1525" s="2"/>
      <c r="Q1525" s="2"/>
      <c r="R1525" s="2"/>
      <c r="S1525" s="2"/>
      <c r="T1525" s="2"/>
      <c r="U1525" s="2"/>
      <c r="V1525" s="2"/>
      <c r="W1525" s="2"/>
      <c r="X1525" s="2"/>
      <c r="Y1525" s="2"/>
      <c r="Z1525" s="2"/>
      <c r="AA1525" s="2"/>
      <c r="AB1525" s="2"/>
    </row>
    <row r="1526" spans="2:28">
      <c r="B1526" s="2"/>
      <c r="C1526" s="2"/>
      <c r="D1526" s="2"/>
      <c r="E1526" s="2"/>
      <c r="F1526" s="2"/>
      <c r="G1526" s="2"/>
      <c r="H1526" s="2"/>
      <c r="I1526" s="2"/>
      <c r="J1526" s="2"/>
      <c r="K1526" s="2"/>
      <c r="L1526" s="2"/>
      <c r="M1526" s="2"/>
      <c r="N1526" s="2"/>
      <c r="O1526" s="2"/>
      <c r="P1526" s="2"/>
      <c r="Q1526" s="2"/>
      <c r="R1526" s="2"/>
      <c r="S1526" s="2"/>
      <c r="T1526" s="2"/>
      <c r="U1526" s="2"/>
      <c r="V1526" s="2"/>
      <c r="W1526" s="2"/>
      <c r="X1526" s="2"/>
      <c r="Y1526" s="2"/>
      <c r="Z1526" s="2"/>
      <c r="AA1526" s="2"/>
      <c r="AB1526" s="2"/>
    </row>
    <row r="1527" spans="2:28">
      <c r="B1527" s="2"/>
      <c r="C1527" s="2"/>
      <c r="D1527" s="2"/>
      <c r="E1527" s="2"/>
      <c r="F1527" s="2"/>
      <c r="G1527" s="2"/>
      <c r="H1527" s="2"/>
      <c r="I1527" s="2"/>
      <c r="J1527" s="2"/>
      <c r="K1527" s="2"/>
      <c r="L1527" s="2"/>
      <c r="M1527" s="2"/>
      <c r="N1527" s="2"/>
      <c r="O1527" s="2"/>
      <c r="P1527" s="2"/>
      <c r="Q1527" s="2"/>
      <c r="R1527" s="2"/>
      <c r="S1527" s="2"/>
      <c r="T1527" s="2"/>
      <c r="U1527" s="2"/>
      <c r="V1527" s="2"/>
      <c r="W1527" s="2"/>
      <c r="X1527" s="2"/>
      <c r="Y1527" s="2"/>
      <c r="Z1527" s="2"/>
      <c r="AA1527" s="2"/>
      <c r="AB1527" s="2"/>
    </row>
    <row r="1528" spans="2:28">
      <c r="B1528" s="2"/>
      <c r="C1528" s="2"/>
      <c r="D1528" s="2"/>
      <c r="E1528" s="2"/>
      <c r="F1528" s="2"/>
      <c r="G1528" s="2"/>
      <c r="H1528" s="2"/>
      <c r="I1528" s="2"/>
      <c r="J1528" s="2"/>
      <c r="K1528" s="2"/>
      <c r="L1528" s="2"/>
      <c r="M1528" s="2"/>
      <c r="N1528" s="2"/>
      <c r="O1528" s="2"/>
      <c r="P1528" s="2"/>
      <c r="Q1528" s="2"/>
      <c r="R1528" s="2"/>
      <c r="S1528" s="2"/>
      <c r="T1528" s="2"/>
      <c r="U1528" s="2"/>
      <c r="V1528" s="2"/>
      <c r="W1528" s="2"/>
      <c r="X1528" s="2"/>
      <c r="Y1528" s="2"/>
      <c r="Z1528" s="2"/>
      <c r="AA1528" s="2"/>
      <c r="AB1528" s="2"/>
    </row>
    <row r="1529" spans="2:28">
      <c r="B1529" s="2"/>
      <c r="C1529" s="2"/>
      <c r="D1529" s="2"/>
      <c r="E1529" s="2"/>
      <c r="F1529" s="2"/>
      <c r="G1529" s="2"/>
      <c r="H1529" s="2"/>
      <c r="I1529" s="2"/>
      <c r="J1529" s="2"/>
      <c r="K1529" s="2"/>
      <c r="L1529" s="2"/>
      <c r="M1529" s="2"/>
      <c r="N1529" s="2"/>
      <c r="O1529" s="2"/>
      <c r="P1529" s="2"/>
      <c r="Q1529" s="2"/>
      <c r="R1529" s="2"/>
      <c r="S1529" s="2"/>
      <c r="T1529" s="2"/>
      <c r="U1529" s="2"/>
      <c r="V1529" s="2"/>
      <c r="W1529" s="2"/>
      <c r="X1529" s="2"/>
      <c r="Y1529" s="2"/>
      <c r="Z1529" s="2"/>
      <c r="AA1529" s="2"/>
      <c r="AB1529" s="2"/>
    </row>
    <row r="1530" spans="2:28">
      <c r="B1530" s="2"/>
      <c r="C1530" s="2"/>
      <c r="D1530" s="2"/>
      <c r="E1530" s="2"/>
      <c r="F1530" s="2"/>
      <c r="G1530" s="2"/>
      <c r="H1530" s="2"/>
      <c r="I1530" s="2"/>
      <c r="J1530" s="2"/>
      <c r="K1530" s="2"/>
      <c r="L1530" s="2"/>
      <c r="M1530" s="2"/>
      <c r="N1530" s="2"/>
      <c r="O1530" s="2"/>
      <c r="P1530" s="2"/>
      <c r="Q1530" s="2"/>
      <c r="R1530" s="2"/>
      <c r="S1530" s="2"/>
      <c r="T1530" s="2"/>
      <c r="U1530" s="2"/>
      <c r="V1530" s="2"/>
      <c r="W1530" s="2"/>
      <c r="X1530" s="2"/>
      <c r="Y1530" s="2"/>
      <c r="Z1530" s="2"/>
      <c r="AA1530" s="2"/>
      <c r="AB1530" s="2"/>
    </row>
    <row r="1531" spans="2:28">
      <c r="B1531" s="2"/>
      <c r="C1531" s="2"/>
      <c r="D1531" s="2"/>
      <c r="E1531" s="2"/>
      <c r="F1531" s="2"/>
      <c r="G1531" s="2"/>
      <c r="H1531" s="2"/>
      <c r="I1531" s="2"/>
      <c r="J1531" s="2"/>
      <c r="K1531" s="2"/>
      <c r="L1531" s="2"/>
      <c r="M1531" s="2"/>
      <c r="N1531" s="2"/>
      <c r="O1531" s="2"/>
      <c r="P1531" s="2"/>
      <c r="Q1531" s="2"/>
      <c r="R1531" s="2"/>
      <c r="S1531" s="2"/>
      <c r="T1531" s="2"/>
      <c r="U1531" s="2"/>
      <c r="V1531" s="2"/>
      <c r="W1531" s="2"/>
      <c r="X1531" s="2"/>
      <c r="Y1531" s="2"/>
      <c r="Z1531" s="2"/>
      <c r="AA1531" s="2"/>
      <c r="AB1531" s="2"/>
    </row>
    <row r="1532" spans="2:28">
      <c r="B1532" s="2"/>
      <c r="C1532" s="2"/>
      <c r="D1532" s="2"/>
      <c r="E1532" s="2"/>
      <c r="F1532" s="2"/>
      <c r="G1532" s="2"/>
      <c r="H1532" s="2"/>
      <c r="I1532" s="2"/>
      <c r="J1532" s="2"/>
      <c r="K1532" s="2"/>
      <c r="L1532" s="2"/>
      <c r="M1532" s="2"/>
      <c r="N1532" s="2"/>
      <c r="O1532" s="2"/>
      <c r="P1532" s="2"/>
      <c r="Q1532" s="2"/>
      <c r="R1532" s="2"/>
      <c r="S1532" s="2"/>
      <c r="T1532" s="2"/>
      <c r="U1532" s="2"/>
      <c r="V1532" s="2"/>
      <c r="W1532" s="2"/>
      <c r="X1532" s="2"/>
      <c r="Y1532" s="2"/>
      <c r="Z1532" s="2"/>
      <c r="AA1532" s="2"/>
      <c r="AB1532" s="2"/>
    </row>
    <row r="1533" spans="2:28">
      <c r="B1533" s="2"/>
      <c r="C1533" s="2"/>
      <c r="D1533" s="2"/>
      <c r="E1533" s="2"/>
      <c r="F1533" s="2"/>
      <c r="G1533" s="2"/>
      <c r="H1533" s="2"/>
      <c r="I1533" s="2"/>
      <c r="J1533" s="2"/>
      <c r="K1533" s="2"/>
      <c r="L1533" s="2"/>
      <c r="M1533" s="2"/>
      <c r="N1533" s="2"/>
      <c r="O1533" s="2"/>
      <c r="P1533" s="2"/>
      <c r="Q1533" s="2"/>
      <c r="R1533" s="2"/>
      <c r="S1533" s="2"/>
      <c r="T1533" s="2"/>
      <c r="U1533" s="2"/>
      <c r="V1533" s="2"/>
      <c r="W1533" s="2"/>
      <c r="X1533" s="2"/>
      <c r="Y1533" s="2"/>
      <c r="Z1533" s="2"/>
      <c r="AA1533" s="2"/>
      <c r="AB1533" s="2"/>
    </row>
    <row r="1534" spans="2:28">
      <c r="B1534" s="2"/>
      <c r="C1534" s="2"/>
      <c r="D1534" s="2"/>
      <c r="E1534" s="2"/>
      <c r="F1534" s="2"/>
      <c r="G1534" s="2"/>
      <c r="H1534" s="2"/>
      <c r="I1534" s="2"/>
      <c r="J1534" s="2"/>
      <c r="K1534" s="2"/>
      <c r="L1534" s="2"/>
      <c r="M1534" s="2"/>
      <c r="N1534" s="2"/>
      <c r="O1534" s="2"/>
      <c r="P1534" s="2"/>
      <c r="Q1534" s="2"/>
      <c r="R1534" s="2"/>
      <c r="S1534" s="2"/>
      <c r="T1534" s="2"/>
      <c r="U1534" s="2"/>
      <c r="V1534" s="2"/>
      <c r="W1534" s="2"/>
      <c r="X1534" s="2"/>
      <c r="Y1534" s="2"/>
      <c r="Z1534" s="2"/>
      <c r="AA1534" s="2"/>
      <c r="AB1534" s="2"/>
    </row>
    <row r="1535" spans="2:28">
      <c r="B1535" s="2"/>
      <c r="C1535" s="2"/>
      <c r="D1535" s="2"/>
      <c r="E1535" s="2"/>
      <c r="F1535" s="2"/>
      <c r="G1535" s="2"/>
      <c r="H1535" s="2"/>
      <c r="I1535" s="2"/>
      <c r="J1535" s="2"/>
      <c r="K1535" s="2"/>
      <c r="L1535" s="2"/>
      <c r="M1535" s="2"/>
      <c r="N1535" s="2"/>
      <c r="O1535" s="2"/>
      <c r="P1535" s="2"/>
      <c r="Q1535" s="2"/>
      <c r="R1535" s="2"/>
      <c r="S1535" s="2"/>
      <c r="T1535" s="2"/>
      <c r="U1535" s="2"/>
      <c r="V1535" s="2"/>
      <c r="W1535" s="2"/>
      <c r="X1535" s="2"/>
      <c r="Y1535" s="2"/>
      <c r="Z1535" s="2"/>
      <c r="AA1535" s="2"/>
      <c r="AB1535" s="2"/>
    </row>
    <row r="1536" spans="2:28">
      <c r="B1536" s="2"/>
      <c r="C1536" s="2"/>
      <c r="D1536" s="2"/>
      <c r="E1536" s="2"/>
      <c r="F1536" s="2"/>
      <c r="G1536" s="2"/>
      <c r="H1536" s="2"/>
      <c r="I1536" s="2"/>
      <c r="J1536" s="2"/>
      <c r="K1536" s="2"/>
      <c r="L1536" s="2"/>
      <c r="M1536" s="2"/>
      <c r="N1536" s="2"/>
      <c r="O1536" s="2"/>
      <c r="P1536" s="2"/>
      <c r="Q1536" s="2"/>
      <c r="R1536" s="2"/>
      <c r="S1536" s="2"/>
      <c r="T1536" s="2"/>
      <c r="U1536" s="2"/>
      <c r="V1536" s="2"/>
      <c r="W1536" s="2"/>
      <c r="X1536" s="2"/>
      <c r="Y1536" s="2"/>
      <c r="Z1536" s="2"/>
      <c r="AA1536" s="2"/>
      <c r="AB1536" s="2"/>
    </row>
    <row r="1537" spans="2:28">
      <c r="B1537" s="2"/>
      <c r="C1537" s="2"/>
      <c r="D1537" s="2"/>
      <c r="E1537" s="2"/>
      <c r="F1537" s="2"/>
      <c r="G1537" s="2"/>
      <c r="H1537" s="2"/>
      <c r="I1537" s="2"/>
      <c r="J1537" s="2"/>
      <c r="K1537" s="2"/>
      <c r="L1537" s="2"/>
      <c r="M1537" s="2"/>
      <c r="N1537" s="2"/>
      <c r="O1537" s="2"/>
      <c r="P1537" s="2"/>
      <c r="Q1537" s="2"/>
      <c r="R1537" s="2"/>
      <c r="S1537" s="2"/>
      <c r="T1537" s="2"/>
      <c r="U1537" s="2"/>
      <c r="V1537" s="2"/>
      <c r="W1537" s="2"/>
      <c r="X1537" s="2"/>
      <c r="Y1537" s="2"/>
      <c r="Z1537" s="2"/>
      <c r="AA1537" s="2"/>
      <c r="AB1537" s="2"/>
    </row>
    <row r="1538" spans="2:28">
      <c r="B1538" s="2"/>
      <c r="C1538" s="2"/>
      <c r="D1538" s="2"/>
      <c r="E1538" s="2"/>
      <c r="F1538" s="2"/>
      <c r="G1538" s="2"/>
      <c r="H1538" s="2"/>
      <c r="I1538" s="2"/>
      <c r="J1538" s="2"/>
      <c r="K1538" s="2"/>
      <c r="L1538" s="2"/>
      <c r="M1538" s="2"/>
      <c r="N1538" s="2"/>
      <c r="O1538" s="2"/>
      <c r="P1538" s="2"/>
      <c r="Q1538" s="2"/>
      <c r="R1538" s="2"/>
      <c r="S1538" s="2"/>
      <c r="T1538" s="2"/>
      <c r="U1538" s="2"/>
      <c r="V1538" s="2"/>
      <c r="W1538" s="2"/>
      <c r="X1538" s="2"/>
      <c r="Y1538" s="2"/>
      <c r="Z1538" s="2"/>
      <c r="AA1538" s="2"/>
      <c r="AB1538" s="2"/>
    </row>
    <row r="1539" spans="2:28">
      <c r="B1539" s="2"/>
      <c r="C1539" s="2"/>
      <c r="D1539" s="2"/>
      <c r="E1539" s="2"/>
      <c r="F1539" s="2"/>
      <c r="G1539" s="2"/>
      <c r="H1539" s="2"/>
      <c r="I1539" s="2"/>
      <c r="J1539" s="2"/>
      <c r="K1539" s="2"/>
      <c r="L1539" s="2"/>
      <c r="M1539" s="2"/>
      <c r="N1539" s="2"/>
      <c r="O1539" s="2"/>
      <c r="P1539" s="2"/>
      <c r="Q1539" s="2"/>
      <c r="R1539" s="2"/>
      <c r="S1539" s="2"/>
      <c r="T1539" s="2"/>
      <c r="U1539" s="2"/>
      <c r="V1539" s="2"/>
      <c r="W1539" s="2"/>
      <c r="X1539" s="2"/>
      <c r="Y1539" s="2"/>
      <c r="Z1539" s="2"/>
      <c r="AA1539" s="2"/>
      <c r="AB1539" s="2"/>
    </row>
    <row r="1540" spans="2:28">
      <c r="B1540" s="2"/>
      <c r="C1540" s="2"/>
      <c r="D1540" s="2"/>
      <c r="E1540" s="2"/>
      <c r="F1540" s="2"/>
      <c r="G1540" s="2"/>
      <c r="H1540" s="2"/>
      <c r="I1540" s="2"/>
      <c r="J1540" s="2"/>
      <c r="K1540" s="2"/>
      <c r="L1540" s="2"/>
      <c r="M1540" s="2"/>
      <c r="N1540" s="2"/>
      <c r="O1540" s="2"/>
      <c r="P1540" s="2"/>
      <c r="Q1540" s="2"/>
      <c r="R1540" s="2"/>
      <c r="S1540" s="2"/>
      <c r="T1540" s="2"/>
      <c r="U1540" s="2"/>
      <c r="V1540" s="2"/>
      <c r="W1540" s="2"/>
      <c r="X1540" s="2"/>
      <c r="Y1540" s="2"/>
      <c r="Z1540" s="2"/>
      <c r="AA1540" s="2"/>
      <c r="AB1540" s="2"/>
    </row>
    <row r="1541" spans="2:28">
      <c r="B1541" s="2"/>
      <c r="C1541" s="2"/>
      <c r="D1541" s="2"/>
      <c r="E1541" s="2"/>
      <c r="F1541" s="2"/>
      <c r="G1541" s="2"/>
      <c r="H1541" s="2"/>
      <c r="I1541" s="2"/>
      <c r="J1541" s="2"/>
      <c r="K1541" s="2"/>
      <c r="L1541" s="2"/>
      <c r="M1541" s="2"/>
      <c r="N1541" s="2"/>
      <c r="O1541" s="2"/>
      <c r="P1541" s="2"/>
      <c r="Q1541" s="2"/>
      <c r="R1541" s="2"/>
      <c r="S1541" s="2"/>
      <c r="T1541" s="2"/>
      <c r="U1541" s="2"/>
      <c r="V1541" s="2"/>
      <c r="W1541" s="2"/>
      <c r="X1541" s="2"/>
      <c r="Y1541" s="2"/>
      <c r="Z1541" s="2"/>
      <c r="AA1541" s="2"/>
      <c r="AB1541" s="2"/>
    </row>
    <row r="1542" spans="2:28">
      <c r="B1542" s="2"/>
      <c r="C1542" s="2"/>
      <c r="D1542" s="2"/>
      <c r="E1542" s="2"/>
      <c r="F1542" s="2"/>
      <c r="G1542" s="2"/>
      <c r="H1542" s="2"/>
      <c r="I1542" s="2"/>
      <c r="J1542" s="2"/>
      <c r="K1542" s="2"/>
      <c r="L1542" s="2"/>
      <c r="M1542" s="2"/>
      <c r="N1542" s="2"/>
      <c r="O1542" s="2"/>
      <c r="P1542" s="2"/>
      <c r="Q1542" s="2"/>
      <c r="R1542" s="2"/>
      <c r="S1542" s="2"/>
      <c r="T1542" s="2"/>
      <c r="U1542" s="2"/>
      <c r="V1542" s="2"/>
      <c r="W1542" s="2"/>
      <c r="X1542" s="2"/>
      <c r="Y1542" s="2"/>
      <c r="Z1542" s="2"/>
      <c r="AA1542" s="2"/>
      <c r="AB1542" s="2"/>
    </row>
    <row r="1543" spans="2:28">
      <c r="B1543" s="2"/>
      <c r="C1543" s="2"/>
      <c r="D1543" s="2"/>
      <c r="E1543" s="2"/>
      <c r="F1543" s="2"/>
      <c r="G1543" s="2"/>
      <c r="H1543" s="2"/>
      <c r="I1543" s="2"/>
      <c r="J1543" s="2"/>
      <c r="K1543" s="2"/>
      <c r="L1543" s="2"/>
      <c r="M1543" s="2"/>
      <c r="N1543" s="2"/>
      <c r="O1543" s="2"/>
      <c r="P1543" s="2"/>
      <c r="Q1543" s="2"/>
      <c r="R1543" s="2"/>
      <c r="S1543" s="2"/>
      <c r="T1543" s="2"/>
      <c r="U1543" s="2"/>
      <c r="V1543" s="2"/>
      <c r="W1543" s="2"/>
      <c r="X1543" s="2"/>
      <c r="Y1543" s="2"/>
      <c r="Z1543" s="2"/>
      <c r="AA1543" s="2"/>
      <c r="AB1543" s="2"/>
    </row>
    <row r="1544" spans="2:28">
      <c r="B1544" s="2"/>
      <c r="C1544" s="2"/>
      <c r="D1544" s="2"/>
      <c r="E1544" s="2"/>
      <c r="F1544" s="2"/>
      <c r="G1544" s="2"/>
      <c r="H1544" s="2"/>
      <c r="I1544" s="2"/>
      <c r="J1544" s="2"/>
      <c r="K1544" s="2"/>
      <c r="L1544" s="2"/>
      <c r="M1544" s="2"/>
      <c r="N1544" s="2"/>
      <c r="O1544" s="2"/>
      <c r="P1544" s="2"/>
      <c r="Q1544" s="2"/>
      <c r="R1544" s="2"/>
      <c r="S1544" s="2"/>
      <c r="T1544" s="2"/>
      <c r="U1544" s="2"/>
      <c r="V1544" s="2"/>
      <c r="W1544" s="2"/>
      <c r="X1544" s="2"/>
      <c r="Y1544" s="2"/>
      <c r="Z1544" s="2"/>
      <c r="AA1544" s="2"/>
      <c r="AB1544" s="2"/>
    </row>
    <row r="1545" spans="2:28">
      <c r="B1545" s="2"/>
      <c r="C1545" s="2"/>
      <c r="D1545" s="2"/>
      <c r="E1545" s="2"/>
      <c r="F1545" s="2"/>
      <c r="G1545" s="2"/>
      <c r="H1545" s="2"/>
      <c r="I1545" s="2"/>
      <c r="J1545" s="2"/>
      <c r="K1545" s="2"/>
      <c r="L1545" s="2"/>
      <c r="M1545" s="2"/>
      <c r="N1545" s="2"/>
      <c r="O1545" s="2"/>
      <c r="P1545" s="2"/>
      <c r="Q1545" s="2"/>
      <c r="R1545" s="2"/>
      <c r="S1545" s="2"/>
      <c r="T1545" s="2"/>
      <c r="U1545" s="2"/>
      <c r="V1545" s="2"/>
      <c r="W1545" s="2"/>
      <c r="X1545" s="2"/>
      <c r="Y1545" s="2"/>
      <c r="Z1545" s="2"/>
      <c r="AA1545" s="2"/>
      <c r="AB1545" s="2"/>
    </row>
    <row r="1546" spans="2:28">
      <c r="B1546" s="2"/>
      <c r="C1546" s="2"/>
      <c r="D1546" s="2"/>
      <c r="E1546" s="2"/>
      <c r="F1546" s="2"/>
      <c r="G1546" s="2"/>
      <c r="H1546" s="2"/>
      <c r="I1546" s="2"/>
      <c r="J1546" s="2"/>
      <c r="K1546" s="2"/>
      <c r="L1546" s="2"/>
      <c r="M1546" s="2"/>
      <c r="N1546" s="2"/>
      <c r="O1546" s="2"/>
      <c r="P1546" s="2"/>
      <c r="Q1546" s="2"/>
      <c r="R1546" s="2"/>
      <c r="S1546" s="2"/>
      <c r="T1546" s="2"/>
      <c r="U1546" s="2"/>
      <c r="V1546" s="2"/>
      <c r="W1546" s="2"/>
      <c r="X1546" s="2"/>
      <c r="Y1546" s="2"/>
      <c r="Z1546" s="2"/>
      <c r="AA1546" s="2"/>
      <c r="AB1546" s="2"/>
    </row>
    <row r="1547" spans="2:28">
      <c r="B1547" s="2"/>
      <c r="C1547" s="2"/>
      <c r="D1547" s="2"/>
      <c r="E1547" s="2"/>
      <c r="F1547" s="2"/>
      <c r="G1547" s="2"/>
      <c r="H1547" s="2"/>
      <c r="I1547" s="2"/>
      <c r="J1547" s="2"/>
      <c r="K1547" s="2"/>
      <c r="L1547" s="2"/>
      <c r="M1547" s="2"/>
      <c r="N1547" s="2"/>
      <c r="O1547" s="2"/>
      <c r="P1547" s="2"/>
      <c r="Q1547" s="2"/>
      <c r="R1547" s="2"/>
      <c r="S1547" s="2"/>
      <c r="T1547" s="2"/>
      <c r="U1547" s="2"/>
      <c r="V1547" s="2"/>
      <c r="W1547" s="2"/>
      <c r="X1547" s="2"/>
      <c r="Y1547" s="2"/>
      <c r="Z1547" s="2"/>
      <c r="AA1547" s="2"/>
      <c r="AB1547" s="2"/>
    </row>
    <row r="1548" spans="2:28">
      <c r="B1548" s="2"/>
      <c r="C1548" s="2"/>
      <c r="D1548" s="2"/>
      <c r="E1548" s="2"/>
      <c r="F1548" s="2"/>
      <c r="G1548" s="2"/>
      <c r="H1548" s="2"/>
      <c r="I1548" s="2"/>
      <c r="J1548" s="2"/>
      <c r="K1548" s="2"/>
      <c r="L1548" s="2"/>
      <c r="M1548" s="2"/>
      <c r="N1548" s="2"/>
      <c r="O1548" s="2"/>
      <c r="P1548" s="2"/>
      <c r="Q1548" s="2"/>
      <c r="R1548" s="2"/>
      <c r="S1548" s="2"/>
      <c r="T1548" s="2"/>
      <c r="U1548" s="2"/>
      <c r="V1548" s="2"/>
      <c r="W1548" s="2"/>
      <c r="X1548" s="2"/>
      <c r="Y1548" s="2"/>
      <c r="Z1548" s="2"/>
      <c r="AA1548" s="2"/>
      <c r="AB1548" s="2"/>
    </row>
    <row r="1549" spans="2:28">
      <c r="B1549" s="2"/>
      <c r="C1549" s="2"/>
      <c r="D1549" s="2"/>
      <c r="E1549" s="2"/>
      <c r="F1549" s="2"/>
      <c r="G1549" s="2"/>
      <c r="H1549" s="2"/>
      <c r="I1549" s="2"/>
      <c r="J1549" s="2"/>
      <c r="K1549" s="2"/>
      <c r="L1549" s="2"/>
      <c r="M1549" s="2"/>
      <c r="N1549" s="2"/>
      <c r="O1549" s="2"/>
      <c r="P1549" s="2"/>
      <c r="Q1549" s="2"/>
      <c r="R1549" s="2"/>
      <c r="S1549" s="2"/>
      <c r="T1549" s="2"/>
      <c r="U1549" s="2"/>
      <c r="V1549" s="2"/>
      <c r="W1549" s="2"/>
      <c r="X1549" s="2"/>
      <c r="Y1549" s="2"/>
      <c r="Z1549" s="2"/>
      <c r="AA1549" s="2"/>
      <c r="AB1549" s="2"/>
    </row>
    <row r="1550" spans="2:28">
      <c r="B1550" s="2"/>
      <c r="C1550" s="2"/>
      <c r="D1550" s="2"/>
      <c r="E1550" s="2"/>
      <c r="F1550" s="2"/>
      <c r="G1550" s="2"/>
      <c r="H1550" s="2"/>
      <c r="I1550" s="2"/>
      <c r="J1550" s="2"/>
      <c r="K1550" s="2"/>
      <c r="L1550" s="2"/>
      <c r="M1550" s="2"/>
      <c r="N1550" s="2"/>
      <c r="O1550" s="2"/>
      <c r="P1550" s="2"/>
      <c r="Q1550" s="2"/>
      <c r="R1550" s="2"/>
      <c r="S1550" s="2"/>
      <c r="T1550" s="2"/>
      <c r="U1550" s="2"/>
      <c r="V1550" s="2"/>
      <c r="W1550" s="2"/>
      <c r="X1550" s="2"/>
      <c r="Y1550" s="2"/>
      <c r="Z1550" s="2"/>
      <c r="AA1550" s="2"/>
      <c r="AB1550" s="2"/>
    </row>
    <row r="1551" spans="2:28">
      <c r="B1551" s="2"/>
      <c r="C1551" s="2"/>
      <c r="D1551" s="2"/>
      <c r="E1551" s="2"/>
      <c r="F1551" s="2"/>
      <c r="G1551" s="2"/>
      <c r="H1551" s="2"/>
      <c r="I1551" s="2"/>
      <c r="J1551" s="2"/>
      <c r="K1551" s="2"/>
      <c r="L1551" s="2"/>
      <c r="M1551" s="2"/>
      <c r="N1551" s="2"/>
      <c r="O1551" s="2"/>
      <c r="P1551" s="2"/>
      <c r="Q1551" s="2"/>
      <c r="R1551" s="2"/>
      <c r="S1551" s="2"/>
      <c r="T1551" s="2"/>
      <c r="U1551" s="2"/>
      <c r="V1551" s="2"/>
      <c r="W1551" s="2"/>
      <c r="X1551" s="2"/>
      <c r="Y1551" s="2"/>
      <c r="Z1551" s="2"/>
      <c r="AA1551" s="2"/>
      <c r="AB1551" s="2"/>
    </row>
    <row r="1552" spans="2:28">
      <c r="B1552" s="2"/>
      <c r="C1552" s="2"/>
      <c r="D1552" s="2"/>
      <c r="E1552" s="2"/>
      <c r="F1552" s="2"/>
      <c r="G1552" s="2"/>
      <c r="H1552" s="2"/>
      <c r="I1552" s="2"/>
      <c r="J1552" s="2"/>
      <c r="K1552" s="2"/>
      <c r="L1552" s="2"/>
      <c r="M1552" s="2"/>
      <c r="N1552" s="2"/>
      <c r="O1552" s="2"/>
      <c r="P1552" s="2"/>
      <c r="Q1552" s="2"/>
      <c r="R1552" s="2"/>
      <c r="S1552" s="2"/>
      <c r="T1552" s="2"/>
      <c r="U1552" s="2"/>
      <c r="V1552" s="2"/>
      <c r="W1552" s="2"/>
      <c r="X1552" s="2"/>
      <c r="Y1552" s="2"/>
      <c r="Z1552" s="2"/>
      <c r="AA1552" s="2"/>
      <c r="AB1552" s="2"/>
    </row>
    <row r="1553" spans="2:28">
      <c r="B1553" s="2"/>
      <c r="C1553" s="2"/>
      <c r="D1553" s="2"/>
      <c r="E1553" s="2"/>
      <c r="F1553" s="2"/>
      <c r="G1553" s="2"/>
      <c r="H1553" s="2"/>
      <c r="I1553" s="2"/>
      <c r="J1553" s="2"/>
      <c r="K1553" s="2"/>
      <c r="L1553" s="2"/>
      <c r="M1553" s="2"/>
      <c r="N1553" s="2"/>
      <c r="O1553" s="2"/>
      <c r="P1553" s="2"/>
      <c r="Q1553" s="2"/>
      <c r="R1553" s="2"/>
      <c r="S1553" s="2"/>
      <c r="T1553" s="2"/>
      <c r="U1553" s="2"/>
      <c r="V1553" s="2"/>
      <c r="W1553" s="2"/>
      <c r="X1553" s="2"/>
      <c r="Y1553" s="2"/>
      <c r="Z1553" s="2"/>
      <c r="AA1553" s="2"/>
      <c r="AB1553" s="2"/>
    </row>
    <row r="1554" spans="2:28">
      <c r="B1554" s="2"/>
      <c r="C1554" s="2"/>
      <c r="D1554" s="2"/>
      <c r="E1554" s="2"/>
      <c r="F1554" s="2"/>
      <c r="G1554" s="2"/>
      <c r="H1554" s="2"/>
      <c r="I1554" s="2"/>
      <c r="J1554" s="2"/>
      <c r="K1554" s="2"/>
      <c r="L1554" s="2"/>
      <c r="M1554" s="2"/>
      <c r="N1554" s="2"/>
      <c r="O1554" s="2"/>
      <c r="P1554" s="2"/>
      <c r="Q1554" s="2"/>
      <c r="R1554" s="2"/>
      <c r="S1554" s="2"/>
      <c r="T1554" s="2"/>
      <c r="U1554" s="2"/>
      <c r="V1554" s="2"/>
      <c r="W1554" s="2"/>
      <c r="X1554" s="2"/>
      <c r="Y1554" s="2"/>
      <c r="Z1554" s="2"/>
      <c r="AA1554" s="2"/>
      <c r="AB1554" s="2"/>
    </row>
    <row r="1555" spans="2:28">
      <c r="B1555" s="2"/>
      <c r="C1555" s="2"/>
      <c r="D1555" s="2"/>
      <c r="E1555" s="2"/>
      <c r="F1555" s="2"/>
      <c r="G1555" s="2"/>
      <c r="H1555" s="2"/>
      <c r="I1555" s="2"/>
      <c r="J1555" s="2"/>
      <c r="K1555" s="2"/>
      <c r="L1555" s="2"/>
      <c r="M1555" s="2"/>
      <c r="N1555" s="2"/>
      <c r="O1555" s="2"/>
      <c r="P1555" s="2"/>
      <c r="Q1555" s="2"/>
      <c r="R1555" s="2"/>
      <c r="S1555" s="2"/>
      <c r="T1555" s="2"/>
      <c r="U1555" s="2"/>
      <c r="V1555" s="2"/>
      <c r="W1555" s="2"/>
      <c r="X1555" s="2"/>
      <c r="Y1555" s="2"/>
      <c r="Z1555" s="2"/>
      <c r="AA1555" s="2"/>
      <c r="AB1555" s="2"/>
    </row>
    <row r="1556" spans="2:28">
      <c r="B1556" s="2"/>
      <c r="C1556" s="2"/>
      <c r="D1556" s="2"/>
      <c r="E1556" s="2"/>
      <c r="F1556" s="2"/>
      <c r="G1556" s="2"/>
      <c r="H1556" s="2"/>
      <c r="I1556" s="2"/>
      <c r="J1556" s="2"/>
      <c r="K1556" s="2"/>
      <c r="L1556" s="2"/>
      <c r="M1556" s="2"/>
      <c r="N1556" s="2"/>
      <c r="O1556" s="2"/>
      <c r="P1556" s="2"/>
      <c r="Q1556" s="2"/>
      <c r="R1556" s="2"/>
      <c r="S1556" s="2"/>
      <c r="T1556" s="2"/>
      <c r="U1556" s="2"/>
      <c r="V1556" s="2"/>
      <c r="W1556" s="2"/>
      <c r="X1556" s="2"/>
      <c r="Y1556" s="2"/>
      <c r="Z1556" s="2"/>
      <c r="AA1556" s="2"/>
      <c r="AB1556" s="2"/>
    </row>
    <row r="1557" spans="2:28">
      <c r="B1557" s="2"/>
      <c r="C1557" s="2"/>
      <c r="D1557" s="2"/>
      <c r="E1557" s="2"/>
      <c r="F1557" s="2"/>
      <c r="G1557" s="2"/>
      <c r="H1557" s="2"/>
      <c r="I1557" s="2"/>
      <c r="J1557" s="2"/>
      <c r="K1557" s="2"/>
      <c r="L1557" s="2"/>
      <c r="M1557" s="2"/>
      <c r="N1557" s="2"/>
      <c r="O1557" s="2"/>
      <c r="P1557" s="2"/>
      <c r="Q1557" s="2"/>
      <c r="R1557" s="2"/>
      <c r="S1557" s="2"/>
      <c r="T1557" s="2"/>
      <c r="U1557" s="2"/>
      <c r="V1557" s="2"/>
      <c r="W1557" s="2"/>
      <c r="X1557" s="2"/>
      <c r="Y1557" s="2"/>
      <c r="Z1557" s="2"/>
      <c r="AA1557" s="2"/>
      <c r="AB1557" s="2"/>
    </row>
    <row r="1558" spans="2:28">
      <c r="B1558" s="2"/>
      <c r="C1558" s="2"/>
      <c r="D1558" s="2"/>
      <c r="E1558" s="2"/>
      <c r="F1558" s="2"/>
      <c r="G1558" s="2"/>
      <c r="H1558" s="2"/>
      <c r="I1558" s="2"/>
      <c r="J1558" s="2"/>
      <c r="K1558" s="2"/>
      <c r="L1558" s="2"/>
      <c r="M1558" s="2"/>
      <c r="N1558" s="2"/>
      <c r="O1558" s="2"/>
      <c r="P1558" s="2"/>
      <c r="Q1558" s="2"/>
      <c r="R1558" s="2"/>
      <c r="S1558" s="2"/>
      <c r="T1558" s="2"/>
      <c r="U1558" s="2"/>
      <c r="V1558" s="2"/>
      <c r="W1558" s="2"/>
      <c r="X1558" s="2"/>
      <c r="Y1558" s="2"/>
      <c r="Z1558" s="2"/>
      <c r="AA1558" s="2"/>
      <c r="AB1558" s="2"/>
    </row>
    <row r="1559" spans="2:28">
      <c r="B1559" s="2"/>
      <c r="C1559" s="2"/>
      <c r="D1559" s="2"/>
      <c r="E1559" s="2"/>
      <c r="F1559" s="2"/>
      <c r="G1559" s="2"/>
      <c r="H1559" s="2"/>
      <c r="I1559" s="2"/>
      <c r="J1559" s="2"/>
      <c r="K1559" s="2"/>
      <c r="L1559" s="2"/>
      <c r="M1559" s="2"/>
      <c r="N1559" s="2"/>
      <c r="O1559" s="2"/>
      <c r="P1559" s="2"/>
      <c r="Q1559" s="2"/>
      <c r="R1559" s="2"/>
      <c r="S1559" s="2"/>
      <c r="T1559" s="2"/>
      <c r="U1559" s="2"/>
      <c r="V1559" s="2"/>
      <c r="W1559" s="2"/>
      <c r="X1559" s="2"/>
      <c r="Y1559" s="2"/>
      <c r="Z1559" s="2"/>
      <c r="AA1559" s="2"/>
      <c r="AB1559" s="2"/>
    </row>
    <row r="1560" spans="2:28">
      <c r="B1560" s="2"/>
      <c r="C1560" s="2"/>
      <c r="D1560" s="2"/>
      <c r="E1560" s="2"/>
      <c r="F1560" s="2"/>
      <c r="G1560" s="2"/>
      <c r="H1560" s="2"/>
      <c r="I1560" s="2"/>
      <c r="J1560" s="2"/>
      <c r="K1560" s="2"/>
      <c r="L1560" s="2"/>
      <c r="M1560" s="2"/>
      <c r="N1560" s="2"/>
      <c r="O1560" s="2"/>
      <c r="P1560" s="2"/>
      <c r="Q1560" s="2"/>
      <c r="R1560" s="2"/>
      <c r="S1560" s="2"/>
      <c r="T1560" s="2"/>
      <c r="U1560" s="2"/>
      <c r="V1560" s="2"/>
      <c r="W1560" s="2"/>
      <c r="X1560" s="2"/>
      <c r="Y1560" s="2"/>
      <c r="Z1560" s="2"/>
      <c r="AA1560" s="2"/>
      <c r="AB1560" s="2"/>
    </row>
    <row r="1561" spans="2:28">
      <c r="B1561" s="2"/>
      <c r="C1561" s="2"/>
      <c r="D1561" s="2"/>
      <c r="E1561" s="2"/>
      <c r="F1561" s="2"/>
      <c r="G1561" s="2"/>
      <c r="H1561" s="2"/>
      <c r="I1561" s="2"/>
      <c r="J1561" s="2"/>
      <c r="K1561" s="2"/>
      <c r="L1561" s="2"/>
      <c r="M1561" s="2"/>
      <c r="N1561" s="2"/>
      <c r="O1561" s="2"/>
      <c r="P1561" s="2"/>
      <c r="Q1561" s="2"/>
      <c r="R1561" s="2"/>
      <c r="S1561" s="2"/>
      <c r="T1561" s="2"/>
      <c r="U1561" s="2"/>
      <c r="V1561" s="2"/>
      <c r="W1561" s="2"/>
      <c r="X1561" s="2"/>
      <c r="Y1561" s="2"/>
      <c r="Z1561" s="2"/>
      <c r="AA1561" s="2"/>
      <c r="AB1561" s="2"/>
    </row>
    <row r="1562" spans="2:28">
      <c r="B1562" s="2"/>
      <c r="C1562" s="2"/>
      <c r="D1562" s="2"/>
      <c r="E1562" s="2"/>
      <c r="F1562" s="2"/>
      <c r="G1562" s="2"/>
      <c r="H1562" s="2"/>
      <c r="I1562" s="2"/>
      <c r="J1562" s="2"/>
      <c r="K1562" s="2"/>
      <c r="L1562" s="2"/>
      <c r="M1562" s="2"/>
      <c r="N1562" s="2"/>
      <c r="O1562" s="2"/>
      <c r="P1562" s="2"/>
      <c r="Q1562" s="2"/>
      <c r="R1562" s="2"/>
      <c r="S1562" s="2"/>
      <c r="T1562" s="2"/>
      <c r="U1562" s="2"/>
      <c r="V1562" s="2"/>
      <c r="W1562" s="2"/>
      <c r="X1562" s="2"/>
      <c r="Y1562" s="2"/>
      <c r="Z1562" s="2"/>
      <c r="AA1562" s="2"/>
      <c r="AB1562" s="2"/>
    </row>
    <row r="1563" spans="2:28">
      <c r="B1563" s="2"/>
      <c r="C1563" s="2"/>
      <c r="D1563" s="2"/>
      <c r="E1563" s="2"/>
      <c r="F1563" s="2"/>
      <c r="G1563" s="2"/>
      <c r="H1563" s="2"/>
      <c r="I1563" s="2"/>
      <c r="J1563" s="2"/>
      <c r="K1563" s="2"/>
      <c r="L1563" s="2"/>
      <c r="M1563" s="2"/>
      <c r="N1563" s="2"/>
      <c r="O1563" s="2"/>
      <c r="P1563" s="2"/>
      <c r="Q1563" s="2"/>
      <c r="R1563" s="2"/>
      <c r="S1563" s="2"/>
      <c r="T1563" s="2"/>
      <c r="U1563" s="2"/>
      <c r="V1563" s="2"/>
      <c r="W1563" s="2"/>
      <c r="X1563" s="2"/>
      <c r="Y1563" s="2"/>
      <c r="Z1563" s="2"/>
      <c r="AA1563" s="2"/>
      <c r="AB1563" s="2"/>
    </row>
    <row r="1564" spans="2:28">
      <c r="B1564" s="2"/>
      <c r="C1564" s="2"/>
      <c r="D1564" s="2"/>
      <c r="E1564" s="2"/>
      <c r="F1564" s="2"/>
      <c r="G1564" s="2"/>
      <c r="H1564" s="2"/>
      <c r="I1564" s="2"/>
      <c r="J1564" s="2"/>
      <c r="K1564" s="2"/>
      <c r="L1564" s="2"/>
      <c r="M1564" s="2"/>
      <c r="N1564" s="2"/>
      <c r="O1564" s="2"/>
      <c r="P1564" s="2"/>
      <c r="Q1564" s="2"/>
      <c r="R1564" s="2"/>
      <c r="S1564" s="2"/>
      <c r="T1564" s="2"/>
      <c r="U1564" s="2"/>
      <c r="V1564" s="2"/>
      <c r="W1564" s="2"/>
      <c r="X1564" s="2"/>
      <c r="Y1564" s="2"/>
      <c r="Z1564" s="2"/>
      <c r="AA1564" s="2"/>
      <c r="AB1564" s="2"/>
    </row>
    <row r="1565" spans="2:28">
      <c r="B1565" s="2"/>
      <c r="C1565" s="2"/>
      <c r="D1565" s="2"/>
      <c r="E1565" s="2"/>
      <c r="F1565" s="2"/>
      <c r="G1565" s="2"/>
      <c r="H1565" s="2"/>
      <c r="I1565" s="2"/>
      <c r="J1565" s="2"/>
      <c r="K1565" s="2"/>
      <c r="L1565" s="2"/>
      <c r="M1565" s="2"/>
      <c r="N1565" s="2"/>
      <c r="O1565" s="2"/>
      <c r="P1565" s="2"/>
      <c r="Q1565" s="2"/>
      <c r="R1565" s="2"/>
      <c r="S1565" s="2"/>
      <c r="T1565" s="2"/>
      <c r="U1565" s="2"/>
      <c r="V1565" s="2"/>
      <c r="W1565" s="2"/>
      <c r="X1565" s="2"/>
      <c r="Y1565" s="2"/>
      <c r="Z1565" s="2"/>
      <c r="AA1565" s="2"/>
      <c r="AB1565" s="2"/>
    </row>
    <row r="1566" spans="2:28">
      <c r="B1566" s="2"/>
      <c r="C1566" s="2"/>
      <c r="D1566" s="2"/>
      <c r="E1566" s="2"/>
      <c r="F1566" s="2"/>
      <c r="G1566" s="2"/>
      <c r="H1566" s="2"/>
      <c r="I1566" s="2"/>
      <c r="J1566" s="2"/>
      <c r="K1566" s="2"/>
      <c r="L1566" s="2"/>
      <c r="M1566" s="2"/>
      <c r="N1566" s="2"/>
      <c r="O1566" s="2"/>
      <c r="P1566" s="2"/>
      <c r="Q1566" s="2"/>
      <c r="R1566" s="2"/>
      <c r="S1566" s="2"/>
      <c r="T1566" s="2"/>
      <c r="U1566" s="2"/>
      <c r="V1566" s="2"/>
      <c r="W1566" s="2"/>
      <c r="X1566" s="2"/>
      <c r="Y1566" s="2"/>
      <c r="Z1566" s="2"/>
      <c r="AA1566" s="2"/>
      <c r="AB1566" s="2"/>
    </row>
    <row r="1567" spans="2:28">
      <c r="B1567" s="2"/>
      <c r="C1567" s="2"/>
      <c r="D1567" s="2"/>
      <c r="E1567" s="2"/>
      <c r="F1567" s="2"/>
      <c r="G1567" s="2"/>
      <c r="H1567" s="2"/>
      <c r="I1567" s="2"/>
      <c r="J1567" s="2"/>
      <c r="K1567" s="2"/>
      <c r="L1567" s="2"/>
      <c r="M1567" s="2"/>
      <c r="N1567" s="2"/>
      <c r="O1567" s="2"/>
      <c r="P1567" s="2"/>
      <c r="Q1567" s="2"/>
      <c r="R1567" s="2"/>
      <c r="S1567" s="2"/>
      <c r="T1567" s="2"/>
      <c r="U1567" s="2"/>
      <c r="V1567" s="2"/>
      <c r="W1567" s="2"/>
      <c r="X1567" s="2"/>
      <c r="Y1567" s="2"/>
      <c r="Z1567" s="2"/>
      <c r="AA1567" s="2"/>
      <c r="AB1567" s="2"/>
    </row>
    <row r="1568" spans="2:28">
      <c r="B1568" s="2"/>
      <c r="C1568" s="2"/>
      <c r="D1568" s="2"/>
      <c r="E1568" s="2"/>
      <c r="F1568" s="2"/>
      <c r="G1568" s="2"/>
      <c r="H1568" s="2"/>
      <c r="I1568" s="2"/>
      <c r="J1568" s="2"/>
      <c r="K1568" s="2"/>
      <c r="L1568" s="2"/>
      <c r="M1568" s="2"/>
      <c r="N1568" s="2"/>
      <c r="O1568" s="2"/>
      <c r="P1568" s="2"/>
      <c r="Q1568" s="2"/>
      <c r="R1568" s="2"/>
      <c r="S1568" s="2"/>
      <c r="T1568" s="2"/>
      <c r="U1568" s="2"/>
      <c r="V1568" s="2"/>
      <c r="W1568" s="2"/>
      <c r="X1568" s="2"/>
      <c r="Y1568" s="2"/>
      <c r="Z1568" s="2"/>
      <c r="AA1568" s="2"/>
      <c r="AB1568" s="2"/>
    </row>
    <row r="1569" spans="2:28">
      <c r="B1569" s="2"/>
      <c r="C1569" s="2"/>
      <c r="D1569" s="2"/>
      <c r="E1569" s="2"/>
      <c r="F1569" s="2"/>
      <c r="G1569" s="2"/>
      <c r="H1569" s="2"/>
      <c r="I1569" s="2"/>
      <c r="J1569" s="2"/>
      <c r="K1569" s="2"/>
      <c r="L1569" s="2"/>
      <c r="M1569" s="2"/>
      <c r="N1569" s="2"/>
      <c r="O1569" s="2"/>
      <c r="P1569" s="2"/>
      <c r="Q1569" s="2"/>
      <c r="R1569" s="2"/>
      <c r="S1569" s="2"/>
      <c r="T1569" s="2"/>
      <c r="U1569" s="2"/>
      <c r="V1569" s="2"/>
      <c r="W1569" s="2"/>
      <c r="X1569" s="2"/>
      <c r="Y1569" s="2"/>
      <c r="Z1569" s="2"/>
      <c r="AA1569" s="2"/>
      <c r="AB1569" s="2"/>
    </row>
    <row r="1570" spans="2:28">
      <c r="B1570" s="2"/>
      <c r="C1570" s="2"/>
      <c r="D1570" s="2"/>
      <c r="E1570" s="2"/>
      <c r="F1570" s="2"/>
      <c r="G1570" s="2"/>
      <c r="H1570" s="2"/>
      <c r="I1570" s="2"/>
      <c r="J1570" s="2"/>
      <c r="K1570" s="2"/>
      <c r="L1570" s="2"/>
      <c r="M1570" s="2"/>
      <c r="N1570" s="2"/>
      <c r="O1570" s="2"/>
      <c r="P1570" s="2"/>
      <c r="Q1570" s="2"/>
      <c r="R1570" s="2"/>
      <c r="S1570" s="2"/>
      <c r="T1570" s="2"/>
      <c r="U1570" s="2"/>
      <c r="V1570" s="2"/>
      <c r="W1570" s="2"/>
      <c r="X1570" s="2"/>
      <c r="Y1570" s="2"/>
      <c r="Z1570" s="2"/>
      <c r="AA1570" s="2"/>
      <c r="AB1570" s="2"/>
    </row>
    <row r="1571" spans="2:28">
      <c r="B1571" s="2"/>
      <c r="C1571" s="2"/>
      <c r="D1571" s="2"/>
      <c r="E1571" s="2"/>
      <c r="F1571" s="2"/>
      <c r="G1571" s="2"/>
      <c r="H1571" s="2"/>
      <c r="I1571" s="2"/>
      <c r="J1571" s="2"/>
      <c r="K1571" s="2"/>
      <c r="L1571" s="2"/>
      <c r="M1571" s="2"/>
      <c r="N1571" s="2"/>
      <c r="O1571" s="2"/>
      <c r="P1571" s="2"/>
      <c r="Q1571" s="2"/>
      <c r="R1571" s="2"/>
      <c r="S1571" s="2"/>
      <c r="T1571" s="2"/>
      <c r="U1571" s="2"/>
      <c r="V1571" s="2"/>
      <c r="W1571" s="2"/>
      <c r="X1571" s="2"/>
      <c r="Y1571" s="2"/>
      <c r="Z1571" s="2"/>
      <c r="AA1571" s="2"/>
      <c r="AB1571" s="2"/>
    </row>
    <row r="1572" spans="2:28">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2"/>
      <c r="AA1572" s="2"/>
      <c r="AB1572" s="2"/>
    </row>
    <row r="1573" spans="2:28">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2"/>
      <c r="AA1573" s="2"/>
      <c r="AB1573" s="2"/>
    </row>
    <row r="1574" spans="2:28">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2"/>
      <c r="AA1574" s="2"/>
      <c r="AB1574" s="2"/>
    </row>
    <row r="1575" spans="2:28">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2"/>
      <c r="AA1575" s="2"/>
      <c r="AB1575" s="2"/>
    </row>
    <row r="1576" spans="2:28">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c r="AA1576" s="2"/>
      <c r="AB1576" s="2"/>
    </row>
    <row r="1577" spans="2:28">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c r="AA1577" s="2"/>
      <c r="AB1577" s="2"/>
    </row>
    <row r="1578" spans="2:28">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c r="AA1578" s="2"/>
      <c r="AB1578" s="2"/>
    </row>
    <row r="1579" spans="2:28">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c r="AA1579" s="2"/>
      <c r="AB1579" s="2"/>
    </row>
    <row r="1580" spans="2:28">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c r="AA1580" s="2"/>
      <c r="AB1580" s="2"/>
    </row>
    <row r="1581" spans="2:28">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c r="AA1581" s="2"/>
      <c r="AB1581" s="2"/>
    </row>
    <row r="1582" spans="2:28">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c r="AA1582" s="2"/>
      <c r="AB1582" s="2"/>
    </row>
    <row r="1583" spans="2:28">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c r="AA1583" s="2"/>
      <c r="AB1583" s="2"/>
    </row>
    <row r="1584" spans="2:28">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c r="AA1584" s="2"/>
      <c r="AB1584" s="2"/>
    </row>
    <row r="1585" spans="2:28">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c r="AA1585" s="2"/>
      <c r="AB1585" s="2"/>
    </row>
    <row r="1586" spans="2:28">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c r="AA1586" s="2"/>
      <c r="AB1586" s="2"/>
    </row>
    <row r="1587" spans="2:28">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row>
    <row r="1588" spans="2:28">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row>
    <row r="1589" spans="2:28">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row>
    <row r="1590" spans="2:28">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row>
    <row r="1591" spans="2:28">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row>
    <row r="1592" spans="2:28">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row>
    <row r="1593" spans="2:28">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row>
    <row r="1594" spans="2:28">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row>
    <row r="1595" spans="2:28">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row>
    <row r="1596" spans="2:28">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row>
    <row r="1597" spans="2:28">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row>
    <row r="1598" spans="2:28">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row>
    <row r="1599" spans="2:28">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c r="AA1599" s="2"/>
      <c r="AB1599" s="2"/>
    </row>
  </sheetData>
  <mergeCells count="3">
    <mergeCell ref="B9:M9"/>
    <mergeCell ref="B30:M30"/>
    <mergeCell ref="B49:M49"/>
  </mergeCells>
  <phoneticPr fontId="11" type="noConversion"/>
  <printOptions horizontalCentered="1"/>
  <pageMargins left="1" right="1" top="1" bottom="0.5" header="0.5" footer="0.5"/>
  <pageSetup fitToHeight="0" orientation="portrait" r:id="rId1"/>
  <headerFooter alignWithMargins="0"/>
</worksheet>
</file>

<file path=xl/worksheets/sheet20.xml><?xml version="1.0" encoding="utf-8"?>
<worksheet xmlns="http://schemas.openxmlformats.org/spreadsheetml/2006/main" xmlns:r="http://schemas.openxmlformats.org/officeDocument/2006/relationships">
  <dimension ref="B7:M172"/>
  <sheetViews>
    <sheetView topLeftCell="A5" workbookViewId="0">
      <selection activeCell="P37" sqref="P37"/>
    </sheetView>
  </sheetViews>
  <sheetFormatPr defaultRowHeight="12.75"/>
  <cols>
    <col min="3" max="3" width="9.21875" customWidth="1"/>
    <col min="5" max="5" width="6" customWidth="1"/>
    <col min="6" max="6" width="10" bestFit="1" customWidth="1"/>
    <col min="7" max="7" width="1.33203125" customWidth="1"/>
    <col min="8" max="10" width="10" bestFit="1" customWidth="1"/>
    <col min="11" max="11" width="2.44140625" customWidth="1"/>
    <col min="12" max="12" width="10" bestFit="1" customWidth="1"/>
  </cols>
  <sheetData>
    <row r="7" spans="3:13" ht="15">
      <c r="C7" s="639" t="s">
        <v>198</v>
      </c>
      <c r="D7" s="639"/>
      <c r="E7" s="639"/>
      <c r="F7" s="639"/>
      <c r="G7" s="639"/>
      <c r="H7" s="639"/>
      <c r="I7" s="639"/>
      <c r="J7" s="639"/>
      <c r="K7" s="639"/>
      <c r="L7" s="639"/>
      <c r="M7" s="251"/>
    </row>
    <row r="9" spans="3:13" ht="15">
      <c r="C9" s="639" t="s">
        <v>533</v>
      </c>
      <c r="D9" s="639"/>
      <c r="E9" s="639"/>
      <c r="F9" s="639"/>
      <c r="G9" s="639"/>
      <c r="H9" s="639"/>
      <c r="I9" s="639"/>
      <c r="J9" s="639"/>
      <c r="K9" s="639"/>
      <c r="L9" s="639"/>
    </row>
    <row r="10" spans="3:13" ht="15">
      <c r="C10" s="615"/>
      <c r="D10" s="615"/>
      <c r="E10" s="615"/>
      <c r="F10" s="615"/>
      <c r="G10" s="615"/>
      <c r="H10" s="615"/>
      <c r="I10" s="615"/>
      <c r="J10" s="615"/>
      <c r="K10" s="615"/>
      <c r="L10" s="615"/>
    </row>
    <row r="11" spans="3:13" ht="15">
      <c r="D11" s="249"/>
      <c r="E11" s="249"/>
      <c r="F11" s="249"/>
      <c r="G11" s="249"/>
      <c r="H11" s="249"/>
      <c r="I11" s="249"/>
      <c r="J11" s="249"/>
      <c r="K11" s="249"/>
      <c r="L11" s="249"/>
    </row>
    <row r="12" spans="3:13" ht="15">
      <c r="C12" s="38"/>
      <c r="D12" s="38"/>
      <c r="E12" s="38"/>
      <c r="F12" s="38"/>
      <c r="G12" s="38"/>
      <c r="H12" s="38"/>
      <c r="I12" s="38"/>
      <c r="J12" s="38"/>
      <c r="K12" s="38"/>
      <c r="L12" s="38"/>
    </row>
    <row r="13" spans="3:13" ht="15">
      <c r="C13" s="413" t="s">
        <v>534</v>
      </c>
      <c r="D13" s="38"/>
      <c r="E13" s="38"/>
      <c r="F13" s="38"/>
      <c r="G13" s="38"/>
      <c r="H13" s="38"/>
      <c r="I13" s="38"/>
      <c r="J13" s="38"/>
      <c r="K13" s="38"/>
      <c r="L13" s="38"/>
    </row>
    <row r="14" spans="3:13" ht="8.25" customHeight="1">
      <c r="C14" s="38"/>
      <c r="D14" s="38"/>
      <c r="E14" s="38"/>
      <c r="F14" s="38"/>
      <c r="G14" s="38"/>
      <c r="H14" s="38"/>
      <c r="I14" s="38"/>
      <c r="J14" s="38"/>
      <c r="K14" s="38"/>
      <c r="L14" s="38"/>
    </row>
    <row r="15" spans="3:13" ht="15">
      <c r="C15" s="249" t="s">
        <v>399</v>
      </c>
      <c r="D15" s="38"/>
      <c r="E15" s="38"/>
      <c r="F15" s="249" t="s">
        <v>535</v>
      </c>
      <c r="G15" s="249"/>
      <c r="I15" s="249" t="s">
        <v>536</v>
      </c>
      <c r="J15" s="38"/>
      <c r="K15" s="38"/>
      <c r="L15" s="38"/>
    </row>
    <row r="16" spans="3:13" ht="15">
      <c r="C16" s="414" t="s">
        <v>344</v>
      </c>
      <c r="D16" s="38"/>
      <c r="E16" s="38"/>
      <c r="F16" s="414" t="s">
        <v>537</v>
      </c>
      <c r="G16" s="414"/>
      <c r="I16" s="414" t="s">
        <v>537</v>
      </c>
      <c r="J16" s="38"/>
      <c r="K16" s="38"/>
      <c r="L16" s="38"/>
    </row>
    <row r="17" spans="3:13" ht="9.1999999999999993" customHeight="1">
      <c r="C17" s="38"/>
      <c r="D17" s="38"/>
      <c r="E17" s="38"/>
      <c r="F17" s="38"/>
      <c r="G17" s="38"/>
      <c r="I17" s="38"/>
      <c r="J17" s="38"/>
      <c r="K17" s="38"/>
      <c r="L17" s="38"/>
    </row>
    <row r="18" spans="3:13" ht="15">
      <c r="C18" s="253" t="s">
        <v>401</v>
      </c>
      <c r="D18" s="38"/>
      <c r="E18" s="38"/>
      <c r="F18" s="417">
        <v>8.9</v>
      </c>
      <c r="G18" s="415"/>
      <c r="I18" s="524">
        <v>14</v>
      </c>
      <c r="J18" s="38"/>
      <c r="K18" s="38"/>
      <c r="L18" s="38"/>
    </row>
    <row r="19" spans="3:13" ht="15">
      <c r="C19" s="253" t="s">
        <v>538</v>
      </c>
      <c r="D19" s="38"/>
      <c r="E19" s="38"/>
      <c r="F19" s="411">
        <v>13.35</v>
      </c>
      <c r="G19" s="411"/>
      <c r="I19" s="411">
        <v>21</v>
      </c>
      <c r="J19" s="38"/>
      <c r="K19" s="38"/>
      <c r="L19" s="38"/>
    </row>
    <row r="20" spans="3:13" ht="15">
      <c r="C20" s="249">
        <v>1</v>
      </c>
      <c r="D20" s="38"/>
      <c r="E20" s="38"/>
      <c r="F20" s="411">
        <v>22.25</v>
      </c>
      <c r="G20" s="411"/>
      <c r="I20" s="411">
        <v>35</v>
      </c>
      <c r="J20" s="38"/>
      <c r="K20" s="38"/>
      <c r="L20" s="38"/>
    </row>
    <row r="21" spans="3:13" ht="15">
      <c r="C21" s="253" t="s">
        <v>403</v>
      </c>
      <c r="D21" s="38"/>
      <c r="E21" s="38"/>
      <c r="F21" s="411">
        <v>44.5</v>
      </c>
      <c r="G21" s="411"/>
      <c r="I21" s="411">
        <v>70</v>
      </c>
      <c r="J21" s="38"/>
      <c r="K21" s="38"/>
      <c r="L21" s="38"/>
    </row>
    <row r="22" spans="3:13" ht="15">
      <c r="C22" s="249">
        <v>2</v>
      </c>
      <c r="D22" s="38"/>
      <c r="E22" s="38"/>
      <c r="F22" s="411">
        <v>71.2</v>
      </c>
      <c r="G22" s="411"/>
      <c r="I22" s="411">
        <v>112</v>
      </c>
      <c r="J22" s="38"/>
      <c r="K22" s="38"/>
      <c r="L22" s="38"/>
    </row>
    <row r="23" spans="3:13" ht="15">
      <c r="C23" s="249">
        <v>3</v>
      </c>
      <c r="D23" s="38"/>
      <c r="E23" s="38"/>
      <c r="F23" s="411">
        <v>133.5</v>
      </c>
      <c r="G23" s="411"/>
      <c r="I23" s="411">
        <v>210</v>
      </c>
      <c r="J23" s="38"/>
      <c r="K23" s="38"/>
      <c r="L23" s="38"/>
    </row>
    <row r="24" spans="3:13" ht="15">
      <c r="C24" s="249">
        <v>4</v>
      </c>
      <c r="D24" s="38"/>
      <c r="E24" s="38"/>
      <c r="F24" s="411">
        <v>222.5</v>
      </c>
      <c r="G24" s="411"/>
      <c r="I24" s="411">
        <v>350</v>
      </c>
      <c r="J24" s="38"/>
      <c r="K24" s="38"/>
      <c r="L24" s="38"/>
    </row>
    <row r="25" spans="3:13" ht="15">
      <c r="C25" s="249">
        <v>6</v>
      </c>
      <c r="D25" s="38"/>
      <c r="E25" s="38"/>
      <c r="F25" s="411">
        <v>445</v>
      </c>
      <c r="G25" s="411"/>
      <c r="I25" s="411">
        <v>700</v>
      </c>
      <c r="J25" s="38"/>
      <c r="K25" s="38"/>
      <c r="L25" s="38"/>
    </row>
    <row r="26" spans="3:13" ht="15">
      <c r="C26" s="249">
        <v>8</v>
      </c>
      <c r="D26" s="38"/>
      <c r="E26" s="38"/>
      <c r="F26" s="411">
        <v>712</v>
      </c>
      <c r="G26" s="411"/>
      <c r="I26" s="411">
        <v>1120</v>
      </c>
      <c r="J26" s="38"/>
      <c r="K26" s="38"/>
      <c r="L26" s="38"/>
    </row>
    <row r="27" spans="3:13" ht="15">
      <c r="C27" s="249"/>
      <c r="D27" s="38"/>
      <c r="E27" s="38"/>
      <c r="F27" s="411"/>
      <c r="G27" s="411"/>
      <c r="I27" s="411"/>
      <c r="J27" s="38"/>
      <c r="K27" s="38"/>
      <c r="L27" s="38"/>
    </row>
    <row r="28" spans="3:13" ht="6" customHeight="1">
      <c r="C28" s="38"/>
      <c r="D28" s="38"/>
      <c r="E28" s="38"/>
      <c r="F28" s="411"/>
      <c r="G28" s="411"/>
      <c r="I28" s="411"/>
      <c r="J28" s="38"/>
      <c r="K28" s="38"/>
      <c r="L28" s="38"/>
    </row>
    <row r="29" spans="3:13" ht="15">
      <c r="C29" s="38"/>
      <c r="D29" s="38"/>
      <c r="E29" s="38"/>
      <c r="F29" s="640" t="s">
        <v>539</v>
      </c>
      <c r="G29" s="640"/>
      <c r="H29" s="640"/>
      <c r="I29" s="38"/>
      <c r="J29" s="640" t="s">
        <v>540</v>
      </c>
      <c r="K29" s="640"/>
      <c r="L29" s="640"/>
    </row>
    <row r="30" spans="3:13" ht="15">
      <c r="C30" s="413" t="s">
        <v>541</v>
      </c>
      <c r="D30" s="38"/>
      <c r="E30" s="38"/>
      <c r="F30" s="414" t="s">
        <v>535</v>
      </c>
      <c r="G30" s="414"/>
      <c r="H30" s="414" t="s">
        <v>536</v>
      </c>
      <c r="I30" s="38"/>
      <c r="J30" s="414" t="s">
        <v>535</v>
      </c>
      <c r="K30" s="414"/>
      <c r="L30" s="414" t="s">
        <v>536</v>
      </c>
    </row>
    <row r="31" spans="3:13" ht="7.5" customHeight="1">
      <c r="C31" s="38"/>
      <c r="D31" s="38"/>
      <c r="E31" s="38"/>
      <c r="F31" s="38"/>
      <c r="G31" s="38"/>
      <c r="H31" s="38"/>
      <c r="I31" s="38"/>
      <c r="J31" s="38"/>
      <c r="K31" s="38"/>
      <c r="L31" s="38"/>
    </row>
    <row r="32" spans="3:13" ht="15">
      <c r="C32" s="38" t="s">
        <v>212</v>
      </c>
      <c r="D32" s="38"/>
      <c r="E32" s="38"/>
      <c r="F32" s="406">
        <v>5.3003999999999998</v>
      </c>
      <c r="G32" s="453"/>
      <c r="H32" s="406">
        <v>5.4462000000000002</v>
      </c>
      <c r="I32" s="38"/>
      <c r="J32" s="406">
        <v>7.0860962566844918</v>
      </c>
      <c r="K32" s="406"/>
      <c r="L32" s="406">
        <v>7.2809999999999997</v>
      </c>
      <c r="M32" s="407"/>
    </row>
    <row r="33" spans="2:13" ht="15">
      <c r="B33" s="522"/>
      <c r="C33" s="38" t="s">
        <v>213</v>
      </c>
      <c r="D33" s="38"/>
      <c r="E33" s="38"/>
      <c r="F33" s="406">
        <v>4.8280000000000003</v>
      </c>
      <c r="G33" s="453"/>
      <c r="H33" s="406">
        <v>4.8750999999999998</v>
      </c>
      <c r="I33" s="38"/>
      <c r="J33" s="406">
        <v>6.454545454545455</v>
      </c>
      <c r="K33" s="406"/>
      <c r="L33" s="406">
        <v>6.5175000000000001</v>
      </c>
      <c r="M33" s="407"/>
    </row>
    <row r="34" spans="2:13" ht="15">
      <c r="B34" s="522"/>
      <c r="C34" s="38" t="s">
        <v>214</v>
      </c>
      <c r="D34" s="38"/>
      <c r="E34" s="38"/>
      <c r="F34" s="406">
        <v>3.8946700000000001</v>
      </c>
      <c r="G34" s="453"/>
      <c r="H34" s="406">
        <v>4.5999999999999996</v>
      </c>
      <c r="I34" s="38"/>
      <c r="J34" s="406">
        <v>5.2067780748663104</v>
      </c>
      <c r="K34" s="406"/>
      <c r="L34" s="406">
        <v>6.1497000000000002</v>
      </c>
      <c r="M34" s="407"/>
    </row>
    <row r="35" spans="2:13" ht="15">
      <c r="B35" s="522"/>
      <c r="C35" s="38" t="s">
        <v>216</v>
      </c>
      <c r="D35" s="38"/>
      <c r="E35" s="38"/>
      <c r="F35" s="406">
        <v>4.2451999999999996</v>
      </c>
      <c r="G35" s="453"/>
      <c r="H35" s="406">
        <v>4.5529999999999999</v>
      </c>
      <c r="I35" s="38"/>
      <c r="J35" s="406">
        <v>5.675401069518716</v>
      </c>
      <c r="K35" s="406"/>
      <c r="L35" s="406">
        <v>6.0869</v>
      </c>
      <c r="M35" s="407"/>
    </row>
    <row r="36" spans="2:13" ht="15">
      <c r="B36" s="522"/>
      <c r="C36" s="38" t="s">
        <v>337</v>
      </c>
      <c r="D36" s="38"/>
      <c r="E36" s="38"/>
      <c r="F36" s="406">
        <v>4.2093299999999996</v>
      </c>
      <c r="G36" s="453"/>
      <c r="H36" s="406">
        <v>4.2451999999999996</v>
      </c>
      <c r="I36" s="38"/>
      <c r="J36" s="406">
        <v>5.6274465240641707</v>
      </c>
      <c r="K36" s="406"/>
      <c r="L36" s="406">
        <v>5.6753999999999998</v>
      </c>
      <c r="M36" s="407"/>
    </row>
    <row r="37" spans="2:13" ht="15">
      <c r="B37" s="522"/>
      <c r="C37" s="38"/>
      <c r="D37" s="38"/>
      <c r="E37" s="38"/>
      <c r="F37" s="406"/>
      <c r="G37" s="453"/>
      <c r="H37" s="406"/>
      <c r="I37" s="38"/>
      <c r="J37" s="406"/>
      <c r="K37" s="406"/>
      <c r="L37" s="406"/>
      <c r="M37" s="407"/>
    </row>
    <row r="38" spans="2:13" ht="15">
      <c r="B38" s="522"/>
      <c r="C38" s="38"/>
      <c r="D38" s="38"/>
      <c r="E38" s="38"/>
      <c r="F38" s="408"/>
      <c r="G38" s="409"/>
      <c r="H38" s="409"/>
      <c r="I38" s="38"/>
      <c r="J38" s="409"/>
      <c r="K38" s="409"/>
      <c r="L38" s="409"/>
    </row>
    <row r="39" spans="2:13" ht="10.7" customHeight="1">
      <c r="B39" s="522"/>
      <c r="C39" s="38"/>
      <c r="D39" s="38"/>
      <c r="E39" s="38"/>
      <c r="F39" s="38"/>
      <c r="G39" s="38"/>
      <c r="H39" s="38"/>
      <c r="I39" s="38"/>
      <c r="J39" s="409"/>
      <c r="K39" s="409"/>
      <c r="L39" s="409"/>
    </row>
    <row r="40" spans="2:13" ht="15">
      <c r="C40" s="413" t="s">
        <v>542</v>
      </c>
      <c r="D40" s="38"/>
      <c r="E40" s="38"/>
      <c r="F40" s="38"/>
      <c r="G40" s="38"/>
      <c r="H40" s="38"/>
      <c r="I40" s="38"/>
      <c r="J40" s="38"/>
      <c r="K40" s="38"/>
      <c r="L40" s="38"/>
    </row>
    <row r="41" spans="2:13" ht="15">
      <c r="B41" s="501"/>
      <c r="C41" s="413"/>
      <c r="D41" s="38"/>
      <c r="E41" s="38"/>
      <c r="F41" s="249" t="s">
        <v>535</v>
      </c>
      <c r="G41" s="38"/>
      <c r="H41" s="38"/>
      <c r="I41" s="466" t="s">
        <v>536</v>
      </c>
      <c r="J41" s="38"/>
      <c r="K41" s="38"/>
      <c r="L41" s="38"/>
    </row>
    <row r="42" spans="2:13" ht="15">
      <c r="B42" s="525"/>
      <c r="C42" s="249" t="s">
        <v>149</v>
      </c>
      <c r="D42" s="38"/>
      <c r="E42" s="38"/>
      <c r="F42" s="249" t="s">
        <v>537</v>
      </c>
      <c r="G42" s="249"/>
      <c r="H42" s="465"/>
      <c r="I42" s="466" t="s">
        <v>537</v>
      </c>
      <c r="J42" s="38"/>
      <c r="K42" s="38"/>
      <c r="L42" s="38"/>
    </row>
    <row r="43" spans="2:13" ht="15">
      <c r="C43" s="414" t="s">
        <v>543</v>
      </c>
      <c r="D43" s="38"/>
      <c r="E43" s="38"/>
      <c r="F43" s="414" t="s">
        <v>551</v>
      </c>
      <c r="G43" s="414"/>
      <c r="H43" s="465"/>
      <c r="I43" s="474" t="s">
        <v>551</v>
      </c>
      <c r="J43" s="38"/>
      <c r="K43" s="38"/>
      <c r="L43" s="38"/>
    </row>
    <row r="44" spans="2:13" ht="9.1999999999999993" customHeight="1">
      <c r="C44" s="38"/>
      <c r="D44" s="38"/>
      <c r="E44" s="38"/>
      <c r="F44" s="38"/>
      <c r="G44" s="38"/>
      <c r="H44" s="38"/>
      <c r="I44" s="38"/>
      <c r="J44" s="38"/>
      <c r="K44" s="38"/>
      <c r="L44" s="38"/>
    </row>
    <row r="45" spans="2:13" ht="15">
      <c r="C45" s="249">
        <v>2</v>
      </c>
      <c r="D45" s="38"/>
      <c r="E45" s="38"/>
      <c r="F45" s="417">
        <v>8.11</v>
      </c>
      <c r="G45" s="452"/>
      <c r="H45" s="415"/>
      <c r="I45" s="417">
        <v>8.92</v>
      </c>
      <c r="J45" s="38"/>
      <c r="K45" s="38"/>
      <c r="L45" s="38"/>
    </row>
    <row r="46" spans="2:13" ht="15">
      <c r="C46" s="249">
        <v>4</v>
      </c>
      <c r="D46" s="38"/>
      <c r="E46" s="38"/>
      <c r="F46" s="411">
        <v>32.630000000000003</v>
      </c>
      <c r="G46" s="452"/>
      <c r="H46" s="415"/>
      <c r="I46" s="411">
        <v>35.89</v>
      </c>
      <c r="J46" s="38"/>
      <c r="K46" s="38"/>
      <c r="L46" s="38"/>
    </row>
    <row r="47" spans="2:13" ht="15">
      <c r="C47" s="249">
        <v>6</v>
      </c>
      <c r="D47" s="38"/>
      <c r="E47" s="38"/>
      <c r="F47" s="411">
        <v>73.400000000000006</v>
      </c>
      <c r="G47" s="452"/>
      <c r="H47" s="415"/>
      <c r="I47" s="411">
        <v>80.739999999999995</v>
      </c>
      <c r="J47" s="38"/>
      <c r="K47" s="38"/>
      <c r="L47" s="38"/>
    </row>
    <row r="48" spans="2:13" ht="15">
      <c r="C48" s="249">
        <v>8</v>
      </c>
      <c r="D48" s="38"/>
      <c r="E48" s="38"/>
      <c r="F48" s="411">
        <v>130.49</v>
      </c>
      <c r="G48" s="452"/>
      <c r="H48" s="415"/>
      <c r="I48" s="411">
        <v>143.54</v>
      </c>
      <c r="J48" s="38"/>
      <c r="K48" s="38"/>
      <c r="L48" s="38"/>
    </row>
    <row r="49" spans="3:12" ht="15">
      <c r="C49" s="249">
        <v>10</v>
      </c>
      <c r="D49" s="38"/>
      <c r="E49" s="38"/>
      <c r="F49" s="411">
        <v>203.94</v>
      </c>
      <c r="G49" s="452"/>
      <c r="H49" s="415"/>
      <c r="I49" s="411">
        <v>224.33</v>
      </c>
      <c r="J49" s="38"/>
      <c r="K49" s="38"/>
      <c r="L49" s="38"/>
    </row>
    <row r="50" spans="3:12" ht="15">
      <c r="C50" s="249">
        <v>12</v>
      </c>
      <c r="D50" s="38"/>
      <c r="E50" s="38"/>
      <c r="F50" s="411">
        <v>293.75</v>
      </c>
      <c r="G50" s="452"/>
      <c r="H50" s="415"/>
      <c r="I50" s="411">
        <v>323.13</v>
      </c>
      <c r="J50" s="38"/>
      <c r="K50" s="38"/>
      <c r="L50" s="38"/>
    </row>
    <row r="51" spans="3:12" ht="15">
      <c r="C51" s="249">
        <v>14</v>
      </c>
      <c r="D51" s="38"/>
      <c r="E51" s="38"/>
      <c r="F51" s="411">
        <v>399.89</v>
      </c>
      <c r="G51" s="452"/>
      <c r="H51" s="415"/>
      <c r="I51" s="411">
        <v>439.88</v>
      </c>
      <c r="J51" s="38"/>
      <c r="K51" s="38"/>
      <c r="L51" s="38"/>
    </row>
    <row r="52" spans="3:12" ht="15">
      <c r="C52" s="249">
        <v>16</v>
      </c>
      <c r="D52" s="38"/>
      <c r="E52" s="38"/>
      <c r="F52" s="411">
        <v>522.19000000000005</v>
      </c>
      <c r="G52" s="452"/>
      <c r="H52" s="415"/>
      <c r="I52" s="411">
        <v>574.41</v>
      </c>
      <c r="J52" s="38"/>
      <c r="K52" s="38"/>
      <c r="L52" s="38"/>
    </row>
    <row r="53" spans="3:12" ht="15">
      <c r="C53" s="410" t="s">
        <v>544</v>
      </c>
      <c r="D53" s="38"/>
      <c r="E53" s="38"/>
      <c r="F53" s="411">
        <v>72.52</v>
      </c>
      <c r="G53" s="454"/>
      <c r="H53" s="38"/>
      <c r="I53" s="411">
        <v>79.77</v>
      </c>
      <c r="J53" s="38"/>
      <c r="K53" s="38"/>
      <c r="L53" s="38"/>
    </row>
    <row r="54" spans="3:12" ht="11.25" customHeight="1">
      <c r="C54" s="38"/>
      <c r="D54" s="38"/>
      <c r="E54" s="38"/>
      <c r="F54" s="38"/>
      <c r="G54" s="38"/>
      <c r="H54" s="38"/>
      <c r="I54" s="38"/>
      <c r="J54" s="38"/>
      <c r="K54" s="38"/>
      <c r="L54" s="38"/>
    </row>
    <row r="55" spans="3:12" ht="15">
      <c r="C55" s="38" t="s">
        <v>545</v>
      </c>
      <c r="D55" s="38"/>
      <c r="E55" s="38"/>
      <c r="F55" s="411">
        <v>37.840000000000003</v>
      </c>
      <c r="G55" s="454"/>
      <c r="H55" s="454"/>
      <c r="I55" s="411">
        <v>45.3</v>
      </c>
      <c r="J55" s="38"/>
      <c r="K55" s="38"/>
      <c r="L55" s="38"/>
    </row>
    <row r="56" spans="3:12" ht="15">
      <c r="C56" s="639"/>
      <c r="D56" s="639"/>
      <c r="E56" s="639"/>
      <c r="F56" s="639"/>
      <c r="G56" s="639"/>
      <c r="H56" s="639"/>
      <c r="I56" s="639"/>
      <c r="J56" s="639"/>
      <c r="K56" s="639"/>
      <c r="L56" s="639"/>
    </row>
    <row r="58" spans="3:12" ht="15">
      <c r="C58" s="639"/>
      <c r="D58" s="639"/>
      <c r="E58" s="639"/>
      <c r="F58" s="639"/>
      <c r="G58" s="639"/>
      <c r="H58" s="639"/>
      <c r="I58" s="639"/>
      <c r="J58" s="639"/>
      <c r="K58" s="639"/>
      <c r="L58" s="639"/>
    </row>
    <row r="59" spans="3:12" ht="15">
      <c r="C59" s="615"/>
      <c r="D59" s="615"/>
      <c r="E59" s="615"/>
      <c r="F59" s="615"/>
      <c r="G59" s="615"/>
      <c r="H59" s="615"/>
      <c r="I59" s="615"/>
      <c r="J59" s="615"/>
      <c r="K59" s="615"/>
      <c r="L59" s="615"/>
    </row>
    <row r="60" spans="3:12" ht="15">
      <c r="C60" s="249"/>
      <c r="D60" s="249"/>
      <c r="E60" s="249"/>
      <c r="F60" s="249"/>
      <c r="G60" s="249"/>
      <c r="H60" s="249"/>
      <c r="I60" s="249"/>
      <c r="J60" s="249"/>
      <c r="K60" s="249"/>
      <c r="L60" s="249"/>
    </row>
    <row r="61" spans="3:12" ht="15">
      <c r="C61" s="38"/>
      <c r="D61" s="38"/>
      <c r="E61" s="38"/>
      <c r="F61" s="38"/>
      <c r="G61" s="38"/>
      <c r="H61" s="38"/>
      <c r="I61" s="38"/>
      <c r="J61" s="38"/>
      <c r="K61" s="38"/>
      <c r="L61" s="38"/>
    </row>
    <row r="62" spans="3:12" ht="15">
      <c r="C62" s="413"/>
      <c r="D62" s="38"/>
      <c r="E62" s="38"/>
      <c r="F62" s="38"/>
      <c r="G62" s="38"/>
      <c r="H62" s="38"/>
      <c r="I62" s="38"/>
      <c r="J62" s="38"/>
      <c r="K62" s="38"/>
      <c r="L62" s="38"/>
    </row>
    <row r="63" spans="3:12" ht="15">
      <c r="C63" s="38"/>
      <c r="D63" s="38"/>
      <c r="E63" s="38"/>
      <c r="F63" s="249"/>
      <c r="G63" s="38"/>
      <c r="H63" s="38"/>
      <c r="I63" s="38"/>
      <c r="J63" s="38"/>
      <c r="K63" s="38"/>
      <c r="L63" s="38"/>
    </row>
    <row r="64" spans="3:12" ht="15">
      <c r="C64" s="249"/>
      <c r="D64" s="38"/>
      <c r="E64" s="38"/>
      <c r="F64" s="249"/>
      <c r="G64" s="249"/>
      <c r="I64" s="249"/>
      <c r="J64" s="38"/>
      <c r="K64" s="38"/>
      <c r="L64" s="38"/>
    </row>
    <row r="65" spans="3:12" ht="15">
      <c r="C65" s="414"/>
      <c r="D65" s="38"/>
      <c r="E65" s="38"/>
      <c r="F65" s="414"/>
      <c r="G65" s="414"/>
      <c r="I65" s="414"/>
      <c r="J65" s="38"/>
      <c r="K65" s="38"/>
      <c r="L65" s="38"/>
    </row>
    <row r="66" spans="3:12" ht="15">
      <c r="C66" s="38"/>
      <c r="D66" s="38"/>
      <c r="E66" s="38"/>
      <c r="F66" s="38"/>
      <c r="G66" s="38"/>
      <c r="I66" s="38"/>
      <c r="J66" s="38"/>
      <c r="K66" s="38"/>
      <c r="L66" s="38"/>
    </row>
    <row r="67" spans="3:12" ht="15">
      <c r="C67" s="253"/>
      <c r="D67" s="38"/>
      <c r="E67" s="38"/>
      <c r="F67" s="415"/>
      <c r="G67" s="415"/>
      <c r="I67" s="415"/>
      <c r="J67" s="38"/>
      <c r="K67" s="38"/>
      <c r="L67" s="38"/>
    </row>
    <row r="68" spans="3:12" ht="15">
      <c r="C68" s="253"/>
      <c r="D68" s="38"/>
      <c r="E68" s="38"/>
      <c r="F68" s="411"/>
      <c r="G68" s="411"/>
      <c r="I68" s="411"/>
      <c r="J68" s="38"/>
      <c r="K68" s="38"/>
      <c r="L68" s="38"/>
    </row>
    <row r="69" spans="3:12" ht="15">
      <c r="C69" s="249"/>
      <c r="D69" s="38"/>
      <c r="E69" s="38"/>
      <c r="F69" s="411"/>
      <c r="G69" s="411"/>
      <c r="I69" s="411"/>
      <c r="J69" s="38"/>
      <c r="K69" s="38"/>
      <c r="L69" s="38"/>
    </row>
    <row r="70" spans="3:12" ht="15">
      <c r="C70" s="253"/>
      <c r="D70" s="38"/>
      <c r="E70" s="38"/>
      <c r="F70" s="411"/>
      <c r="G70" s="411"/>
      <c r="I70" s="411"/>
      <c r="J70" s="38"/>
      <c r="K70" s="38"/>
      <c r="L70" s="38"/>
    </row>
    <row r="71" spans="3:12" ht="15">
      <c r="C71" s="249"/>
      <c r="D71" s="38"/>
      <c r="E71" s="38"/>
      <c r="F71" s="411"/>
      <c r="G71" s="411"/>
      <c r="I71" s="411"/>
      <c r="J71" s="38"/>
      <c r="K71" s="38"/>
      <c r="L71" s="38"/>
    </row>
    <row r="72" spans="3:12" ht="15">
      <c r="C72" s="249"/>
      <c r="D72" s="38"/>
      <c r="E72" s="38"/>
      <c r="F72" s="411"/>
      <c r="G72" s="411"/>
      <c r="I72" s="411"/>
      <c r="J72" s="38"/>
      <c r="K72" s="38"/>
      <c r="L72" s="38"/>
    </row>
    <row r="73" spans="3:12" ht="15">
      <c r="C73" s="249"/>
      <c r="D73" s="38"/>
      <c r="E73" s="38"/>
      <c r="F73" s="411"/>
      <c r="G73" s="411"/>
      <c r="I73" s="411"/>
      <c r="J73" s="38"/>
      <c r="K73" s="38"/>
      <c r="L73" s="38"/>
    </row>
    <row r="74" spans="3:12" ht="15">
      <c r="C74" s="249"/>
      <c r="D74" s="38"/>
      <c r="E74" s="38"/>
      <c r="F74" s="411"/>
      <c r="G74" s="411"/>
      <c r="I74" s="411"/>
      <c r="J74" s="38"/>
      <c r="K74" s="38"/>
      <c r="L74" s="38"/>
    </row>
    <row r="75" spans="3:12" ht="15">
      <c r="C75" s="249"/>
      <c r="D75" s="38"/>
      <c r="E75" s="38"/>
      <c r="F75" s="411"/>
      <c r="G75" s="411"/>
      <c r="I75" s="411"/>
      <c r="J75" s="38"/>
      <c r="K75" s="38"/>
      <c r="L75" s="38"/>
    </row>
    <row r="76" spans="3:12" ht="15">
      <c r="C76" s="249"/>
      <c r="D76" s="38"/>
      <c r="E76" s="38"/>
      <c r="F76" s="411"/>
      <c r="G76" s="411"/>
      <c r="I76" s="411"/>
      <c r="J76" s="38"/>
      <c r="K76" s="38"/>
      <c r="L76" s="38"/>
    </row>
    <row r="77" spans="3:12" ht="15">
      <c r="C77" s="38"/>
      <c r="D77" s="38"/>
      <c r="E77" s="38"/>
      <c r="F77" s="411"/>
      <c r="G77" s="411"/>
      <c r="I77" s="411"/>
      <c r="J77" s="38"/>
      <c r="K77" s="38"/>
      <c r="L77" s="38"/>
    </row>
    <row r="78" spans="3:12" ht="15">
      <c r="C78" s="38"/>
      <c r="D78" s="38"/>
      <c r="E78" s="38"/>
      <c r="F78" s="640"/>
      <c r="G78" s="640"/>
      <c r="H78" s="640"/>
      <c r="I78" s="38"/>
      <c r="J78" s="640"/>
      <c r="K78" s="640"/>
      <c r="L78" s="640"/>
    </row>
    <row r="79" spans="3:12" ht="15">
      <c r="C79" s="38"/>
      <c r="D79" s="38"/>
      <c r="E79" s="38"/>
      <c r="F79" s="412"/>
      <c r="G79" s="412"/>
      <c r="H79" s="412"/>
      <c r="I79" s="38"/>
      <c r="J79" s="412"/>
      <c r="K79" s="412"/>
      <c r="L79" s="412"/>
    </row>
    <row r="80" spans="3:12" ht="15">
      <c r="C80" s="413"/>
      <c r="D80" s="38"/>
      <c r="E80" s="38"/>
      <c r="F80" s="414"/>
      <c r="G80" s="414"/>
      <c r="H80" s="414"/>
      <c r="I80" s="38"/>
      <c r="J80" s="414"/>
      <c r="K80" s="414"/>
      <c r="L80" s="414"/>
    </row>
    <row r="81" spans="3:12" ht="15">
      <c r="C81" s="38"/>
      <c r="D81" s="38"/>
      <c r="E81" s="38"/>
      <c r="F81" s="38"/>
      <c r="G81" s="38"/>
      <c r="H81" s="38"/>
      <c r="I81" s="38"/>
      <c r="J81" s="38"/>
      <c r="K81" s="38"/>
      <c r="L81" s="38"/>
    </row>
    <row r="82" spans="3:12" ht="15">
      <c r="C82" s="38"/>
      <c r="D82" s="38"/>
      <c r="E82" s="38"/>
      <c r="F82" s="249"/>
      <c r="G82" s="406"/>
      <c r="H82" s="249"/>
      <c r="I82" s="38"/>
      <c r="J82" s="416"/>
      <c r="K82" s="406"/>
      <c r="L82" s="406"/>
    </row>
    <row r="83" spans="3:12" ht="15">
      <c r="C83" s="38"/>
      <c r="D83" s="38"/>
      <c r="E83" s="38"/>
      <c r="F83" s="417"/>
      <c r="G83" s="409"/>
      <c r="H83" s="418"/>
      <c r="I83" s="38"/>
      <c r="J83" s="419"/>
      <c r="K83" s="409"/>
      <c r="L83" s="409"/>
    </row>
    <row r="84" spans="3:12" ht="15">
      <c r="C84" s="38"/>
      <c r="D84" s="38"/>
      <c r="E84" s="38"/>
      <c r="F84" s="411"/>
      <c r="G84" s="409"/>
      <c r="H84" s="420"/>
      <c r="I84" s="38"/>
      <c r="J84" s="419"/>
      <c r="K84" s="409"/>
      <c r="L84" s="409"/>
    </row>
    <row r="85" spans="3:12" ht="15">
      <c r="C85" s="38"/>
      <c r="D85" s="38"/>
      <c r="E85" s="38"/>
      <c r="F85" s="411"/>
      <c r="G85" s="409"/>
      <c r="H85" s="420"/>
      <c r="I85" s="38"/>
      <c r="J85" s="419"/>
      <c r="K85" s="409"/>
      <c r="L85" s="409"/>
    </row>
    <row r="86" spans="3:12" ht="15">
      <c r="C86" s="38"/>
      <c r="D86" s="38"/>
      <c r="E86" s="38"/>
      <c r="F86" s="411"/>
      <c r="G86" s="409"/>
      <c r="H86" s="420"/>
      <c r="I86" s="38"/>
      <c r="J86" s="419"/>
      <c r="K86" s="409"/>
      <c r="L86" s="409"/>
    </row>
    <row r="87" spans="3:12" ht="15">
      <c r="C87" s="38"/>
      <c r="D87" s="38"/>
      <c r="E87" s="38"/>
      <c r="F87" s="409"/>
      <c r="G87" s="409"/>
      <c r="H87" s="420"/>
      <c r="I87" s="38"/>
      <c r="J87" s="419"/>
      <c r="K87" s="409"/>
      <c r="L87" s="409"/>
    </row>
    <row r="88" spans="3:12" ht="15">
      <c r="C88" s="38"/>
      <c r="D88" s="38"/>
      <c r="E88" s="38"/>
      <c r="F88" s="409"/>
      <c r="G88" s="409"/>
      <c r="H88" s="420"/>
      <c r="I88" s="38"/>
      <c r="J88" s="409"/>
      <c r="K88" s="409"/>
      <c r="L88" s="409"/>
    </row>
    <row r="89" spans="3:12" ht="15">
      <c r="C89" s="38"/>
      <c r="D89" s="38"/>
      <c r="E89" s="38"/>
      <c r="F89" s="38"/>
      <c r="G89" s="38"/>
      <c r="H89" s="38"/>
      <c r="I89" s="38"/>
      <c r="J89" s="409"/>
      <c r="K89" s="409"/>
      <c r="L89" s="409"/>
    </row>
    <row r="90" spans="3:12" ht="15">
      <c r="C90" s="413"/>
      <c r="D90" s="38"/>
      <c r="E90" s="38"/>
      <c r="F90" s="38"/>
      <c r="G90" s="38"/>
      <c r="H90" s="38"/>
      <c r="I90" s="38"/>
      <c r="J90" s="38"/>
      <c r="K90" s="38"/>
      <c r="L90" s="38"/>
    </row>
    <row r="91" spans="3:12" ht="15">
      <c r="C91" s="639"/>
      <c r="D91" s="639"/>
      <c r="E91" s="639"/>
      <c r="F91" s="639"/>
      <c r="G91" s="639"/>
      <c r="H91" s="639"/>
      <c r="I91" s="639"/>
      <c r="J91" s="639"/>
      <c r="K91" s="639"/>
      <c r="L91" s="639"/>
    </row>
    <row r="93" spans="3:12" ht="15">
      <c r="C93" s="639"/>
      <c r="D93" s="639"/>
      <c r="E93" s="639"/>
      <c r="F93" s="639"/>
      <c r="G93" s="639"/>
      <c r="H93" s="639"/>
      <c r="I93" s="639"/>
      <c r="J93" s="639"/>
      <c r="K93" s="639"/>
      <c r="L93" s="639"/>
    </row>
    <row r="94" spans="3:12" ht="15">
      <c r="C94" s="615"/>
      <c r="D94" s="615"/>
      <c r="E94" s="615"/>
      <c r="F94" s="615"/>
      <c r="G94" s="615"/>
      <c r="H94" s="615"/>
      <c r="I94" s="615"/>
      <c r="J94" s="615"/>
      <c r="K94" s="615"/>
      <c r="L94" s="615"/>
    </row>
    <row r="95" spans="3:12" ht="15">
      <c r="C95" s="249"/>
      <c r="D95" s="249"/>
      <c r="E95" s="249"/>
      <c r="F95" s="249"/>
      <c r="G95" s="249"/>
      <c r="H95" s="249"/>
      <c r="I95" s="249"/>
      <c r="J95" s="249"/>
      <c r="K95" s="249"/>
      <c r="L95" s="249"/>
    </row>
    <row r="96" spans="3:12" ht="15">
      <c r="C96" s="38"/>
      <c r="D96" s="38"/>
      <c r="E96" s="38"/>
      <c r="F96" s="38"/>
      <c r="G96" s="38"/>
      <c r="H96" s="38"/>
      <c r="I96" s="38"/>
      <c r="J96" s="38"/>
      <c r="K96" s="38"/>
      <c r="L96" s="38"/>
    </row>
    <row r="97" spans="3:12" ht="15">
      <c r="C97" s="413"/>
      <c r="D97" s="38"/>
      <c r="E97" s="38"/>
      <c r="F97" s="38"/>
      <c r="G97" s="38"/>
      <c r="H97" s="38"/>
      <c r="I97" s="38"/>
      <c r="J97" s="38"/>
      <c r="K97" s="38"/>
      <c r="L97" s="38"/>
    </row>
    <row r="98" spans="3:12" ht="15">
      <c r="C98" s="38"/>
      <c r="D98" s="38"/>
      <c r="E98" s="38"/>
      <c r="F98" s="249"/>
      <c r="G98" s="38"/>
      <c r="H98" s="38"/>
      <c r="I98" s="38"/>
      <c r="J98" s="38"/>
      <c r="K98" s="38"/>
      <c r="L98" s="38"/>
    </row>
    <row r="99" spans="3:12" ht="15">
      <c r="C99" s="249"/>
      <c r="D99" s="38"/>
      <c r="E99" s="38"/>
      <c r="F99" s="249"/>
      <c r="G99" s="249"/>
      <c r="I99" s="249"/>
      <c r="J99" s="38"/>
      <c r="K99" s="38"/>
      <c r="L99" s="38"/>
    </row>
    <row r="100" spans="3:12" ht="15">
      <c r="C100" s="414"/>
      <c r="D100" s="38"/>
      <c r="E100" s="38"/>
      <c r="F100" s="414"/>
      <c r="G100" s="414"/>
      <c r="I100" s="414"/>
      <c r="J100" s="38"/>
      <c r="K100" s="38"/>
      <c r="L100" s="38"/>
    </row>
    <row r="101" spans="3:12" ht="15">
      <c r="C101" s="38"/>
      <c r="D101" s="38"/>
      <c r="E101" s="38"/>
      <c r="F101" s="38"/>
      <c r="G101" s="38"/>
      <c r="I101" s="38"/>
      <c r="J101" s="38"/>
      <c r="K101" s="38"/>
      <c r="L101" s="38"/>
    </row>
    <row r="102" spans="3:12" ht="15">
      <c r="C102" s="253"/>
      <c r="D102" s="38"/>
      <c r="E102" s="38"/>
      <c r="F102" s="415"/>
      <c r="G102" s="415"/>
      <c r="I102" s="415"/>
      <c r="J102" s="38"/>
      <c r="K102" s="38"/>
      <c r="L102" s="38"/>
    </row>
    <row r="103" spans="3:12" ht="15">
      <c r="C103" s="253"/>
      <c r="D103" s="38"/>
      <c r="E103" s="38"/>
      <c r="F103" s="411"/>
      <c r="G103" s="411"/>
      <c r="I103" s="411"/>
      <c r="J103" s="38"/>
      <c r="K103" s="38"/>
      <c r="L103" s="38"/>
    </row>
    <row r="104" spans="3:12" ht="15">
      <c r="C104" s="249"/>
      <c r="D104" s="38"/>
      <c r="E104" s="38"/>
      <c r="F104" s="411"/>
      <c r="G104" s="411"/>
      <c r="I104" s="411"/>
      <c r="J104" s="38"/>
      <c r="K104" s="38"/>
      <c r="L104" s="38"/>
    </row>
    <row r="105" spans="3:12" ht="15">
      <c r="C105" s="253"/>
      <c r="D105" s="38"/>
      <c r="E105" s="38"/>
      <c r="F105" s="411"/>
      <c r="G105" s="411"/>
      <c r="I105" s="411"/>
      <c r="J105" s="38"/>
      <c r="K105" s="38"/>
      <c r="L105" s="38"/>
    </row>
    <row r="106" spans="3:12" ht="15">
      <c r="C106" s="249"/>
      <c r="D106" s="38"/>
      <c r="E106" s="38"/>
      <c r="F106" s="411"/>
      <c r="G106" s="411"/>
      <c r="I106" s="411"/>
      <c r="J106" s="38"/>
      <c r="K106" s="38"/>
      <c r="L106" s="38"/>
    </row>
    <row r="107" spans="3:12" ht="15">
      <c r="C107" s="249"/>
      <c r="D107" s="38"/>
      <c r="E107" s="38"/>
      <c r="F107" s="411"/>
      <c r="G107" s="411"/>
      <c r="I107" s="411"/>
      <c r="J107" s="38"/>
      <c r="K107" s="38"/>
      <c r="L107" s="38"/>
    </row>
    <row r="108" spans="3:12" ht="15">
      <c r="C108" s="249"/>
      <c r="D108" s="38"/>
      <c r="E108" s="38"/>
      <c r="F108" s="411"/>
      <c r="G108" s="411"/>
      <c r="I108" s="411"/>
      <c r="J108" s="38"/>
      <c r="K108" s="38"/>
      <c r="L108" s="38"/>
    </row>
    <row r="109" spans="3:12" ht="15">
      <c r="C109" s="249"/>
      <c r="D109" s="38"/>
      <c r="E109" s="38"/>
      <c r="F109" s="411"/>
      <c r="G109" s="411"/>
      <c r="I109" s="411"/>
      <c r="J109" s="38"/>
      <c r="K109" s="38"/>
      <c r="L109" s="38"/>
    </row>
    <row r="110" spans="3:12" ht="15">
      <c r="C110" s="249"/>
      <c r="D110" s="38"/>
      <c r="E110" s="38"/>
      <c r="F110" s="411"/>
      <c r="G110" s="411"/>
      <c r="I110" s="411"/>
      <c r="J110" s="38"/>
      <c r="K110" s="38"/>
      <c r="L110" s="38"/>
    </row>
    <row r="111" spans="3:12" ht="15">
      <c r="C111" s="249"/>
      <c r="D111" s="38"/>
      <c r="E111" s="38"/>
      <c r="F111" s="411"/>
      <c r="G111" s="411"/>
      <c r="I111" s="411"/>
      <c r="J111" s="38"/>
      <c r="K111" s="38"/>
      <c r="L111" s="38"/>
    </row>
    <row r="112" spans="3:12" ht="15">
      <c r="C112" s="38"/>
      <c r="D112" s="38"/>
      <c r="E112" s="38"/>
      <c r="F112" s="411"/>
      <c r="G112" s="411"/>
      <c r="I112" s="411"/>
      <c r="J112" s="38"/>
      <c r="K112" s="38"/>
      <c r="L112" s="38"/>
    </row>
    <row r="113" spans="3:12" ht="15">
      <c r="C113" s="38"/>
      <c r="D113" s="38"/>
      <c r="E113" s="38"/>
      <c r="F113" s="640"/>
      <c r="G113" s="640"/>
      <c r="H113" s="640"/>
      <c r="I113" s="38"/>
      <c r="J113" s="640"/>
      <c r="K113" s="640"/>
      <c r="L113" s="640"/>
    </row>
    <row r="114" spans="3:12" ht="15">
      <c r="C114" s="38"/>
      <c r="D114" s="38"/>
      <c r="E114" s="38"/>
      <c r="F114" s="412"/>
      <c r="G114" s="412"/>
      <c r="H114" s="412"/>
      <c r="I114" s="38"/>
      <c r="J114" s="412"/>
      <c r="K114" s="412"/>
      <c r="L114" s="412"/>
    </row>
    <row r="115" spans="3:12" ht="15">
      <c r="C115" s="413"/>
      <c r="D115" s="38"/>
      <c r="E115" s="38"/>
      <c r="F115" s="414"/>
      <c r="G115" s="414"/>
      <c r="H115" s="414"/>
      <c r="I115" s="38"/>
      <c r="J115" s="414"/>
      <c r="K115" s="414"/>
      <c r="L115" s="414"/>
    </row>
    <row r="116" spans="3:12" ht="15">
      <c r="C116" s="38"/>
      <c r="D116" s="38"/>
      <c r="E116" s="38"/>
      <c r="F116" s="38"/>
      <c r="G116" s="38"/>
      <c r="H116" s="38"/>
      <c r="I116" s="38"/>
      <c r="J116" s="38"/>
      <c r="K116" s="38"/>
      <c r="L116" s="38"/>
    </row>
    <row r="117" spans="3:12" ht="15">
      <c r="C117" s="38"/>
      <c r="D117" s="38"/>
      <c r="E117" s="38"/>
      <c r="F117" s="249"/>
      <c r="G117" s="406"/>
      <c r="H117" s="249"/>
      <c r="I117" s="38"/>
      <c r="J117" s="416"/>
      <c r="K117" s="406"/>
      <c r="L117" s="406"/>
    </row>
    <row r="118" spans="3:12" ht="15">
      <c r="C118" s="38"/>
      <c r="D118" s="38"/>
      <c r="E118" s="38"/>
      <c r="F118" s="417"/>
      <c r="G118" s="409"/>
      <c r="H118" s="421"/>
      <c r="I118" s="38"/>
      <c r="J118" s="419"/>
      <c r="K118" s="409"/>
      <c r="L118" s="409"/>
    </row>
    <row r="119" spans="3:12" ht="15">
      <c r="C119" s="38"/>
      <c r="D119" s="38"/>
      <c r="E119" s="38"/>
      <c r="F119" s="411"/>
      <c r="G119" s="409"/>
      <c r="H119" s="422"/>
      <c r="I119" s="38"/>
      <c r="J119" s="419"/>
      <c r="K119" s="409"/>
      <c r="L119" s="409"/>
    </row>
    <row r="120" spans="3:12" ht="15">
      <c r="C120" s="38"/>
      <c r="D120" s="38"/>
      <c r="E120" s="38"/>
      <c r="F120" s="409"/>
      <c r="G120" s="409"/>
      <c r="H120" s="420"/>
      <c r="I120" s="38"/>
      <c r="J120" s="419"/>
      <c r="K120" s="409"/>
      <c r="L120" s="409"/>
    </row>
    <row r="121" spans="3:12" ht="15">
      <c r="C121" s="38"/>
      <c r="D121" s="38"/>
      <c r="E121" s="38"/>
      <c r="F121" s="409"/>
      <c r="G121" s="409"/>
      <c r="H121" s="420"/>
      <c r="I121" s="38"/>
      <c r="J121" s="409"/>
      <c r="K121" s="409"/>
      <c r="L121" s="409"/>
    </row>
    <row r="123" spans="3:12" ht="15">
      <c r="C123" s="639"/>
      <c r="D123" s="639"/>
      <c r="E123" s="639"/>
      <c r="F123" s="639"/>
      <c r="G123" s="639"/>
      <c r="H123" s="639"/>
      <c r="I123" s="639"/>
      <c r="J123" s="639"/>
      <c r="K123" s="639"/>
      <c r="L123" s="639"/>
    </row>
    <row r="125" spans="3:12" ht="15">
      <c r="C125" s="639"/>
      <c r="D125" s="639"/>
      <c r="E125" s="639"/>
      <c r="F125" s="639"/>
      <c r="G125" s="639"/>
      <c r="H125" s="639"/>
      <c r="I125" s="639"/>
      <c r="J125" s="639"/>
      <c r="K125" s="639"/>
      <c r="L125" s="639"/>
    </row>
    <row r="126" spans="3:12" ht="15">
      <c r="C126" s="615"/>
      <c r="D126" s="615"/>
      <c r="E126" s="615"/>
      <c r="F126" s="615"/>
      <c r="G126" s="615"/>
      <c r="H126" s="615"/>
      <c r="I126" s="615"/>
      <c r="J126" s="615"/>
      <c r="K126" s="615"/>
      <c r="L126" s="615"/>
    </row>
    <row r="127" spans="3:12" ht="15">
      <c r="C127" s="249"/>
      <c r="D127" s="249"/>
      <c r="E127" s="249"/>
      <c r="F127" s="249"/>
      <c r="G127" s="249"/>
      <c r="H127" s="249"/>
      <c r="I127" s="249"/>
      <c r="J127" s="249"/>
      <c r="K127" s="249"/>
      <c r="L127" s="249"/>
    </row>
    <row r="128" spans="3:12" ht="15">
      <c r="C128" s="38"/>
      <c r="D128" s="38"/>
      <c r="E128" s="38"/>
      <c r="F128" s="38"/>
      <c r="G128" s="38"/>
      <c r="H128" s="38"/>
      <c r="I128" s="38"/>
      <c r="J128" s="38"/>
      <c r="K128" s="38"/>
      <c r="L128" s="38"/>
    </row>
    <row r="129" spans="3:12" ht="15">
      <c r="C129" s="413"/>
      <c r="D129" s="38"/>
      <c r="E129" s="38"/>
      <c r="F129" s="38"/>
      <c r="G129" s="38"/>
      <c r="H129" s="38"/>
      <c r="I129" s="38"/>
      <c r="J129" s="38"/>
      <c r="K129" s="38"/>
      <c r="L129" s="38"/>
    </row>
    <row r="130" spans="3:12" ht="9.75" customHeight="1">
      <c r="C130" s="38"/>
      <c r="D130" s="38"/>
      <c r="E130" s="38"/>
      <c r="F130" s="249"/>
      <c r="G130" s="38"/>
      <c r="H130" s="38"/>
      <c r="I130" s="38"/>
      <c r="J130" s="38"/>
      <c r="K130" s="38"/>
      <c r="L130" s="38"/>
    </row>
    <row r="131" spans="3:12" ht="15">
      <c r="C131" s="249"/>
      <c r="D131" s="38"/>
      <c r="E131" s="38"/>
      <c r="F131" s="641"/>
      <c r="G131" s="641"/>
      <c r="H131" s="641"/>
      <c r="I131" s="641"/>
      <c r="J131" s="38"/>
      <c r="K131" s="38"/>
      <c r="L131" s="249"/>
    </row>
    <row r="132" spans="3:12" ht="15">
      <c r="C132" s="414"/>
      <c r="D132" s="38"/>
      <c r="E132" s="38"/>
      <c r="F132" s="414"/>
      <c r="G132" s="414"/>
      <c r="H132" s="414"/>
      <c r="I132" s="414"/>
      <c r="J132" s="38"/>
      <c r="K132" s="38"/>
      <c r="L132" s="414"/>
    </row>
    <row r="133" spans="3:12" ht="15">
      <c r="C133" s="38"/>
      <c r="D133" s="38"/>
      <c r="E133" s="38"/>
      <c r="F133" s="38"/>
      <c r="G133" s="38"/>
      <c r="J133" s="38"/>
      <c r="K133" s="38"/>
      <c r="L133" s="38"/>
    </row>
    <row r="134" spans="3:12" ht="15">
      <c r="C134" s="253"/>
      <c r="D134" s="38"/>
      <c r="E134" s="38"/>
      <c r="F134" s="415"/>
      <c r="G134" s="415"/>
      <c r="H134" s="415"/>
      <c r="I134" s="415"/>
      <c r="J134" s="38"/>
      <c r="K134" s="38"/>
      <c r="L134" s="415"/>
    </row>
    <row r="135" spans="3:12" ht="15">
      <c r="C135" s="253"/>
      <c r="D135" s="38"/>
      <c r="E135" s="38"/>
      <c r="F135" s="411"/>
      <c r="G135" s="411"/>
      <c r="H135" s="411"/>
      <c r="I135" s="411"/>
      <c r="J135" s="38"/>
      <c r="K135" s="38"/>
      <c r="L135" s="411"/>
    </row>
    <row r="136" spans="3:12" ht="15">
      <c r="C136" s="249"/>
      <c r="D136" s="38"/>
      <c r="E136" s="38"/>
      <c r="F136" s="411"/>
      <c r="G136" s="411"/>
      <c r="H136" s="411"/>
      <c r="I136" s="411"/>
      <c r="J136" s="38"/>
      <c r="K136" s="38"/>
      <c r="L136" s="411"/>
    </row>
    <row r="137" spans="3:12" ht="15">
      <c r="C137" s="253"/>
      <c r="D137" s="38"/>
      <c r="E137" s="38"/>
      <c r="F137" s="411"/>
      <c r="G137" s="411"/>
      <c r="H137" s="411"/>
      <c r="I137" s="411"/>
      <c r="J137" s="38"/>
      <c r="K137" s="38"/>
      <c r="L137" s="411"/>
    </row>
    <row r="138" spans="3:12" ht="15">
      <c r="C138" s="249"/>
      <c r="D138" s="38"/>
      <c r="E138" s="38"/>
      <c r="F138" s="411"/>
      <c r="G138" s="411"/>
      <c r="H138" s="411"/>
      <c r="I138" s="411"/>
      <c r="J138" s="38"/>
      <c r="K138" s="38"/>
      <c r="L138" s="411"/>
    </row>
    <row r="139" spans="3:12" ht="15">
      <c r="C139" s="249"/>
      <c r="D139" s="38"/>
      <c r="E139" s="38"/>
      <c r="F139" s="411"/>
      <c r="G139" s="411"/>
      <c r="H139" s="411"/>
      <c r="I139" s="411"/>
      <c r="J139" s="38"/>
      <c r="K139" s="38"/>
      <c r="L139" s="411"/>
    </row>
    <row r="140" spans="3:12" ht="15">
      <c r="C140" s="249"/>
      <c r="D140" s="38"/>
      <c r="E140" s="38"/>
      <c r="F140" s="411"/>
      <c r="G140" s="411"/>
      <c r="H140" s="411"/>
      <c r="I140" s="411"/>
      <c r="J140" s="38"/>
      <c r="K140" s="38"/>
      <c r="L140" s="411"/>
    </row>
    <row r="141" spans="3:12" ht="15">
      <c r="C141" s="249"/>
      <c r="D141" s="38"/>
      <c r="E141" s="38"/>
      <c r="F141" s="411"/>
      <c r="G141" s="411"/>
      <c r="H141" s="411"/>
      <c r="I141" s="411"/>
      <c r="J141" s="38"/>
      <c r="K141" s="38"/>
      <c r="L141" s="411"/>
    </row>
    <row r="142" spans="3:12" ht="15">
      <c r="C142" s="249"/>
      <c r="D142" s="38"/>
      <c r="E142" s="38"/>
      <c r="F142" s="411"/>
      <c r="G142" s="411"/>
      <c r="H142" s="411"/>
      <c r="I142" s="411"/>
      <c r="J142" s="38"/>
      <c r="K142" s="38"/>
      <c r="L142" s="411"/>
    </row>
    <row r="143" spans="3:12" ht="15">
      <c r="C143" s="249"/>
      <c r="D143" s="38"/>
      <c r="E143" s="38"/>
      <c r="F143" s="411"/>
      <c r="G143" s="411"/>
      <c r="I143" s="411"/>
      <c r="J143" s="38"/>
      <c r="K143" s="38"/>
      <c r="L143" s="38"/>
    </row>
    <row r="144" spans="3:12" ht="15">
      <c r="C144" s="38"/>
      <c r="D144" s="38"/>
      <c r="E144" s="38"/>
      <c r="F144" s="411"/>
      <c r="G144" s="411"/>
      <c r="I144" s="411"/>
      <c r="J144" s="38"/>
      <c r="K144" s="38"/>
      <c r="L144" s="38"/>
    </row>
    <row r="145" spans="3:12" ht="15">
      <c r="C145" s="38"/>
      <c r="D145" s="38"/>
      <c r="E145" s="38"/>
      <c r="F145" s="640"/>
      <c r="G145" s="640"/>
      <c r="H145" s="640"/>
      <c r="I145" s="38"/>
      <c r="J145" s="640"/>
      <c r="K145" s="640"/>
      <c r="L145" s="640"/>
    </row>
    <row r="146" spans="3:12" ht="15">
      <c r="C146" s="38"/>
      <c r="D146" s="38"/>
      <c r="E146" s="38"/>
      <c r="F146" s="412"/>
      <c r="G146" s="412"/>
      <c r="H146" s="412"/>
      <c r="I146" s="38"/>
      <c r="J146" s="412"/>
      <c r="K146" s="412"/>
      <c r="L146" s="412"/>
    </row>
    <row r="147" spans="3:12" ht="15">
      <c r="C147" s="413"/>
      <c r="D147" s="38"/>
      <c r="E147" s="38"/>
      <c r="F147" s="414"/>
      <c r="G147" s="414"/>
      <c r="H147" s="414"/>
      <c r="I147" s="38"/>
      <c r="J147" s="414"/>
      <c r="K147" s="414"/>
      <c r="L147" s="414"/>
    </row>
    <row r="148" spans="3:12" ht="8.25" customHeight="1">
      <c r="C148" s="38"/>
      <c r="D148" s="38"/>
      <c r="E148" s="38"/>
      <c r="F148" s="38"/>
      <c r="G148" s="38"/>
      <c r="H148" s="38"/>
      <c r="I148" s="38"/>
      <c r="J148" s="38"/>
      <c r="K148" s="38"/>
      <c r="L148" s="38"/>
    </row>
    <row r="149" spans="3:12" ht="15">
      <c r="C149" s="38"/>
      <c r="D149" s="38"/>
      <c r="E149" s="38"/>
      <c r="F149" s="249"/>
      <c r="G149" s="406"/>
      <c r="H149" s="249"/>
      <c r="I149" s="38"/>
      <c r="J149" s="416"/>
      <c r="K149" s="406"/>
      <c r="L149" s="406"/>
    </row>
    <row r="150" spans="3:12" ht="15">
      <c r="C150" s="38"/>
      <c r="D150" s="38"/>
      <c r="E150" s="38"/>
      <c r="F150" s="417"/>
      <c r="G150" s="409"/>
      <c r="H150" s="418"/>
      <c r="I150" s="38"/>
      <c r="J150" s="419"/>
      <c r="K150" s="409"/>
      <c r="L150" s="409"/>
    </row>
    <row r="151" spans="3:12" ht="15">
      <c r="C151" s="38"/>
      <c r="D151" s="38"/>
      <c r="E151" s="38"/>
      <c r="F151" s="411"/>
      <c r="G151" s="409"/>
      <c r="H151" s="420"/>
      <c r="I151" s="38"/>
      <c r="J151" s="419"/>
      <c r="K151" s="409"/>
      <c r="L151" s="409"/>
    </row>
    <row r="152" spans="3:12" ht="15">
      <c r="C152" s="38"/>
      <c r="D152" s="38"/>
      <c r="E152" s="38"/>
      <c r="F152" s="411"/>
      <c r="G152" s="409"/>
      <c r="H152" s="420"/>
      <c r="I152" s="38"/>
      <c r="J152" s="419"/>
      <c r="K152" s="409"/>
      <c r="L152" s="409"/>
    </row>
    <row r="153" spans="3:12" ht="15">
      <c r="C153" s="38"/>
      <c r="D153" s="38"/>
      <c r="E153" s="38"/>
      <c r="F153" s="411"/>
      <c r="G153" s="409"/>
      <c r="H153" s="420"/>
      <c r="I153" s="38"/>
      <c r="J153" s="419"/>
      <c r="K153" s="409"/>
      <c r="L153" s="409"/>
    </row>
    <row r="154" spans="3:12" ht="15">
      <c r="C154" s="38"/>
      <c r="D154" s="38"/>
      <c r="E154" s="38"/>
      <c r="F154" s="411"/>
      <c r="G154" s="409"/>
      <c r="H154" s="420"/>
      <c r="I154" s="38"/>
      <c r="J154" s="419"/>
      <c r="K154" s="409"/>
      <c r="L154" s="409"/>
    </row>
    <row r="155" spans="3:12" ht="15">
      <c r="C155" s="38"/>
      <c r="D155" s="38"/>
      <c r="E155" s="38"/>
      <c r="F155" s="411"/>
      <c r="G155" s="409"/>
      <c r="H155" s="420"/>
      <c r="I155" s="38"/>
      <c r="J155" s="419"/>
      <c r="K155" s="409"/>
      <c r="L155" s="409"/>
    </row>
    <row r="156" spans="3:12" ht="15">
      <c r="C156" s="38"/>
      <c r="D156" s="38"/>
      <c r="E156" s="38"/>
      <c r="F156" s="409"/>
      <c r="G156" s="409"/>
      <c r="H156" s="420"/>
      <c r="I156" s="38"/>
      <c r="J156" s="419"/>
      <c r="K156" s="409"/>
      <c r="L156" s="409"/>
    </row>
    <row r="157" spans="3:12" ht="15">
      <c r="C157" s="38"/>
      <c r="D157" s="38"/>
      <c r="E157" s="38"/>
      <c r="F157" s="409"/>
      <c r="G157" s="409"/>
      <c r="H157" s="420"/>
      <c r="I157" s="38"/>
      <c r="J157" s="409"/>
      <c r="K157" s="409"/>
      <c r="L157" s="409"/>
    </row>
    <row r="158" spans="3:12" ht="9.75" customHeight="1">
      <c r="C158" s="38"/>
      <c r="D158" s="38"/>
      <c r="E158" s="38"/>
      <c r="F158" s="411"/>
      <c r="G158" s="411"/>
      <c r="I158" s="38"/>
      <c r="J158" s="38"/>
      <c r="K158" s="38"/>
      <c r="L158" s="38"/>
    </row>
    <row r="159" spans="3:12" ht="15">
      <c r="C159" s="413"/>
      <c r="D159" s="38"/>
      <c r="E159" s="38"/>
      <c r="F159" s="414"/>
      <c r="G159" s="414"/>
      <c r="H159" s="414"/>
      <c r="I159" s="38"/>
      <c r="J159" s="414"/>
      <c r="K159" s="414"/>
      <c r="L159" s="414"/>
    </row>
    <row r="160" spans="3:12" ht="9.1999999999999993" customHeight="1">
      <c r="C160" s="38"/>
      <c r="D160" s="38"/>
      <c r="E160" s="38"/>
      <c r="F160" s="38"/>
      <c r="G160" s="38"/>
      <c r="H160" s="38"/>
      <c r="I160" s="38"/>
      <c r="J160" s="38"/>
      <c r="K160" s="38"/>
      <c r="L160" s="38"/>
    </row>
    <row r="161" spans="3:12" ht="15">
      <c r="C161" s="38"/>
      <c r="D161" s="38"/>
      <c r="E161" s="38"/>
      <c r="F161" s="249"/>
      <c r="G161" s="406"/>
      <c r="H161" s="249"/>
      <c r="I161" s="38"/>
      <c r="J161" s="416"/>
      <c r="K161" s="406"/>
      <c r="L161" s="406"/>
    </row>
    <row r="162" spans="3:12" ht="15">
      <c r="C162" s="38"/>
      <c r="D162" s="38"/>
      <c r="E162" s="38"/>
      <c r="F162" s="417"/>
      <c r="G162" s="409"/>
      <c r="H162" s="421"/>
      <c r="I162" s="38"/>
      <c r="J162" s="419"/>
      <c r="K162" s="409"/>
      <c r="L162" s="409"/>
    </row>
    <row r="163" spans="3:12" ht="15">
      <c r="C163" s="38"/>
      <c r="D163" s="38"/>
      <c r="E163" s="38"/>
      <c r="F163" s="411"/>
      <c r="G163" s="409"/>
      <c r="H163" s="422"/>
      <c r="I163" s="38"/>
      <c r="J163" s="419"/>
      <c r="K163" s="409"/>
      <c r="L163" s="409"/>
    </row>
    <row r="164" spans="3:12" ht="15">
      <c r="C164" s="38"/>
      <c r="D164" s="38"/>
      <c r="E164" s="38"/>
      <c r="F164" s="409"/>
      <c r="G164" s="409"/>
      <c r="H164" s="420"/>
      <c r="I164" s="38"/>
      <c r="J164" s="419"/>
      <c r="K164" s="409"/>
      <c r="L164" s="409"/>
    </row>
    <row r="165" spans="3:12" ht="15" customHeight="1">
      <c r="F165" s="409"/>
      <c r="G165" s="409"/>
      <c r="H165" s="420"/>
      <c r="I165" s="38"/>
      <c r="J165" s="409"/>
      <c r="K165" s="409"/>
      <c r="L165" s="409"/>
    </row>
    <row r="166" spans="3:12" ht="8.25" customHeight="1">
      <c r="C166" s="38"/>
      <c r="D166" s="38"/>
      <c r="E166" s="38"/>
      <c r="F166" s="411"/>
      <c r="G166" s="411"/>
      <c r="I166" s="38"/>
      <c r="J166" s="38"/>
      <c r="K166" s="38"/>
      <c r="L166" s="38"/>
    </row>
    <row r="167" spans="3:12" ht="15">
      <c r="C167" s="413"/>
      <c r="D167" s="38"/>
      <c r="E167" s="38"/>
      <c r="F167" s="414"/>
      <c r="G167" s="414"/>
      <c r="H167" s="414"/>
      <c r="I167" s="38"/>
      <c r="J167" s="414"/>
      <c r="K167" s="414"/>
      <c r="L167" s="414"/>
    </row>
    <row r="168" spans="3:12" ht="7.5" customHeight="1">
      <c r="C168" s="38"/>
      <c r="D168" s="38"/>
      <c r="E168" s="38"/>
      <c r="F168" s="38"/>
      <c r="G168" s="38"/>
      <c r="H168" s="38"/>
      <c r="I168" s="38"/>
      <c r="J168" s="38"/>
      <c r="K168" s="38"/>
      <c r="L168" s="38"/>
    </row>
    <row r="169" spans="3:12" ht="15">
      <c r="C169" s="38"/>
      <c r="D169" s="38"/>
      <c r="E169" s="38"/>
      <c r="F169" s="249"/>
      <c r="G169" s="406"/>
      <c r="H169" s="249"/>
      <c r="I169" s="38"/>
      <c r="J169" s="416"/>
      <c r="K169" s="406"/>
      <c r="L169" s="406"/>
    </row>
    <row r="170" spans="3:12" ht="15">
      <c r="C170" s="38"/>
      <c r="D170" s="38"/>
      <c r="E170" s="38"/>
      <c r="F170" s="417"/>
      <c r="G170" s="409"/>
      <c r="H170" s="421"/>
      <c r="I170" s="38"/>
      <c r="J170" s="419"/>
      <c r="K170" s="409"/>
      <c r="L170" s="409"/>
    </row>
    <row r="171" spans="3:12" ht="15">
      <c r="C171" s="38"/>
      <c r="D171" s="38"/>
      <c r="E171" s="38"/>
      <c r="F171" s="411"/>
      <c r="G171" s="409"/>
      <c r="H171" s="422"/>
      <c r="I171" s="38"/>
      <c r="J171" s="419"/>
      <c r="K171" s="409"/>
      <c r="L171" s="409"/>
    </row>
    <row r="172" spans="3:12" ht="15">
      <c r="C172" s="38"/>
      <c r="D172" s="38"/>
      <c r="E172" s="38"/>
      <c r="F172" s="409"/>
      <c r="G172" s="409"/>
      <c r="H172" s="420"/>
      <c r="I172" s="38"/>
      <c r="J172" s="419"/>
      <c r="K172" s="409"/>
      <c r="L172" s="409"/>
    </row>
  </sheetData>
  <mergeCells count="21">
    <mergeCell ref="J29:L29"/>
    <mergeCell ref="F29:H29"/>
    <mergeCell ref="C7:L7"/>
    <mergeCell ref="C9:L9"/>
    <mergeCell ref="C10:L10"/>
    <mergeCell ref="C91:L91"/>
    <mergeCell ref="C93:L93"/>
    <mergeCell ref="C94:L94"/>
    <mergeCell ref="F113:H113"/>
    <mergeCell ref="J113:L113"/>
    <mergeCell ref="C56:L56"/>
    <mergeCell ref="C58:L58"/>
    <mergeCell ref="C59:L59"/>
    <mergeCell ref="F78:H78"/>
    <mergeCell ref="J78:L78"/>
    <mergeCell ref="C123:L123"/>
    <mergeCell ref="C125:L125"/>
    <mergeCell ref="C126:L126"/>
    <mergeCell ref="F145:H145"/>
    <mergeCell ref="J145:L145"/>
    <mergeCell ref="F131:I131"/>
  </mergeCells>
  <phoneticPr fontId="11" type="noConversion"/>
  <pageMargins left="1" right="0.75" top="1" bottom="0.75" header="0.5" footer="0.5"/>
  <pageSetup scale="92" orientation="portrait" r:id="rId1"/>
  <headerFooter alignWithMargins="0"/>
  <rowBreaks count="3" manualBreakCount="3">
    <brk id="55" min="2" max="11" man="1"/>
    <brk id="90" min="2" max="11" man="1"/>
    <brk id="122" min="2" max="11" man="1"/>
  </rowBreaks>
</worksheet>
</file>

<file path=xl/worksheets/sheet3.xml><?xml version="1.0" encoding="utf-8"?>
<worksheet xmlns="http://schemas.openxmlformats.org/spreadsheetml/2006/main" xmlns:r="http://schemas.openxmlformats.org/officeDocument/2006/relationships">
  <sheetPr>
    <pageSetUpPr autoPageBreaks="0"/>
  </sheetPr>
  <dimension ref="A1:M41"/>
  <sheetViews>
    <sheetView workbookViewId="0">
      <selection activeCell="L27" sqref="L27"/>
    </sheetView>
  </sheetViews>
  <sheetFormatPr defaultColWidth="9.77734375" defaultRowHeight="15"/>
  <cols>
    <col min="1" max="1" width="5.77734375" style="19" customWidth="1"/>
    <col min="2" max="2" width="10.21875" style="19" customWidth="1"/>
    <col min="3" max="3" width="3.5546875" style="19" customWidth="1"/>
    <col min="4" max="4" width="9.77734375" style="19" customWidth="1"/>
    <col min="5" max="5" width="3.5546875" style="19" customWidth="1"/>
    <col min="6" max="6" width="9.77734375" style="19" customWidth="1"/>
    <col min="7" max="7" width="3.5546875" style="19" customWidth="1"/>
    <col min="8" max="8" width="9.77734375" style="19" customWidth="1"/>
    <col min="9" max="9" width="3.5546875" style="19" customWidth="1"/>
    <col min="10" max="16384" width="9.77734375" style="19"/>
  </cols>
  <sheetData>
    <row r="1" spans="1:10">
      <c r="A1" s="37" t="s">
        <v>7</v>
      </c>
      <c r="B1" s="18"/>
      <c r="C1" s="18"/>
      <c r="D1" s="18"/>
      <c r="E1" s="18"/>
      <c r="F1" s="18"/>
      <c r="G1" s="18"/>
      <c r="H1" s="18"/>
      <c r="I1" s="18"/>
      <c r="J1" s="18"/>
    </row>
    <row r="2" spans="1:10">
      <c r="A2" s="37"/>
      <c r="B2" s="18"/>
      <c r="C2" s="18"/>
      <c r="D2" s="18"/>
      <c r="E2" s="18"/>
      <c r="F2" s="18"/>
      <c r="G2" s="18"/>
      <c r="H2" s="18"/>
      <c r="I2" s="18"/>
      <c r="J2" s="18"/>
    </row>
    <row r="3" spans="1:10">
      <c r="A3" s="18"/>
      <c r="B3" s="18"/>
      <c r="C3" s="18"/>
      <c r="D3" s="18"/>
      <c r="E3" s="18"/>
      <c r="F3" s="18"/>
      <c r="G3" s="18"/>
      <c r="H3" s="18"/>
      <c r="I3" s="18"/>
      <c r="J3" s="18"/>
    </row>
    <row r="4" spans="1:10">
      <c r="A4" s="18" t="s">
        <v>236</v>
      </c>
      <c r="B4" s="18"/>
      <c r="C4" s="18"/>
      <c r="D4" s="18"/>
      <c r="E4" s="18"/>
      <c r="F4" s="18"/>
      <c r="G4" s="18"/>
      <c r="H4" s="18"/>
      <c r="I4" s="18"/>
      <c r="J4" s="18"/>
    </row>
    <row r="5" spans="1:10">
      <c r="A5" s="20"/>
      <c r="B5" s="20"/>
      <c r="C5" s="20"/>
      <c r="D5" s="20"/>
      <c r="E5" s="20"/>
      <c r="F5" s="20"/>
      <c r="G5" s="20"/>
      <c r="H5" s="20"/>
      <c r="I5" s="20"/>
      <c r="J5" s="20"/>
    </row>
    <row r="6" spans="1:10">
      <c r="A6" s="20"/>
      <c r="B6" s="20"/>
      <c r="C6" s="20"/>
      <c r="D6" s="20"/>
      <c r="E6" s="20"/>
      <c r="F6" s="20"/>
      <c r="G6" s="20"/>
      <c r="H6" s="20"/>
      <c r="I6" s="20"/>
      <c r="J6" s="20"/>
    </row>
    <row r="7" spans="1:10">
      <c r="A7" s="20" t="s">
        <v>221</v>
      </c>
      <c r="B7" s="20"/>
      <c r="C7" s="20"/>
      <c r="D7" s="20"/>
      <c r="E7" s="20"/>
      <c r="F7" s="20"/>
      <c r="G7" s="20"/>
      <c r="H7" s="20"/>
      <c r="I7" s="20"/>
      <c r="J7" s="20"/>
    </row>
    <row r="8" spans="1:10">
      <c r="A8" s="20" t="s">
        <v>237</v>
      </c>
      <c r="B8" s="20"/>
      <c r="C8" s="20"/>
      <c r="D8" s="20"/>
      <c r="E8" s="20"/>
      <c r="F8" s="20"/>
      <c r="G8" s="20"/>
      <c r="H8" s="20"/>
      <c r="I8" s="20"/>
      <c r="J8" s="20"/>
    </row>
    <row r="9" spans="1:10">
      <c r="A9" s="20"/>
      <c r="B9" s="20"/>
      <c r="C9" s="20"/>
      <c r="D9" s="20"/>
      <c r="E9" s="20"/>
      <c r="F9" s="20"/>
      <c r="G9" s="20"/>
      <c r="H9" s="20"/>
      <c r="I9" s="20"/>
      <c r="J9" s="20"/>
    </row>
    <row r="10" spans="1:10">
      <c r="A10" s="20"/>
      <c r="B10" s="20"/>
      <c r="C10" s="20"/>
      <c r="D10" s="20"/>
      <c r="E10" s="20"/>
      <c r="F10" s="20"/>
      <c r="G10" s="20"/>
      <c r="H10" s="20"/>
      <c r="I10" s="20"/>
      <c r="J10" s="20"/>
    </row>
    <row r="11" spans="1:10">
      <c r="A11" s="20"/>
      <c r="B11" s="20"/>
      <c r="C11" s="20"/>
      <c r="D11" s="20"/>
      <c r="E11" s="20"/>
      <c r="F11" s="18" t="s">
        <v>238</v>
      </c>
      <c r="G11" s="18"/>
      <c r="H11" s="17"/>
      <c r="I11" s="18"/>
      <c r="J11" s="18"/>
    </row>
    <row r="12" spans="1:10">
      <c r="A12" s="20"/>
      <c r="B12" s="20"/>
      <c r="C12" s="20"/>
      <c r="D12" s="21" t="s">
        <v>203</v>
      </c>
      <c r="E12" s="21"/>
      <c r="F12" s="22"/>
      <c r="G12" s="22"/>
      <c r="H12" s="22" t="s">
        <v>239</v>
      </c>
      <c r="I12" s="22"/>
      <c r="J12" s="23"/>
    </row>
    <row r="13" spans="1:10">
      <c r="A13" s="18" t="s">
        <v>204</v>
      </c>
      <c r="B13" s="18"/>
      <c r="C13" s="20"/>
      <c r="D13" s="21" t="s">
        <v>205</v>
      </c>
      <c r="E13" s="21"/>
      <c r="F13" s="24"/>
      <c r="G13" s="21"/>
      <c r="H13" s="21" t="s">
        <v>575</v>
      </c>
      <c r="I13" s="21"/>
      <c r="J13" s="21" t="s">
        <v>206</v>
      </c>
    </row>
    <row r="14" spans="1:10">
      <c r="A14" s="18" t="s">
        <v>207</v>
      </c>
      <c r="B14" s="18"/>
      <c r="C14" s="20"/>
      <c r="D14" s="21" t="s">
        <v>575</v>
      </c>
      <c r="E14" s="21"/>
      <c r="F14" s="21" t="s">
        <v>240</v>
      </c>
      <c r="G14" s="21"/>
      <c r="H14" s="21" t="s">
        <v>241</v>
      </c>
      <c r="I14" s="21"/>
      <c r="J14" s="21" t="s">
        <v>208</v>
      </c>
    </row>
    <row r="15" spans="1:10">
      <c r="A15" s="25" t="s">
        <v>209</v>
      </c>
      <c r="B15" s="25"/>
      <c r="C15" s="20"/>
      <c r="D15" s="22" t="s">
        <v>229</v>
      </c>
      <c r="E15" s="20"/>
      <c r="F15" s="22" t="s">
        <v>211</v>
      </c>
      <c r="G15" s="20"/>
      <c r="H15" s="22" t="s">
        <v>242</v>
      </c>
      <c r="I15" s="20"/>
      <c r="J15" s="22" t="s">
        <v>243</v>
      </c>
    </row>
    <row r="16" spans="1:10">
      <c r="A16" s="20"/>
      <c r="B16" s="20"/>
      <c r="C16" s="20"/>
      <c r="D16" s="20"/>
      <c r="E16" s="20"/>
      <c r="F16" s="20"/>
      <c r="G16" s="20"/>
      <c r="H16" s="20"/>
      <c r="I16" s="20"/>
      <c r="J16" s="20"/>
    </row>
    <row r="17" spans="1:13">
      <c r="A17" s="20" t="s">
        <v>212</v>
      </c>
      <c r="B17" s="20"/>
      <c r="C17" s="20"/>
      <c r="D17" s="157">
        <f>'F 1-2'!$G$16</f>
        <v>16598</v>
      </c>
      <c r="E17" s="20"/>
      <c r="F17" s="26">
        <v>0.9</v>
      </c>
      <c r="G17" s="20"/>
      <c r="H17" s="157">
        <f>ROUND(+D17*F17,0)</f>
        <v>14938</v>
      </c>
      <c r="I17" s="20"/>
      <c r="J17" s="27">
        <f>ROUND(H17/H$23,4)</f>
        <v>0.52590000000000003</v>
      </c>
    </row>
    <row r="18" spans="1:13">
      <c r="A18" s="20" t="s">
        <v>213</v>
      </c>
      <c r="B18" s="20"/>
      <c r="C18" s="20"/>
      <c r="D18" s="157">
        <f>'F 1-2'!$G$17</f>
        <v>10430</v>
      </c>
      <c r="E18" s="20"/>
      <c r="F18" s="26">
        <v>0.85</v>
      </c>
      <c r="G18" s="20"/>
      <c r="H18" s="157">
        <f>ROUND(+D18*F18,0)</f>
        <v>8866</v>
      </c>
      <c r="I18" s="20"/>
      <c r="J18" s="28">
        <f>ROUND(H18/H$23,4)</f>
        <v>0.31209999999999999</v>
      </c>
    </row>
    <row r="19" spans="1:13">
      <c r="A19" s="20" t="s">
        <v>214</v>
      </c>
      <c r="B19" s="20"/>
      <c r="C19" s="20"/>
      <c r="D19" s="157">
        <f>'F 1-2'!$G$18</f>
        <v>1444</v>
      </c>
      <c r="E19" s="20"/>
      <c r="F19" s="26">
        <v>0.7</v>
      </c>
      <c r="G19" s="20"/>
      <c r="H19" s="157">
        <f>ROUND(+D19*F19,0)</f>
        <v>1011</v>
      </c>
      <c r="I19" s="20"/>
      <c r="J19" s="28">
        <f>ROUND(H19/H$23,4)</f>
        <v>3.56E-2</v>
      </c>
    </row>
    <row r="20" spans="1:13">
      <c r="A20" s="20" t="s">
        <v>216</v>
      </c>
      <c r="B20" s="20"/>
      <c r="C20" s="20"/>
      <c r="D20" s="157">
        <f>'F 1-2'!$G$19</f>
        <v>3708</v>
      </c>
      <c r="E20" s="20"/>
      <c r="F20" s="26">
        <v>0.75</v>
      </c>
      <c r="G20" s="20"/>
      <c r="H20" s="157">
        <f>ROUND(+D20*F20,0)</f>
        <v>2781</v>
      </c>
      <c r="I20" s="20"/>
      <c r="J20" s="28">
        <f>ROUND(H20/H$23,4)</f>
        <v>9.7900000000000001E-2</v>
      </c>
    </row>
    <row r="21" spans="1:13">
      <c r="A21" s="20" t="s">
        <v>337</v>
      </c>
      <c r="B21" s="20"/>
      <c r="C21" s="20"/>
      <c r="D21" s="157">
        <f>'F 1-2'!$G$20</f>
        <v>1156</v>
      </c>
      <c r="E21" s="20"/>
      <c r="F21" s="26">
        <v>0.7</v>
      </c>
      <c r="G21" s="20"/>
      <c r="H21" s="157">
        <f>ROUND(+D21*F21,0)</f>
        <v>809</v>
      </c>
      <c r="I21" s="20"/>
      <c r="J21" s="28">
        <f>ROUND(H21/H$23,4)</f>
        <v>2.8500000000000001E-2</v>
      </c>
    </row>
    <row r="22" spans="1:13">
      <c r="A22" s="20"/>
      <c r="B22" s="20"/>
      <c r="C22" s="20"/>
      <c r="D22" s="158"/>
      <c r="E22" s="20"/>
      <c r="F22" s="29"/>
      <c r="G22" s="20"/>
      <c r="H22" s="158"/>
      <c r="I22" s="20"/>
      <c r="J22" s="30"/>
    </row>
    <row r="23" spans="1:13" ht="15.75" thickBot="1">
      <c r="A23" s="20" t="s">
        <v>220</v>
      </c>
      <c r="B23" s="20"/>
      <c r="C23" s="20"/>
      <c r="D23" s="157">
        <f>SUM(D17:D21)</f>
        <v>33336</v>
      </c>
      <c r="E23" s="20"/>
      <c r="F23" s="29"/>
      <c r="G23" s="20"/>
      <c r="H23" s="194">
        <f>SUM(H17:H21)</f>
        <v>28405</v>
      </c>
      <c r="I23" s="20"/>
      <c r="J23" s="28">
        <f>SUM(J17:J22)</f>
        <v>1</v>
      </c>
      <c r="L23" s="244"/>
      <c r="M23" s="245"/>
    </row>
    <row r="24" spans="1:13" ht="15.75" thickTop="1">
      <c r="A24" s="20"/>
      <c r="B24" s="20"/>
      <c r="C24" s="20"/>
      <c r="D24" s="31"/>
      <c r="E24" s="20"/>
      <c r="F24" s="29"/>
      <c r="G24" s="20"/>
      <c r="H24" s="193"/>
      <c r="I24" s="20"/>
      <c r="J24" s="32"/>
      <c r="M24" s="246"/>
    </row>
    <row r="25" spans="1:13">
      <c r="A25" s="20"/>
      <c r="B25" s="20"/>
      <c r="C25" s="20"/>
      <c r="D25" s="33"/>
      <c r="E25" s="20"/>
      <c r="F25" s="20"/>
      <c r="G25" s="20"/>
      <c r="H25" s="29"/>
      <c r="I25" s="20"/>
      <c r="J25" s="20"/>
    </row>
    <row r="26" spans="1:13" ht="30.6" customHeight="1">
      <c r="A26" s="618" t="s">
        <v>786</v>
      </c>
      <c r="B26" s="618"/>
      <c r="C26" s="618"/>
      <c r="D26" s="618"/>
      <c r="E26" s="618"/>
      <c r="F26" s="618"/>
      <c r="G26" s="618"/>
      <c r="H26" s="618"/>
      <c r="I26" s="618"/>
      <c r="J26" s="618"/>
    </row>
    <row r="27" spans="1:13">
      <c r="A27" s="20"/>
      <c r="B27" s="20"/>
      <c r="C27" s="20"/>
      <c r="D27" s="20"/>
      <c r="E27" s="20"/>
      <c r="F27" s="20"/>
      <c r="G27" s="20"/>
      <c r="H27" s="20"/>
      <c r="I27" s="20"/>
      <c r="J27" s="20"/>
    </row>
    <row r="28" spans="1:13">
      <c r="A28" s="20"/>
      <c r="B28" s="20"/>
      <c r="C28" s="20"/>
      <c r="D28" s="20"/>
      <c r="E28" s="20"/>
      <c r="F28" s="20"/>
      <c r="G28" s="20"/>
      <c r="H28" s="20"/>
      <c r="I28" s="20"/>
      <c r="J28" s="20"/>
    </row>
    <row r="29" spans="1:13">
      <c r="A29" s="20"/>
      <c r="D29" s="20"/>
      <c r="E29" s="20"/>
      <c r="F29" s="21" t="s">
        <v>244</v>
      </c>
      <c r="G29" s="21"/>
      <c r="H29" s="21"/>
      <c r="I29" s="20"/>
      <c r="J29" s="20"/>
    </row>
    <row r="30" spans="1:13">
      <c r="A30" s="20"/>
      <c r="D30" s="20"/>
      <c r="E30" s="20"/>
      <c r="F30" s="21" t="s">
        <v>245</v>
      </c>
      <c r="G30" s="21"/>
      <c r="H30" s="21"/>
      <c r="I30" s="20"/>
      <c r="J30" s="20"/>
    </row>
    <row r="31" spans="1:13">
      <c r="A31" s="20"/>
      <c r="D31" s="20"/>
      <c r="E31" s="20"/>
      <c r="F31" s="21" t="s">
        <v>246</v>
      </c>
      <c r="G31" s="21"/>
      <c r="H31" s="21" t="s">
        <v>247</v>
      </c>
      <c r="I31" s="20"/>
      <c r="J31" s="20"/>
    </row>
    <row r="32" spans="1:13">
      <c r="A32" s="20"/>
      <c r="D32" s="20"/>
      <c r="E32" s="20"/>
      <c r="F32" s="34"/>
      <c r="G32" s="20"/>
      <c r="H32" s="34"/>
      <c r="I32" s="20"/>
      <c r="J32" s="20"/>
    </row>
    <row r="33" spans="1:10">
      <c r="A33" s="20"/>
      <c r="D33" s="20" t="s">
        <v>248</v>
      </c>
      <c r="F33" s="26">
        <v>1</v>
      </c>
      <c r="G33" s="20"/>
      <c r="H33" s="28">
        <f>ROUND(F33/F37,4)</f>
        <v>0.60609999999999997</v>
      </c>
      <c r="I33" s="20"/>
      <c r="J33" s="20"/>
    </row>
    <row r="34" spans="1:10">
      <c r="A34" s="20"/>
      <c r="D34" s="20" t="s">
        <v>224</v>
      </c>
      <c r="F34" s="26"/>
      <c r="G34" s="20"/>
      <c r="H34" s="20"/>
      <c r="I34" s="20"/>
      <c r="J34" s="20"/>
    </row>
    <row r="35" spans="1:10">
      <c r="A35" s="20"/>
      <c r="D35" s="20" t="s">
        <v>181</v>
      </c>
      <c r="F35" s="26">
        <v>0.65</v>
      </c>
      <c r="G35" s="20"/>
      <c r="H35" s="28">
        <f>ROUND(F35/F37,4)</f>
        <v>0.39389999999999997</v>
      </c>
      <c r="I35" s="20"/>
      <c r="J35" s="20"/>
    </row>
    <row r="36" spans="1:10">
      <c r="A36" s="20"/>
      <c r="D36" s="20"/>
      <c r="F36" s="35"/>
      <c r="G36" s="20"/>
      <c r="H36" s="34"/>
      <c r="I36" s="20"/>
      <c r="J36" s="20"/>
    </row>
    <row r="37" spans="1:10" ht="15.75" thickBot="1">
      <c r="A37" s="20"/>
      <c r="D37" s="20" t="s">
        <v>250</v>
      </c>
      <c r="F37" s="199">
        <f>SUM(F33:F36)</f>
        <v>1.65</v>
      </c>
      <c r="G37" s="20"/>
      <c r="H37" s="28">
        <f>SUM(H33:H36)</f>
        <v>1</v>
      </c>
      <c r="I37" s="20"/>
      <c r="J37" s="20"/>
    </row>
    <row r="38" spans="1:10" ht="15.75" thickTop="1">
      <c r="A38" s="20"/>
      <c r="D38" s="20"/>
      <c r="E38" s="20"/>
      <c r="F38" s="198"/>
      <c r="G38" s="20"/>
      <c r="H38" s="36"/>
      <c r="I38" s="20"/>
      <c r="J38" s="20"/>
    </row>
    <row r="39" spans="1:10">
      <c r="A39" s="20"/>
      <c r="B39" s="20"/>
      <c r="C39" s="20"/>
      <c r="D39" s="20"/>
      <c r="E39" s="26"/>
      <c r="F39" s="20"/>
      <c r="G39" s="20"/>
      <c r="H39" s="20"/>
      <c r="I39" s="20"/>
      <c r="J39" s="20"/>
    </row>
    <row r="40" spans="1:10">
      <c r="A40" s="20"/>
      <c r="B40" s="20"/>
      <c r="C40" s="20"/>
      <c r="D40" s="20"/>
      <c r="E40" s="20"/>
      <c r="F40" s="20"/>
      <c r="G40" s="20"/>
      <c r="H40" s="20"/>
      <c r="I40" s="20"/>
      <c r="J40" s="20"/>
    </row>
    <row r="41" spans="1:10">
      <c r="A41" s="34" t="s">
        <v>251</v>
      </c>
      <c r="B41" s="34"/>
      <c r="C41" s="20"/>
      <c r="D41" s="20"/>
      <c r="E41" s="20"/>
      <c r="F41" s="20"/>
      <c r="G41" s="20"/>
      <c r="H41" s="20"/>
      <c r="I41" s="20"/>
      <c r="J41" s="20"/>
    </row>
  </sheetData>
  <mergeCells count="1">
    <mergeCell ref="A26:J26"/>
  </mergeCells>
  <phoneticPr fontId="11" type="noConversion"/>
  <printOptions horizontalCentered="1"/>
  <pageMargins left="1" right="1" top="1" bottom="0.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autoPageBreaks="0"/>
  </sheetPr>
  <dimension ref="A1:BO218"/>
  <sheetViews>
    <sheetView workbookViewId="0">
      <selection activeCell="S53" sqref="S53"/>
    </sheetView>
  </sheetViews>
  <sheetFormatPr defaultColWidth="9.77734375" defaultRowHeight="15"/>
  <cols>
    <col min="1" max="1" width="7.77734375" style="38" customWidth="1"/>
    <col min="2" max="2" width="7.88671875" style="38" customWidth="1"/>
    <col min="3" max="3" width="2.109375" style="38" customWidth="1"/>
    <col min="4" max="4" width="7.77734375" style="38" customWidth="1"/>
    <col min="5" max="5" width="2.109375" style="38" customWidth="1"/>
    <col min="6" max="6" width="7.77734375" style="38" customWidth="1"/>
    <col min="7" max="7" width="2.109375" style="38" customWidth="1"/>
    <col min="8" max="8" width="7.77734375" style="38" customWidth="1"/>
    <col min="9" max="9" width="2.109375" style="38" customWidth="1"/>
    <col min="10" max="10" width="7.77734375" style="38" customWidth="1"/>
    <col min="11" max="11" width="2.109375" style="38" customWidth="1"/>
    <col min="12" max="12" width="7.77734375" style="38" customWidth="1"/>
    <col min="13" max="13" width="2.109375" style="38" customWidth="1"/>
    <col min="14" max="14" width="7.77734375" style="38" customWidth="1"/>
    <col min="15" max="15" width="2.109375" style="38" customWidth="1"/>
    <col min="16" max="16" width="10.77734375" style="38" customWidth="1"/>
    <col min="17" max="17" width="2.109375" style="38" customWidth="1"/>
    <col min="18" max="18" width="11" style="38" customWidth="1"/>
    <col min="19" max="19" width="7.77734375" style="38" customWidth="1"/>
    <col min="20" max="20" width="3.77734375" style="38" customWidth="1"/>
    <col min="21" max="21" width="7.77734375" style="38" customWidth="1"/>
    <col min="22" max="22" width="2.77734375" style="38" customWidth="1"/>
    <col min="23" max="23" width="7.77734375" style="38" customWidth="1"/>
    <col min="24" max="24" width="2.77734375" style="38" customWidth="1"/>
    <col min="25" max="25" width="12.5546875" style="38" customWidth="1"/>
    <col min="26" max="26" width="2.77734375" style="38" customWidth="1"/>
    <col min="27" max="27" width="10.44140625" style="38" customWidth="1"/>
    <col min="28" max="28" width="2.77734375" style="38" customWidth="1"/>
    <col min="29" max="29" width="10" style="38" bestFit="1" customWidth="1"/>
    <col min="30" max="30" width="2.77734375" style="38" customWidth="1"/>
    <col min="31" max="31" width="13.5546875" style="38" bestFit="1" customWidth="1"/>
    <col min="32" max="32" width="2.77734375" style="38" customWidth="1"/>
    <col min="33" max="33" width="12.44140625" style="38" bestFit="1" customWidth="1"/>
    <col min="34" max="34" width="2.77734375" style="38" customWidth="1"/>
    <col min="35" max="35" width="12" style="38" bestFit="1" customWidth="1"/>
    <col min="36" max="38" width="9.77734375" style="38" customWidth="1"/>
    <col min="39" max="39" width="12.44140625" style="38" bestFit="1" customWidth="1"/>
    <col min="40" max="40" width="6.77734375" style="38" customWidth="1"/>
    <col min="41" max="41" width="4.77734375" style="38" customWidth="1"/>
    <col min="42" max="42" width="6.77734375" style="38" customWidth="1"/>
    <col min="43" max="43" width="9.77734375" style="38" customWidth="1"/>
    <col min="44" max="44" width="3.77734375" style="38" customWidth="1"/>
    <col min="45" max="45" width="6.77734375" style="38" customWidth="1"/>
    <col min="46" max="46" width="3.77734375" style="38" customWidth="1"/>
    <col min="47" max="47" width="8.77734375" style="38" customWidth="1"/>
    <col min="48" max="48" width="3.77734375" style="38" customWidth="1"/>
    <col min="49" max="49" width="7.77734375" style="38" customWidth="1"/>
    <col min="50" max="50" width="3.77734375" style="38" customWidth="1"/>
    <col min="51" max="51" width="9.77734375" style="38" customWidth="1"/>
    <col min="52" max="52" width="6.77734375" style="38" customWidth="1"/>
    <col min="53" max="53" width="2.77734375" style="38" customWidth="1"/>
    <col min="54" max="54" width="4.77734375" style="38" customWidth="1"/>
    <col min="55" max="55" width="2.77734375" style="38" customWidth="1"/>
    <col min="56" max="56" width="11.77734375" style="38" customWidth="1"/>
    <col min="57" max="57" width="3.77734375" style="38" customWidth="1"/>
    <col min="58" max="58" width="7.77734375" style="38" customWidth="1"/>
    <col min="59" max="59" width="3.77734375" style="38" customWidth="1"/>
    <col min="60" max="60" width="7.77734375" style="38" customWidth="1"/>
    <col min="61" max="61" width="3.77734375" style="38" customWidth="1"/>
    <col min="62" max="62" width="7.77734375" style="38" customWidth="1"/>
    <col min="63" max="63" width="3.77734375" style="38" customWidth="1"/>
    <col min="64" max="64" width="7.77734375" style="38" customWidth="1"/>
    <col min="65" max="16384" width="9.77734375" style="38"/>
  </cols>
  <sheetData>
    <row r="1" spans="1:18">
      <c r="A1" s="37" t="s">
        <v>7</v>
      </c>
      <c r="B1" s="37"/>
      <c r="C1" s="37"/>
      <c r="D1" s="37"/>
      <c r="E1" s="37"/>
      <c r="F1" s="37"/>
      <c r="G1" s="37"/>
      <c r="H1" s="37"/>
      <c r="I1" s="37"/>
      <c r="J1" s="37"/>
      <c r="K1" s="37"/>
      <c r="L1" s="37"/>
      <c r="M1" s="37"/>
      <c r="N1" s="37"/>
      <c r="O1" s="37"/>
      <c r="P1" s="37"/>
    </row>
    <row r="2" spans="1:18">
      <c r="A2" s="37"/>
      <c r="B2" s="37"/>
      <c r="C2" s="37"/>
      <c r="D2" s="37"/>
      <c r="E2" s="37"/>
      <c r="F2" s="37"/>
      <c r="G2" s="37"/>
      <c r="H2" s="37"/>
      <c r="I2" s="37"/>
      <c r="J2" s="37"/>
      <c r="K2" s="37"/>
      <c r="L2" s="37"/>
      <c r="M2" s="37"/>
      <c r="N2" s="37"/>
      <c r="O2" s="37"/>
      <c r="P2" s="37"/>
    </row>
    <row r="3" spans="1:18">
      <c r="A3" s="37"/>
      <c r="B3" s="37"/>
      <c r="C3" s="37"/>
      <c r="D3" s="37"/>
      <c r="E3" s="37"/>
      <c r="F3" s="37"/>
      <c r="G3" s="37"/>
      <c r="H3" s="37"/>
      <c r="I3" s="37"/>
      <c r="J3" s="37"/>
      <c r="K3" s="37"/>
      <c r="L3" s="37"/>
      <c r="M3" s="37"/>
      <c r="N3" s="37"/>
      <c r="O3" s="37"/>
      <c r="P3" s="37"/>
    </row>
    <row r="4" spans="1:18">
      <c r="A4" s="1" t="s">
        <v>236</v>
      </c>
      <c r="B4" s="37"/>
      <c r="C4" s="37"/>
      <c r="D4" s="37"/>
      <c r="E4" s="37"/>
      <c r="F4" s="37"/>
      <c r="G4" s="37"/>
      <c r="H4" s="37"/>
      <c r="I4" s="37"/>
      <c r="J4" s="37"/>
      <c r="K4" s="37"/>
      <c r="L4" s="37"/>
      <c r="M4" s="37"/>
      <c r="N4" s="37"/>
      <c r="O4" s="37"/>
      <c r="P4" s="37"/>
    </row>
    <row r="6" spans="1:18">
      <c r="A6" s="2"/>
      <c r="B6" s="2"/>
      <c r="C6" s="2"/>
      <c r="D6" s="2"/>
      <c r="E6" s="2"/>
      <c r="F6" s="2"/>
      <c r="G6" s="2"/>
      <c r="H6" s="2"/>
      <c r="I6" s="2"/>
      <c r="J6" s="2"/>
      <c r="K6" s="2"/>
      <c r="L6" s="2"/>
      <c r="M6" s="2"/>
      <c r="N6" s="2"/>
      <c r="O6" s="2"/>
      <c r="P6" s="2"/>
      <c r="Q6" s="2"/>
      <c r="R6" s="2"/>
    </row>
    <row r="7" spans="1:18">
      <c r="A7" s="2" t="s">
        <v>184</v>
      </c>
      <c r="B7" s="2"/>
      <c r="C7" s="2"/>
      <c r="D7" s="2"/>
      <c r="E7" s="2"/>
      <c r="F7" s="2"/>
      <c r="G7" s="2"/>
      <c r="H7" s="2"/>
      <c r="I7" s="2"/>
      <c r="J7" s="2"/>
      <c r="K7" s="2"/>
      <c r="L7" s="2"/>
      <c r="M7" s="2"/>
      <c r="N7" s="2"/>
      <c r="O7" s="2"/>
      <c r="P7" s="2"/>
      <c r="Q7" s="2"/>
      <c r="R7" s="2"/>
    </row>
    <row r="8" spans="1:18">
      <c r="A8" s="2" t="s">
        <v>183</v>
      </c>
      <c r="B8" s="2"/>
      <c r="C8" s="2"/>
      <c r="D8" s="2"/>
      <c r="E8" s="2"/>
      <c r="F8" s="2"/>
      <c r="G8" s="2"/>
      <c r="H8" s="2"/>
      <c r="I8" s="2"/>
      <c r="J8" s="2"/>
      <c r="K8" s="2"/>
      <c r="L8" s="2"/>
      <c r="M8" s="2"/>
      <c r="N8" s="2"/>
      <c r="O8" s="2"/>
      <c r="P8" s="2"/>
      <c r="Q8" s="2"/>
      <c r="R8" s="2"/>
    </row>
    <row r="9" spans="1:18">
      <c r="A9" s="2"/>
      <c r="B9" s="2"/>
      <c r="C9" s="2"/>
      <c r="D9" s="2"/>
      <c r="E9" s="2"/>
      <c r="F9" s="2"/>
      <c r="G9" s="2"/>
      <c r="H9" s="2"/>
      <c r="I9" s="2"/>
      <c r="J9" s="2"/>
      <c r="K9" s="2"/>
      <c r="L9" s="2"/>
      <c r="M9" s="2"/>
      <c r="N9" s="2"/>
      <c r="O9" s="2"/>
      <c r="P9" s="2"/>
      <c r="Q9" s="2"/>
      <c r="R9" s="2"/>
    </row>
    <row r="10" spans="1:18" ht="29.85" customHeight="1">
      <c r="A10" s="616" t="s">
        <v>252</v>
      </c>
      <c r="B10" s="616"/>
      <c r="C10" s="616"/>
      <c r="D10" s="616"/>
      <c r="E10" s="616"/>
      <c r="F10" s="616"/>
      <c r="G10" s="616"/>
      <c r="H10" s="616"/>
      <c r="I10" s="616"/>
      <c r="J10" s="616"/>
      <c r="K10" s="616"/>
      <c r="L10" s="616"/>
      <c r="M10" s="616"/>
      <c r="N10" s="616"/>
      <c r="O10" s="616"/>
      <c r="P10" s="616"/>
      <c r="Q10" s="2"/>
      <c r="R10" s="2"/>
    </row>
    <row r="11" spans="1:18">
      <c r="A11" s="2"/>
      <c r="B11" s="2"/>
      <c r="C11" s="2"/>
      <c r="D11" s="2"/>
      <c r="E11" s="2"/>
      <c r="F11" s="2"/>
      <c r="G11" s="2"/>
      <c r="H11" s="2"/>
      <c r="I11" s="2"/>
      <c r="J11" s="2"/>
      <c r="K11" s="2"/>
      <c r="L11" s="2"/>
      <c r="M11" s="2"/>
      <c r="N11" s="2"/>
      <c r="O11" s="2"/>
      <c r="P11" s="2"/>
      <c r="Q11" s="2"/>
      <c r="R11" s="2"/>
    </row>
    <row r="12" spans="1:18">
      <c r="A12" s="2"/>
      <c r="B12" s="2"/>
      <c r="C12" s="2"/>
      <c r="D12" s="1" t="s">
        <v>203</v>
      </c>
      <c r="E12" s="1"/>
      <c r="F12" s="1"/>
      <c r="G12" s="2"/>
      <c r="H12" s="1" t="s">
        <v>224</v>
      </c>
      <c r="I12" s="1"/>
      <c r="J12" s="1"/>
      <c r="K12" s="2"/>
      <c r="L12" s="2"/>
      <c r="M12" s="2"/>
      <c r="N12" s="2"/>
      <c r="O12" s="2"/>
      <c r="P12" s="2"/>
      <c r="Q12" s="2"/>
      <c r="R12" s="2"/>
    </row>
    <row r="13" spans="1:18">
      <c r="A13" s="2"/>
      <c r="B13" s="2"/>
      <c r="C13" s="2"/>
      <c r="D13" s="1" t="s">
        <v>225</v>
      </c>
      <c r="E13" s="1"/>
      <c r="F13" s="1"/>
      <c r="G13" s="2"/>
      <c r="H13" s="1" t="s">
        <v>226</v>
      </c>
      <c r="I13" s="1"/>
      <c r="J13" s="1"/>
      <c r="K13" s="2"/>
      <c r="L13" s="1" t="s">
        <v>253</v>
      </c>
      <c r="M13" s="1"/>
      <c r="N13" s="1"/>
      <c r="O13" s="2"/>
      <c r="P13" s="2"/>
      <c r="Q13" s="2"/>
      <c r="R13" s="2"/>
    </row>
    <row r="14" spans="1:18">
      <c r="A14" s="1" t="s">
        <v>254</v>
      </c>
      <c r="B14" s="1"/>
      <c r="C14" s="2"/>
      <c r="D14" s="11" t="s">
        <v>206</v>
      </c>
      <c r="E14" s="11"/>
      <c r="F14" s="11" t="s">
        <v>227</v>
      </c>
      <c r="G14" s="12"/>
      <c r="H14" s="11" t="s">
        <v>206</v>
      </c>
      <c r="I14" s="11"/>
      <c r="J14" s="11" t="s">
        <v>227</v>
      </c>
      <c r="K14" s="12"/>
      <c r="L14" s="11" t="s">
        <v>206</v>
      </c>
      <c r="M14" s="11"/>
      <c r="N14" s="11" t="s">
        <v>227</v>
      </c>
      <c r="O14" s="12"/>
      <c r="P14" s="12" t="s">
        <v>206</v>
      </c>
      <c r="Q14" s="12"/>
    </row>
    <row r="15" spans="1:18">
      <c r="A15" s="1" t="s">
        <v>207</v>
      </c>
      <c r="B15" s="1"/>
      <c r="C15" s="2"/>
      <c r="D15" s="12" t="s">
        <v>208</v>
      </c>
      <c r="E15" s="12"/>
      <c r="F15" s="12" t="s">
        <v>208</v>
      </c>
      <c r="G15" s="12"/>
      <c r="H15" s="12" t="s">
        <v>208</v>
      </c>
      <c r="I15" s="12"/>
      <c r="J15" s="12" t="s">
        <v>208</v>
      </c>
      <c r="K15" s="12"/>
      <c r="L15" s="12" t="s">
        <v>208</v>
      </c>
      <c r="M15" s="12"/>
      <c r="N15" s="12" t="s">
        <v>208</v>
      </c>
      <c r="O15" s="12"/>
      <c r="P15" s="12" t="s">
        <v>208</v>
      </c>
      <c r="Q15" s="12"/>
    </row>
    <row r="16" spans="1:18">
      <c r="A16" s="3" t="s">
        <v>209</v>
      </c>
      <c r="B16" s="3"/>
      <c r="C16" s="2"/>
      <c r="D16" s="11" t="s">
        <v>229</v>
      </c>
      <c r="E16" s="2"/>
      <c r="F16" s="13" t="s">
        <v>255</v>
      </c>
      <c r="G16" s="2"/>
      <c r="H16" s="11" t="s">
        <v>231</v>
      </c>
      <c r="I16" s="2"/>
      <c r="J16" s="13" t="s">
        <v>256</v>
      </c>
      <c r="K16" s="2"/>
      <c r="L16" s="11" t="s">
        <v>257</v>
      </c>
      <c r="M16" s="2"/>
      <c r="N16" s="13" t="s">
        <v>258</v>
      </c>
      <c r="O16" s="2"/>
      <c r="P16" s="11" t="s">
        <v>259</v>
      </c>
      <c r="Q16" s="2"/>
    </row>
    <row r="17" spans="1:67">
      <c r="D17" s="39"/>
      <c r="E17" s="39"/>
      <c r="F17" s="39">
        <f>'F 3B 4B'!$I$15</f>
        <v>0.55469999999999997</v>
      </c>
      <c r="G17" s="39"/>
      <c r="H17" s="39"/>
      <c r="I17" s="39"/>
      <c r="J17" s="39">
        <f>'F 3B 4B'!$I$17</f>
        <v>0.36059999999999998</v>
      </c>
      <c r="K17" s="39"/>
      <c r="L17" s="39"/>
      <c r="M17" s="39"/>
      <c r="N17" s="39">
        <f>'F 3B 4B'!$I$21</f>
        <v>8.4699999999999998E-2</v>
      </c>
      <c r="O17" s="39"/>
      <c r="P17" s="39"/>
    </row>
    <row r="18" spans="1:67">
      <c r="D18" s="39"/>
      <c r="E18" s="39"/>
      <c r="F18" s="39"/>
      <c r="G18" s="39"/>
      <c r="H18" s="39"/>
      <c r="I18" s="39"/>
      <c r="J18" s="39"/>
      <c r="K18" s="39"/>
      <c r="L18" s="39"/>
      <c r="M18" s="39"/>
      <c r="N18" s="39"/>
      <c r="O18" s="39"/>
      <c r="P18" s="39"/>
    </row>
    <row r="19" spans="1:67">
      <c r="A19" s="2" t="s">
        <v>212</v>
      </c>
      <c r="D19" s="39">
        <f>'F 1-2'!$K$16</f>
        <v>0.495</v>
      </c>
      <c r="E19" s="39"/>
      <c r="F19" s="39">
        <f>ROUND($F$17*D19,4)+0.0001</f>
        <v>0.2747</v>
      </c>
      <c r="G19" s="39"/>
      <c r="H19" s="39">
        <f>'F 2 B'!$J$17</f>
        <v>0.52590000000000003</v>
      </c>
      <c r="I19" s="39"/>
      <c r="J19" s="39">
        <f>ROUND($J$17*H19,4)+0.0001</f>
        <v>0.18969999999999998</v>
      </c>
      <c r="K19" s="39"/>
      <c r="L19" s="39"/>
      <c r="M19" s="39"/>
      <c r="N19" s="39"/>
      <c r="O19" s="39"/>
      <c r="P19" s="39">
        <f t="shared" ref="P19:P25" si="0">N19+J19+F19</f>
        <v>0.46439999999999998</v>
      </c>
    </row>
    <row r="20" spans="1:67">
      <c r="A20" s="2" t="s">
        <v>213</v>
      </c>
      <c r="D20" s="39">
        <f>'F 1-2'!$K$17</f>
        <v>0.311</v>
      </c>
      <c r="E20" s="39"/>
      <c r="F20" s="39">
        <f t="shared" ref="F20:F25" si="1">ROUND($F$17*D20,4)</f>
        <v>0.17249999999999999</v>
      </c>
      <c r="G20" s="39"/>
      <c r="H20" s="39">
        <f>'F 2 B'!$J$18</f>
        <v>0.31209999999999999</v>
      </c>
      <c r="I20" s="39"/>
      <c r="J20" s="39">
        <f>ROUND($J$17*H20,4)</f>
        <v>0.1125</v>
      </c>
      <c r="K20" s="39"/>
      <c r="L20" s="39"/>
      <c r="M20" s="39"/>
      <c r="N20" s="39"/>
      <c r="O20" s="39"/>
      <c r="P20" s="39">
        <f t="shared" si="0"/>
        <v>0.28499999999999998</v>
      </c>
    </row>
    <row r="21" spans="1:67">
      <c r="A21" s="2" t="s">
        <v>214</v>
      </c>
      <c r="D21" s="39">
        <f>'F 1-2'!$K$18</f>
        <v>4.3099999999999999E-2</v>
      </c>
      <c r="E21" s="39"/>
      <c r="F21" s="39">
        <f>ROUND($F$17*D21,4)</f>
        <v>2.3900000000000001E-2</v>
      </c>
      <c r="G21" s="39"/>
      <c r="H21" s="39">
        <f>'F 2 B'!$J$19</f>
        <v>3.56E-2</v>
      </c>
      <c r="I21" s="39"/>
      <c r="J21" s="39">
        <f>ROUND($J$17*H21,4)</f>
        <v>1.2800000000000001E-2</v>
      </c>
      <c r="K21" s="39"/>
      <c r="L21" s="39"/>
      <c r="M21" s="39"/>
      <c r="N21" s="39"/>
      <c r="O21" s="39"/>
      <c r="P21" s="39">
        <f t="shared" si="0"/>
        <v>3.6700000000000003E-2</v>
      </c>
    </row>
    <row r="22" spans="1:67">
      <c r="A22" s="2" t="s">
        <v>216</v>
      </c>
      <c r="D22" s="39">
        <f>'F 1-2'!$K$19</f>
        <v>0.1106</v>
      </c>
      <c r="E22" s="39"/>
      <c r="F22" s="295">
        <f t="shared" si="1"/>
        <v>6.13E-2</v>
      </c>
      <c r="G22" s="39"/>
      <c r="H22" s="39">
        <f>'F 2 B'!$J$20</f>
        <v>9.7900000000000001E-2</v>
      </c>
      <c r="I22" s="39"/>
      <c r="J22" s="39">
        <f>ROUND($J$17*H22,4)</f>
        <v>3.5299999999999998E-2</v>
      </c>
      <c r="K22" s="39"/>
      <c r="L22" s="39"/>
      <c r="M22" s="39"/>
      <c r="N22" s="39"/>
      <c r="O22" s="39"/>
      <c r="P22" s="39">
        <f t="shared" si="0"/>
        <v>9.6599999999999991E-2</v>
      </c>
    </row>
    <row r="23" spans="1:67">
      <c r="A23" s="2" t="s">
        <v>337</v>
      </c>
      <c r="D23" s="39">
        <f>'F 1-2'!$K$20</f>
        <v>3.4500000000000003E-2</v>
      </c>
      <c r="E23" s="39"/>
      <c r="F23" s="39">
        <f>ROUND($F$17*D23,4)</f>
        <v>1.9099999999999999E-2</v>
      </c>
      <c r="G23" s="39"/>
      <c r="H23" s="39">
        <f>'F 2 B'!$J$21</f>
        <v>2.8500000000000001E-2</v>
      </c>
      <c r="I23" s="39"/>
      <c r="J23" s="39">
        <f>ROUND($J$17*H23,4)</f>
        <v>1.03E-2</v>
      </c>
      <c r="K23" s="39"/>
      <c r="L23" s="39"/>
      <c r="M23" s="39"/>
      <c r="N23" s="39"/>
      <c r="O23" s="39"/>
      <c r="P23" s="39">
        <f t="shared" si="0"/>
        <v>2.9399999999999999E-2</v>
      </c>
    </row>
    <row r="24" spans="1:67">
      <c r="A24" s="2" t="s">
        <v>218</v>
      </c>
      <c r="D24" s="39">
        <f>'F 1-2'!$K$21</f>
        <v>2.5999999999999999E-3</v>
      </c>
      <c r="E24" s="39"/>
      <c r="F24" s="39">
        <f t="shared" si="1"/>
        <v>1.4E-3</v>
      </c>
      <c r="G24" s="39"/>
      <c r="H24" s="39"/>
      <c r="I24" s="39"/>
      <c r="J24" s="39"/>
      <c r="K24" s="39"/>
      <c r="L24" s="39">
        <f>Fire!$O$26</f>
        <v>0.45190000000000002</v>
      </c>
      <c r="M24" s="39"/>
      <c r="N24" s="39">
        <f>ROUND($N$17*L24,4)</f>
        <v>3.8300000000000001E-2</v>
      </c>
      <c r="O24" s="39"/>
      <c r="P24" s="39">
        <f t="shared" si="0"/>
        <v>3.9699999999999999E-2</v>
      </c>
    </row>
    <row r="25" spans="1:67">
      <c r="A25" s="2" t="s">
        <v>219</v>
      </c>
      <c r="D25" s="39">
        <f>'F 1-2'!$K$22</f>
        <v>3.2000000000000002E-3</v>
      </c>
      <c r="E25" s="39"/>
      <c r="F25" s="39">
        <f t="shared" si="1"/>
        <v>1.8E-3</v>
      </c>
      <c r="G25" s="39"/>
      <c r="H25" s="39"/>
      <c r="I25" s="39"/>
      <c r="J25" s="39"/>
      <c r="K25" s="39"/>
      <c r="L25" s="39">
        <f>Fire!$O$33</f>
        <v>0.54810000000000003</v>
      </c>
      <c r="M25" s="39"/>
      <c r="N25" s="39">
        <f>ROUND($N$17*L25,4)</f>
        <v>4.6399999999999997E-2</v>
      </c>
      <c r="O25" s="39"/>
      <c r="P25" s="39">
        <f t="shared" si="0"/>
        <v>4.82E-2</v>
      </c>
    </row>
    <row r="26" spans="1:67">
      <c r="A26" s="2"/>
      <c r="D26" s="40"/>
      <c r="E26" s="39"/>
      <c r="F26" s="40"/>
      <c r="G26" s="39"/>
      <c r="H26" s="40"/>
      <c r="I26" s="39"/>
      <c r="J26" s="40"/>
      <c r="K26" s="39"/>
      <c r="L26" s="40"/>
      <c r="M26" s="39"/>
      <c r="N26" s="40"/>
      <c r="O26" s="39"/>
      <c r="P26" s="40"/>
    </row>
    <row r="27" spans="1:67">
      <c r="A27" s="2" t="s">
        <v>220</v>
      </c>
      <c r="D27" s="39">
        <f>SUM(D19:D25)</f>
        <v>1.0000000000000002</v>
      </c>
      <c r="E27" s="39"/>
      <c r="F27" s="39">
        <f>SUM(F19:F25)</f>
        <v>0.55469999999999997</v>
      </c>
      <c r="G27" s="39"/>
      <c r="H27" s="39">
        <f>SUM(H19:H25)</f>
        <v>1</v>
      </c>
      <c r="I27" s="39"/>
      <c r="J27" s="39">
        <f>SUM(J19:J25)</f>
        <v>0.36059999999999992</v>
      </c>
      <c r="K27" s="39"/>
      <c r="L27" s="39">
        <f>SUM(L19:L25)</f>
        <v>1</v>
      </c>
      <c r="M27" s="39"/>
      <c r="N27" s="39">
        <f>SUM(N19:N25)</f>
        <v>8.4699999999999998E-2</v>
      </c>
      <c r="O27" s="39"/>
      <c r="P27" s="39">
        <f>SUM(P19:P25)</f>
        <v>0.99999999999999989</v>
      </c>
    </row>
    <row r="28" spans="1:67">
      <c r="D28" s="41"/>
      <c r="E28" s="39"/>
      <c r="F28" s="41"/>
      <c r="G28" s="39"/>
      <c r="H28" s="41"/>
      <c r="I28" s="39"/>
      <c r="J28" s="41"/>
      <c r="K28" s="39"/>
      <c r="L28" s="41"/>
      <c r="M28" s="39"/>
      <c r="N28" s="41"/>
      <c r="O28" s="39"/>
      <c r="P28" s="41"/>
    </row>
    <row r="31" spans="1:67">
      <c r="A31" s="37" t="s">
        <v>7</v>
      </c>
      <c r="B31" s="1"/>
      <c r="C31" s="1"/>
      <c r="D31" s="1"/>
      <c r="E31" s="1"/>
      <c r="F31" s="1"/>
      <c r="G31" s="37"/>
      <c r="H31" s="1"/>
      <c r="I31" s="1"/>
      <c r="J31" s="1"/>
      <c r="K31" s="1"/>
      <c r="L31" s="1"/>
      <c r="M31" s="1"/>
      <c r="N31" s="1"/>
      <c r="O31" s="1"/>
      <c r="P31" s="1"/>
      <c r="Q31" s="1"/>
      <c r="R31" s="1"/>
      <c r="S31" s="2"/>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6"/>
      <c r="BH31" s="296"/>
      <c r="BI31" s="296"/>
      <c r="BJ31" s="296"/>
      <c r="BK31" s="296"/>
      <c r="BL31" s="296"/>
      <c r="BM31" s="296"/>
      <c r="BN31" s="296"/>
      <c r="BO31" s="296"/>
    </row>
    <row r="32" spans="1:67">
      <c r="A32" s="37"/>
      <c r="B32" s="1"/>
      <c r="C32" s="1"/>
      <c r="D32" s="1"/>
      <c r="E32" s="1"/>
      <c r="F32" s="1"/>
      <c r="G32" s="37"/>
      <c r="H32" s="1"/>
      <c r="I32" s="1"/>
      <c r="J32" s="1"/>
      <c r="K32" s="1"/>
      <c r="L32" s="1"/>
      <c r="M32" s="1"/>
      <c r="N32" s="1"/>
      <c r="O32" s="1"/>
      <c r="P32" s="1"/>
      <c r="Q32" s="1"/>
      <c r="R32" s="1"/>
      <c r="S32" s="2"/>
    </row>
    <row r="33" spans="1:36">
      <c r="A33" s="1"/>
      <c r="B33" s="1"/>
      <c r="C33" s="1"/>
      <c r="D33" s="1"/>
      <c r="E33" s="1"/>
      <c r="F33" s="1"/>
      <c r="G33" s="1"/>
      <c r="H33" s="1"/>
      <c r="I33" s="1"/>
      <c r="J33" s="1"/>
      <c r="K33" s="1"/>
      <c r="L33" s="1"/>
      <c r="M33" s="1"/>
      <c r="N33" s="1"/>
      <c r="O33" s="1"/>
      <c r="P33" s="1"/>
      <c r="Q33" s="1"/>
      <c r="R33" s="1"/>
      <c r="S33" s="2"/>
    </row>
    <row r="34" spans="1:36">
      <c r="A34" s="1" t="s">
        <v>236</v>
      </c>
      <c r="B34" s="1"/>
      <c r="C34" s="1"/>
      <c r="D34" s="37"/>
      <c r="E34" s="1"/>
      <c r="F34" s="1"/>
      <c r="G34" s="1"/>
      <c r="H34" s="1"/>
      <c r="I34" s="1"/>
      <c r="J34" s="1"/>
      <c r="K34" s="1"/>
      <c r="L34" s="1"/>
      <c r="M34" s="1"/>
      <c r="N34" s="1"/>
      <c r="O34" s="1"/>
      <c r="P34" s="1"/>
      <c r="Q34" s="1"/>
      <c r="R34" s="1"/>
      <c r="S34" s="2"/>
    </row>
    <row r="35" spans="1:36">
      <c r="A35" s="2"/>
      <c r="B35" s="2"/>
      <c r="C35" s="2"/>
      <c r="D35" s="2"/>
      <c r="E35" s="2"/>
      <c r="F35" s="2"/>
      <c r="G35" s="2"/>
      <c r="H35" s="2"/>
      <c r="I35" s="2"/>
      <c r="J35" s="2"/>
      <c r="K35" s="2"/>
      <c r="L35" s="2"/>
      <c r="M35" s="2"/>
      <c r="N35" s="2"/>
      <c r="O35" s="2"/>
      <c r="P35" s="2"/>
      <c r="Q35" s="2"/>
      <c r="R35" s="2"/>
      <c r="S35" s="2"/>
    </row>
    <row r="36" spans="1:36">
      <c r="A36" s="2"/>
      <c r="B36" s="2"/>
      <c r="C36" s="2"/>
      <c r="D36" s="2"/>
      <c r="E36" s="2"/>
      <c r="F36" s="2"/>
      <c r="G36" s="2"/>
      <c r="H36" s="2"/>
      <c r="I36" s="2"/>
      <c r="J36" s="2"/>
      <c r="K36" s="2"/>
      <c r="L36" s="2"/>
      <c r="M36" s="2"/>
      <c r="N36" s="2"/>
      <c r="O36" s="2"/>
      <c r="P36" s="2"/>
      <c r="Q36" s="2"/>
      <c r="R36" s="2"/>
      <c r="S36" s="2"/>
    </row>
    <row r="37" spans="1:36">
      <c r="A37" s="2" t="s">
        <v>153</v>
      </c>
      <c r="B37" s="2"/>
      <c r="C37" s="2"/>
      <c r="D37" s="2"/>
      <c r="E37" s="2"/>
      <c r="F37" s="2"/>
      <c r="G37" s="2"/>
      <c r="H37" s="2"/>
      <c r="I37" s="2"/>
      <c r="J37" s="2"/>
      <c r="K37" s="2"/>
      <c r="L37" s="2"/>
      <c r="M37" s="2"/>
      <c r="N37" s="2"/>
      <c r="O37" s="2"/>
      <c r="P37" s="2"/>
      <c r="Q37" s="2"/>
      <c r="R37" s="2"/>
      <c r="S37" s="2"/>
    </row>
    <row r="38" spans="1:36">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6">
      <c r="A39" s="2"/>
      <c r="B39" s="2"/>
      <c r="C39" s="2"/>
      <c r="D39" s="2"/>
      <c r="E39" s="2"/>
      <c r="F39" s="2"/>
      <c r="G39" s="2"/>
      <c r="H39" s="2"/>
      <c r="I39" s="2"/>
      <c r="J39" s="2"/>
      <c r="K39" s="2"/>
      <c r="L39" s="2"/>
      <c r="M39" s="2"/>
      <c r="N39" s="2"/>
      <c r="O39" s="2"/>
      <c r="P39" s="2"/>
      <c r="Q39" s="2"/>
      <c r="R39" s="2"/>
      <c r="S39" s="2"/>
    </row>
    <row r="40" spans="1:36" ht="28.15" customHeight="1">
      <c r="A40" s="616" t="s">
        <v>252</v>
      </c>
      <c r="B40" s="616"/>
      <c r="C40" s="616"/>
      <c r="D40" s="616"/>
      <c r="E40" s="616"/>
      <c r="F40" s="616"/>
      <c r="G40" s="616"/>
      <c r="H40" s="616"/>
      <c r="I40" s="616"/>
      <c r="J40" s="616"/>
      <c r="K40" s="616"/>
      <c r="L40" s="616"/>
      <c r="M40" s="616"/>
      <c r="N40" s="616"/>
      <c r="O40" s="616"/>
      <c r="P40" s="616"/>
      <c r="Q40" s="616"/>
      <c r="R40" s="616"/>
      <c r="S40" s="2"/>
    </row>
    <row r="41" spans="1:36">
      <c r="A41" s="2"/>
      <c r="B41" s="2"/>
      <c r="C41" s="2"/>
      <c r="D41" s="2"/>
      <c r="E41" s="2"/>
      <c r="F41" s="2"/>
      <c r="G41" s="2"/>
      <c r="H41" s="2"/>
      <c r="I41" s="2"/>
      <c r="J41" s="2"/>
      <c r="K41" s="2"/>
      <c r="L41" s="2"/>
      <c r="M41" s="2"/>
      <c r="N41" s="2"/>
      <c r="O41" s="2"/>
      <c r="P41" s="2"/>
      <c r="Q41" s="2"/>
      <c r="R41" s="2"/>
      <c r="S41" s="2"/>
    </row>
    <row r="42" spans="1:36">
      <c r="A42" s="2"/>
      <c r="B42" s="2"/>
      <c r="C42" s="2"/>
      <c r="D42" s="2"/>
      <c r="E42" s="2"/>
      <c r="F42" s="2"/>
      <c r="G42" s="2"/>
      <c r="H42" s="2"/>
      <c r="I42" s="2"/>
      <c r="J42" s="1" t="s">
        <v>260</v>
      </c>
      <c r="K42" s="1"/>
      <c r="L42" s="1"/>
      <c r="M42" s="2"/>
      <c r="N42" s="2"/>
      <c r="O42" s="2"/>
      <c r="P42" s="2"/>
      <c r="Q42" s="2"/>
      <c r="R42" s="2"/>
      <c r="S42" s="2"/>
    </row>
    <row r="43" spans="1:36">
      <c r="A43" s="2"/>
      <c r="B43" s="2"/>
      <c r="C43" s="2"/>
      <c r="D43" s="1" t="s">
        <v>261</v>
      </c>
      <c r="E43" s="1"/>
      <c r="F43" s="1"/>
      <c r="G43" s="1"/>
      <c r="H43" s="1"/>
      <c r="I43" s="2"/>
      <c r="J43" s="1" t="s">
        <v>226</v>
      </c>
      <c r="K43" s="1"/>
      <c r="L43" s="1"/>
      <c r="M43" s="2"/>
      <c r="N43" s="1" t="s">
        <v>253</v>
      </c>
      <c r="O43" s="1"/>
      <c r="P43" s="1"/>
      <c r="Q43" s="2"/>
      <c r="R43" s="2"/>
      <c r="S43" s="2"/>
    </row>
    <row r="44" spans="1:36">
      <c r="A44" s="1" t="s">
        <v>254</v>
      </c>
      <c r="B44" s="1"/>
      <c r="C44" s="2"/>
      <c r="D44" s="11" t="s">
        <v>576</v>
      </c>
      <c r="E44" s="11"/>
      <c r="F44" s="11" t="s">
        <v>206</v>
      </c>
      <c r="G44" s="11"/>
      <c r="H44" s="11" t="s">
        <v>227</v>
      </c>
      <c r="I44" s="12"/>
      <c r="J44" s="11" t="s">
        <v>206</v>
      </c>
      <c r="K44" s="11"/>
      <c r="L44" s="11" t="s">
        <v>227</v>
      </c>
      <c r="M44" s="12"/>
      <c r="N44" s="11" t="s">
        <v>206</v>
      </c>
      <c r="O44" s="11"/>
      <c r="P44" s="11" t="s">
        <v>227</v>
      </c>
      <c r="Q44" s="12"/>
      <c r="R44" s="12" t="s">
        <v>206</v>
      </c>
      <c r="S44" s="2"/>
    </row>
    <row r="45" spans="1:36">
      <c r="A45" s="1" t="s">
        <v>207</v>
      </c>
      <c r="B45" s="1"/>
      <c r="C45" s="2"/>
      <c r="D45" s="12" t="s">
        <v>381</v>
      </c>
      <c r="E45" s="12"/>
      <c r="F45" s="12" t="s">
        <v>208</v>
      </c>
      <c r="G45" s="12"/>
      <c r="H45" s="12" t="s">
        <v>208</v>
      </c>
      <c r="I45" s="12"/>
      <c r="J45" s="12" t="s">
        <v>208</v>
      </c>
      <c r="K45" s="12"/>
      <c r="L45" s="12" t="s">
        <v>208</v>
      </c>
      <c r="M45" s="12"/>
      <c r="N45" s="12" t="s">
        <v>208</v>
      </c>
      <c r="O45" s="12"/>
      <c r="P45" s="12" t="s">
        <v>208</v>
      </c>
      <c r="Q45" s="12"/>
      <c r="R45" s="12" t="s">
        <v>208</v>
      </c>
      <c r="S45" s="2"/>
    </row>
    <row r="46" spans="1:36">
      <c r="A46" s="3" t="s">
        <v>209</v>
      </c>
      <c r="B46" s="3"/>
      <c r="C46" s="2"/>
      <c r="D46" s="11" t="s">
        <v>229</v>
      </c>
      <c r="E46" s="2"/>
      <c r="F46" s="11" t="s">
        <v>211</v>
      </c>
      <c r="G46" s="2"/>
      <c r="H46" s="13" t="s">
        <v>262</v>
      </c>
      <c r="I46" s="2"/>
      <c r="J46" s="11" t="s">
        <v>243</v>
      </c>
      <c r="K46" s="2"/>
      <c r="L46" s="13" t="s">
        <v>263</v>
      </c>
      <c r="M46" s="2"/>
      <c r="N46" s="11" t="s">
        <v>264</v>
      </c>
      <c r="O46" s="2"/>
      <c r="P46" s="13" t="s">
        <v>265</v>
      </c>
      <c r="Q46" s="2"/>
      <c r="R46" s="11" t="s">
        <v>266</v>
      </c>
      <c r="S46" s="2"/>
    </row>
    <row r="47" spans="1:36">
      <c r="A47" s="2"/>
      <c r="B47" s="2"/>
      <c r="C47" s="2"/>
      <c r="D47" s="2"/>
      <c r="E47" s="2"/>
      <c r="F47" s="2"/>
      <c r="G47" s="2"/>
      <c r="H47" s="5">
        <f>'F 3B 4B'!$I$44</f>
        <v>0.3488</v>
      </c>
      <c r="I47" s="5"/>
      <c r="J47" s="5"/>
      <c r="K47" s="5"/>
      <c r="L47" s="5">
        <f>'F 3B 4B'!$I$46</f>
        <v>0.52329999999999999</v>
      </c>
      <c r="M47" s="5"/>
      <c r="N47" s="5"/>
      <c r="O47" s="5"/>
      <c r="P47" s="5">
        <f>'F 3B 4B'!$I$50</f>
        <v>0.12790000000000001</v>
      </c>
      <c r="Q47" s="2"/>
      <c r="R47" s="42"/>
      <c r="S47" s="2"/>
    </row>
    <row r="48" spans="1:36">
      <c r="A48" s="2"/>
      <c r="B48" s="2"/>
      <c r="C48" s="2"/>
      <c r="D48" s="2"/>
      <c r="E48" s="2"/>
      <c r="F48" s="2"/>
      <c r="G48" s="2"/>
      <c r="H48" s="2"/>
      <c r="I48" s="2"/>
      <c r="J48" s="2"/>
      <c r="K48" s="2"/>
      <c r="L48" s="2"/>
      <c r="M48" s="2"/>
      <c r="N48" s="2"/>
      <c r="O48" s="2"/>
      <c r="P48" s="2"/>
      <c r="Q48" s="2"/>
      <c r="R48" s="2"/>
      <c r="S48" s="2"/>
    </row>
    <row r="49" spans="1:43">
      <c r="A49" s="2" t="s">
        <v>212</v>
      </c>
      <c r="B49" s="2"/>
      <c r="C49" s="2"/>
      <c r="D49" s="173">
        <f>ROUND(('F 1-2'!$G$16/24),1)</f>
        <v>691.6</v>
      </c>
      <c r="E49" s="2"/>
      <c r="F49" s="5">
        <f>ROUND(+D49/$D$57,4)+0.0002</f>
        <v>0.51279999999999992</v>
      </c>
      <c r="G49" s="2"/>
      <c r="H49" s="5">
        <f>ROUND(F49*$H$47,4)</f>
        <v>0.1789</v>
      </c>
      <c r="I49" s="2"/>
      <c r="J49" s="5">
        <f>'F 3B 4B'!$K$62</f>
        <v>0.55710000000000004</v>
      </c>
      <c r="K49" s="2"/>
      <c r="L49" s="5">
        <f>ROUND(J49*$L$47,4)</f>
        <v>0.29149999999999998</v>
      </c>
      <c r="M49" s="2"/>
      <c r="N49" s="5"/>
      <c r="O49" s="2"/>
      <c r="P49" s="5"/>
      <c r="Q49" s="2"/>
      <c r="R49" s="5">
        <f t="shared" ref="R49:R55" si="2">H49+L49+P49</f>
        <v>0.47039999999999998</v>
      </c>
      <c r="S49" s="2"/>
      <c r="W49" s="338"/>
      <c r="X49" s="338"/>
      <c r="Y49" s="338"/>
      <c r="Z49" s="338"/>
      <c r="AA49" s="338"/>
      <c r="AB49" s="338"/>
      <c r="AC49" s="338"/>
      <c r="AD49" s="338"/>
      <c r="AE49" s="338"/>
      <c r="AF49" s="338"/>
      <c r="AG49" s="317"/>
      <c r="AH49" s="338"/>
      <c r="AI49" s="338"/>
      <c r="AJ49" s="338"/>
      <c r="AK49" s="338"/>
      <c r="AL49" s="338"/>
      <c r="AM49" s="338"/>
      <c r="AN49" s="338"/>
      <c r="AO49" s="338"/>
      <c r="AP49" s="338"/>
      <c r="AQ49" s="338"/>
    </row>
    <row r="50" spans="1:43">
      <c r="A50" s="2" t="s">
        <v>213</v>
      </c>
      <c r="B50" s="2"/>
      <c r="C50" s="2"/>
      <c r="D50" s="173">
        <f>ROUND(('F 1-2'!$G$17/24),1)</f>
        <v>434.6</v>
      </c>
      <c r="E50" s="2"/>
      <c r="F50" s="5">
        <f t="shared" ref="F50:F55" si="3">ROUND(+D50/$D$57,4)</f>
        <v>0.3221</v>
      </c>
      <c r="G50" s="2"/>
      <c r="H50" s="5">
        <f t="shared" ref="H50:H55" si="4">ROUND(F50*$H$47,4)</f>
        <v>0.1123</v>
      </c>
      <c r="I50" s="2"/>
      <c r="J50" s="5">
        <f>'F 3B 4B'!$K$63</f>
        <v>0.32950000000000002</v>
      </c>
      <c r="K50" s="2"/>
      <c r="L50" s="5">
        <f>ROUND(J50*$L$47,4)</f>
        <v>0.1724</v>
      </c>
      <c r="M50" s="2"/>
      <c r="N50" s="2"/>
      <c r="O50" s="2"/>
      <c r="P50" s="2"/>
      <c r="Q50" s="2"/>
      <c r="R50" s="5">
        <f t="shared" si="2"/>
        <v>0.28470000000000001</v>
      </c>
      <c r="S50" s="2"/>
      <c r="U50" s="300"/>
      <c r="V50" s="300"/>
      <c r="W50" s="339"/>
      <c r="X50" s="339"/>
      <c r="Y50" s="340"/>
      <c r="Z50" s="340"/>
      <c r="AA50" s="340"/>
      <c r="AB50" s="338"/>
      <c r="AC50" s="341"/>
      <c r="AD50" s="339"/>
      <c r="AE50" s="341"/>
      <c r="AF50" s="338"/>
      <c r="AG50" s="317"/>
      <c r="AH50" s="338"/>
      <c r="AI50" s="317"/>
      <c r="AJ50" s="338"/>
      <c r="AK50" s="338"/>
      <c r="AL50" s="342"/>
      <c r="AM50" s="343"/>
      <c r="AN50" s="338"/>
      <c r="AO50" s="338"/>
      <c r="AP50" s="338"/>
      <c r="AQ50" s="338"/>
    </row>
    <row r="51" spans="1:43" s="297" customFormat="1" ht="15.75">
      <c r="A51" s="2" t="s">
        <v>214</v>
      </c>
      <c r="B51" s="2"/>
      <c r="C51" s="2"/>
      <c r="D51" s="173">
        <f>ROUND(('F 1-2'!$G$18)/24,1)</f>
        <v>60.2</v>
      </c>
      <c r="E51" s="2"/>
      <c r="F51" s="5">
        <f t="shared" si="3"/>
        <v>4.4600000000000001E-2</v>
      </c>
      <c r="G51" s="2"/>
      <c r="H51" s="5">
        <f t="shared" si="4"/>
        <v>1.5599999999999999E-2</v>
      </c>
      <c r="I51" s="2"/>
      <c r="J51" s="5">
        <f>'F 3B 4B'!$K$64</f>
        <v>3.2800000000000003E-2</v>
      </c>
      <c r="K51" s="2"/>
      <c r="L51" s="5">
        <f>ROUND(J51*$L$47,4)</f>
        <v>1.72E-2</v>
      </c>
      <c r="M51" s="2"/>
      <c r="N51" s="2"/>
      <c r="O51" s="2"/>
      <c r="P51" s="2"/>
      <c r="Q51" s="2"/>
      <c r="R51" s="5">
        <f t="shared" si="2"/>
        <v>3.2799999999999996E-2</v>
      </c>
      <c r="S51" s="136"/>
      <c r="T51" s="304"/>
      <c r="U51" s="300"/>
      <c r="V51" s="300"/>
      <c r="W51" s="339"/>
      <c r="X51" s="339"/>
      <c r="Y51" s="339"/>
      <c r="Z51" s="339"/>
      <c r="AA51" s="339"/>
      <c r="AB51" s="344"/>
      <c r="AC51" s="341"/>
      <c r="AD51" s="339"/>
      <c r="AE51" s="341"/>
      <c r="AF51" s="344"/>
      <c r="AG51" s="317"/>
      <c r="AH51" s="338"/>
      <c r="AI51" s="317"/>
      <c r="AJ51" s="338"/>
      <c r="AK51" s="344"/>
      <c r="AL51" s="345"/>
      <c r="AM51" s="345"/>
      <c r="AN51" s="344"/>
      <c r="AO51" s="344"/>
      <c r="AP51" s="344"/>
      <c r="AQ51" s="344"/>
    </row>
    <row r="52" spans="1:43">
      <c r="A52" s="2" t="s">
        <v>216</v>
      </c>
      <c r="B52" s="2"/>
      <c r="C52" s="2"/>
      <c r="D52" s="173">
        <f>ROUND(('F 1-2'!$G$19/24),1)</f>
        <v>154.5</v>
      </c>
      <c r="E52" s="2"/>
      <c r="F52" s="5">
        <f t="shared" si="3"/>
        <v>0.1145</v>
      </c>
      <c r="G52" s="2"/>
      <c r="H52" s="5">
        <f t="shared" si="4"/>
        <v>3.9899999999999998E-2</v>
      </c>
      <c r="I52" s="2"/>
      <c r="J52" s="5">
        <f>'F 3B 4B'!$K$65</f>
        <v>8.0600000000000005E-2</v>
      </c>
      <c r="K52" s="2"/>
      <c r="L52" s="270">
        <f>ROUND(J52*$L$47,4)</f>
        <v>4.2200000000000001E-2</v>
      </c>
      <c r="M52" s="2"/>
      <c r="N52" s="2"/>
      <c r="O52" s="2"/>
      <c r="P52" s="2"/>
      <c r="Q52" s="2"/>
      <c r="R52" s="5">
        <f t="shared" si="2"/>
        <v>8.2100000000000006E-2</v>
      </c>
      <c r="S52" s="2"/>
      <c r="U52" s="300"/>
      <c r="V52" s="300"/>
      <c r="W52" s="339"/>
      <c r="X52" s="339"/>
      <c r="Y52" s="346"/>
      <c r="Z52" s="339"/>
      <c r="AA52" s="339"/>
      <c r="AB52" s="343"/>
      <c r="AC52" s="347"/>
      <c r="AD52" s="339"/>
      <c r="AE52" s="347"/>
      <c r="AF52" s="338"/>
      <c r="AG52" s="343"/>
      <c r="AH52" s="338"/>
      <c r="AI52" s="343"/>
      <c r="AJ52" s="338"/>
      <c r="AK52" s="338"/>
      <c r="AL52" s="342"/>
      <c r="AM52" s="342"/>
      <c r="AN52" s="338"/>
      <c r="AO52" s="338"/>
      <c r="AP52" s="338"/>
      <c r="AQ52" s="338"/>
    </row>
    <row r="53" spans="1:43">
      <c r="A53" s="2" t="s">
        <v>337</v>
      </c>
      <c r="B53" s="2"/>
      <c r="C53" s="2"/>
      <c r="D53" s="173">
        <f>ROUND(('F 1-2'!$G$20/24),1)*0</f>
        <v>0</v>
      </c>
      <c r="E53" s="2"/>
      <c r="F53" s="5">
        <f>ROUND(+D53/$D$57,4)</f>
        <v>0</v>
      </c>
      <c r="G53" s="2"/>
      <c r="H53" s="5">
        <f t="shared" si="4"/>
        <v>0</v>
      </c>
      <c r="I53" s="2"/>
      <c r="J53" s="5">
        <f>'F 3B 4B'!$K$66</f>
        <v>0</v>
      </c>
      <c r="K53" s="2"/>
      <c r="L53" s="5">
        <f>ROUND(J53*$L$47,4)</f>
        <v>0</v>
      </c>
      <c r="M53" s="2"/>
      <c r="N53" s="5"/>
      <c r="O53" s="2"/>
      <c r="P53" s="5"/>
      <c r="Q53" s="2"/>
      <c r="R53" s="5">
        <f t="shared" si="2"/>
        <v>0</v>
      </c>
      <c r="S53" s="473"/>
      <c r="U53" s="300"/>
      <c r="V53" s="300"/>
      <c r="W53" s="339"/>
      <c r="X53" s="339"/>
      <c r="Y53" s="346"/>
      <c r="Z53" s="339"/>
      <c r="AA53" s="339"/>
      <c r="AB53" s="343"/>
      <c r="AC53" s="347"/>
      <c r="AD53" s="339"/>
      <c r="AE53" s="347"/>
      <c r="AF53" s="338"/>
      <c r="AG53" s="343"/>
      <c r="AH53" s="338"/>
      <c r="AI53" s="343"/>
      <c r="AJ53" s="338"/>
      <c r="AK53" s="338"/>
      <c r="AL53" s="342"/>
      <c r="AM53" s="343"/>
      <c r="AN53" s="338"/>
      <c r="AO53" s="338"/>
      <c r="AP53" s="338"/>
      <c r="AQ53" s="338"/>
    </row>
    <row r="54" spans="1:43">
      <c r="A54" s="2" t="s">
        <v>218</v>
      </c>
      <c r="B54" s="2"/>
      <c r="C54" s="2"/>
      <c r="D54" s="173">
        <f>ROUND(('F 1-2'!$G$21/24),1)</f>
        <v>3.7</v>
      </c>
      <c r="E54" s="2"/>
      <c r="F54" s="5">
        <f t="shared" si="3"/>
        <v>2.7000000000000001E-3</v>
      </c>
      <c r="G54" s="2"/>
      <c r="H54" s="5">
        <f t="shared" si="4"/>
        <v>8.9999999999999998E-4</v>
      </c>
      <c r="I54" s="2"/>
      <c r="J54" s="5"/>
      <c r="K54" s="2"/>
      <c r="L54" s="5"/>
      <c r="M54" s="2"/>
      <c r="N54" s="5">
        <f>Fire!$O$26</f>
        <v>0.45190000000000002</v>
      </c>
      <c r="O54" s="2"/>
      <c r="P54" s="270">
        <f>ROUND(N54*$P$47,4)</f>
        <v>5.7799999999999997E-2</v>
      </c>
      <c r="Q54" s="2"/>
      <c r="R54" s="5">
        <f t="shared" si="2"/>
        <v>5.8699999999999995E-2</v>
      </c>
      <c r="S54" s="2"/>
      <c r="U54" s="300"/>
      <c r="V54" s="300"/>
      <c r="W54" s="339"/>
      <c r="X54" s="339"/>
      <c r="Y54" s="346"/>
      <c r="Z54" s="339"/>
      <c r="AA54" s="339"/>
      <c r="AB54" s="343"/>
      <c r="AC54" s="347"/>
      <c r="AD54" s="339"/>
      <c r="AE54" s="347"/>
      <c r="AF54" s="338"/>
      <c r="AG54" s="343"/>
      <c r="AH54" s="338"/>
      <c r="AI54" s="343"/>
      <c r="AJ54" s="338"/>
      <c r="AK54" s="338"/>
      <c r="AL54" s="342"/>
      <c r="AM54" s="343"/>
      <c r="AN54" s="338"/>
      <c r="AO54" s="338"/>
      <c r="AP54" s="338"/>
      <c r="AQ54" s="338"/>
    </row>
    <row r="55" spans="1:43">
      <c r="A55" s="2" t="s">
        <v>219</v>
      </c>
      <c r="B55" s="2"/>
      <c r="C55" s="2"/>
      <c r="D55" s="173">
        <f>ROUND(('F 1-2'!$G$22/24),1)</f>
        <v>4.5</v>
      </c>
      <c r="E55" s="2"/>
      <c r="F55" s="5">
        <f t="shared" si="3"/>
        <v>3.3E-3</v>
      </c>
      <c r="G55" s="2"/>
      <c r="H55" s="5">
        <f t="shared" si="4"/>
        <v>1.1999999999999999E-3</v>
      </c>
      <c r="I55" s="2"/>
      <c r="J55" s="5"/>
      <c r="K55" s="2"/>
      <c r="L55" s="5"/>
      <c r="M55" s="2"/>
      <c r="N55" s="5">
        <f>Fire!$O$33</f>
        <v>0.54810000000000003</v>
      </c>
      <c r="O55" s="2"/>
      <c r="P55" s="5">
        <f>ROUND(N55*$P$47,4)</f>
        <v>7.0099999999999996E-2</v>
      </c>
      <c r="Q55" s="2"/>
      <c r="R55" s="5">
        <f t="shared" si="2"/>
        <v>7.1300000000000002E-2</v>
      </c>
      <c r="S55" s="2"/>
      <c r="U55" s="300"/>
      <c r="V55" s="300"/>
      <c r="W55" s="300"/>
      <c r="X55" s="300"/>
      <c r="Y55" s="301"/>
      <c r="Z55" s="300"/>
      <c r="AA55" s="300"/>
      <c r="AB55" s="241"/>
      <c r="AC55" s="302"/>
      <c r="AD55" s="300"/>
      <c r="AE55" s="302"/>
      <c r="AG55" s="241"/>
      <c r="AI55" s="241"/>
    </row>
    <row r="56" spans="1:43">
      <c r="A56" s="2"/>
      <c r="B56" s="2"/>
      <c r="C56" s="2"/>
      <c r="D56" s="156"/>
      <c r="E56" s="2"/>
      <c r="F56" s="43"/>
      <c r="G56" s="2"/>
      <c r="H56" s="43"/>
      <c r="I56" s="2"/>
      <c r="J56" s="43"/>
      <c r="K56" s="2"/>
      <c r="L56" s="43"/>
      <c r="M56" s="2"/>
      <c r="N56" s="43"/>
      <c r="O56" s="2"/>
      <c r="P56" s="43"/>
      <c r="Q56" s="2"/>
      <c r="R56" s="43"/>
      <c r="S56" s="2"/>
      <c r="U56" s="300"/>
      <c r="V56" s="300"/>
      <c r="W56" s="300"/>
      <c r="X56" s="300"/>
      <c r="Y56" s="301"/>
      <c r="Z56" s="300"/>
      <c r="AA56" s="300"/>
      <c r="AB56" s="241"/>
      <c r="AC56" s="302"/>
      <c r="AD56" s="300"/>
      <c r="AE56" s="302"/>
      <c r="AG56" s="241"/>
      <c r="AI56" s="241"/>
      <c r="AK56" s="5"/>
    </row>
    <row r="57" spans="1:43" ht="15.75" thickBot="1">
      <c r="A57" s="2" t="s">
        <v>220</v>
      </c>
      <c r="B57" s="2"/>
      <c r="C57" s="2"/>
      <c r="D57" s="173">
        <f>SUM(D49:D56)</f>
        <v>1349.1000000000001</v>
      </c>
      <c r="E57" s="2"/>
      <c r="F57" s="5">
        <f>SUM(F49:F56)</f>
        <v>1</v>
      </c>
      <c r="G57" s="2"/>
      <c r="H57" s="5">
        <f>SUM(H49:H56)</f>
        <v>0.3488</v>
      </c>
      <c r="I57" s="2"/>
      <c r="J57" s="5">
        <f>SUM(J49:J56)</f>
        <v>1</v>
      </c>
      <c r="K57" s="2"/>
      <c r="L57" s="5">
        <f>SUM(L49:L56)</f>
        <v>0.52329999999999999</v>
      </c>
      <c r="M57" s="2"/>
      <c r="N57" s="149">
        <f>SUM(N49:N56)</f>
        <v>1</v>
      </c>
      <c r="O57" s="2"/>
      <c r="P57" s="5">
        <f>SUM(P49:P56)</f>
        <v>0.12789999999999999</v>
      </c>
      <c r="Q57" s="2"/>
      <c r="R57" s="5">
        <f>SUM(R49:R56)</f>
        <v>1</v>
      </c>
      <c r="S57" s="2"/>
      <c r="U57" s="300"/>
      <c r="V57" s="300"/>
      <c r="W57" s="300"/>
      <c r="X57" s="300"/>
      <c r="Y57" s="301"/>
      <c r="Z57" s="300"/>
      <c r="AA57" s="300"/>
      <c r="AB57" s="241"/>
      <c r="AC57" s="302"/>
      <c r="AE57" s="302"/>
      <c r="AG57" s="241"/>
      <c r="AI57" s="241"/>
      <c r="AK57" s="5"/>
    </row>
    <row r="58" spans="1:43" ht="15.75" thickTop="1">
      <c r="A58" s="2"/>
      <c r="B58" s="2"/>
      <c r="C58" s="2"/>
      <c r="D58" s="8"/>
      <c r="E58" s="2"/>
      <c r="F58" s="44"/>
      <c r="G58" s="2"/>
      <c r="H58" s="44"/>
      <c r="I58" s="2"/>
      <c r="J58" s="44"/>
      <c r="K58" s="2"/>
      <c r="L58" s="44"/>
      <c r="M58" s="2"/>
      <c r="N58" s="159"/>
      <c r="O58" s="2"/>
      <c r="P58" s="44"/>
      <c r="Q58" s="2"/>
      <c r="R58" s="44"/>
      <c r="S58" s="2"/>
      <c r="U58" s="300"/>
      <c r="V58" s="300"/>
      <c r="W58" s="300"/>
      <c r="X58" s="300"/>
      <c r="Y58" s="300"/>
      <c r="Z58" s="300"/>
      <c r="AA58" s="300"/>
      <c r="AB58" s="241"/>
      <c r="AC58" s="241"/>
      <c r="AG58" s="241"/>
      <c r="AK58" s="5"/>
    </row>
    <row r="59" spans="1:43">
      <c r="A59" s="619" t="s">
        <v>1</v>
      </c>
      <c r="B59" s="619"/>
      <c r="C59" s="619"/>
      <c r="D59" s="619"/>
      <c r="E59" s="619"/>
      <c r="F59" s="619"/>
      <c r="G59" s="619"/>
      <c r="H59" s="619"/>
      <c r="I59" s="619"/>
      <c r="J59" s="619"/>
      <c r="K59" s="619"/>
      <c r="L59" s="619"/>
      <c r="M59" s="619"/>
      <c r="N59" s="619"/>
      <c r="O59" s="619"/>
      <c r="P59" s="619"/>
      <c r="Q59" s="619"/>
      <c r="R59" s="619"/>
      <c r="S59" s="2"/>
      <c r="U59" s="300"/>
      <c r="V59" s="300"/>
      <c r="W59" s="300"/>
      <c r="X59" s="300"/>
      <c r="Y59" s="301"/>
      <c r="Z59" s="300"/>
      <c r="AA59" s="301"/>
      <c r="AB59" s="241"/>
      <c r="AC59" s="241"/>
      <c r="AE59" s="302"/>
      <c r="AF59" s="241"/>
      <c r="AG59" s="241"/>
      <c r="AI59" s="241"/>
      <c r="AK59" s="5"/>
    </row>
    <row r="60" spans="1:43">
      <c r="U60" s="300"/>
      <c r="V60" s="300"/>
      <c r="W60" s="300"/>
      <c r="X60" s="300"/>
      <c r="Y60" s="302"/>
      <c r="Z60" s="302"/>
      <c r="AA60" s="302"/>
      <c r="AB60" s="241"/>
      <c r="AC60" s="241"/>
      <c r="AD60" s="241"/>
      <c r="AE60" s="241"/>
      <c r="AF60" s="241"/>
      <c r="AG60" s="241"/>
      <c r="AH60" s="241"/>
      <c r="AI60" s="241"/>
      <c r="AK60" s="5"/>
    </row>
    <row r="61" spans="1:43">
      <c r="U61" s="300"/>
      <c r="V61" s="300"/>
      <c r="W61" s="300"/>
      <c r="X61" s="300"/>
      <c r="Y61" s="302"/>
      <c r="Z61" s="302"/>
      <c r="AA61" s="302"/>
      <c r="AB61" s="241"/>
      <c r="AC61" s="241"/>
      <c r="AD61" s="241"/>
      <c r="AE61" s="302"/>
      <c r="AF61" s="241"/>
      <c r="AG61" s="302"/>
      <c r="AH61" s="241"/>
      <c r="AI61" s="302"/>
      <c r="AK61" s="5"/>
    </row>
    <row r="62" spans="1:43">
      <c r="A62" s="37"/>
      <c r="B62" s="1"/>
      <c r="C62" s="1"/>
      <c r="D62" s="1"/>
      <c r="E62" s="1"/>
      <c r="F62" s="1"/>
      <c r="G62" s="37"/>
      <c r="H62" s="1"/>
      <c r="I62" s="1"/>
      <c r="J62" s="1"/>
      <c r="K62" s="1"/>
      <c r="L62" s="1"/>
      <c r="M62" s="1"/>
      <c r="N62" s="1"/>
      <c r="O62" s="1"/>
      <c r="P62" s="1"/>
      <c r="Q62" s="1"/>
      <c r="R62" s="1"/>
      <c r="Y62" s="303"/>
      <c r="AK62" s="5"/>
    </row>
    <row r="63" spans="1:43">
      <c r="A63" s="37"/>
      <c r="B63" s="1"/>
      <c r="C63" s="1"/>
      <c r="E63" s="1"/>
      <c r="F63" s="1"/>
      <c r="G63" s="37"/>
      <c r="H63" s="1"/>
      <c r="I63" s="1"/>
      <c r="J63" s="1"/>
      <c r="K63" s="1"/>
      <c r="L63" s="1"/>
      <c r="M63" s="1"/>
      <c r="N63" s="1"/>
      <c r="O63" s="1"/>
      <c r="P63" s="1"/>
      <c r="Q63" s="1"/>
      <c r="R63" s="1"/>
    </row>
    <row r="64" spans="1:43">
      <c r="A64" s="1"/>
      <c r="B64" s="1"/>
      <c r="C64" s="1"/>
      <c r="D64" s="325"/>
      <c r="E64" s="1"/>
      <c r="F64" s="1"/>
      <c r="G64" s="1"/>
      <c r="H64" s="1"/>
      <c r="I64" s="1"/>
      <c r="J64" s="1"/>
      <c r="K64" s="1"/>
      <c r="L64" s="1"/>
      <c r="M64" s="1"/>
      <c r="N64" s="1"/>
      <c r="O64" s="1"/>
      <c r="P64" s="1"/>
      <c r="Q64" s="1"/>
      <c r="R64" s="1"/>
    </row>
    <row r="65" spans="1:25">
      <c r="A65" s="1"/>
      <c r="B65" s="1"/>
      <c r="C65" s="1"/>
      <c r="D65" s="133"/>
      <c r="E65" s="1"/>
      <c r="F65" s="1"/>
      <c r="G65" s="1"/>
      <c r="H65" s="1"/>
      <c r="I65" s="1"/>
      <c r="J65" s="1"/>
      <c r="K65" s="1"/>
      <c r="L65" s="1"/>
      <c r="M65" s="1"/>
      <c r="N65" s="1"/>
      <c r="O65" s="1"/>
      <c r="P65" s="1"/>
      <c r="Q65" s="1"/>
      <c r="R65" s="1"/>
    </row>
    <row r="66" spans="1:25">
      <c r="A66" s="2"/>
      <c r="B66" s="2"/>
      <c r="C66" s="2"/>
      <c r="D66" s="2"/>
      <c r="E66" s="2"/>
      <c r="F66" s="2"/>
      <c r="G66" s="2"/>
      <c r="H66" s="2"/>
      <c r="I66" s="2"/>
      <c r="J66" s="2"/>
      <c r="K66" s="2"/>
      <c r="L66" s="2"/>
      <c r="M66" s="2"/>
      <c r="N66" s="2"/>
      <c r="O66" s="2"/>
      <c r="P66" s="2"/>
      <c r="Q66" s="2"/>
      <c r="R66" s="2"/>
    </row>
    <row r="67" spans="1:25">
      <c r="A67" s="2"/>
      <c r="B67" s="2"/>
      <c r="C67" s="2"/>
      <c r="D67" s="2"/>
      <c r="E67" s="2"/>
      <c r="F67" s="2"/>
      <c r="G67" s="2"/>
      <c r="H67" s="2"/>
      <c r="I67" s="2"/>
      <c r="J67" s="2"/>
      <c r="K67" s="2"/>
      <c r="L67" s="2"/>
      <c r="M67" s="2"/>
      <c r="N67" s="2"/>
      <c r="O67" s="2"/>
      <c r="P67" s="2"/>
      <c r="Q67" s="2"/>
      <c r="R67" s="2"/>
    </row>
    <row r="68" spans="1:25" ht="15" customHeight="1">
      <c r="A68" s="620"/>
      <c r="B68" s="620"/>
      <c r="C68" s="620"/>
      <c r="D68" s="620"/>
      <c r="E68" s="620"/>
      <c r="F68" s="620"/>
      <c r="G68" s="620"/>
      <c r="H68" s="620"/>
      <c r="I68" s="620"/>
      <c r="J68" s="620"/>
      <c r="K68" s="620"/>
      <c r="L68" s="620"/>
      <c r="M68" s="620"/>
      <c r="N68" s="620"/>
      <c r="O68" s="620"/>
      <c r="P68" s="620"/>
      <c r="Q68" s="620"/>
      <c r="R68" s="620"/>
      <c r="Y68" s="2"/>
    </row>
    <row r="69" spans="1:25">
      <c r="A69" s="2"/>
      <c r="B69" s="2"/>
      <c r="C69" s="2"/>
      <c r="D69" s="2"/>
      <c r="E69" s="2"/>
      <c r="F69" s="2"/>
      <c r="G69" s="2"/>
      <c r="H69" s="2"/>
      <c r="I69" s="2"/>
      <c r="J69" s="2"/>
      <c r="K69" s="2"/>
      <c r="L69" s="2"/>
      <c r="M69" s="2"/>
      <c r="N69" s="2"/>
      <c r="O69" s="2"/>
      <c r="P69" s="2"/>
      <c r="Q69" s="2"/>
      <c r="R69" s="2"/>
    </row>
    <row r="70" spans="1:25">
      <c r="A70" s="2"/>
      <c r="B70" s="2"/>
      <c r="C70" s="2"/>
      <c r="D70" s="2"/>
      <c r="E70" s="2"/>
      <c r="F70" s="2"/>
      <c r="G70" s="2"/>
      <c r="H70" s="2"/>
      <c r="I70" s="2"/>
      <c r="J70" s="2"/>
      <c r="K70" s="2"/>
      <c r="L70" s="2"/>
      <c r="M70" s="2"/>
      <c r="N70" s="2"/>
      <c r="O70" s="2"/>
      <c r="P70" s="2"/>
      <c r="Q70" s="2"/>
      <c r="R70" s="2"/>
    </row>
    <row r="71" spans="1:25" ht="27.6" customHeight="1">
      <c r="A71" s="616"/>
      <c r="B71" s="616"/>
      <c r="C71" s="616"/>
      <c r="D71" s="616"/>
      <c r="E71" s="616"/>
      <c r="F71" s="616"/>
      <c r="G71" s="616"/>
      <c r="H71" s="616"/>
      <c r="I71" s="616"/>
      <c r="J71" s="616"/>
      <c r="K71" s="616"/>
      <c r="L71" s="616"/>
      <c r="M71" s="616"/>
      <c r="N71" s="616"/>
      <c r="O71" s="616"/>
      <c r="P71" s="616"/>
      <c r="Q71" s="616"/>
      <c r="R71" s="616"/>
    </row>
    <row r="72" spans="1:25">
      <c r="A72" s="2"/>
      <c r="B72" s="2"/>
      <c r="C72" s="2"/>
      <c r="D72" s="2"/>
      <c r="E72" s="2"/>
      <c r="F72" s="2"/>
      <c r="G72" s="2"/>
      <c r="H72" s="2"/>
      <c r="I72" s="2"/>
      <c r="J72" s="2"/>
      <c r="K72" s="2"/>
      <c r="L72" s="2"/>
      <c r="M72" s="2"/>
      <c r="N72" s="2"/>
      <c r="O72" s="2"/>
      <c r="P72" s="2"/>
      <c r="Q72" s="2"/>
      <c r="R72" s="2"/>
    </row>
    <row r="73" spans="1:25">
      <c r="A73" s="2"/>
      <c r="B73" s="2"/>
      <c r="C73" s="2"/>
      <c r="D73" s="2"/>
      <c r="E73" s="2"/>
      <c r="F73" s="2"/>
      <c r="G73" s="2"/>
      <c r="H73" s="2"/>
      <c r="I73" s="2"/>
      <c r="J73" s="1"/>
      <c r="K73" s="1"/>
      <c r="L73" s="1"/>
      <c r="M73" s="2"/>
      <c r="N73" s="2"/>
      <c r="O73" s="2"/>
      <c r="P73" s="2"/>
      <c r="Q73" s="2"/>
      <c r="R73" s="2"/>
    </row>
    <row r="74" spans="1:25">
      <c r="A74" s="2"/>
      <c r="B74" s="2"/>
      <c r="C74" s="2"/>
      <c r="D74" s="1"/>
      <c r="E74" s="1"/>
      <c r="F74" s="1"/>
      <c r="G74" s="1"/>
      <c r="H74" s="1"/>
      <c r="I74" s="2"/>
      <c r="J74" s="1"/>
      <c r="K74" s="1"/>
      <c r="L74" s="1"/>
      <c r="M74" s="2"/>
      <c r="N74" s="1"/>
      <c r="O74" s="1"/>
      <c r="P74" s="1"/>
      <c r="Q74" s="2"/>
      <c r="R74" s="2"/>
    </row>
    <row r="75" spans="1:25">
      <c r="A75" s="1"/>
      <c r="B75" s="1"/>
      <c r="C75" s="2"/>
      <c r="D75" s="11"/>
      <c r="E75" s="11"/>
      <c r="F75" s="11"/>
      <c r="G75" s="11"/>
      <c r="H75" s="11"/>
      <c r="I75" s="12"/>
      <c r="J75" s="11"/>
      <c r="K75" s="11"/>
      <c r="L75" s="11"/>
      <c r="M75" s="12"/>
      <c r="N75" s="11"/>
      <c r="O75" s="11"/>
      <c r="P75" s="11"/>
      <c r="Q75" s="12"/>
      <c r="R75" s="12"/>
    </row>
    <row r="76" spans="1:25">
      <c r="A76" s="1"/>
      <c r="B76" s="1"/>
      <c r="C76" s="2"/>
      <c r="D76" s="12"/>
      <c r="E76" s="12"/>
      <c r="F76" s="12"/>
      <c r="G76" s="12"/>
      <c r="H76" s="12"/>
      <c r="I76" s="12"/>
      <c r="J76" s="12"/>
      <c r="K76" s="12"/>
      <c r="L76" s="12"/>
      <c r="M76" s="12"/>
      <c r="N76" s="12"/>
      <c r="O76" s="12"/>
      <c r="P76" s="12"/>
      <c r="Q76" s="12"/>
      <c r="R76" s="12"/>
    </row>
    <row r="77" spans="1:25">
      <c r="A77" s="3"/>
      <c r="B77" s="3"/>
      <c r="C77" s="2"/>
      <c r="D77" s="11"/>
      <c r="E77" s="2"/>
      <c r="F77" s="11"/>
      <c r="G77" s="2"/>
      <c r="H77" s="13"/>
      <c r="I77" s="2"/>
      <c r="J77" s="11"/>
      <c r="K77" s="2"/>
      <c r="L77" s="13"/>
      <c r="M77" s="2"/>
      <c r="N77" s="11"/>
      <c r="O77" s="2"/>
      <c r="P77" s="13"/>
      <c r="Q77" s="2"/>
      <c r="R77" s="11"/>
    </row>
    <row r="78" spans="1:25">
      <c r="A78" s="2"/>
      <c r="B78" s="2"/>
      <c r="C78" s="2"/>
      <c r="D78" s="2"/>
      <c r="E78" s="2"/>
      <c r="F78" s="2"/>
      <c r="G78" s="2"/>
      <c r="H78" s="5"/>
      <c r="I78" s="5"/>
      <c r="J78" s="5"/>
      <c r="K78" s="5"/>
      <c r="L78" s="5"/>
      <c r="M78" s="5"/>
      <c r="N78" s="5"/>
      <c r="O78" s="5"/>
      <c r="P78" s="5"/>
      <c r="Q78" s="2"/>
      <c r="R78" s="42"/>
    </row>
    <row r="79" spans="1:25">
      <c r="A79" s="2"/>
      <c r="B79" s="2"/>
      <c r="C79" s="2"/>
      <c r="D79" s="2"/>
      <c r="E79" s="2"/>
      <c r="F79" s="2"/>
      <c r="G79" s="2"/>
      <c r="H79" s="2"/>
      <c r="I79" s="2"/>
      <c r="J79" s="2"/>
      <c r="K79" s="2"/>
      <c r="L79" s="2"/>
      <c r="M79" s="2"/>
      <c r="N79" s="2"/>
      <c r="O79" s="2"/>
      <c r="P79" s="2"/>
      <c r="Q79" s="2"/>
      <c r="R79" s="2"/>
    </row>
    <row r="80" spans="1:25">
      <c r="A80" s="2"/>
      <c r="B80" s="2"/>
      <c r="C80" s="2"/>
      <c r="D80" s="173"/>
      <c r="E80" s="2"/>
      <c r="F80" s="5"/>
      <c r="G80" s="2"/>
      <c r="H80" s="5"/>
      <c r="I80" s="2"/>
      <c r="J80" s="5"/>
      <c r="K80" s="2"/>
      <c r="L80" s="5"/>
      <c r="M80" s="2"/>
      <c r="N80" s="5"/>
      <c r="O80" s="2"/>
      <c r="P80" s="5"/>
      <c r="Q80" s="2"/>
      <c r="R80" s="5"/>
    </row>
    <row r="81" spans="1:18">
      <c r="A81" s="2"/>
      <c r="B81" s="2"/>
      <c r="C81" s="2"/>
      <c r="D81" s="173"/>
      <c r="E81" s="2"/>
      <c r="F81" s="5"/>
      <c r="G81" s="2"/>
      <c r="H81" s="5"/>
      <c r="I81" s="2"/>
      <c r="J81" s="5"/>
      <c r="K81" s="2"/>
      <c r="L81" s="5"/>
      <c r="M81" s="2"/>
      <c r="N81" s="2"/>
      <c r="O81" s="2"/>
      <c r="P81" s="2"/>
      <c r="Q81" s="2"/>
      <c r="R81" s="5"/>
    </row>
    <row r="82" spans="1:18">
      <c r="A82" s="2"/>
      <c r="B82" s="2"/>
      <c r="C82" s="2"/>
      <c r="D82" s="173"/>
      <c r="E82" s="2"/>
      <c r="F82" s="5"/>
      <c r="G82" s="2"/>
      <c r="H82" s="5"/>
      <c r="I82" s="2"/>
      <c r="J82" s="5"/>
      <c r="K82" s="2"/>
      <c r="L82" s="5"/>
      <c r="M82" s="2"/>
      <c r="N82" s="2"/>
      <c r="O82" s="2"/>
      <c r="P82" s="2"/>
      <c r="Q82" s="2"/>
      <c r="R82" s="5"/>
    </row>
    <row r="83" spans="1:18">
      <c r="A83" s="2"/>
      <c r="B83" s="2"/>
      <c r="C83" s="2"/>
      <c r="D83" s="173"/>
      <c r="E83" s="2"/>
      <c r="F83" s="5"/>
      <c r="G83" s="2"/>
      <c r="H83" s="5"/>
      <c r="I83" s="2"/>
      <c r="J83" s="5"/>
      <c r="K83" s="2"/>
      <c r="L83" s="5"/>
      <c r="M83" s="2"/>
      <c r="N83" s="5"/>
      <c r="O83" s="2"/>
      <c r="P83" s="270"/>
      <c r="Q83" s="2"/>
      <c r="R83" s="5"/>
    </row>
    <row r="84" spans="1:18">
      <c r="A84" s="2"/>
      <c r="B84" s="2"/>
      <c r="C84" s="2"/>
      <c r="D84" s="173"/>
      <c r="E84" s="2"/>
      <c r="F84" s="5"/>
      <c r="G84" s="2"/>
      <c r="H84" s="5"/>
      <c r="I84" s="2"/>
      <c r="J84" s="5"/>
      <c r="K84" s="2"/>
      <c r="L84" s="5"/>
      <c r="M84" s="2"/>
      <c r="N84" s="5"/>
      <c r="O84" s="2"/>
      <c r="P84" s="5"/>
      <c r="Q84" s="2"/>
      <c r="R84" s="5"/>
    </row>
    <row r="85" spans="1:18">
      <c r="A85" s="2"/>
      <c r="B85" s="2"/>
      <c r="C85" s="2"/>
      <c r="D85" s="156"/>
      <c r="E85" s="2"/>
      <c r="F85" s="43"/>
      <c r="G85" s="2"/>
      <c r="H85" s="43"/>
      <c r="I85" s="2"/>
      <c r="J85" s="43"/>
      <c r="K85" s="2"/>
      <c r="L85" s="43"/>
      <c r="M85" s="2"/>
      <c r="N85" s="43"/>
      <c r="O85" s="2"/>
      <c r="P85" s="43"/>
      <c r="Q85" s="2"/>
      <c r="R85" s="43"/>
    </row>
    <row r="86" spans="1:18" ht="15.75" thickBot="1">
      <c r="A86" s="2"/>
      <c r="B86" s="2"/>
      <c r="C86" s="2"/>
      <c r="D86" s="173"/>
      <c r="E86" s="2"/>
      <c r="F86" s="5"/>
      <c r="G86" s="2"/>
      <c r="H86" s="5"/>
      <c r="I86" s="2"/>
      <c r="J86" s="5"/>
      <c r="K86" s="2"/>
      <c r="L86" s="5"/>
      <c r="M86" s="2"/>
      <c r="N86" s="149"/>
      <c r="O86" s="2"/>
      <c r="P86" s="5"/>
      <c r="Q86" s="2"/>
      <c r="R86" s="5"/>
    </row>
    <row r="87" spans="1:18" ht="15.75" thickTop="1">
      <c r="A87" s="2"/>
      <c r="B87" s="2"/>
      <c r="C87" s="2"/>
      <c r="D87" s="8"/>
      <c r="E87" s="2"/>
      <c r="F87" s="44"/>
      <c r="G87" s="2"/>
      <c r="H87" s="44"/>
      <c r="I87" s="2"/>
      <c r="J87" s="44"/>
      <c r="K87" s="2"/>
      <c r="L87" s="44"/>
      <c r="M87" s="2"/>
      <c r="N87" s="159"/>
      <c r="O87" s="2"/>
      <c r="P87" s="44"/>
      <c r="Q87" s="2"/>
      <c r="R87" s="44"/>
    </row>
    <row r="88" spans="1:18">
      <c r="A88" s="619"/>
      <c r="B88" s="619"/>
      <c r="C88" s="619"/>
      <c r="D88" s="619"/>
      <c r="E88" s="619"/>
      <c r="F88" s="619"/>
      <c r="G88" s="619"/>
      <c r="H88" s="619"/>
      <c r="I88" s="619"/>
      <c r="J88" s="619"/>
      <c r="K88" s="619"/>
      <c r="L88" s="619"/>
      <c r="M88" s="619"/>
      <c r="N88" s="619"/>
      <c r="O88" s="619"/>
      <c r="P88" s="619"/>
      <c r="Q88" s="619"/>
      <c r="R88" s="619"/>
    </row>
    <row r="113" spans="47:47" ht="13.35" customHeight="1"/>
    <row r="114" spans="47:47" ht="13.35" customHeight="1"/>
    <row r="115" spans="47:47" ht="13.35" customHeight="1"/>
    <row r="116" spans="47:47" ht="13.35" customHeight="1"/>
    <row r="117" spans="47:47" ht="13.35" customHeight="1"/>
    <row r="118" spans="47:47" ht="13.35" customHeight="1"/>
    <row r="119" spans="47:47" ht="13.35" customHeight="1"/>
    <row r="120" spans="47:47" ht="13.35" customHeight="1"/>
    <row r="121" spans="47:47" ht="13.35" customHeight="1"/>
    <row r="122" spans="47:47" ht="13.35" customHeight="1"/>
    <row r="123" spans="47:47" ht="13.35" customHeight="1"/>
    <row r="124" spans="47:47" ht="12.75" customHeight="1"/>
    <row r="125" spans="47:47" ht="13.35" customHeight="1"/>
    <row r="126" spans="47:47" ht="13.35" customHeight="1"/>
    <row r="127" spans="47:47" ht="13.35" customHeight="1">
      <c r="AU127" s="273"/>
    </row>
    <row r="128" spans="47:47" ht="13.35" customHeight="1"/>
    <row r="129" ht="13.35" customHeight="1"/>
    <row r="130" ht="13.35" customHeight="1"/>
    <row r="131" ht="13.35" customHeight="1"/>
    <row r="132" ht="13.35" customHeight="1"/>
    <row r="133" ht="13.35" customHeight="1"/>
    <row r="134" ht="13.35" customHeight="1"/>
    <row r="135" ht="13.35" customHeight="1"/>
    <row r="136" ht="13.35" customHeight="1"/>
    <row r="137" ht="13.35" customHeight="1"/>
    <row r="138" ht="13.35" customHeight="1"/>
    <row r="139" ht="13.35" customHeight="1"/>
    <row r="140" ht="13.35" customHeight="1"/>
    <row r="141" ht="13.35" customHeight="1"/>
    <row r="142" ht="13.35" customHeight="1"/>
    <row r="143" ht="12.75" customHeight="1"/>
    <row r="144" ht="13.35" customHeight="1"/>
    <row r="145" ht="13.35" customHeight="1"/>
    <row r="146" ht="13.35" customHeight="1"/>
    <row r="147" ht="13.35" customHeight="1"/>
    <row r="148" ht="13.35" customHeight="1"/>
    <row r="149" ht="13.35" customHeight="1"/>
    <row r="150" ht="13.35" customHeight="1"/>
    <row r="151" ht="13.35" customHeight="1"/>
    <row r="152" ht="12.75" customHeight="1"/>
    <row r="153" ht="13.35" customHeight="1"/>
    <row r="154" ht="13.35" customHeight="1"/>
    <row r="155" ht="13.35" customHeight="1"/>
    <row r="156" ht="13.35" customHeight="1"/>
    <row r="157" ht="13.35" customHeight="1"/>
    <row r="158" ht="13.35" customHeight="1"/>
    <row r="159" ht="13.35" customHeight="1"/>
    <row r="175" spans="66:67">
      <c r="BN175" s="1"/>
      <c r="BO175" s="1"/>
    </row>
    <row r="176" spans="66:67">
      <c r="BN176" s="1"/>
      <c r="BO176" s="1"/>
    </row>
    <row r="177" spans="66:67" ht="12.75" customHeight="1"/>
    <row r="178" spans="66:67">
      <c r="BN178" s="12"/>
      <c r="BO178" s="12"/>
    </row>
    <row r="179" spans="66:67" ht="12.75" customHeight="1">
      <c r="BN179" s="2"/>
      <c r="BO179" s="2"/>
    </row>
    <row r="180" spans="66:67" ht="13.35" customHeight="1">
      <c r="BN180" s="10"/>
      <c r="BO180" s="10"/>
    </row>
    <row r="181" spans="66:67" ht="13.35" customHeight="1">
      <c r="BN181" s="10"/>
      <c r="BO181" s="10"/>
    </row>
    <row r="182" spans="66:67" ht="13.35" customHeight="1">
      <c r="BN182" s="10"/>
      <c r="BO182" s="10"/>
    </row>
    <row r="183" spans="66:67" ht="13.35" customHeight="1">
      <c r="BN183" s="10"/>
      <c r="BO183" s="10"/>
    </row>
    <row r="184" spans="66:67" ht="12.75" customHeight="1">
      <c r="BN184" s="2"/>
      <c r="BO184" s="2"/>
    </row>
    <row r="185" spans="66:67">
      <c r="BN185" s="298"/>
      <c r="BO185" s="298"/>
    </row>
    <row r="187" spans="66:67" ht="12.75" customHeight="1"/>
    <row r="189" spans="66:67" ht="13.35" customHeight="1"/>
    <row r="190" spans="66:67" ht="13.35" customHeight="1"/>
    <row r="191" spans="66:67" ht="13.35" customHeight="1"/>
    <row r="192" spans="66:67" ht="13.35" customHeight="1"/>
    <row r="202" ht="12.75" customHeight="1"/>
    <row r="204" ht="12.75" customHeight="1"/>
    <row r="208" ht="12.75" customHeight="1"/>
    <row r="210" ht="13.35" customHeight="1"/>
    <row r="211" ht="13.35" customHeight="1"/>
    <row r="212" ht="13.35" customHeight="1"/>
    <row r="213" ht="13.35" customHeight="1"/>
    <row r="214" ht="13.35" customHeight="1"/>
    <row r="215" ht="13.35" customHeight="1"/>
    <row r="216" ht="12.75" customHeight="1"/>
    <row r="218" ht="12.75" customHeight="1"/>
  </sheetData>
  <mergeCells count="6">
    <mergeCell ref="A10:P10"/>
    <mergeCell ref="A71:R71"/>
    <mergeCell ref="A88:R88"/>
    <mergeCell ref="A68:R68"/>
    <mergeCell ref="A40:R40"/>
    <mergeCell ref="A59:R59"/>
  </mergeCells>
  <phoneticPr fontId="11" type="noConversion"/>
  <printOptions horizontalCentered="1"/>
  <pageMargins left="0.5" right="0.5" top="1" bottom="0.5" header="0.5" footer="0.5"/>
  <pageSetup orientation="landscape" r:id="rId1"/>
  <headerFooter alignWithMargins="0"/>
  <rowBreaks count="2" manualBreakCount="2">
    <brk id="30" max="65535" man="1"/>
    <brk id="61" max="16383" man="1"/>
  </rowBreaks>
</worksheet>
</file>

<file path=xl/worksheets/sheet5.xml><?xml version="1.0" encoding="utf-8"?>
<worksheet xmlns="http://schemas.openxmlformats.org/spreadsheetml/2006/main" xmlns:r="http://schemas.openxmlformats.org/officeDocument/2006/relationships">
  <sheetPr>
    <pageSetUpPr autoPageBreaks="0"/>
  </sheetPr>
  <dimension ref="A1:Q73"/>
  <sheetViews>
    <sheetView workbookViewId="0">
      <selection activeCell="M50" sqref="M50"/>
    </sheetView>
  </sheetViews>
  <sheetFormatPr defaultColWidth="9.77734375" defaultRowHeight="15"/>
  <cols>
    <col min="1" max="1" width="6.77734375" style="214" customWidth="1"/>
    <col min="2" max="2" width="4.77734375" style="214" customWidth="1"/>
    <col min="3" max="3" width="6.5546875" style="214" customWidth="1"/>
    <col min="4" max="4" width="2.77734375" style="214" customWidth="1"/>
    <col min="5" max="5" width="9.77734375" style="214" customWidth="1"/>
    <col min="6" max="6" width="2.77734375" style="214" customWidth="1"/>
    <col min="7" max="7" width="10.109375" style="214" customWidth="1"/>
    <col min="8" max="8" width="2.77734375" style="214" customWidth="1"/>
    <col min="9" max="9" width="9.77734375" style="214" customWidth="1"/>
    <col min="10" max="10" width="2.77734375" style="214" customWidth="1"/>
    <col min="11" max="13" width="9.77734375" style="214" customWidth="1"/>
    <col min="14" max="14" width="1.77734375" style="214" customWidth="1"/>
    <col min="15" max="15" width="7.77734375" style="214" customWidth="1"/>
    <col min="16" max="16" width="16" style="214" bestFit="1" customWidth="1"/>
    <col min="17" max="17" width="11" style="214" bestFit="1" customWidth="1"/>
    <col min="18" max="16384" width="9.77734375" style="214"/>
  </cols>
  <sheetData>
    <row r="1" spans="1:17">
      <c r="A1" s="37" t="s">
        <v>7</v>
      </c>
      <c r="B1" s="45"/>
      <c r="C1" s="45"/>
      <c r="D1" s="45"/>
      <c r="E1" s="45"/>
      <c r="F1" s="45"/>
      <c r="G1" s="45"/>
      <c r="H1" s="45"/>
      <c r="I1" s="45"/>
      <c r="J1" s="45"/>
      <c r="K1" s="45"/>
    </row>
    <row r="2" spans="1:17">
      <c r="A2" s="37"/>
      <c r="B2" s="45"/>
      <c r="C2" s="45"/>
      <c r="D2" s="45"/>
      <c r="E2" s="45"/>
      <c r="F2" s="45"/>
      <c r="G2" s="45"/>
      <c r="H2" s="45"/>
      <c r="I2" s="45"/>
      <c r="J2" s="45"/>
      <c r="K2" s="45"/>
    </row>
    <row r="4" spans="1:17">
      <c r="A4" s="46" t="s">
        <v>236</v>
      </c>
      <c r="B4" s="46"/>
      <c r="C4" s="46"/>
      <c r="D4" s="46"/>
      <c r="E4" s="46"/>
      <c r="F4" s="46"/>
      <c r="G4" s="46"/>
      <c r="H4" s="46"/>
      <c r="I4" s="46"/>
      <c r="J4" s="46"/>
      <c r="K4" s="46"/>
      <c r="L4" s="47"/>
    </row>
    <row r="5" spans="1:17">
      <c r="A5" s="47"/>
      <c r="B5" s="47"/>
      <c r="C5" s="47"/>
      <c r="D5" s="47"/>
      <c r="E5" s="47"/>
      <c r="F5" s="47"/>
      <c r="G5" s="47"/>
      <c r="H5" s="47"/>
      <c r="I5" s="47"/>
      <c r="J5" s="47"/>
      <c r="K5" s="47"/>
      <c r="L5" s="47"/>
    </row>
    <row r="6" spans="1:17">
      <c r="A6" s="48"/>
      <c r="B6" s="48"/>
      <c r="C6" s="48"/>
      <c r="D6" s="48"/>
      <c r="E6" s="48"/>
      <c r="F6" s="48"/>
      <c r="G6" s="48"/>
      <c r="H6" s="48"/>
      <c r="I6" s="48"/>
      <c r="J6" s="48"/>
      <c r="K6" s="48"/>
      <c r="L6" s="48"/>
    </row>
    <row r="7" spans="1:17">
      <c r="A7" s="48" t="s">
        <v>267</v>
      </c>
      <c r="B7" s="48"/>
      <c r="C7" s="48"/>
      <c r="D7" s="48"/>
      <c r="E7" s="48"/>
      <c r="F7" s="48"/>
      <c r="G7" s="48"/>
      <c r="H7" s="48"/>
      <c r="I7" s="48"/>
      <c r="J7" s="48"/>
      <c r="K7" s="48"/>
      <c r="L7" s="48"/>
    </row>
    <row r="8" spans="1:17">
      <c r="A8" s="48" t="s">
        <v>268</v>
      </c>
      <c r="B8" s="48"/>
      <c r="C8" s="48"/>
      <c r="D8" s="48"/>
      <c r="E8" s="48"/>
      <c r="F8" s="48"/>
      <c r="G8" s="48"/>
      <c r="H8" s="48"/>
      <c r="I8" s="48"/>
      <c r="J8" s="48"/>
      <c r="K8" s="48"/>
      <c r="L8" s="48"/>
    </row>
    <row r="9" spans="1:17">
      <c r="A9" s="48"/>
      <c r="B9" s="48"/>
      <c r="C9" s="48"/>
      <c r="D9" s="48"/>
      <c r="E9" s="48"/>
      <c r="F9" s="48"/>
      <c r="G9" s="48"/>
      <c r="H9" s="48"/>
      <c r="I9" s="48"/>
      <c r="J9" s="48"/>
      <c r="K9" s="48"/>
      <c r="L9" s="48"/>
    </row>
    <row r="10" spans="1:17" ht="54.75" customHeight="1">
      <c r="A10" s="621" t="s">
        <v>783</v>
      </c>
      <c r="B10" s="621"/>
      <c r="C10" s="621"/>
      <c r="D10" s="621"/>
      <c r="E10" s="621"/>
      <c r="F10" s="621"/>
      <c r="G10" s="621"/>
      <c r="H10" s="621"/>
      <c r="I10" s="621"/>
      <c r="J10" s="621"/>
      <c r="K10" s="621"/>
      <c r="L10" s="48"/>
    </row>
    <row r="11" spans="1:17">
      <c r="A11" s="48"/>
      <c r="B11" s="48"/>
      <c r="C11" s="48"/>
      <c r="D11" s="48"/>
      <c r="E11" s="48"/>
      <c r="F11" s="48"/>
      <c r="G11" s="48"/>
      <c r="H11" s="48"/>
      <c r="I11" s="48"/>
      <c r="J11" s="48"/>
      <c r="K11" s="48"/>
      <c r="L11" s="48"/>
    </row>
    <row r="12" spans="1:17">
      <c r="A12" s="48"/>
      <c r="B12" s="48"/>
      <c r="C12" s="48"/>
      <c r="D12" s="48"/>
      <c r="F12" s="48"/>
      <c r="G12" s="442" t="s">
        <v>239</v>
      </c>
      <c r="H12" s="48"/>
      <c r="J12" s="48"/>
      <c r="K12" s="48"/>
      <c r="L12" s="48"/>
    </row>
    <row r="13" spans="1:17">
      <c r="A13" s="48"/>
      <c r="B13" s="48"/>
      <c r="D13" s="48"/>
      <c r="E13" s="442" t="s">
        <v>246</v>
      </c>
      <c r="F13" s="48"/>
      <c r="G13" s="442" t="s">
        <v>269</v>
      </c>
      <c r="H13" s="48"/>
      <c r="I13" s="442" t="s">
        <v>247</v>
      </c>
      <c r="J13" s="48"/>
      <c r="L13" s="48"/>
    </row>
    <row r="14" spans="1:17">
      <c r="A14" s="48"/>
      <c r="B14" s="48"/>
      <c r="D14" s="48"/>
      <c r="E14" s="50"/>
      <c r="F14" s="48"/>
      <c r="G14" s="50"/>
      <c r="H14" s="48"/>
      <c r="I14" s="50"/>
      <c r="J14" s="48"/>
      <c r="L14" s="48"/>
      <c r="P14" s="314"/>
      <c r="Q14" s="314"/>
    </row>
    <row r="15" spans="1:17">
      <c r="B15" s="48" t="s">
        <v>248</v>
      </c>
      <c r="D15" s="48"/>
      <c r="E15" s="51">
        <v>1</v>
      </c>
      <c r="F15" s="48"/>
      <c r="G15" s="52">
        <v>39283515.945205487</v>
      </c>
      <c r="H15" s="48"/>
      <c r="I15" s="53">
        <f>ROUND(+G15/G$23,4)</f>
        <v>0.55469999999999997</v>
      </c>
      <c r="J15" s="48"/>
      <c r="L15" s="48"/>
    </row>
    <row r="16" spans="1:17">
      <c r="B16" s="48" t="s">
        <v>224</v>
      </c>
      <c r="D16" s="48"/>
      <c r="E16" s="51"/>
      <c r="F16" s="48"/>
      <c r="G16" s="52"/>
      <c r="H16" s="48"/>
      <c r="I16" s="53"/>
      <c r="J16" s="48"/>
      <c r="L16" s="48"/>
      <c r="P16" s="314"/>
    </row>
    <row r="17" spans="1:17">
      <c r="B17" s="48" t="s">
        <v>249</v>
      </c>
      <c r="D17" s="48"/>
      <c r="E17" s="51">
        <f>+'F 2 B'!F35</f>
        <v>0.65</v>
      </c>
      <c r="F17" s="52"/>
      <c r="G17" s="52">
        <f>ROUND(+G15*E17,0)</f>
        <v>25534285</v>
      </c>
      <c r="H17" s="53"/>
      <c r="I17" s="53">
        <f>ROUND(+G17/G$23,4)</f>
        <v>0.36059999999999998</v>
      </c>
      <c r="J17" s="48"/>
      <c r="L17" s="48"/>
    </row>
    <row r="18" spans="1:17">
      <c r="B18" s="48"/>
      <c r="D18" s="48"/>
      <c r="E18" s="54"/>
      <c r="F18" s="52"/>
      <c r="G18" s="55"/>
      <c r="H18" s="53"/>
      <c r="I18" s="56"/>
      <c r="J18" s="48"/>
      <c r="L18" s="48"/>
    </row>
    <row r="19" spans="1:17" ht="15.75" thickBot="1">
      <c r="B19" s="48" t="s">
        <v>271</v>
      </c>
      <c r="D19" s="48"/>
      <c r="E19" s="197">
        <f>SUM(E15:E18)</f>
        <v>1.65</v>
      </c>
      <c r="F19" s="52"/>
      <c r="G19" s="52">
        <f>SUM(G15:G18)</f>
        <v>64817800.945205487</v>
      </c>
      <c r="H19" s="53"/>
      <c r="I19" s="53">
        <f>SUM(I15:I18)</f>
        <v>0.9153</v>
      </c>
      <c r="J19" s="48"/>
      <c r="L19" s="48"/>
    </row>
    <row r="20" spans="1:17" ht="15.75" thickTop="1">
      <c r="B20" s="48"/>
      <c r="D20" s="48"/>
      <c r="E20" s="162"/>
      <c r="F20" s="52"/>
      <c r="G20" s="52"/>
      <c r="H20" s="58"/>
      <c r="I20" s="53"/>
      <c r="J20" s="48"/>
      <c r="L20" s="48"/>
      <c r="P20" s="299"/>
    </row>
    <row r="21" spans="1:17">
      <c r="B21" s="48" t="s">
        <v>253</v>
      </c>
      <c r="C21" s="48"/>
      <c r="D21" s="48"/>
      <c r="F21" s="48"/>
      <c r="G21" s="463">
        <f>+G50*60*10</f>
        <v>6000000</v>
      </c>
      <c r="H21" s="48"/>
      <c r="I21" s="53">
        <f>ROUND(+G21/G$23,4)</f>
        <v>8.4699999999999998E-2</v>
      </c>
      <c r="J21" s="48"/>
      <c r="L21" s="48"/>
      <c r="P21" s="299"/>
      <c r="Q21" s="299"/>
    </row>
    <row r="22" spans="1:17">
      <c r="B22" s="48"/>
      <c r="C22" s="48"/>
      <c r="D22" s="48"/>
      <c r="F22" s="48"/>
      <c r="G22" s="50"/>
      <c r="H22" s="48"/>
      <c r="I22" s="56"/>
      <c r="J22" s="48"/>
      <c r="L22" s="48"/>
      <c r="P22" s="299"/>
      <c r="Q22" s="299"/>
    </row>
    <row r="23" spans="1:17" ht="15.75" thickBot="1">
      <c r="B23" s="48" t="s">
        <v>250</v>
      </c>
      <c r="C23" s="48"/>
      <c r="D23" s="48"/>
      <c r="F23" s="48"/>
      <c r="G23" s="177">
        <f>SUM(G19:G21)</f>
        <v>70817800.94520548</v>
      </c>
      <c r="H23" s="48"/>
      <c r="I23" s="53">
        <f>SUM(I19:I21)</f>
        <v>1</v>
      </c>
      <c r="J23" s="48"/>
      <c r="L23" s="48"/>
    </row>
    <row r="24" spans="1:17" ht="15.75" thickTop="1">
      <c r="B24" s="48"/>
      <c r="C24" s="48"/>
      <c r="D24" s="48"/>
      <c r="E24" s="48"/>
      <c r="F24" s="48"/>
      <c r="G24" s="162"/>
      <c r="H24" s="48"/>
      <c r="I24" s="57"/>
      <c r="J24" s="48"/>
      <c r="L24" s="48"/>
    </row>
    <row r="25" spans="1:17">
      <c r="A25" s="48"/>
      <c r="B25" s="48"/>
      <c r="C25" s="48"/>
      <c r="D25" s="48"/>
      <c r="E25" s="48"/>
      <c r="F25" s="48"/>
      <c r="G25" s="48"/>
      <c r="H25" s="48"/>
      <c r="I25" s="48"/>
      <c r="J25" s="48"/>
      <c r="K25" s="48"/>
      <c r="L25" s="48"/>
    </row>
    <row r="26" spans="1:17" ht="30.6" customHeight="1">
      <c r="A26" s="621" t="s">
        <v>186</v>
      </c>
      <c r="B26" s="621"/>
      <c r="C26" s="621"/>
      <c r="D26" s="621"/>
      <c r="E26" s="621"/>
      <c r="F26" s="621"/>
      <c r="G26" s="621"/>
      <c r="H26" s="621"/>
      <c r="I26" s="621"/>
      <c r="J26" s="621"/>
      <c r="K26" s="621"/>
      <c r="L26" s="48"/>
    </row>
    <row r="27" spans="1:17">
      <c r="A27" s="48"/>
      <c r="B27" s="48"/>
      <c r="C27" s="48"/>
      <c r="D27" s="48"/>
      <c r="E27" s="48"/>
      <c r="F27" s="48"/>
      <c r="G27" s="48"/>
      <c r="H27" s="48"/>
      <c r="I27" s="48"/>
      <c r="J27" s="48"/>
      <c r="K27" s="48"/>
      <c r="L27" s="48"/>
    </row>
    <row r="28" spans="1:17">
      <c r="A28" s="48"/>
      <c r="B28" s="48"/>
      <c r="C28" s="48"/>
      <c r="D28" s="48"/>
      <c r="E28" s="48"/>
      <c r="F28" s="48"/>
      <c r="G28" s="48"/>
      <c r="H28" s="48"/>
      <c r="I28" s="48"/>
      <c r="J28" s="48"/>
      <c r="K28" s="48"/>
      <c r="L28" s="48"/>
    </row>
    <row r="29" spans="1:17">
      <c r="A29" s="48"/>
      <c r="B29" s="48"/>
      <c r="C29" s="48"/>
      <c r="D29" s="48"/>
      <c r="E29" s="48"/>
      <c r="F29" s="48"/>
      <c r="G29" s="48"/>
      <c r="H29" s="48"/>
      <c r="I29" s="48"/>
      <c r="J29" s="48"/>
      <c r="K29" s="48"/>
      <c r="L29" s="48"/>
    </row>
    <row r="30" spans="1:17">
      <c r="A30" s="37" t="s">
        <v>7</v>
      </c>
      <c r="B30" s="45"/>
      <c r="C30" s="45"/>
      <c r="D30" s="45"/>
      <c r="E30" s="45"/>
      <c r="F30" s="45"/>
      <c r="G30" s="45"/>
      <c r="H30" s="45"/>
      <c r="I30" s="45"/>
      <c r="J30" s="45"/>
      <c r="K30" s="45"/>
    </row>
    <row r="31" spans="1:17">
      <c r="A31" s="37"/>
      <c r="B31" s="45"/>
      <c r="C31" s="45"/>
      <c r="D31" s="45"/>
      <c r="E31" s="45"/>
      <c r="F31" s="45"/>
      <c r="G31" s="45"/>
      <c r="H31" s="45"/>
      <c r="I31" s="45"/>
      <c r="J31" s="45"/>
      <c r="K31" s="45"/>
    </row>
    <row r="33" spans="1:13">
      <c r="A33" s="46" t="s">
        <v>236</v>
      </c>
      <c r="B33" s="45"/>
      <c r="C33" s="45"/>
      <c r="D33" s="45"/>
      <c r="E33" s="45"/>
      <c r="F33" s="45"/>
      <c r="G33" s="45"/>
      <c r="H33" s="45"/>
      <c r="I33" s="45"/>
      <c r="J33" s="45"/>
      <c r="K33" s="45"/>
    </row>
    <row r="36" spans="1:13">
      <c r="A36" s="48" t="s">
        <v>272</v>
      </c>
      <c r="B36" s="48"/>
      <c r="C36" s="48"/>
      <c r="D36" s="48"/>
      <c r="E36" s="48"/>
      <c r="F36" s="48"/>
      <c r="G36" s="48"/>
      <c r="H36" s="48"/>
      <c r="I36" s="48"/>
      <c r="J36" s="48"/>
      <c r="K36" s="48"/>
      <c r="L36" s="48"/>
    </row>
    <row r="37" spans="1:13">
      <c r="A37" s="48" t="s">
        <v>273</v>
      </c>
      <c r="B37" s="48"/>
      <c r="C37" s="48"/>
      <c r="D37" s="48"/>
      <c r="E37" s="48"/>
      <c r="F37" s="48"/>
      <c r="G37" s="48"/>
      <c r="H37" s="48"/>
      <c r="I37" s="48"/>
      <c r="J37" s="48"/>
      <c r="K37" s="48"/>
      <c r="L37" s="48"/>
    </row>
    <row r="38" spans="1:13" ht="11.25" customHeight="1">
      <c r="A38" s="48"/>
      <c r="B38" s="48"/>
      <c r="C38" s="48"/>
      <c r="D38" s="48"/>
      <c r="E38" s="48"/>
      <c r="F38" s="48"/>
      <c r="G38" s="48"/>
      <c r="H38" s="48"/>
      <c r="I38" s="48"/>
      <c r="J38" s="48"/>
      <c r="K38" s="48"/>
      <c r="L38" s="48"/>
    </row>
    <row r="39" spans="1:13" ht="52.9" customHeight="1">
      <c r="A39" s="621" t="s">
        <v>784</v>
      </c>
      <c r="B39" s="621"/>
      <c r="C39" s="621"/>
      <c r="D39" s="621"/>
      <c r="E39" s="621"/>
      <c r="F39" s="621"/>
      <c r="G39" s="621"/>
      <c r="H39" s="621"/>
      <c r="I39" s="621"/>
      <c r="J39" s="621"/>
      <c r="K39" s="621"/>
      <c r="L39" s="48"/>
    </row>
    <row r="40" spans="1:13" ht="8.25" customHeight="1">
      <c r="A40" s="48"/>
      <c r="B40" s="48"/>
      <c r="C40" s="48"/>
      <c r="D40" s="48"/>
      <c r="E40" s="48"/>
      <c r="F40" s="48"/>
      <c r="G40" s="48"/>
      <c r="H40" s="48"/>
      <c r="I40" s="48"/>
      <c r="J40" s="48"/>
      <c r="K40" s="48"/>
      <c r="L40" s="48"/>
    </row>
    <row r="41" spans="1:13">
      <c r="A41" s="48"/>
      <c r="B41" s="48"/>
      <c r="C41" s="48"/>
      <c r="D41" s="48"/>
      <c r="F41" s="48"/>
      <c r="G41" s="49" t="s">
        <v>239</v>
      </c>
      <c r="H41" s="48"/>
      <c r="I41" s="48"/>
      <c r="J41" s="48"/>
      <c r="K41" s="48"/>
      <c r="L41" s="48"/>
    </row>
    <row r="42" spans="1:13">
      <c r="A42" s="48"/>
      <c r="B42" s="48"/>
      <c r="D42" s="48"/>
      <c r="E42" s="49" t="s">
        <v>246</v>
      </c>
      <c r="F42" s="48"/>
      <c r="G42" s="49" t="s">
        <v>274</v>
      </c>
      <c r="H42" s="48"/>
      <c r="I42" s="49" t="s">
        <v>247</v>
      </c>
      <c r="J42" s="48"/>
      <c r="K42" s="48"/>
      <c r="L42" s="48"/>
    </row>
    <row r="43" spans="1:13" ht="9.75" customHeight="1">
      <c r="A43" s="48"/>
      <c r="B43" s="48"/>
      <c r="D43" s="48"/>
      <c r="E43" s="50"/>
      <c r="F43" s="48"/>
      <c r="G43" s="50"/>
      <c r="H43" s="48"/>
      <c r="I43" s="50"/>
      <c r="J43" s="48"/>
      <c r="K43" s="48"/>
      <c r="L43" s="48"/>
    </row>
    <row r="44" spans="1:13">
      <c r="B44" s="48" t="s">
        <v>270</v>
      </c>
      <c r="D44" s="48"/>
      <c r="E44" s="51">
        <v>1</v>
      </c>
      <c r="F44" s="48"/>
      <c r="G44" s="52">
        <f>ROUND(G15/24/60,0)</f>
        <v>27280</v>
      </c>
      <c r="H44" s="48"/>
      <c r="I44" s="53">
        <f>ROUND(+G44/G$52,4)</f>
        <v>0.3488</v>
      </c>
      <c r="J44" s="48"/>
      <c r="K44" s="48"/>
      <c r="L44" s="48"/>
      <c r="M44" s="53"/>
    </row>
    <row r="45" spans="1:13">
      <c r="B45" s="48" t="s">
        <v>260</v>
      </c>
      <c r="D45" s="48"/>
      <c r="E45" s="51"/>
      <c r="F45" s="48"/>
      <c r="G45" s="52"/>
      <c r="H45" s="48"/>
      <c r="I45" s="53"/>
      <c r="J45" s="48"/>
      <c r="K45" s="48"/>
      <c r="L45" s="48"/>
      <c r="M45" s="53"/>
    </row>
    <row r="46" spans="1:13">
      <c r="B46" s="48" t="s">
        <v>249</v>
      </c>
      <c r="D46" s="48"/>
      <c r="E46" s="51">
        <v>1.5</v>
      </c>
      <c r="F46" s="52"/>
      <c r="G46" s="52">
        <f>ROUND(+G44*E46,0)</f>
        <v>40920</v>
      </c>
      <c r="H46" s="53"/>
      <c r="I46" s="274">
        <f>ROUND(+G46/G$52,4)</f>
        <v>0.52329999999999999</v>
      </c>
      <c r="J46" s="48"/>
      <c r="K46" s="48"/>
      <c r="L46" s="48"/>
      <c r="M46" s="53"/>
    </row>
    <row r="47" spans="1:13">
      <c r="B47" s="48"/>
      <c r="D47" s="48"/>
      <c r="E47" s="54"/>
      <c r="F47" s="52"/>
      <c r="G47" s="55"/>
      <c r="H47" s="53"/>
      <c r="I47" s="56"/>
      <c r="J47" s="48"/>
      <c r="K47" s="48"/>
      <c r="L47" s="48"/>
      <c r="M47" s="53"/>
    </row>
    <row r="48" spans="1:13" ht="15.75" thickBot="1">
      <c r="B48" s="48" t="s">
        <v>271</v>
      </c>
      <c r="D48" s="48"/>
      <c r="E48" s="197">
        <f>SUM(E44:E47)</f>
        <v>2.5</v>
      </c>
      <c r="F48" s="52"/>
      <c r="G48" s="52">
        <f>SUM(G44:G47)</f>
        <v>68200</v>
      </c>
      <c r="H48" s="53"/>
      <c r="I48" s="53">
        <f>SUM(I44:I47)</f>
        <v>0.87209999999999999</v>
      </c>
      <c r="J48" s="48"/>
      <c r="K48" s="48"/>
      <c r="L48" s="48"/>
      <c r="M48" s="53"/>
    </row>
    <row r="49" spans="1:17" ht="9.75" customHeight="1" thickTop="1">
      <c r="B49" s="48"/>
      <c r="D49" s="48"/>
      <c r="E49" s="162"/>
      <c r="F49" s="52"/>
      <c r="G49" s="52"/>
      <c r="H49" s="58"/>
      <c r="I49" s="53"/>
      <c r="J49" s="48"/>
      <c r="K49" s="48"/>
      <c r="L49" s="48"/>
      <c r="M49" s="53"/>
    </row>
    <row r="50" spans="1:17">
      <c r="B50" s="48" t="s">
        <v>253</v>
      </c>
      <c r="C50" s="48"/>
      <c r="D50" s="48"/>
      <c r="F50" s="48"/>
      <c r="G50" s="52">
        <v>10000</v>
      </c>
      <c r="H50" s="48"/>
      <c r="I50" s="53">
        <f>ROUND(+G50/G$52,4)</f>
        <v>0.12790000000000001</v>
      </c>
      <c r="J50" s="48"/>
      <c r="K50" s="48"/>
      <c r="L50" s="48"/>
      <c r="O50" s="213"/>
    </row>
    <row r="51" spans="1:17">
      <c r="B51" s="48"/>
      <c r="C51" s="48"/>
      <c r="D51" s="48"/>
      <c r="F51" s="48"/>
      <c r="G51" s="50"/>
      <c r="H51" s="48"/>
      <c r="I51" s="56"/>
      <c r="J51" s="48"/>
      <c r="K51" s="48"/>
      <c r="L51" s="48"/>
      <c r="O51" s="213"/>
    </row>
    <row r="52" spans="1:17" ht="15.75" thickBot="1">
      <c r="B52" s="48" t="s">
        <v>250</v>
      </c>
      <c r="C52" s="48"/>
      <c r="D52" s="48"/>
      <c r="F52" s="48"/>
      <c r="G52" s="177">
        <f>SUM(G48:G50)</f>
        <v>78200</v>
      </c>
      <c r="H52" s="48"/>
      <c r="I52" s="53">
        <f>SUM(I48:I50)</f>
        <v>1</v>
      </c>
      <c r="J52" s="48"/>
      <c r="K52" s="48"/>
      <c r="L52" s="48"/>
      <c r="M52" s="53"/>
    </row>
    <row r="53" spans="1:17" ht="12.6" customHeight="1" thickTop="1">
      <c r="A53" s="48"/>
      <c r="B53" s="48"/>
      <c r="C53" s="48"/>
      <c r="D53" s="48"/>
      <c r="E53" s="52"/>
      <c r="F53" s="48"/>
      <c r="G53" s="162"/>
      <c r="H53" s="48"/>
      <c r="I53" s="59"/>
      <c r="J53" s="48"/>
      <c r="K53" s="48"/>
      <c r="L53" s="48"/>
    </row>
    <row r="54" spans="1:17" ht="25.9" customHeight="1">
      <c r="A54" s="621" t="s">
        <v>275</v>
      </c>
      <c r="B54" s="621"/>
      <c r="C54" s="621"/>
      <c r="D54" s="621"/>
      <c r="E54" s="621"/>
      <c r="F54" s="621"/>
      <c r="G54" s="621"/>
      <c r="H54" s="621"/>
      <c r="I54" s="621"/>
      <c r="J54" s="621"/>
      <c r="K54" s="621"/>
      <c r="L54" s="48"/>
    </row>
    <row r="55" spans="1:17" ht="10.15" customHeight="1">
      <c r="A55" s="48"/>
      <c r="B55" s="48"/>
      <c r="C55" s="48"/>
      <c r="D55" s="48"/>
      <c r="E55" s="48"/>
      <c r="F55" s="48"/>
      <c r="G55" s="48"/>
      <c r="H55" s="48"/>
      <c r="I55" s="48"/>
      <c r="J55" s="48"/>
      <c r="K55" s="48"/>
      <c r="L55" s="48"/>
    </row>
    <row r="56" spans="1:17">
      <c r="A56" s="48"/>
      <c r="B56" s="48"/>
      <c r="C56" s="48"/>
      <c r="D56" s="48"/>
      <c r="E56" s="49" t="s">
        <v>276</v>
      </c>
      <c r="F56" s="48"/>
      <c r="H56" s="48"/>
      <c r="I56" s="48"/>
      <c r="J56" s="48"/>
      <c r="K56" s="48"/>
      <c r="L56" s="48"/>
    </row>
    <row r="57" spans="1:17">
      <c r="A57" s="48"/>
      <c r="B57" s="48"/>
      <c r="C57" s="48"/>
      <c r="D57" s="48"/>
      <c r="E57" s="49" t="s">
        <v>277</v>
      </c>
      <c r="F57" s="48"/>
      <c r="G57" s="46" t="s">
        <v>278</v>
      </c>
      <c r="H57" s="46"/>
      <c r="I57" s="46"/>
      <c r="J57" s="46"/>
      <c r="K57" s="46"/>
      <c r="L57" s="48"/>
    </row>
    <row r="58" spans="1:17">
      <c r="A58" s="46" t="s">
        <v>254</v>
      </c>
      <c r="B58" s="46"/>
      <c r="C58" s="46"/>
      <c r="D58" s="48"/>
      <c r="E58" s="49" t="s">
        <v>225</v>
      </c>
      <c r="F58" s="48"/>
      <c r="G58" s="60"/>
      <c r="H58" s="60"/>
      <c r="I58" s="60" t="s">
        <v>450</v>
      </c>
      <c r="J58" s="60"/>
      <c r="K58" s="60" t="s">
        <v>206</v>
      </c>
      <c r="L58" s="48"/>
    </row>
    <row r="59" spans="1:17">
      <c r="A59" s="46" t="s">
        <v>207</v>
      </c>
      <c r="B59" s="46"/>
      <c r="C59" s="46"/>
      <c r="D59" s="48"/>
      <c r="E59" s="49" t="s">
        <v>575</v>
      </c>
      <c r="F59" s="48"/>
      <c r="G59" s="49" t="s">
        <v>240</v>
      </c>
      <c r="H59" s="49"/>
      <c r="I59" s="49" t="s">
        <v>279</v>
      </c>
      <c r="J59" s="49"/>
      <c r="K59" s="49" t="s">
        <v>208</v>
      </c>
      <c r="L59" s="48"/>
    </row>
    <row r="60" spans="1:17">
      <c r="A60" s="61" t="s">
        <v>209</v>
      </c>
      <c r="B60" s="61"/>
      <c r="C60" s="61"/>
      <c r="D60" s="48"/>
      <c r="E60" s="60" t="s">
        <v>229</v>
      </c>
      <c r="F60" s="48"/>
      <c r="G60" s="60" t="s">
        <v>211</v>
      </c>
      <c r="H60" s="49"/>
      <c r="I60" s="60" t="s">
        <v>242</v>
      </c>
      <c r="J60" s="49"/>
      <c r="K60" s="60" t="s">
        <v>243</v>
      </c>
      <c r="L60" s="48"/>
      <c r="O60" s="348"/>
      <c r="P60" s="348"/>
      <c r="Q60" s="348"/>
    </row>
    <row r="61" spans="1:17" ht="10.7" customHeight="1">
      <c r="C61" s="48"/>
      <c r="D61" s="48"/>
      <c r="E61" s="48"/>
      <c r="F61" s="48"/>
      <c r="G61" s="48"/>
      <c r="H61" s="48"/>
      <c r="I61" s="48"/>
      <c r="J61" s="48"/>
      <c r="K61" s="48"/>
      <c r="L61" s="48"/>
      <c r="O61" s="348"/>
      <c r="P61" s="348"/>
      <c r="Q61" s="348"/>
    </row>
    <row r="62" spans="1:17">
      <c r="A62" s="48" t="s">
        <v>212</v>
      </c>
      <c r="B62" s="48"/>
      <c r="C62" s="48"/>
      <c r="D62" s="48"/>
      <c r="E62" s="174">
        <f>'F 3-4'!$D$49</f>
        <v>691.6</v>
      </c>
      <c r="F62" s="48"/>
      <c r="G62" s="51">
        <v>1.7</v>
      </c>
      <c r="H62" s="48"/>
      <c r="I62" s="58">
        <f>ROUND(E62*G62,1)</f>
        <v>1175.7</v>
      </c>
      <c r="J62" s="48"/>
      <c r="K62" s="53">
        <f>ROUND(+I62/I$68,4)</f>
        <v>0.55710000000000004</v>
      </c>
      <c r="L62" s="48"/>
      <c r="O62" s="349"/>
      <c r="P62" s="348"/>
      <c r="Q62" s="350"/>
    </row>
    <row r="63" spans="1:17">
      <c r="A63" s="48" t="s">
        <v>213</v>
      </c>
      <c r="B63" s="48"/>
      <c r="C63" s="48"/>
      <c r="D63" s="48"/>
      <c r="E63" s="174">
        <f>'F 3-4'!$D$50</f>
        <v>434.6</v>
      </c>
      <c r="F63" s="48"/>
      <c r="G63" s="51">
        <v>1.6</v>
      </c>
      <c r="H63" s="48"/>
      <c r="I63" s="58">
        <f>ROUND(E63*G63,1)</f>
        <v>695.4</v>
      </c>
      <c r="J63" s="48"/>
      <c r="K63" s="53">
        <f>ROUND(+I63/I$68,4)</f>
        <v>0.32950000000000002</v>
      </c>
      <c r="L63" s="48"/>
      <c r="O63" s="349"/>
      <c r="P63" s="348"/>
      <c r="Q63" s="350"/>
    </row>
    <row r="64" spans="1:17">
      <c r="A64" s="48" t="s">
        <v>214</v>
      </c>
      <c r="B64" s="48"/>
      <c r="C64" s="48"/>
      <c r="D64" s="48"/>
      <c r="E64" s="174">
        <f>'F 3-4'!$D$51</f>
        <v>60.2</v>
      </c>
      <c r="F64" s="48"/>
      <c r="G64" s="51">
        <v>1.1499999999999999</v>
      </c>
      <c r="H64" s="48"/>
      <c r="I64" s="58">
        <f>ROUND(E64*G64,1)</f>
        <v>69.2</v>
      </c>
      <c r="J64" s="48"/>
      <c r="K64" s="53">
        <f>ROUND(+I64/I$68,4)</f>
        <v>3.2800000000000003E-2</v>
      </c>
      <c r="L64" s="48"/>
      <c r="O64" s="348"/>
      <c r="P64" s="348"/>
      <c r="Q64" s="350"/>
    </row>
    <row r="65" spans="1:17">
      <c r="A65" s="48" t="s">
        <v>216</v>
      </c>
      <c r="B65" s="48"/>
      <c r="C65" s="48"/>
      <c r="D65" s="48"/>
      <c r="E65" s="174">
        <f>'F 3-4'!D52</f>
        <v>154.5</v>
      </c>
      <c r="F65" s="48"/>
      <c r="G65" s="51">
        <v>1.1000000000000001</v>
      </c>
      <c r="H65" s="48"/>
      <c r="I65" s="58">
        <f>ROUND(E65*G65,1)</f>
        <v>170</v>
      </c>
      <c r="J65" s="48"/>
      <c r="K65" s="53">
        <f>ROUND(+I65/I$68,4)</f>
        <v>8.0600000000000005E-2</v>
      </c>
      <c r="L65" s="48"/>
      <c r="O65" s="349"/>
      <c r="P65" s="348"/>
      <c r="Q65" s="350"/>
    </row>
    <row r="66" spans="1:17">
      <c r="A66" s="48" t="s">
        <v>337</v>
      </c>
      <c r="B66" s="48"/>
      <c r="C66" s="48"/>
      <c r="D66" s="48"/>
      <c r="E66" s="174">
        <f>'F 3-4'!D53</f>
        <v>0</v>
      </c>
      <c r="F66" s="48"/>
      <c r="G66" s="51">
        <v>0.9</v>
      </c>
      <c r="H66" s="48"/>
      <c r="I66" s="58">
        <f>ROUND(E66*G66,1)</f>
        <v>0</v>
      </c>
      <c r="J66" s="48"/>
      <c r="K66" s="53">
        <f>ROUND(+I66/I$68,4)</f>
        <v>0</v>
      </c>
      <c r="L66" s="48"/>
      <c r="O66" s="348"/>
      <c r="P66" s="348"/>
      <c r="Q66" s="350"/>
    </row>
    <row r="67" spans="1:17" ht="9.1999999999999993" customHeight="1">
      <c r="A67" s="48"/>
      <c r="B67" s="48"/>
      <c r="C67" s="48"/>
      <c r="D67" s="48"/>
      <c r="E67" s="161"/>
      <c r="F67" s="48"/>
      <c r="G67" s="48"/>
      <c r="H67" s="48"/>
      <c r="I67" s="62"/>
      <c r="J67" s="48"/>
      <c r="K67" s="50"/>
      <c r="L67" s="48"/>
      <c r="O67" s="348"/>
      <c r="P67" s="348"/>
      <c r="Q67" s="162"/>
    </row>
    <row r="68" spans="1:17" ht="15.75" thickBot="1">
      <c r="A68" s="48" t="s">
        <v>280</v>
      </c>
      <c r="B68" s="48"/>
      <c r="C68" s="48"/>
      <c r="D68" s="48"/>
      <c r="E68" s="174">
        <f>SUM(E62:E67)</f>
        <v>1340.9</v>
      </c>
      <c r="F68" s="58"/>
      <c r="G68" s="58"/>
      <c r="H68" s="58"/>
      <c r="I68" s="174">
        <f>SUM(I62:I67)</f>
        <v>2110.3000000000002</v>
      </c>
      <c r="J68" s="48"/>
      <c r="K68" s="163">
        <f>SUM(K62:K67)</f>
        <v>1</v>
      </c>
      <c r="L68" s="243"/>
      <c r="O68" s="351"/>
      <c r="P68" s="348"/>
      <c r="Q68" s="350"/>
    </row>
    <row r="69" spans="1:17" ht="15.75" thickTop="1">
      <c r="A69" s="176"/>
      <c r="B69" s="176"/>
      <c r="C69" s="176"/>
      <c r="D69" s="48"/>
      <c r="E69" s="63"/>
      <c r="F69" s="48"/>
      <c r="G69" s="48"/>
      <c r="H69" s="48"/>
      <c r="I69" s="57"/>
      <c r="J69" s="48"/>
      <c r="K69" s="162"/>
      <c r="L69" s="48"/>
      <c r="O69" s="348"/>
      <c r="P69" s="348"/>
      <c r="Q69" s="348"/>
    </row>
    <row r="70" spans="1:17">
      <c r="A70" s="48" t="s">
        <v>281</v>
      </c>
      <c r="B70" s="48"/>
      <c r="C70" s="48"/>
      <c r="D70" s="48"/>
      <c r="E70" s="48"/>
      <c r="F70" s="48"/>
      <c r="G70" s="48"/>
      <c r="H70" s="48"/>
      <c r="I70" s="48"/>
      <c r="J70" s="48"/>
      <c r="K70" s="48"/>
      <c r="L70" s="48"/>
    </row>
    <row r="71" spans="1:17" ht="11.25" customHeight="1">
      <c r="A71" s="48"/>
      <c r="B71" s="48"/>
      <c r="C71" s="48"/>
      <c r="D71" s="48"/>
      <c r="E71" s="48"/>
      <c r="F71" s="48"/>
      <c r="G71" s="48"/>
      <c r="H71" s="48"/>
      <c r="I71" s="48"/>
      <c r="J71" s="48"/>
      <c r="K71" s="48"/>
      <c r="L71" s="48"/>
    </row>
    <row r="72" spans="1:17" ht="29.25" customHeight="1">
      <c r="A72" s="621" t="s">
        <v>185</v>
      </c>
      <c r="B72" s="621"/>
      <c r="C72" s="621"/>
      <c r="D72" s="621"/>
      <c r="E72" s="621"/>
      <c r="F72" s="621"/>
      <c r="G72" s="621"/>
      <c r="H72" s="621"/>
      <c r="I72" s="621"/>
      <c r="J72" s="621"/>
      <c r="K72" s="621"/>
      <c r="L72" s="48"/>
    </row>
    <row r="73" spans="1:17">
      <c r="A73" s="48"/>
      <c r="B73" s="48"/>
      <c r="C73" s="48"/>
      <c r="D73" s="48"/>
      <c r="E73" s="48"/>
      <c r="F73" s="48"/>
      <c r="G73" s="48"/>
      <c r="H73" s="48"/>
      <c r="I73" s="48"/>
      <c r="J73" s="48"/>
      <c r="K73" s="48"/>
      <c r="L73" s="48"/>
    </row>
  </sheetData>
  <mergeCells count="5">
    <mergeCell ref="A72:K72"/>
    <mergeCell ref="A10:K10"/>
    <mergeCell ref="A26:K26"/>
    <mergeCell ref="A39:K39"/>
    <mergeCell ref="A54:K54"/>
  </mergeCells>
  <phoneticPr fontId="11" type="noConversion"/>
  <printOptions horizontalCentered="1"/>
  <pageMargins left="1" right="1" top="1" bottom="0.5" header="0.5" footer="0.5"/>
  <pageSetup orientation="portrait" r:id="rId1"/>
  <headerFooter alignWithMargins="0"/>
  <rowBreaks count="1" manualBreakCount="1">
    <brk id="29" max="16383" man="1"/>
  </rowBreaks>
</worksheet>
</file>

<file path=xl/worksheets/sheet6.xml><?xml version="1.0" encoding="utf-8"?>
<worksheet xmlns="http://schemas.openxmlformats.org/spreadsheetml/2006/main" xmlns:r="http://schemas.openxmlformats.org/officeDocument/2006/relationships">
  <sheetPr>
    <pageSetUpPr autoPageBreaks="0"/>
  </sheetPr>
  <dimension ref="A1:AE67"/>
  <sheetViews>
    <sheetView workbookViewId="0">
      <selection activeCell="H39" sqref="H39"/>
    </sheetView>
  </sheetViews>
  <sheetFormatPr defaultColWidth="9.77734375" defaultRowHeight="15"/>
  <cols>
    <col min="1" max="2" width="7.77734375" style="67" customWidth="1"/>
    <col min="3" max="3" width="2.21875" style="67" customWidth="1"/>
    <col min="4" max="4" width="7.77734375" style="67" customWidth="1"/>
    <col min="5" max="5" width="2.21875" style="67" customWidth="1"/>
    <col min="6" max="6" width="7.77734375" style="67" customWidth="1"/>
    <col min="7" max="7" width="2.109375" style="67" customWidth="1"/>
    <col min="8" max="8" width="7.77734375" style="67" customWidth="1"/>
    <col min="9" max="9" width="2.109375" style="67" customWidth="1"/>
    <col min="10" max="10" width="7.77734375" style="67" customWidth="1"/>
    <col min="11" max="11" width="2.109375" style="67" customWidth="1"/>
    <col min="12" max="12" width="7.77734375" style="67" customWidth="1"/>
    <col min="13" max="13" width="2.109375" style="67" customWidth="1"/>
    <col min="14" max="14" width="7.77734375" style="67" customWidth="1"/>
    <col min="15" max="15" width="2.109375" style="67" customWidth="1"/>
    <col min="16" max="16" width="7.77734375" style="67" customWidth="1"/>
    <col min="17" max="17" width="2.109375" style="67" customWidth="1"/>
    <col min="18" max="18" width="11.21875" style="67" customWidth="1"/>
    <col min="19" max="22" width="9.77734375" style="67" customWidth="1"/>
    <col min="23" max="23" width="10.77734375" style="67" customWidth="1"/>
    <col min="24" max="25" width="6.77734375" style="67" customWidth="1"/>
    <col min="26" max="28" width="7.77734375" style="67" customWidth="1"/>
    <col min="29" max="29" width="4.77734375" style="67" customWidth="1"/>
    <col min="30" max="16384" width="9.77734375" style="67"/>
  </cols>
  <sheetData>
    <row r="1" spans="1:31">
      <c r="A1" s="37" t="s">
        <v>7</v>
      </c>
      <c r="B1" s="65"/>
      <c r="C1" s="65"/>
      <c r="D1" s="65"/>
      <c r="E1" s="65"/>
      <c r="F1" s="65"/>
      <c r="G1" s="64"/>
      <c r="H1" s="65"/>
      <c r="I1" s="65"/>
      <c r="J1" s="65"/>
      <c r="K1" s="65"/>
      <c r="L1" s="65"/>
      <c r="M1" s="65"/>
      <c r="N1" s="65"/>
      <c r="O1" s="65"/>
      <c r="P1" s="65"/>
      <c r="Q1" s="65"/>
      <c r="R1" s="65"/>
      <c r="S1" s="66"/>
      <c r="T1" s="66"/>
      <c r="U1" s="66"/>
      <c r="V1" s="66"/>
      <c r="W1" s="66"/>
      <c r="X1" s="66"/>
      <c r="Y1" s="66"/>
      <c r="Z1" s="66"/>
      <c r="AA1" s="66"/>
      <c r="AB1" s="66"/>
      <c r="AC1" s="66"/>
      <c r="AD1" s="66"/>
      <c r="AE1" s="66"/>
    </row>
    <row r="2" spans="1:31">
      <c r="A2" s="37"/>
      <c r="B2" s="65"/>
      <c r="C2" s="65"/>
      <c r="D2" s="65"/>
      <c r="E2" s="65"/>
      <c r="F2" s="65"/>
      <c r="G2" s="64"/>
      <c r="H2" s="65"/>
      <c r="I2" s="65"/>
      <c r="J2" s="65"/>
      <c r="K2" s="65"/>
      <c r="L2" s="65"/>
      <c r="M2" s="65"/>
      <c r="N2" s="65"/>
      <c r="O2" s="65"/>
      <c r="P2" s="65"/>
      <c r="Q2" s="65"/>
      <c r="R2" s="65"/>
      <c r="S2" s="66"/>
      <c r="T2" s="66"/>
      <c r="U2" s="66"/>
      <c r="V2" s="66"/>
      <c r="W2" s="66"/>
      <c r="X2" s="66"/>
      <c r="Y2" s="66"/>
      <c r="Z2" s="66"/>
      <c r="AA2" s="66"/>
      <c r="AB2" s="66"/>
      <c r="AC2" s="66"/>
      <c r="AD2" s="66"/>
      <c r="AE2" s="66"/>
    </row>
    <row r="3" spans="1:31">
      <c r="A3" s="65"/>
      <c r="B3" s="65"/>
      <c r="C3" s="65"/>
      <c r="D3" s="65"/>
      <c r="E3" s="65"/>
      <c r="F3" s="65"/>
      <c r="G3" s="65"/>
      <c r="H3" s="65"/>
      <c r="I3" s="65"/>
      <c r="J3" s="65"/>
      <c r="K3" s="65"/>
      <c r="L3" s="65"/>
      <c r="M3" s="65"/>
      <c r="N3" s="65"/>
      <c r="O3" s="65"/>
      <c r="P3" s="65"/>
      <c r="Q3" s="65"/>
      <c r="R3" s="65"/>
      <c r="S3" s="66"/>
      <c r="T3" s="66"/>
      <c r="U3" s="66"/>
      <c r="V3" s="66"/>
      <c r="W3" s="66"/>
      <c r="X3" s="66"/>
      <c r="Y3" s="66"/>
      <c r="Z3" s="66"/>
      <c r="AA3" s="66"/>
      <c r="AB3" s="66"/>
      <c r="AC3" s="66"/>
      <c r="AD3" s="66"/>
      <c r="AE3" s="66"/>
    </row>
    <row r="4" spans="1:31">
      <c r="A4" s="65" t="s">
        <v>236</v>
      </c>
      <c r="B4" s="65"/>
      <c r="C4" s="65"/>
      <c r="D4" s="64"/>
      <c r="E4" s="65"/>
      <c r="F4" s="65"/>
      <c r="G4" s="65"/>
      <c r="H4" s="65"/>
      <c r="I4" s="65"/>
      <c r="J4" s="65"/>
      <c r="K4" s="65"/>
      <c r="L4" s="65"/>
      <c r="M4" s="65"/>
      <c r="N4" s="65"/>
      <c r="O4" s="65"/>
      <c r="P4" s="65"/>
      <c r="Q4" s="65"/>
      <c r="R4" s="65"/>
      <c r="S4" s="66"/>
      <c r="T4" s="66"/>
      <c r="U4" s="66"/>
      <c r="V4" s="66"/>
      <c r="W4" s="66"/>
      <c r="X4" s="66"/>
      <c r="Y4" s="66"/>
      <c r="Z4" s="66"/>
      <c r="AA4" s="66"/>
      <c r="AB4" s="66"/>
      <c r="AC4" s="66"/>
      <c r="AD4" s="66"/>
      <c r="AE4" s="66"/>
    </row>
    <row r="5" spans="1:3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row>
    <row r="6" spans="1:31">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row>
    <row r="7" spans="1:31">
      <c r="A7" s="66" t="s">
        <v>282</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row>
    <row r="8" spans="1:31">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row>
    <row r="9" spans="1:31" ht="27.6" customHeight="1">
      <c r="A9" s="622" t="s">
        <v>283</v>
      </c>
      <c r="B9" s="622"/>
      <c r="C9" s="622"/>
      <c r="D9" s="622"/>
      <c r="E9" s="622"/>
      <c r="F9" s="622"/>
      <c r="G9" s="622"/>
      <c r="H9" s="622"/>
      <c r="I9" s="622"/>
      <c r="J9" s="622"/>
      <c r="K9" s="622"/>
      <c r="L9" s="622"/>
      <c r="M9" s="622"/>
      <c r="N9" s="622"/>
      <c r="O9" s="622"/>
      <c r="P9" s="622"/>
      <c r="Q9" s="622"/>
      <c r="R9" s="622"/>
      <c r="S9" s="66"/>
      <c r="T9" s="66"/>
      <c r="U9" s="66"/>
      <c r="V9" s="66"/>
      <c r="W9" s="66"/>
      <c r="X9" s="66"/>
      <c r="Y9" s="66"/>
      <c r="Z9" s="66"/>
      <c r="AA9" s="66"/>
      <c r="AB9" s="66"/>
      <c r="AC9" s="66"/>
      <c r="AD9" s="66"/>
      <c r="AE9" s="66"/>
    </row>
    <row r="10" spans="1:31">
      <c r="A10" s="66"/>
      <c r="B10" s="66"/>
      <c r="C10" s="66"/>
      <c r="D10" s="66"/>
      <c r="E10" s="66"/>
      <c r="F10" s="66"/>
      <c r="G10" s="66"/>
      <c r="H10" s="66"/>
      <c r="I10" s="66"/>
      <c r="K10" s="66"/>
      <c r="L10" s="66"/>
      <c r="M10" s="66"/>
      <c r="N10" s="66"/>
      <c r="O10" s="66"/>
      <c r="P10" s="66"/>
      <c r="Q10" s="66"/>
      <c r="R10" s="66"/>
      <c r="S10" s="66"/>
      <c r="T10" s="66"/>
      <c r="U10" s="66"/>
      <c r="V10" s="66"/>
      <c r="W10" s="66"/>
      <c r="X10" s="66"/>
      <c r="Y10" s="66"/>
      <c r="Z10" s="66"/>
      <c r="AA10" s="66"/>
      <c r="AB10" s="66"/>
      <c r="AC10" s="66"/>
      <c r="AD10" s="66"/>
      <c r="AE10" s="66"/>
    </row>
    <row r="11" spans="1:31">
      <c r="A11" s="66"/>
      <c r="B11" s="66"/>
      <c r="C11" s="66"/>
      <c r="E11" s="66"/>
      <c r="F11" s="66"/>
      <c r="G11" s="66"/>
      <c r="H11" s="66"/>
      <c r="I11" s="66"/>
      <c r="J11" s="65" t="s">
        <v>260</v>
      </c>
      <c r="K11" s="65"/>
      <c r="L11" s="65"/>
      <c r="M11" s="66"/>
      <c r="O11" s="66"/>
      <c r="P11" s="66"/>
      <c r="Q11" s="66"/>
      <c r="R11" s="66"/>
      <c r="S11" s="66"/>
      <c r="T11" s="66"/>
      <c r="U11" s="66"/>
      <c r="V11" s="66"/>
      <c r="W11" s="66"/>
      <c r="X11" s="66"/>
      <c r="Y11" s="66"/>
      <c r="Z11" s="66"/>
      <c r="AA11" s="66"/>
      <c r="AB11" s="66"/>
      <c r="AC11" s="66"/>
      <c r="AD11" s="66"/>
      <c r="AE11" s="66"/>
    </row>
    <row r="12" spans="1:31">
      <c r="A12" s="66"/>
      <c r="B12" s="66"/>
      <c r="C12" s="66"/>
      <c r="D12" s="65" t="s">
        <v>261</v>
      </c>
      <c r="E12" s="65"/>
      <c r="F12" s="65"/>
      <c r="G12" s="65"/>
      <c r="H12" s="65"/>
      <c r="I12" s="66"/>
      <c r="J12" s="65" t="s">
        <v>226</v>
      </c>
      <c r="K12" s="65"/>
      <c r="L12" s="65"/>
      <c r="M12" s="66"/>
      <c r="N12" s="65" t="s">
        <v>253</v>
      </c>
      <c r="O12" s="65"/>
      <c r="P12" s="65"/>
      <c r="Q12" s="66"/>
      <c r="R12" s="66"/>
      <c r="S12" s="66"/>
      <c r="T12" s="66"/>
      <c r="U12" s="66"/>
      <c r="V12" s="66"/>
      <c r="W12" s="66"/>
      <c r="X12" s="66"/>
      <c r="Y12" s="66"/>
      <c r="Z12" s="66"/>
      <c r="AA12" s="66"/>
      <c r="AB12" s="66"/>
      <c r="AC12" s="66"/>
      <c r="AD12" s="66"/>
      <c r="AE12" s="66"/>
    </row>
    <row r="13" spans="1:31">
      <c r="A13" s="65" t="s">
        <v>254</v>
      </c>
      <c r="B13" s="65"/>
      <c r="C13" s="66"/>
      <c r="D13" s="68" t="s">
        <v>576</v>
      </c>
      <c r="E13" s="68"/>
      <c r="F13" s="68" t="s">
        <v>206</v>
      </c>
      <c r="G13" s="68"/>
      <c r="H13" s="68" t="s">
        <v>227</v>
      </c>
      <c r="I13" s="69"/>
      <c r="J13" s="68" t="s">
        <v>206</v>
      </c>
      <c r="K13" s="68"/>
      <c r="L13" s="68" t="s">
        <v>227</v>
      </c>
      <c r="M13" s="69"/>
      <c r="N13" s="68" t="s">
        <v>206</v>
      </c>
      <c r="O13" s="68"/>
      <c r="P13" s="68" t="s">
        <v>227</v>
      </c>
      <c r="Q13" s="69"/>
      <c r="R13" s="69" t="s">
        <v>206</v>
      </c>
      <c r="S13" s="66"/>
      <c r="T13" s="66"/>
      <c r="U13" s="66"/>
      <c r="V13" s="66"/>
      <c r="W13" s="66"/>
      <c r="X13" s="66"/>
      <c r="Y13" s="66"/>
      <c r="Z13" s="66"/>
      <c r="AA13" s="66"/>
      <c r="AB13" s="66"/>
      <c r="AC13" s="66"/>
      <c r="AD13" s="66"/>
      <c r="AE13" s="66"/>
    </row>
    <row r="14" spans="1:31">
      <c r="A14" s="65" t="s">
        <v>207</v>
      </c>
      <c r="B14" s="65"/>
      <c r="C14" s="66"/>
      <c r="D14" s="69" t="s">
        <v>381</v>
      </c>
      <c r="E14" s="69"/>
      <c r="F14" s="69" t="s">
        <v>208</v>
      </c>
      <c r="G14" s="69"/>
      <c r="H14" s="69" t="s">
        <v>208</v>
      </c>
      <c r="I14" s="69"/>
      <c r="J14" s="69" t="s">
        <v>208</v>
      </c>
      <c r="K14" s="69"/>
      <c r="L14" s="69" t="s">
        <v>208</v>
      </c>
      <c r="M14" s="69"/>
      <c r="N14" s="69" t="s">
        <v>208</v>
      </c>
      <c r="O14" s="69"/>
      <c r="P14" s="69" t="s">
        <v>208</v>
      </c>
      <c r="Q14" s="69"/>
      <c r="R14" s="69" t="s">
        <v>208</v>
      </c>
      <c r="S14" s="66"/>
      <c r="T14" s="66"/>
      <c r="U14" s="66"/>
      <c r="V14" s="66"/>
      <c r="W14" s="66"/>
      <c r="X14" s="66"/>
      <c r="Y14" s="66"/>
      <c r="Z14" s="66"/>
      <c r="AA14" s="66"/>
      <c r="AB14" s="66"/>
      <c r="AC14" s="66"/>
      <c r="AD14" s="66"/>
      <c r="AE14" s="66"/>
    </row>
    <row r="15" spans="1:31">
      <c r="A15" s="70" t="s">
        <v>209</v>
      </c>
      <c r="B15" s="70"/>
      <c r="C15" s="66"/>
      <c r="D15" s="68" t="s">
        <v>229</v>
      </c>
      <c r="E15" s="66"/>
      <c r="F15" s="68" t="s">
        <v>211</v>
      </c>
      <c r="G15" s="66"/>
      <c r="H15" s="71" t="s">
        <v>262</v>
      </c>
      <c r="I15" s="66"/>
      <c r="J15" s="68" t="s">
        <v>243</v>
      </c>
      <c r="K15" s="66"/>
      <c r="L15" s="71" t="s">
        <v>263</v>
      </c>
      <c r="M15" s="66"/>
      <c r="N15" s="68" t="s">
        <v>264</v>
      </c>
      <c r="O15" s="66"/>
      <c r="P15" s="71" t="s">
        <v>265</v>
      </c>
      <c r="Q15" s="66"/>
      <c r="R15" s="68" t="s">
        <v>266</v>
      </c>
      <c r="S15" s="66"/>
      <c r="T15" s="66"/>
      <c r="U15" s="66"/>
      <c r="V15" s="66"/>
      <c r="W15" s="66"/>
      <c r="X15" s="66"/>
      <c r="Y15" s="66"/>
      <c r="Z15" s="66"/>
      <c r="AA15" s="66"/>
      <c r="AB15" s="66"/>
      <c r="AC15" s="66"/>
      <c r="AD15" s="66"/>
      <c r="AE15" s="66"/>
    </row>
    <row r="16" spans="1:31">
      <c r="A16" s="66"/>
      <c r="B16" s="66"/>
      <c r="C16" s="66"/>
      <c r="D16" s="66"/>
      <c r="E16" s="66"/>
      <c r="F16" s="66"/>
      <c r="G16" s="66"/>
      <c r="H16" s="72">
        <f>'F 5B'!$H$24</f>
        <v>0.32100000000000001</v>
      </c>
      <c r="I16" s="72"/>
      <c r="J16" s="72"/>
      <c r="K16" s="72"/>
      <c r="L16" s="72">
        <f>'F 5B'!$H$27</f>
        <v>0.48149999999999998</v>
      </c>
      <c r="M16" s="72"/>
      <c r="N16" s="72"/>
      <c r="O16" s="72"/>
      <c r="P16" s="72">
        <f>'F 5B'!$H$12</f>
        <v>0.19750000000000001</v>
      </c>
      <c r="Q16" s="72"/>
      <c r="R16" s="66"/>
      <c r="S16" s="66"/>
      <c r="T16" s="66"/>
      <c r="U16" s="66"/>
      <c r="V16" s="66"/>
      <c r="W16" s="66"/>
      <c r="X16" s="66"/>
      <c r="Y16" s="66"/>
      <c r="Z16" s="66"/>
      <c r="AA16" s="66"/>
      <c r="AB16" s="66"/>
      <c r="AC16" s="66"/>
      <c r="AD16" s="66"/>
      <c r="AE16" s="66"/>
    </row>
    <row r="17" spans="1:31">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row>
    <row r="18" spans="1:31">
      <c r="A18" s="66" t="s">
        <v>212</v>
      </c>
      <c r="B18" s="66"/>
      <c r="C18" s="66"/>
      <c r="D18" s="201">
        <f>ROUND(('F 1-2'!$G$16/24),1)</f>
        <v>691.6</v>
      </c>
      <c r="E18" s="66"/>
      <c r="F18" s="72">
        <f>ROUND(+D18/$D$26,4)</f>
        <v>0.495</v>
      </c>
      <c r="G18" s="66"/>
      <c r="H18" s="73">
        <f>ROUND(F18*$H$16,4)+0.0001</f>
        <v>0.159</v>
      </c>
      <c r="I18" s="66"/>
      <c r="J18" s="72">
        <f>+'F 5B'!J38</f>
        <v>0.54590000000000005</v>
      </c>
      <c r="K18" s="66"/>
      <c r="L18" s="74">
        <f>ROUND(J18*$L$16,4)-0.0001</f>
        <v>0.26280000000000003</v>
      </c>
      <c r="M18" s="66"/>
      <c r="N18" s="72"/>
      <c r="O18" s="66"/>
      <c r="P18" s="72"/>
      <c r="Q18" s="66"/>
      <c r="R18" s="72">
        <f t="shared" ref="R18:R24" si="0">H18+L18+P18</f>
        <v>0.42180000000000006</v>
      </c>
      <c r="S18" s="66"/>
      <c r="T18" s="72"/>
      <c r="U18" s="66"/>
      <c r="V18" s="66"/>
      <c r="W18" s="66"/>
      <c r="X18" s="66"/>
      <c r="Y18" s="66"/>
      <c r="Z18" s="66"/>
      <c r="AA18" s="66"/>
      <c r="AB18" s="66"/>
      <c r="AC18" s="66"/>
      <c r="AD18" s="66"/>
      <c r="AE18" s="66"/>
    </row>
    <row r="19" spans="1:31">
      <c r="A19" s="66" t="s">
        <v>213</v>
      </c>
      <c r="B19" s="66"/>
      <c r="C19" s="66"/>
      <c r="D19" s="201">
        <f>ROUND(('F 1-2'!$G$17/24),1)</f>
        <v>434.6</v>
      </c>
      <c r="E19" s="66"/>
      <c r="F19" s="72">
        <f t="shared" ref="F19:F24" si="1">ROUND(+D19/$D$26,4)</f>
        <v>0.311</v>
      </c>
      <c r="G19" s="66"/>
      <c r="H19" s="73">
        <f t="shared" ref="H19:H24" si="2">ROUND(F19*$H$16,4)</f>
        <v>9.98E-2</v>
      </c>
      <c r="I19" s="66"/>
      <c r="J19" s="72">
        <f>+'F 5B'!J39</f>
        <v>0.32290000000000002</v>
      </c>
      <c r="K19" s="66"/>
      <c r="L19" s="72">
        <f>ROUND(J19*$L$16,4)</f>
        <v>0.1555</v>
      </c>
      <c r="M19" s="66"/>
      <c r="N19" s="66"/>
      <c r="O19" s="66"/>
      <c r="P19" s="66"/>
      <c r="Q19" s="66"/>
      <c r="R19" s="72">
        <f t="shared" si="0"/>
        <v>0.25529999999999997</v>
      </c>
      <c r="S19" s="66"/>
      <c r="T19" s="72"/>
      <c r="U19" s="66"/>
      <c r="V19" s="66"/>
      <c r="W19" s="66"/>
      <c r="X19" s="66"/>
      <c r="Y19" s="66"/>
      <c r="Z19" s="66"/>
      <c r="AA19" s="66"/>
      <c r="AB19" s="66"/>
      <c r="AC19" s="66"/>
      <c r="AD19" s="66"/>
      <c r="AE19" s="66"/>
    </row>
    <row r="20" spans="1:31">
      <c r="A20" s="66" t="s">
        <v>214</v>
      </c>
      <c r="B20" s="66"/>
      <c r="C20" s="66"/>
      <c r="D20" s="201">
        <f>ROUND(('F 1-2'!$G$18/24),1)</f>
        <v>60.2</v>
      </c>
      <c r="E20" s="66"/>
      <c r="F20" s="72">
        <f t="shared" si="1"/>
        <v>4.3099999999999999E-2</v>
      </c>
      <c r="G20" s="66"/>
      <c r="H20" s="73">
        <f t="shared" si="2"/>
        <v>1.38E-2</v>
      </c>
      <c r="I20" s="66"/>
      <c r="J20" s="72">
        <f>+'F 5B'!J40</f>
        <v>3.2099999999999997E-2</v>
      </c>
      <c r="K20" s="66"/>
      <c r="L20" s="72">
        <f>ROUND(J20*$L$16,4)</f>
        <v>1.55E-2</v>
      </c>
      <c r="M20" s="66"/>
      <c r="N20" s="66"/>
      <c r="O20" s="66"/>
      <c r="P20" s="66"/>
      <c r="Q20" s="66"/>
      <c r="R20" s="72">
        <f t="shared" si="0"/>
        <v>2.93E-2</v>
      </c>
      <c r="S20" s="66"/>
      <c r="T20" s="72"/>
      <c r="U20" s="66"/>
      <c r="V20" s="66"/>
      <c r="W20" s="66"/>
      <c r="X20" s="66"/>
      <c r="Y20" s="66"/>
      <c r="Z20" s="66"/>
      <c r="AA20" s="66"/>
      <c r="AB20" s="66"/>
      <c r="AC20" s="66"/>
      <c r="AD20" s="66"/>
      <c r="AE20" s="66"/>
    </row>
    <row r="21" spans="1:31">
      <c r="A21" s="66" t="s">
        <v>216</v>
      </c>
      <c r="B21" s="66"/>
      <c r="C21" s="66"/>
      <c r="D21" s="201">
        <f>ROUND(('F 1-2'!$G$19/24),1)</f>
        <v>154.5</v>
      </c>
      <c r="E21" s="66"/>
      <c r="F21" s="72">
        <f t="shared" si="1"/>
        <v>0.1106</v>
      </c>
      <c r="G21" s="66"/>
      <c r="H21" s="73">
        <f t="shared" si="2"/>
        <v>3.5499999999999997E-2</v>
      </c>
      <c r="I21" s="66"/>
      <c r="J21" s="72">
        <f>+'F 5B'!J41</f>
        <v>7.8899999999999998E-2</v>
      </c>
      <c r="K21" s="66"/>
      <c r="L21" s="72">
        <f>ROUND(J21*$L$16,4)</f>
        <v>3.7999999999999999E-2</v>
      </c>
      <c r="M21" s="66"/>
      <c r="N21" s="66"/>
      <c r="O21" s="66"/>
      <c r="P21" s="66"/>
      <c r="Q21" s="66"/>
      <c r="R21" s="72">
        <f t="shared" si="0"/>
        <v>7.3499999999999996E-2</v>
      </c>
      <c r="S21" s="66"/>
      <c r="T21" s="72"/>
      <c r="U21" s="66"/>
      <c r="V21" s="66"/>
      <c r="W21" s="66"/>
      <c r="X21" s="66"/>
      <c r="Y21" s="66"/>
      <c r="Z21" s="66"/>
      <c r="AA21" s="66"/>
      <c r="AB21" s="66"/>
      <c r="AC21" s="66"/>
      <c r="AD21" s="66"/>
      <c r="AE21" s="66"/>
    </row>
    <row r="22" spans="1:31">
      <c r="A22" s="66" t="s">
        <v>337</v>
      </c>
      <c r="B22" s="66"/>
      <c r="C22" s="66"/>
      <c r="D22" s="201">
        <f>ROUND(('F 1-2'!$G$20/24),1)</f>
        <v>48.2</v>
      </c>
      <c r="E22" s="66"/>
      <c r="F22" s="72">
        <f t="shared" si="1"/>
        <v>3.4500000000000003E-2</v>
      </c>
      <c r="G22" s="66"/>
      <c r="H22" s="73">
        <f t="shared" si="2"/>
        <v>1.11E-2</v>
      </c>
      <c r="I22" s="66"/>
      <c r="J22" s="72">
        <f>+'F 5B'!J42</f>
        <v>2.0199999999999999E-2</v>
      </c>
      <c r="K22" s="66"/>
      <c r="L22" s="72">
        <f>ROUND(J22*$L$16,4)</f>
        <v>9.7000000000000003E-3</v>
      </c>
      <c r="M22" s="66"/>
      <c r="N22" s="66"/>
      <c r="O22" s="66"/>
      <c r="P22" s="66"/>
      <c r="Q22" s="66"/>
      <c r="R22" s="72">
        <f t="shared" si="0"/>
        <v>2.0799999999999999E-2</v>
      </c>
      <c r="S22" s="66"/>
      <c r="T22" s="72"/>
      <c r="U22" s="66"/>
      <c r="V22" s="66"/>
      <c r="W22" s="66"/>
      <c r="X22" s="66"/>
      <c r="Y22" s="66"/>
      <c r="Z22" s="66"/>
      <c r="AA22" s="66"/>
      <c r="AB22" s="66"/>
      <c r="AC22" s="66"/>
      <c r="AD22" s="66"/>
      <c r="AE22" s="66"/>
    </row>
    <row r="23" spans="1:31">
      <c r="A23" s="66" t="s">
        <v>218</v>
      </c>
      <c r="B23" s="66"/>
      <c r="C23" s="66"/>
      <c r="D23" s="201">
        <f>ROUND(('F 1-2'!$G$21/24),1)</f>
        <v>3.7</v>
      </c>
      <c r="E23" s="66"/>
      <c r="F23" s="72">
        <f t="shared" si="1"/>
        <v>2.5999999999999999E-3</v>
      </c>
      <c r="G23" s="66"/>
      <c r="H23" s="73">
        <f t="shared" si="2"/>
        <v>8.0000000000000004E-4</v>
      </c>
      <c r="I23" s="66"/>
      <c r="J23" s="66"/>
      <c r="K23" s="66"/>
      <c r="L23" s="66"/>
      <c r="M23" s="66"/>
      <c r="N23" s="72">
        <f>Fire!$O$26</f>
        <v>0.45190000000000002</v>
      </c>
      <c r="O23" s="66"/>
      <c r="P23" s="72">
        <f>ROUND(N23*$P$16,4)</f>
        <v>8.9300000000000004E-2</v>
      </c>
      <c r="Q23" s="66"/>
      <c r="R23" s="72">
        <f t="shared" si="0"/>
        <v>9.01E-2</v>
      </c>
      <c r="S23" s="66"/>
      <c r="T23" s="72"/>
      <c r="U23" s="66"/>
      <c r="V23" s="66"/>
      <c r="W23" s="66"/>
      <c r="X23" s="66"/>
      <c r="Y23" s="66"/>
      <c r="Z23" s="66"/>
      <c r="AA23" s="66"/>
      <c r="AB23" s="66"/>
      <c r="AC23" s="66"/>
      <c r="AD23" s="66"/>
      <c r="AE23" s="66"/>
    </row>
    <row r="24" spans="1:31">
      <c r="A24" s="66" t="s">
        <v>219</v>
      </c>
      <c r="B24" s="66"/>
      <c r="C24" s="66"/>
      <c r="D24" s="201">
        <f>ROUND(('F 1-2'!$G$22/24),1)</f>
        <v>4.5</v>
      </c>
      <c r="E24" s="66"/>
      <c r="F24" s="72">
        <f t="shared" si="1"/>
        <v>3.2000000000000002E-3</v>
      </c>
      <c r="G24" s="66"/>
      <c r="H24" s="72">
        <f t="shared" si="2"/>
        <v>1E-3</v>
      </c>
      <c r="I24" s="66"/>
      <c r="J24" s="66"/>
      <c r="K24" s="66"/>
      <c r="L24" s="66"/>
      <c r="M24" s="66"/>
      <c r="N24" s="72">
        <f>Fire!$O$33</f>
        <v>0.54810000000000003</v>
      </c>
      <c r="O24" s="66"/>
      <c r="P24" s="72">
        <f>ROUND(N24*$P$16,4)</f>
        <v>0.1082</v>
      </c>
      <c r="Q24" s="66"/>
      <c r="R24" s="72">
        <f t="shared" si="0"/>
        <v>0.10920000000000001</v>
      </c>
      <c r="S24" s="72"/>
      <c r="T24" s="72"/>
      <c r="U24" s="66"/>
      <c r="V24" s="66"/>
      <c r="W24" s="66"/>
      <c r="X24" s="66"/>
      <c r="Y24" s="66"/>
      <c r="Z24" s="66"/>
      <c r="AA24" s="66"/>
      <c r="AB24" s="66"/>
      <c r="AC24" s="66"/>
      <c r="AD24" s="66"/>
      <c r="AE24" s="66"/>
    </row>
    <row r="25" spans="1:31">
      <c r="A25" s="66"/>
      <c r="B25" s="66"/>
      <c r="C25" s="66"/>
      <c r="D25" s="202"/>
      <c r="E25" s="66"/>
      <c r="F25" s="75"/>
      <c r="G25" s="66"/>
      <c r="H25" s="75"/>
      <c r="I25" s="66"/>
      <c r="J25" s="75"/>
      <c r="K25" s="66"/>
      <c r="L25" s="75"/>
      <c r="M25" s="66"/>
      <c r="N25" s="75"/>
      <c r="O25" s="66"/>
      <c r="P25" s="75"/>
      <c r="Q25" s="66"/>
      <c r="R25" s="75"/>
      <c r="S25" s="66"/>
      <c r="T25" s="66"/>
      <c r="U25" s="66"/>
      <c r="V25" s="66"/>
      <c r="W25" s="66"/>
      <c r="X25" s="66"/>
      <c r="Y25" s="66"/>
      <c r="Z25" s="66"/>
      <c r="AA25" s="66"/>
      <c r="AB25" s="66"/>
      <c r="AC25" s="66"/>
      <c r="AD25" s="66"/>
      <c r="AE25" s="66"/>
    </row>
    <row r="26" spans="1:31" ht="15.75" thickBot="1">
      <c r="A26" s="66" t="s">
        <v>220</v>
      </c>
      <c r="B26" s="66"/>
      <c r="C26" s="66"/>
      <c r="D26" s="204">
        <f>SUM(D18:D25)</f>
        <v>1397.3000000000002</v>
      </c>
      <c r="E26" s="66"/>
      <c r="F26" s="72">
        <f>SUM(F18:F25)</f>
        <v>1.0000000000000002</v>
      </c>
      <c r="G26" s="66"/>
      <c r="H26" s="72">
        <f>SUM(H18:H25)</f>
        <v>0.32100000000000001</v>
      </c>
      <c r="I26" s="66"/>
      <c r="J26" s="72">
        <f>SUM(J18:J25)</f>
        <v>1</v>
      </c>
      <c r="K26" s="66"/>
      <c r="L26" s="72">
        <f>SUM(L18:L25)</f>
        <v>0.48149999999999998</v>
      </c>
      <c r="M26" s="66"/>
      <c r="N26" s="72">
        <f>SUM(N18:N25)</f>
        <v>1</v>
      </c>
      <c r="O26" s="66"/>
      <c r="P26" s="72">
        <f>SUM(P18:P25)</f>
        <v>0.19750000000000001</v>
      </c>
      <c r="Q26" s="66"/>
      <c r="R26" s="72">
        <f>SUM(R18:R25)</f>
        <v>1</v>
      </c>
      <c r="S26" s="66"/>
      <c r="T26" s="66"/>
      <c r="U26" s="66"/>
      <c r="V26" s="66"/>
      <c r="W26" s="66"/>
      <c r="X26" s="66"/>
      <c r="Y26" s="66"/>
      <c r="Z26" s="66"/>
      <c r="AA26" s="66"/>
      <c r="AB26" s="66"/>
      <c r="AC26" s="66"/>
      <c r="AD26" s="66"/>
      <c r="AE26" s="66"/>
    </row>
    <row r="27" spans="1:31" ht="15.75" thickTop="1">
      <c r="A27" s="66"/>
      <c r="B27" s="66"/>
      <c r="C27" s="66"/>
      <c r="D27" s="203"/>
      <c r="E27" s="66"/>
      <c r="F27" s="76"/>
      <c r="G27" s="66"/>
      <c r="H27" s="76"/>
      <c r="I27" s="66"/>
      <c r="J27" s="76"/>
      <c r="K27" s="66"/>
      <c r="L27" s="76"/>
      <c r="M27" s="66"/>
      <c r="N27" s="76"/>
      <c r="O27" s="66"/>
      <c r="P27" s="76"/>
      <c r="Q27" s="66"/>
      <c r="R27" s="76"/>
      <c r="S27" s="66"/>
      <c r="T27" s="66"/>
      <c r="U27" s="66"/>
      <c r="V27" s="66"/>
      <c r="W27" s="66"/>
      <c r="X27" s="66"/>
      <c r="Y27" s="66"/>
      <c r="Z27" s="66"/>
      <c r="AA27" s="66"/>
      <c r="AB27" s="66"/>
      <c r="AC27" s="66"/>
      <c r="AD27" s="66"/>
      <c r="AE27" s="66"/>
    </row>
    <row r="28" spans="1:31">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row>
    <row r="29" spans="1:31" ht="27.2" customHeight="1">
      <c r="A29" s="622" t="s">
        <v>761</v>
      </c>
      <c r="B29" s="622"/>
      <c r="C29" s="622"/>
      <c r="D29" s="622"/>
      <c r="E29" s="622"/>
      <c r="F29" s="622"/>
      <c r="G29" s="622"/>
      <c r="H29" s="622"/>
      <c r="I29" s="622"/>
      <c r="J29" s="622"/>
      <c r="K29" s="622"/>
      <c r="L29" s="622"/>
      <c r="M29" s="622"/>
      <c r="N29" s="622"/>
      <c r="O29" s="622"/>
      <c r="P29" s="622"/>
      <c r="Q29" s="622"/>
      <c r="R29" s="622"/>
      <c r="S29" s="66"/>
      <c r="T29" s="66"/>
      <c r="U29" s="66"/>
      <c r="V29" s="66"/>
      <c r="W29" s="66"/>
      <c r="X29" s="66"/>
      <c r="Y29" s="66"/>
      <c r="Z29" s="66"/>
      <c r="AA29" s="66"/>
      <c r="AB29" s="66"/>
      <c r="AC29" s="66"/>
      <c r="AD29" s="66"/>
      <c r="AE29" s="66"/>
    </row>
    <row r="30" spans="1:31">
      <c r="A30" s="66"/>
      <c r="B30" s="66"/>
      <c r="C30" s="66"/>
      <c r="D30" s="66"/>
      <c r="E30" s="66"/>
      <c r="F30" s="66"/>
      <c r="G30" s="66"/>
      <c r="H30" s="66"/>
      <c r="I30" s="66"/>
      <c r="J30" s="66"/>
      <c r="K30" s="66"/>
      <c r="L30" s="66"/>
      <c r="M30" s="66"/>
      <c r="N30" s="66"/>
      <c r="O30" s="66"/>
      <c r="P30" s="66"/>
      <c r="Q30" s="66"/>
      <c r="R30" s="66"/>
      <c r="S30" s="66"/>
      <c r="T30" s="66"/>
      <c r="U30" s="77"/>
      <c r="V30" s="66"/>
      <c r="W30" s="66"/>
      <c r="X30" s="66"/>
      <c r="Y30" s="66"/>
      <c r="Z30" s="66"/>
      <c r="AA30" s="66"/>
      <c r="AB30" s="66"/>
      <c r="AC30" s="66"/>
      <c r="AD30" s="66"/>
      <c r="AE30" s="66"/>
    </row>
    <row r="31" spans="1:3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row>
    <row r="32" spans="1:31">
      <c r="A32" s="66"/>
      <c r="B32" s="66"/>
      <c r="C32" s="66"/>
      <c r="D32" s="66"/>
      <c r="E32" s="66"/>
      <c r="F32" s="66"/>
      <c r="G32" s="66"/>
      <c r="H32" s="66"/>
      <c r="I32" s="66"/>
      <c r="J32" s="66"/>
      <c r="K32" s="66"/>
      <c r="L32" s="66"/>
      <c r="M32" s="66"/>
      <c r="N32" s="66"/>
      <c r="O32" s="66"/>
      <c r="P32" s="66"/>
      <c r="Q32" s="66"/>
      <c r="R32" s="66"/>
      <c r="S32" s="66"/>
      <c r="T32" s="66"/>
      <c r="AE32" s="66"/>
    </row>
    <row r="33" spans="1:31">
      <c r="A33" s="66"/>
      <c r="B33" s="66"/>
      <c r="C33" s="66"/>
      <c r="D33" s="66"/>
      <c r="E33" s="66"/>
      <c r="F33" s="66"/>
      <c r="G33" s="66"/>
      <c r="H33" s="66"/>
      <c r="I33" s="66"/>
      <c r="J33" s="66"/>
      <c r="K33" s="66"/>
      <c r="L33" s="66"/>
      <c r="M33" s="66"/>
      <c r="N33" s="66"/>
      <c r="O33" s="66"/>
      <c r="P33" s="66"/>
      <c r="Q33" s="66"/>
      <c r="R33" s="66"/>
      <c r="S33" s="66"/>
      <c r="T33" s="66"/>
      <c r="AE33" s="66"/>
    </row>
    <row r="34" spans="1:31">
      <c r="A34" s="66"/>
      <c r="B34" s="66"/>
      <c r="C34" s="66"/>
      <c r="D34" s="66"/>
      <c r="E34" s="66"/>
      <c r="F34" s="66"/>
      <c r="G34" s="66"/>
      <c r="H34" s="66"/>
      <c r="I34" s="66"/>
      <c r="J34" s="66"/>
      <c r="K34" s="66"/>
      <c r="L34" s="66"/>
      <c r="M34" s="66"/>
      <c r="N34" s="66"/>
      <c r="O34" s="66"/>
      <c r="P34" s="66"/>
      <c r="Q34" s="66"/>
      <c r="R34" s="66"/>
      <c r="S34" s="66"/>
      <c r="T34" s="66"/>
      <c r="AE34" s="66"/>
    </row>
    <row r="35" spans="1:31">
      <c r="A35" s="66"/>
      <c r="B35" s="66"/>
      <c r="C35" s="66"/>
      <c r="D35" s="66"/>
      <c r="E35" s="66"/>
      <c r="F35" s="66"/>
      <c r="G35" s="66"/>
      <c r="H35" s="66"/>
      <c r="I35" s="66"/>
      <c r="J35" s="66"/>
      <c r="K35" s="66"/>
      <c r="L35" s="66"/>
      <c r="M35" s="66"/>
      <c r="N35" s="66"/>
      <c r="O35" s="66"/>
      <c r="P35" s="66"/>
      <c r="Q35" s="66"/>
      <c r="R35" s="66"/>
      <c r="S35" s="66"/>
      <c r="T35" s="66"/>
      <c r="AE35" s="66"/>
    </row>
    <row r="36" spans="1:31">
      <c r="A36" s="66"/>
      <c r="B36" s="66"/>
      <c r="C36" s="66"/>
      <c r="D36" s="66"/>
      <c r="E36" s="66"/>
      <c r="F36" s="66"/>
      <c r="G36" s="66"/>
      <c r="H36" s="66"/>
      <c r="I36" s="66"/>
      <c r="J36" s="66"/>
      <c r="K36" s="66"/>
      <c r="L36" s="66"/>
      <c r="M36" s="66"/>
      <c r="N36" s="66"/>
      <c r="O36" s="66"/>
      <c r="P36" s="66"/>
      <c r="Q36" s="66"/>
      <c r="R36" s="66"/>
      <c r="S36" s="66"/>
      <c r="T36" s="66"/>
      <c r="AE36" s="66"/>
    </row>
    <row r="37" spans="1:31">
      <c r="A37" s="66"/>
      <c r="B37" s="66"/>
      <c r="C37" s="66"/>
      <c r="D37" s="66"/>
      <c r="E37" s="66"/>
      <c r="F37" s="66"/>
      <c r="G37" s="66"/>
      <c r="H37" s="66"/>
      <c r="I37" s="66"/>
      <c r="J37" s="66"/>
      <c r="K37" s="66"/>
      <c r="L37" s="66"/>
      <c r="M37" s="66"/>
      <c r="N37" s="66"/>
      <c r="O37" s="66"/>
      <c r="P37" s="66"/>
      <c r="Q37" s="66"/>
      <c r="R37" s="66"/>
      <c r="S37" s="66"/>
      <c r="T37" s="66"/>
      <c r="AE37" s="66"/>
    </row>
    <row r="38" spans="1:31">
      <c r="A38" s="66"/>
      <c r="B38" s="66"/>
      <c r="C38" s="66"/>
      <c r="D38" s="66"/>
      <c r="E38" s="66"/>
      <c r="F38" s="66"/>
      <c r="G38" s="66"/>
      <c r="H38" s="66"/>
      <c r="I38" s="66"/>
      <c r="J38" s="66"/>
      <c r="K38" s="66"/>
      <c r="L38" s="66"/>
      <c r="M38" s="66"/>
      <c r="N38" s="66"/>
      <c r="O38" s="66"/>
      <c r="P38" s="66"/>
      <c r="Q38" s="66"/>
      <c r="R38" s="66"/>
      <c r="S38" s="66"/>
      <c r="T38" s="66"/>
      <c r="AE38" s="66"/>
    </row>
    <row r="39" spans="1:31">
      <c r="A39" s="66"/>
      <c r="B39" s="66"/>
      <c r="C39" s="66"/>
      <c r="D39" s="66"/>
      <c r="E39" s="66"/>
      <c r="F39" s="66"/>
      <c r="G39" s="66"/>
      <c r="H39" s="66"/>
      <c r="I39" s="66"/>
      <c r="J39" s="66"/>
      <c r="K39" s="66"/>
      <c r="L39" s="66"/>
      <c r="M39" s="66"/>
      <c r="N39" s="66"/>
      <c r="O39" s="66"/>
      <c r="P39" s="66"/>
      <c r="Q39" s="66"/>
      <c r="R39" s="66"/>
      <c r="S39" s="66"/>
      <c r="T39" s="66"/>
      <c r="AE39" s="66"/>
    </row>
    <row r="40" spans="1:31">
      <c r="A40" s="66"/>
      <c r="B40" s="66"/>
      <c r="C40" s="66"/>
      <c r="D40" s="66"/>
      <c r="E40" s="66"/>
      <c r="F40" s="66"/>
      <c r="G40" s="66"/>
      <c r="H40" s="66"/>
      <c r="I40" s="66"/>
      <c r="J40" s="66"/>
      <c r="K40" s="66"/>
      <c r="L40" s="66"/>
      <c r="M40" s="66"/>
      <c r="N40" s="66"/>
      <c r="O40" s="66"/>
      <c r="P40" s="66"/>
      <c r="Q40" s="66"/>
      <c r="R40" s="66"/>
      <c r="S40" s="66"/>
      <c r="T40" s="66"/>
      <c r="AE40" s="66"/>
    </row>
    <row r="41" spans="1:31">
      <c r="A41" s="66"/>
      <c r="B41" s="66"/>
      <c r="C41" s="66"/>
      <c r="D41" s="66"/>
      <c r="E41" s="66"/>
      <c r="F41" s="66"/>
      <c r="G41" s="66"/>
      <c r="H41" s="66"/>
      <c r="I41" s="66"/>
      <c r="J41" s="66"/>
      <c r="K41" s="66"/>
      <c r="L41" s="66"/>
      <c r="M41" s="66"/>
      <c r="N41" s="66"/>
      <c r="O41" s="66"/>
      <c r="P41" s="66"/>
      <c r="Q41" s="66"/>
      <c r="R41" s="66"/>
      <c r="S41" s="66"/>
      <c r="T41" s="66"/>
      <c r="AE41" s="66"/>
    </row>
    <row r="42" spans="1:31">
      <c r="A42" s="66"/>
      <c r="B42" s="66"/>
      <c r="C42" s="66"/>
      <c r="D42" s="66"/>
      <c r="E42" s="66"/>
      <c r="F42" s="66"/>
      <c r="G42" s="66"/>
      <c r="H42" s="66"/>
      <c r="I42" s="66"/>
      <c r="J42" s="66"/>
      <c r="K42" s="66"/>
      <c r="L42" s="66"/>
      <c r="M42" s="66"/>
      <c r="N42" s="66"/>
      <c r="O42" s="66"/>
      <c r="P42" s="66"/>
      <c r="Q42" s="66"/>
      <c r="R42" s="66"/>
      <c r="S42" s="66"/>
      <c r="T42" s="66"/>
      <c r="AE42" s="66"/>
    </row>
    <row r="43" spans="1:31">
      <c r="A43" s="66"/>
      <c r="B43" s="66"/>
      <c r="C43" s="66"/>
      <c r="D43" s="66"/>
      <c r="E43" s="66"/>
      <c r="F43" s="66"/>
      <c r="G43" s="66"/>
      <c r="H43" s="66"/>
      <c r="I43" s="66"/>
      <c r="J43" s="66"/>
      <c r="K43" s="66"/>
      <c r="L43" s="66"/>
      <c r="M43" s="66"/>
      <c r="N43" s="66"/>
      <c r="O43" s="66"/>
      <c r="P43" s="66"/>
      <c r="Q43" s="66"/>
      <c r="R43" s="66"/>
      <c r="S43" s="66"/>
      <c r="T43" s="66"/>
      <c r="AE43" s="66"/>
    </row>
    <row r="44" spans="1:31">
      <c r="A44" s="66"/>
      <c r="B44" s="66"/>
      <c r="C44" s="66"/>
      <c r="D44" s="66"/>
      <c r="E44" s="66"/>
      <c r="F44" s="66"/>
      <c r="G44" s="66"/>
      <c r="H44" s="66"/>
      <c r="I44" s="66"/>
      <c r="J44" s="66"/>
      <c r="K44" s="66"/>
      <c r="L44" s="66"/>
      <c r="M44" s="66"/>
      <c r="N44" s="66"/>
      <c r="O44" s="66"/>
      <c r="P44" s="66"/>
      <c r="Q44" s="66"/>
      <c r="R44" s="66"/>
      <c r="S44" s="66"/>
      <c r="T44" s="66"/>
      <c r="AE44" s="66"/>
    </row>
    <row r="45" spans="1:31">
      <c r="A45" s="66"/>
      <c r="B45" s="66"/>
      <c r="C45" s="66"/>
      <c r="D45" s="66"/>
      <c r="E45" s="66"/>
      <c r="F45" s="66"/>
      <c r="G45" s="66"/>
      <c r="H45" s="66"/>
      <c r="I45" s="66"/>
      <c r="J45" s="66"/>
      <c r="K45" s="66"/>
      <c r="L45" s="66"/>
      <c r="M45" s="66"/>
      <c r="N45" s="66"/>
      <c r="O45" s="66"/>
      <c r="P45" s="66"/>
      <c r="Q45" s="66"/>
      <c r="R45" s="66"/>
      <c r="S45" s="66"/>
      <c r="T45" s="66"/>
      <c r="AE45" s="66"/>
    </row>
    <row r="46" spans="1:31">
      <c r="A46" s="66"/>
      <c r="B46" s="66"/>
      <c r="C46" s="66"/>
      <c r="D46" s="66"/>
      <c r="E46" s="66"/>
      <c r="F46" s="66"/>
      <c r="G46" s="66"/>
      <c r="H46" s="66"/>
      <c r="I46" s="66"/>
      <c r="J46" s="66"/>
      <c r="K46" s="66"/>
      <c r="L46" s="66"/>
      <c r="M46" s="66"/>
      <c r="N46" s="66"/>
      <c r="O46" s="66"/>
      <c r="P46" s="66"/>
      <c r="Q46" s="66"/>
      <c r="R46" s="66"/>
      <c r="S46" s="66"/>
      <c r="T46" s="66"/>
      <c r="AE46" s="66"/>
    </row>
    <row r="47" spans="1:31">
      <c r="A47" s="66"/>
      <c r="B47" s="66"/>
      <c r="C47" s="66"/>
      <c r="D47" s="66"/>
      <c r="E47" s="66"/>
      <c r="F47" s="66"/>
      <c r="G47" s="66"/>
      <c r="H47" s="66"/>
      <c r="I47" s="66"/>
      <c r="J47" s="66"/>
      <c r="K47" s="66"/>
      <c r="L47" s="66"/>
      <c r="M47" s="66"/>
      <c r="N47" s="66"/>
      <c r="O47" s="66"/>
      <c r="P47" s="66"/>
      <c r="Q47" s="66"/>
      <c r="R47" s="66"/>
      <c r="S47" s="66"/>
      <c r="T47" s="66"/>
      <c r="AE47" s="66"/>
    </row>
    <row r="48" spans="1:31">
      <c r="A48" s="66"/>
      <c r="B48" s="66"/>
      <c r="C48" s="66"/>
      <c r="D48" s="66"/>
      <c r="E48" s="66"/>
      <c r="F48" s="66"/>
      <c r="G48" s="66"/>
      <c r="H48" s="66"/>
      <c r="I48" s="66"/>
      <c r="J48" s="66"/>
      <c r="K48" s="66"/>
      <c r="L48" s="66"/>
      <c r="M48" s="66"/>
      <c r="N48" s="66"/>
      <c r="O48" s="66"/>
      <c r="P48" s="66"/>
      <c r="Q48" s="66"/>
      <c r="R48" s="66"/>
      <c r="S48" s="66"/>
      <c r="T48" s="66"/>
      <c r="AE48" s="66"/>
    </row>
    <row r="49" spans="1:31">
      <c r="A49" s="66"/>
      <c r="B49" s="66"/>
      <c r="C49" s="66"/>
      <c r="D49" s="66"/>
      <c r="E49" s="66"/>
      <c r="F49" s="66"/>
      <c r="G49" s="66"/>
      <c r="H49" s="66"/>
      <c r="I49" s="66"/>
      <c r="J49" s="66"/>
      <c r="K49" s="66"/>
      <c r="L49" s="66"/>
      <c r="M49" s="66"/>
      <c r="N49" s="66"/>
      <c r="O49" s="66"/>
      <c r="P49" s="66"/>
      <c r="Q49" s="66"/>
      <c r="R49" s="66"/>
      <c r="S49" s="66"/>
      <c r="T49" s="66"/>
      <c r="AE49" s="66"/>
    </row>
    <row r="50" spans="1:31">
      <c r="A50" s="66"/>
      <c r="B50" s="66"/>
      <c r="C50" s="66"/>
      <c r="D50" s="66"/>
      <c r="E50" s="66"/>
      <c r="F50" s="66"/>
      <c r="G50" s="66"/>
      <c r="H50" s="66"/>
      <c r="I50" s="66"/>
      <c r="J50" s="66"/>
      <c r="K50" s="66"/>
      <c r="L50" s="66"/>
      <c r="M50" s="66"/>
      <c r="N50" s="66"/>
      <c r="O50" s="66"/>
      <c r="P50" s="66"/>
      <c r="Q50" s="66"/>
      <c r="R50" s="66"/>
      <c r="S50" s="66"/>
      <c r="T50" s="66"/>
      <c r="AE50" s="66"/>
    </row>
    <row r="51" spans="1:31">
      <c r="A51" s="66"/>
      <c r="B51" s="66"/>
      <c r="C51" s="66"/>
      <c r="D51" s="66"/>
      <c r="E51" s="66"/>
      <c r="F51" s="66"/>
      <c r="G51" s="66"/>
      <c r="H51" s="66"/>
      <c r="I51" s="66"/>
      <c r="J51" s="66"/>
      <c r="K51" s="66"/>
      <c r="L51" s="66"/>
      <c r="M51" s="66"/>
      <c r="N51" s="66"/>
      <c r="O51" s="66"/>
      <c r="P51" s="66"/>
      <c r="Q51" s="66"/>
      <c r="R51" s="66"/>
      <c r="S51" s="66"/>
      <c r="T51" s="66"/>
      <c r="AE51" s="66"/>
    </row>
    <row r="52" spans="1:31">
      <c r="A52" s="66"/>
      <c r="B52" s="66"/>
      <c r="C52" s="66"/>
      <c r="D52" s="66"/>
      <c r="E52" s="66"/>
      <c r="F52" s="66"/>
      <c r="G52" s="66"/>
      <c r="H52" s="66"/>
      <c r="I52" s="66"/>
      <c r="J52" s="66"/>
      <c r="K52" s="66"/>
      <c r="L52" s="66"/>
      <c r="M52" s="66"/>
      <c r="N52" s="66"/>
      <c r="O52" s="66"/>
      <c r="P52" s="66"/>
      <c r="Q52" s="66"/>
      <c r="R52" s="66"/>
      <c r="S52" s="66"/>
      <c r="T52" s="66"/>
      <c r="AE52" s="66"/>
    </row>
    <row r="53" spans="1:31">
      <c r="A53" s="66"/>
      <c r="B53" s="66"/>
      <c r="C53" s="66"/>
      <c r="D53" s="66"/>
      <c r="E53" s="66"/>
      <c r="F53" s="66"/>
      <c r="G53" s="66"/>
      <c r="H53" s="66"/>
      <c r="I53" s="66"/>
      <c r="J53" s="66"/>
      <c r="K53" s="66"/>
      <c r="L53" s="66"/>
      <c r="M53" s="66"/>
      <c r="N53" s="66"/>
      <c r="O53" s="66"/>
      <c r="P53" s="66"/>
      <c r="Q53" s="66"/>
      <c r="R53" s="66"/>
      <c r="S53" s="66"/>
      <c r="T53" s="66"/>
      <c r="AE53" s="66"/>
    </row>
    <row r="54" spans="1:31">
      <c r="A54" s="66"/>
      <c r="B54" s="66"/>
      <c r="C54" s="66"/>
      <c r="D54" s="66"/>
      <c r="E54" s="66"/>
      <c r="F54" s="66"/>
      <c r="G54" s="66"/>
      <c r="H54" s="66"/>
      <c r="I54" s="66"/>
      <c r="J54" s="66"/>
      <c r="K54" s="66"/>
      <c r="L54" s="66"/>
      <c r="M54" s="66"/>
      <c r="N54" s="66"/>
      <c r="O54" s="66"/>
      <c r="P54" s="66"/>
      <c r="Q54" s="66"/>
      <c r="R54" s="66"/>
      <c r="S54" s="66"/>
      <c r="T54" s="66"/>
      <c r="AE54" s="66"/>
    </row>
    <row r="55" spans="1:31">
      <c r="A55" s="66"/>
      <c r="B55" s="66"/>
      <c r="C55" s="66"/>
      <c r="D55" s="66"/>
      <c r="E55" s="66"/>
      <c r="F55" s="66"/>
      <c r="G55" s="66"/>
      <c r="H55" s="66"/>
      <c r="I55" s="66"/>
      <c r="J55" s="66"/>
      <c r="K55" s="66"/>
      <c r="L55" s="66"/>
      <c r="M55" s="66"/>
      <c r="N55" s="66"/>
      <c r="O55" s="66"/>
      <c r="P55" s="66"/>
      <c r="Q55" s="66"/>
      <c r="R55" s="66"/>
      <c r="S55" s="66"/>
      <c r="T55" s="66"/>
      <c r="AE55" s="66"/>
    </row>
    <row r="56" spans="1:31">
      <c r="A56" s="66"/>
      <c r="B56" s="66"/>
      <c r="C56" s="66"/>
      <c r="D56" s="66"/>
      <c r="E56" s="66"/>
      <c r="F56" s="66"/>
      <c r="G56" s="66"/>
      <c r="H56" s="66"/>
      <c r="I56" s="66"/>
      <c r="J56" s="66"/>
      <c r="K56" s="66"/>
      <c r="L56" s="66"/>
      <c r="M56" s="66"/>
      <c r="N56" s="66"/>
      <c r="O56" s="66"/>
      <c r="P56" s="66"/>
      <c r="Q56" s="66"/>
      <c r="R56" s="66"/>
      <c r="S56" s="66"/>
      <c r="T56" s="66"/>
      <c r="AE56" s="66"/>
    </row>
    <row r="57" spans="1:31">
      <c r="A57" s="66"/>
      <c r="B57" s="66"/>
      <c r="C57" s="66"/>
      <c r="D57" s="66"/>
      <c r="E57" s="66"/>
      <c r="F57" s="66"/>
      <c r="G57" s="66"/>
      <c r="H57" s="66"/>
      <c r="I57" s="66"/>
      <c r="J57" s="66"/>
      <c r="K57" s="66"/>
      <c r="L57" s="66"/>
      <c r="M57" s="66"/>
      <c r="N57" s="66"/>
      <c r="O57" s="66"/>
      <c r="P57" s="66"/>
      <c r="Q57" s="66"/>
      <c r="R57" s="66"/>
      <c r="S57" s="66"/>
      <c r="T57" s="66"/>
      <c r="AE57" s="66"/>
    </row>
    <row r="58" spans="1:31">
      <c r="A58" s="66"/>
      <c r="B58" s="66"/>
      <c r="C58" s="66"/>
      <c r="D58" s="66"/>
      <c r="E58" s="66"/>
      <c r="F58" s="66"/>
      <c r="G58" s="66"/>
      <c r="H58" s="66"/>
      <c r="I58" s="66"/>
      <c r="J58" s="66"/>
      <c r="K58" s="66"/>
      <c r="L58" s="66"/>
      <c r="M58" s="66"/>
      <c r="N58" s="66"/>
      <c r="O58" s="66"/>
      <c r="P58" s="66"/>
      <c r="Q58" s="66"/>
      <c r="R58" s="66"/>
      <c r="S58" s="66"/>
      <c r="T58" s="66"/>
      <c r="AE58" s="66"/>
    </row>
    <row r="59" spans="1:31">
      <c r="A59" s="66"/>
      <c r="B59" s="66"/>
      <c r="C59" s="66"/>
      <c r="D59" s="66"/>
      <c r="E59" s="66"/>
      <c r="F59" s="66"/>
      <c r="G59" s="66"/>
      <c r="H59" s="66"/>
      <c r="I59" s="66"/>
      <c r="J59" s="66"/>
      <c r="K59" s="66"/>
      <c r="L59" s="66"/>
      <c r="M59" s="66"/>
      <c r="N59" s="66"/>
      <c r="O59" s="66"/>
      <c r="P59" s="66"/>
      <c r="Q59" s="66"/>
      <c r="R59" s="66"/>
      <c r="S59" s="66"/>
      <c r="T59" s="66"/>
      <c r="AE59" s="66"/>
    </row>
    <row r="60" spans="1:31">
      <c r="A60" s="66"/>
      <c r="B60" s="66"/>
      <c r="C60" s="66"/>
      <c r="D60" s="66"/>
      <c r="E60" s="66"/>
      <c r="F60" s="66"/>
      <c r="G60" s="66"/>
      <c r="H60" s="66"/>
      <c r="I60" s="66"/>
      <c r="J60" s="66"/>
      <c r="K60" s="66"/>
      <c r="L60" s="66"/>
      <c r="M60" s="66"/>
      <c r="N60" s="66"/>
      <c r="O60" s="66"/>
      <c r="P60" s="66"/>
      <c r="Q60" s="66"/>
      <c r="R60" s="66"/>
      <c r="S60" s="66"/>
      <c r="T60" s="66"/>
      <c r="AE60" s="66"/>
    </row>
    <row r="61" spans="1:31">
      <c r="A61" s="66"/>
      <c r="B61" s="66"/>
      <c r="C61" s="66"/>
      <c r="D61" s="66"/>
      <c r="E61" s="66"/>
      <c r="F61" s="66"/>
      <c r="G61" s="66"/>
      <c r="H61" s="66"/>
      <c r="I61" s="66"/>
      <c r="J61" s="66"/>
      <c r="K61" s="66"/>
      <c r="L61" s="66"/>
      <c r="M61" s="66"/>
      <c r="N61" s="66"/>
      <c r="O61" s="66"/>
      <c r="P61" s="66"/>
      <c r="Q61" s="66"/>
      <c r="R61" s="66"/>
      <c r="S61" s="66"/>
      <c r="T61" s="66"/>
      <c r="AE61" s="66"/>
    </row>
    <row r="62" spans="1:31">
      <c r="A62" s="66"/>
      <c r="B62" s="66"/>
      <c r="C62" s="66"/>
      <c r="D62" s="66"/>
      <c r="E62" s="66"/>
      <c r="F62" s="66"/>
      <c r="G62" s="66"/>
      <c r="H62" s="66"/>
      <c r="I62" s="66"/>
      <c r="J62" s="66"/>
      <c r="K62" s="66"/>
      <c r="L62" s="66"/>
      <c r="M62" s="66"/>
      <c r="N62" s="66"/>
      <c r="O62" s="66"/>
      <c r="P62" s="66"/>
      <c r="Q62" s="66"/>
      <c r="R62" s="66"/>
      <c r="S62" s="66"/>
      <c r="T62" s="66"/>
      <c r="AE62" s="66"/>
    </row>
    <row r="63" spans="1:3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row>
    <row r="64" spans="1:3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row>
    <row r="65" spans="1:3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row>
    <row r="66" spans="1:3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row>
    <row r="67" spans="1:3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row>
  </sheetData>
  <mergeCells count="2">
    <mergeCell ref="A9:R9"/>
    <mergeCell ref="A29:R29"/>
  </mergeCells>
  <phoneticPr fontId="11" type="noConversion"/>
  <printOptions horizontalCentered="1"/>
  <pageMargins left="0.5" right="0.5" top="1" bottom="0.5"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autoPageBreaks="0"/>
  </sheetPr>
  <dimension ref="A1:S46"/>
  <sheetViews>
    <sheetView workbookViewId="0">
      <selection activeCell="O23" sqref="O23"/>
    </sheetView>
  </sheetViews>
  <sheetFormatPr defaultColWidth="9.77734375" defaultRowHeight="15"/>
  <cols>
    <col min="1" max="1" width="5" style="299" customWidth="1"/>
    <col min="2" max="2" width="13.21875" style="299" customWidth="1"/>
    <col min="3" max="3" width="6.88671875" style="299" customWidth="1"/>
    <col min="4" max="4" width="12.33203125" style="299" customWidth="1"/>
    <col min="5" max="5" width="8" style="299" customWidth="1"/>
    <col min="6" max="6" width="9.77734375" style="299" customWidth="1"/>
    <col min="7" max="7" width="2.5546875" style="299" customWidth="1"/>
    <col min="8" max="8" width="9.77734375" style="299" customWidth="1"/>
    <col min="9" max="9" width="3.5546875" style="299" customWidth="1"/>
    <col min="10" max="13" width="9.77734375" style="299" customWidth="1"/>
    <col min="14" max="14" width="11" style="299" bestFit="1" customWidth="1"/>
    <col min="15" max="16384" width="9.77734375" style="299"/>
  </cols>
  <sheetData>
    <row r="1" spans="1:17">
      <c r="A1" s="37" t="s">
        <v>7</v>
      </c>
      <c r="B1" s="37"/>
      <c r="C1" s="37"/>
      <c r="D1" s="37"/>
      <c r="E1" s="37"/>
      <c r="F1" s="37"/>
      <c r="G1" s="37"/>
      <c r="H1" s="37"/>
      <c r="I1" s="37"/>
      <c r="J1" s="37"/>
    </row>
    <row r="2" spans="1:17">
      <c r="A2" s="37"/>
      <c r="B2" s="37"/>
      <c r="C2" s="37"/>
      <c r="D2" s="37"/>
      <c r="E2" s="37"/>
      <c r="F2" s="37"/>
      <c r="G2" s="37"/>
      <c r="H2" s="37"/>
      <c r="I2" s="37"/>
      <c r="J2" s="37"/>
    </row>
    <row r="3" spans="1:17">
      <c r="A3" s="78"/>
      <c r="B3" s="78"/>
      <c r="C3" s="78"/>
      <c r="D3" s="78"/>
      <c r="E3" s="78"/>
      <c r="F3" s="78"/>
      <c r="G3" s="78"/>
      <c r="H3" s="78"/>
      <c r="I3" s="79"/>
      <c r="N3" s="448"/>
    </row>
    <row r="4" spans="1:17">
      <c r="A4" s="38" t="s">
        <v>236</v>
      </c>
      <c r="B4" s="38"/>
      <c r="C4" s="38"/>
      <c r="D4" s="38"/>
      <c r="E4" s="38"/>
      <c r="F4" s="38"/>
      <c r="G4" s="38"/>
      <c r="H4" s="38"/>
      <c r="I4" s="79"/>
      <c r="N4" s="448"/>
    </row>
    <row r="5" spans="1:17">
      <c r="A5" s="79"/>
      <c r="B5" s="79"/>
      <c r="C5" s="79"/>
      <c r="D5" s="79"/>
      <c r="E5" s="79"/>
      <c r="F5" s="79"/>
      <c r="G5" s="79"/>
      <c r="H5" s="79"/>
      <c r="I5" s="79"/>
      <c r="N5" s="449"/>
    </row>
    <row r="6" spans="1:17">
      <c r="A6" s="79"/>
      <c r="B6" s="79"/>
      <c r="C6" s="79"/>
      <c r="D6" s="79"/>
      <c r="E6" s="79"/>
      <c r="F6" s="79"/>
      <c r="G6" s="79"/>
      <c r="H6" s="79"/>
      <c r="I6" s="79"/>
      <c r="N6" s="449"/>
    </row>
    <row r="7" spans="1:17">
      <c r="A7" s="79" t="s">
        <v>154</v>
      </c>
      <c r="B7" s="79"/>
      <c r="C7" s="79"/>
      <c r="D7" s="79"/>
      <c r="E7" s="79"/>
      <c r="F7" s="79"/>
      <c r="G7" s="79"/>
      <c r="H7" s="79"/>
      <c r="I7" s="79"/>
      <c r="N7" s="449"/>
    </row>
    <row r="8" spans="1:17">
      <c r="A8" s="79"/>
      <c r="B8" s="79"/>
      <c r="C8" s="79"/>
      <c r="D8" s="79"/>
      <c r="E8" s="79"/>
      <c r="F8" s="79"/>
      <c r="G8" s="79"/>
      <c r="H8" s="79"/>
      <c r="I8" s="79"/>
      <c r="N8" s="449"/>
    </row>
    <row r="9" spans="1:17" ht="28.15" customHeight="1">
      <c r="A9" s="625" t="s">
        <v>762</v>
      </c>
      <c r="B9" s="626"/>
      <c r="C9" s="626"/>
      <c r="D9" s="626"/>
      <c r="E9" s="626"/>
      <c r="F9" s="626"/>
      <c r="G9" s="626"/>
      <c r="H9" s="626"/>
      <c r="I9" s="626"/>
      <c r="J9" s="626"/>
      <c r="N9" s="449"/>
    </row>
    <row r="10" spans="1:17">
      <c r="A10" s="79"/>
      <c r="B10" s="79"/>
      <c r="C10" s="79"/>
      <c r="D10" s="79"/>
      <c r="E10" s="79"/>
      <c r="F10" s="79"/>
      <c r="G10" s="79"/>
      <c r="H10" s="79"/>
      <c r="I10" s="79"/>
      <c r="N10" s="449"/>
    </row>
    <row r="11" spans="1:17">
      <c r="A11" s="79"/>
      <c r="B11" s="79"/>
      <c r="C11" s="79"/>
      <c r="E11" s="79"/>
      <c r="F11" s="79"/>
      <c r="G11" s="79"/>
      <c r="H11" s="79"/>
      <c r="I11" s="79"/>
      <c r="N11" s="449"/>
    </row>
    <row r="12" spans="1:17">
      <c r="A12" s="79" t="s">
        <v>286</v>
      </c>
      <c r="B12" s="79"/>
      <c r="C12" s="217">
        <f>+'F 3B 4B'!G50</f>
        <v>10000</v>
      </c>
      <c r="D12" s="215" t="s">
        <v>31</v>
      </c>
      <c r="E12" s="78"/>
      <c r="F12" s="80" t="s">
        <v>287</v>
      </c>
      <c r="H12" s="81">
        <f>ROUND(+C12*60*10/D13,4)</f>
        <v>0.19750000000000001</v>
      </c>
      <c r="I12" s="79"/>
      <c r="N12" s="449"/>
      <c r="Q12" s="214"/>
    </row>
    <row r="13" spans="1:17">
      <c r="A13" s="79"/>
      <c r="B13" s="79"/>
      <c r="D13" s="305">
        <v>30380000</v>
      </c>
      <c r="E13" s="83" t="s">
        <v>381</v>
      </c>
      <c r="F13" s="80"/>
      <c r="G13" s="79"/>
      <c r="I13" s="79"/>
      <c r="N13" s="449"/>
    </row>
    <row r="14" spans="1:17">
      <c r="A14" s="79"/>
      <c r="B14" s="79"/>
      <c r="C14" s="79"/>
      <c r="D14" s="79"/>
      <c r="E14" s="79"/>
      <c r="F14" s="80"/>
      <c r="G14" s="79"/>
      <c r="I14" s="79"/>
      <c r="N14" s="449"/>
    </row>
    <row r="15" spans="1:17">
      <c r="A15" s="79" t="s">
        <v>288</v>
      </c>
      <c r="B15" s="79"/>
      <c r="D15" s="81">
        <v>1</v>
      </c>
      <c r="E15" s="80" t="s">
        <v>289</v>
      </c>
      <c r="F15" s="81">
        <f>H12</f>
        <v>0.19750000000000001</v>
      </c>
      <c r="G15" s="82" t="s">
        <v>287</v>
      </c>
      <c r="H15" s="81">
        <f>D15-F15</f>
        <v>0.80249999999999999</v>
      </c>
      <c r="I15" s="79"/>
      <c r="N15" s="449"/>
    </row>
    <row r="16" spans="1:17">
      <c r="A16" s="79"/>
      <c r="B16" s="79"/>
      <c r="C16" s="79"/>
      <c r="D16" s="79"/>
      <c r="E16" s="79"/>
      <c r="F16" s="79"/>
      <c r="G16" s="79"/>
      <c r="H16" s="79"/>
      <c r="I16" s="79"/>
      <c r="N16" s="449"/>
    </row>
    <row r="17" spans="1:19">
      <c r="A17" s="79"/>
      <c r="B17" s="79"/>
      <c r="C17" s="79"/>
      <c r="D17" s="79"/>
      <c r="E17" s="79"/>
      <c r="F17" s="79"/>
      <c r="G17" s="79"/>
      <c r="H17" s="79"/>
      <c r="I17" s="79"/>
      <c r="J17" s="249"/>
      <c r="K17" s="249"/>
      <c r="L17" s="249"/>
      <c r="M17" s="249"/>
      <c r="N17" s="450"/>
      <c r="O17" s="310"/>
      <c r="P17" s="249"/>
      <c r="Q17" s="249"/>
      <c r="R17" s="249"/>
      <c r="S17" s="249"/>
    </row>
    <row r="18" spans="1:19" ht="29.25" customHeight="1">
      <c r="A18" s="625" t="s">
        <v>290</v>
      </c>
      <c r="B18" s="625"/>
      <c r="C18" s="625"/>
      <c r="D18" s="625"/>
      <c r="E18" s="625"/>
      <c r="F18" s="625"/>
      <c r="G18" s="625"/>
      <c r="H18" s="625"/>
      <c r="I18" s="79"/>
      <c r="N18" s="449"/>
    </row>
    <row r="19" spans="1:19">
      <c r="A19" s="79"/>
      <c r="B19" s="79"/>
      <c r="C19" s="79"/>
      <c r="D19" s="79"/>
      <c r="E19" s="79"/>
      <c r="F19" s="79"/>
      <c r="G19" s="79"/>
      <c r="H19" s="79"/>
      <c r="I19" s="79"/>
      <c r="N19" s="449"/>
    </row>
    <row r="20" spans="1:19">
      <c r="A20" s="79"/>
      <c r="B20" s="79"/>
      <c r="C20" s="79"/>
      <c r="D20" s="80" t="s">
        <v>244</v>
      </c>
      <c r="E20" s="79"/>
      <c r="F20" s="79"/>
      <c r="G20" s="79"/>
      <c r="H20" s="79"/>
      <c r="I20" s="79"/>
      <c r="N20" s="449"/>
    </row>
    <row r="21" spans="1:19">
      <c r="A21" s="79"/>
      <c r="B21" s="79"/>
      <c r="C21" s="79"/>
      <c r="D21" s="80" t="s">
        <v>291</v>
      </c>
      <c r="E21" s="79"/>
      <c r="F21" s="79"/>
      <c r="G21" s="79"/>
      <c r="H21" s="79"/>
      <c r="I21" s="79"/>
      <c r="N21" s="449"/>
    </row>
    <row r="22" spans="1:19">
      <c r="A22" s="79"/>
      <c r="B22" s="79"/>
      <c r="C22" s="79"/>
      <c r="D22" s="80" t="s">
        <v>246</v>
      </c>
      <c r="E22" s="79"/>
      <c r="F22" s="80" t="s">
        <v>292</v>
      </c>
      <c r="G22" s="79"/>
      <c r="H22" s="80" t="s">
        <v>247</v>
      </c>
      <c r="I22" s="79"/>
      <c r="N22" s="449"/>
    </row>
    <row r="23" spans="1:19">
      <c r="A23" s="79"/>
      <c r="B23" s="79"/>
      <c r="C23" s="79"/>
      <c r="D23" s="83"/>
      <c r="E23" s="79"/>
      <c r="F23" s="83"/>
      <c r="G23" s="79"/>
      <c r="H23" s="83"/>
      <c r="I23" s="79"/>
      <c r="N23" s="449"/>
    </row>
    <row r="24" spans="1:19">
      <c r="A24" s="79"/>
      <c r="B24" s="79" t="s">
        <v>270</v>
      </c>
      <c r="C24" s="79"/>
      <c r="D24" s="84">
        <v>1</v>
      </c>
      <c r="E24" s="79"/>
      <c r="F24" s="84">
        <f>D24/D29*100</f>
        <v>40</v>
      </c>
      <c r="G24" s="79"/>
      <c r="H24" s="81">
        <f>ROUND(F24/100*(1-H12),4)</f>
        <v>0.32100000000000001</v>
      </c>
      <c r="I24" s="79"/>
      <c r="N24" s="449"/>
    </row>
    <row r="25" spans="1:19">
      <c r="A25" s="79"/>
      <c r="B25" s="79"/>
      <c r="C25" s="79"/>
      <c r="D25" s="79"/>
      <c r="E25" s="79"/>
      <c r="F25" s="79"/>
      <c r="G25" s="79"/>
      <c r="H25" s="79"/>
      <c r="I25" s="79"/>
      <c r="N25" s="449"/>
    </row>
    <row r="26" spans="1:19">
      <c r="A26" s="79"/>
      <c r="B26" s="79" t="s">
        <v>226</v>
      </c>
      <c r="C26" s="79"/>
      <c r="D26" s="79"/>
      <c r="E26" s="79"/>
      <c r="F26" s="79"/>
      <c r="G26" s="79"/>
      <c r="H26" s="79"/>
      <c r="I26" s="79"/>
      <c r="N26" s="449"/>
    </row>
    <row r="27" spans="1:19">
      <c r="A27" s="79"/>
      <c r="B27" s="79" t="s">
        <v>293</v>
      </c>
      <c r="C27" s="79"/>
      <c r="D27" s="84">
        <f>'F 3B 4B'!$E$46</f>
        <v>1.5</v>
      </c>
      <c r="E27" s="79"/>
      <c r="F27" s="84">
        <f>D27/D29*100</f>
        <v>60</v>
      </c>
      <c r="G27" s="79"/>
      <c r="H27" s="81">
        <f>ROUND(F27/100*(1-H12),4)</f>
        <v>0.48149999999999998</v>
      </c>
      <c r="I27" s="79"/>
      <c r="N27" s="449"/>
    </row>
    <row r="28" spans="1:19">
      <c r="A28" s="79"/>
      <c r="B28" s="79"/>
      <c r="C28" s="79"/>
      <c r="D28" s="85"/>
      <c r="E28" s="79"/>
      <c r="F28" s="85"/>
      <c r="G28" s="79"/>
      <c r="H28" s="85"/>
      <c r="I28" s="79"/>
      <c r="N28" s="449"/>
    </row>
    <row r="29" spans="1:19" ht="15.75" thickBot="1">
      <c r="A29" s="79"/>
      <c r="B29" s="79" t="s">
        <v>250</v>
      </c>
      <c r="C29" s="79"/>
      <c r="D29" s="84">
        <f>SUM(D24:D28)</f>
        <v>2.5</v>
      </c>
      <c r="E29" s="79"/>
      <c r="F29" s="84">
        <f>SUM(F24:F28)</f>
        <v>100</v>
      </c>
      <c r="G29" s="79"/>
      <c r="H29" s="196">
        <f>SUM(H24:H28)</f>
        <v>0.80249999999999999</v>
      </c>
      <c r="I29" s="79"/>
      <c r="N29" s="449"/>
    </row>
    <row r="30" spans="1:19" ht="15.75" thickTop="1">
      <c r="A30" s="79"/>
      <c r="B30" s="79"/>
      <c r="C30" s="79"/>
      <c r="D30" s="86"/>
      <c r="E30" s="79"/>
      <c r="F30" s="86"/>
      <c r="G30" s="79"/>
      <c r="H30" s="195"/>
      <c r="I30" s="79"/>
      <c r="N30" s="449"/>
    </row>
    <row r="31" spans="1:19">
      <c r="N31" s="449"/>
    </row>
    <row r="32" spans="1:19">
      <c r="A32" s="48"/>
      <c r="B32" s="48"/>
      <c r="C32" s="48"/>
      <c r="D32" s="49" t="s">
        <v>276</v>
      </c>
      <c r="F32" s="48"/>
      <c r="G32" s="214"/>
      <c r="H32" s="48"/>
      <c r="I32" s="48"/>
      <c r="J32" s="48"/>
      <c r="K32" s="48"/>
      <c r="N32" s="449"/>
    </row>
    <row r="33" spans="1:11">
      <c r="A33" s="48"/>
      <c r="B33" s="48"/>
      <c r="C33" s="48"/>
      <c r="D33" s="49" t="s">
        <v>277</v>
      </c>
      <c r="F33" s="46" t="s">
        <v>278</v>
      </c>
      <c r="G33" s="46"/>
      <c r="H33" s="46"/>
      <c r="I33" s="46"/>
      <c r="J33" s="46"/>
    </row>
    <row r="34" spans="1:11">
      <c r="A34" s="623" t="s">
        <v>254</v>
      </c>
      <c r="B34" s="623"/>
      <c r="C34" s="46"/>
      <c r="D34" s="49" t="s">
        <v>225</v>
      </c>
      <c r="F34" s="60"/>
      <c r="G34" s="60"/>
      <c r="H34" s="60" t="s">
        <v>450</v>
      </c>
      <c r="I34" s="60"/>
      <c r="J34" s="60" t="s">
        <v>206</v>
      </c>
    </row>
    <row r="35" spans="1:11">
      <c r="A35" s="624" t="s">
        <v>207</v>
      </c>
      <c r="B35" s="624"/>
      <c r="C35" s="79"/>
      <c r="D35" s="49" t="s">
        <v>575</v>
      </c>
      <c r="F35" s="49" t="s">
        <v>240</v>
      </c>
      <c r="G35" s="49"/>
      <c r="H35" s="49" t="s">
        <v>279</v>
      </c>
      <c r="I35" s="49"/>
      <c r="J35" s="49" t="s">
        <v>208</v>
      </c>
    </row>
    <row r="36" spans="1:11">
      <c r="A36" s="61" t="s">
        <v>209</v>
      </c>
      <c r="B36" s="61"/>
      <c r="D36" s="60" t="s">
        <v>229</v>
      </c>
      <c r="F36" s="60" t="s">
        <v>211</v>
      </c>
      <c r="G36" s="49"/>
      <c r="H36" s="60" t="s">
        <v>242</v>
      </c>
      <c r="I36" s="49"/>
      <c r="J36" s="60" t="s">
        <v>243</v>
      </c>
    </row>
    <row r="37" spans="1:11">
      <c r="A37" s="214"/>
      <c r="B37" s="214"/>
      <c r="C37" s="48"/>
      <c r="D37" s="48"/>
      <c r="F37" s="48"/>
      <c r="G37" s="48"/>
      <c r="H37" s="48"/>
      <c r="I37" s="48"/>
      <c r="J37" s="48"/>
    </row>
    <row r="38" spans="1:11">
      <c r="A38" s="48" t="s">
        <v>212</v>
      </c>
      <c r="B38" s="48"/>
      <c r="C38" s="48"/>
      <c r="D38" s="174">
        <f>+'F 5'!D18</f>
        <v>691.6</v>
      </c>
      <c r="F38" s="164">
        <f>+'F 3B 4B'!G62</f>
        <v>1.7</v>
      </c>
      <c r="G38" s="48"/>
      <c r="H38" s="58">
        <f>ROUND(D38*F38,1)</f>
        <v>1175.7</v>
      </c>
      <c r="I38" s="48"/>
      <c r="J38" s="53">
        <f>ROUND(+H38/H$44,4)</f>
        <v>0.54590000000000005</v>
      </c>
    </row>
    <row r="39" spans="1:11">
      <c r="A39" s="48" t="s">
        <v>213</v>
      </c>
      <c r="B39" s="48"/>
      <c r="C39" s="48"/>
      <c r="D39" s="174">
        <f>+'F 5'!D19</f>
        <v>434.6</v>
      </c>
      <c r="F39" s="164">
        <f>+'F 3B 4B'!G63</f>
        <v>1.6</v>
      </c>
      <c r="G39" s="48"/>
      <c r="H39" s="58">
        <f>ROUND(D39*F39,1)</f>
        <v>695.4</v>
      </c>
      <c r="I39" s="48"/>
      <c r="J39" s="53">
        <f>ROUND(+H39/H$44,4)</f>
        <v>0.32290000000000002</v>
      </c>
    </row>
    <row r="40" spans="1:11">
      <c r="A40" s="48" t="s">
        <v>214</v>
      </c>
      <c r="B40" s="48"/>
      <c r="C40" s="48"/>
      <c r="D40" s="174">
        <f>+'F 5'!D20</f>
        <v>60.2</v>
      </c>
      <c r="F40" s="164">
        <f>+'F 3B 4B'!G64</f>
        <v>1.1499999999999999</v>
      </c>
      <c r="G40" s="48"/>
      <c r="H40" s="58">
        <f>ROUND(D40*F40,1)</f>
        <v>69.2</v>
      </c>
      <c r="I40" s="48"/>
      <c r="J40" s="53">
        <f>ROUND(+H40/H$44,4)</f>
        <v>3.2099999999999997E-2</v>
      </c>
    </row>
    <row r="41" spans="1:11">
      <c r="A41" s="48" t="s">
        <v>216</v>
      </c>
      <c r="B41" s="48"/>
      <c r="C41" s="48"/>
      <c r="D41" s="174">
        <f>+'F 5'!D21</f>
        <v>154.5</v>
      </c>
      <c r="F41" s="164">
        <f>+'F 3B 4B'!G65</f>
        <v>1.1000000000000001</v>
      </c>
      <c r="G41" s="48"/>
      <c r="H41" s="58">
        <f>ROUND(D41*F41,1)</f>
        <v>170</v>
      </c>
      <c r="I41" s="48"/>
      <c r="J41" s="53">
        <f>ROUND(+H41/H$44,4)</f>
        <v>7.8899999999999998E-2</v>
      </c>
    </row>
    <row r="42" spans="1:11">
      <c r="A42" s="48" t="s">
        <v>337</v>
      </c>
      <c r="B42" s="48"/>
      <c r="C42" s="48"/>
      <c r="D42" s="174">
        <f>+'F 5'!D22</f>
        <v>48.2</v>
      </c>
      <c r="F42" s="164">
        <f>+'F 3B 4B'!G66</f>
        <v>0.9</v>
      </c>
      <c r="G42" s="48"/>
      <c r="H42" s="58">
        <f>ROUND(D42*F42,1)</f>
        <v>43.4</v>
      </c>
      <c r="I42" s="48"/>
      <c r="J42" s="53">
        <f>ROUND(+H42/H$44,4)</f>
        <v>2.0199999999999999E-2</v>
      </c>
    </row>
    <row r="43" spans="1:11">
      <c r="A43" s="48"/>
      <c r="B43" s="48"/>
      <c r="C43" s="48"/>
      <c r="D43" s="161"/>
      <c r="F43" s="48"/>
      <c r="G43" s="48"/>
      <c r="H43" s="62"/>
      <c r="I43" s="48"/>
      <c r="J43" s="50"/>
    </row>
    <row r="44" spans="1:11" ht="15.75" thickBot="1">
      <c r="A44" s="48" t="s">
        <v>280</v>
      </c>
      <c r="B44" s="48"/>
      <c r="C44" s="48"/>
      <c r="D44" s="250">
        <f>SUM(D38:D43)</f>
        <v>1389.1000000000001</v>
      </c>
      <c r="F44" s="58"/>
      <c r="G44" s="58"/>
      <c r="H44" s="250">
        <f>SUM(H38:H43)</f>
        <v>2153.7000000000003</v>
      </c>
      <c r="I44" s="48"/>
      <c r="J44" s="163">
        <f>SUM(J38:J43)</f>
        <v>1</v>
      </c>
    </row>
    <row r="45" spans="1:11" ht="15.75" thickTop="1">
      <c r="A45" s="214"/>
      <c r="B45" s="214"/>
      <c r="C45" s="214"/>
      <c r="D45" s="214"/>
      <c r="E45" s="214"/>
      <c r="F45" s="214"/>
      <c r="G45" s="214"/>
      <c r="H45" s="214"/>
      <c r="I45" s="214"/>
      <c r="J45" s="214"/>
      <c r="K45" s="214"/>
    </row>
    <row r="46" spans="1:11">
      <c r="A46" s="48" t="s">
        <v>281</v>
      </c>
    </row>
  </sheetData>
  <mergeCells count="4">
    <mergeCell ref="A34:B34"/>
    <mergeCell ref="A35:B35"/>
    <mergeCell ref="A9:J9"/>
    <mergeCell ref="A18:H18"/>
  </mergeCells>
  <phoneticPr fontId="11" type="noConversion"/>
  <printOptions horizontalCentered="1"/>
  <pageMargins left="1" right="1" top="1" bottom="0.5" header="0.5" footer="0.5"/>
  <pageSetup scale="85"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autoPageBreaks="0"/>
  </sheetPr>
  <dimension ref="A1:AH121"/>
  <sheetViews>
    <sheetView workbookViewId="0">
      <selection activeCell="H23" sqref="H23:H24"/>
    </sheetView>
  </sheetViews>
  <sheetFormatPr defaultColWidth="9.77734375" defaultRowHeight="15"/>
  <cols>
    <col min="1" max="2" width="7.77734375" style="167" customWidth="1"/>
    <col min="3" max="3" width="1.77734375" style="167" customWidth="1"/>
    <col min="4" max="4" width="7.77734375" style="167" customWidth="1"/>
    <col min="5" max="5" width="1.21875" style="167" customWidth="1"/>
    <col min="6" max="6" width="7.77734375" style="167" customWidth="1"/>
    <col min="7" max="7" width="1.21875" style="167" customWidth="1"/>
    <col min="8" max="8" width="8.44140625" style="167" customWidth="1"/>
    <col min="9" max="9" width="1.21875" style="167" customWidth="1"/>
    <col min="10" max="10" width="7.77734375" style="167" customWidth="1"/>
    <col min="11" max="11" width="1.21875" style="167" customWidth="1"/>
    <col min="12" max="12" width="7.77734375" style="167" customWidth="1"/>
    <col min="13" max="13" width="1.21875" style="167" customWidth="1"/>
    <col min="14" max="14" width="7.77734375" style="167" customWidth="1"/>
    <col min="15" max="15" width="1.21875" style="167" customWidth="1"/>
    <col min="16" max="16" width="7.77734375" style="167" customWidth="1"/>
    <col min="17" max="18" width="9.77734375" style="167"/>
    <col min="19" max="19" width="12.44140625" style="167" bestFit="1" customWidth="1"/>
    <col min="20" max="20" width="9.77734375" style="167"/>
    <col min="21" max="21" width="13.5546875" style="167" bestFit="1" customWidth="1"/>
    <col min="22" max="27" width="9.77734375" style="167"/>
    <col min="28" max="28" width="12.44140625" style="167" bestFit="1" customWidth="1"/>
    <col min="29" max="29" width="9.77734375" style="167"/>
    <col min="30" max="30" width="12.44140625" style="167" bestFit="1" customWidth="1"/>
    <col min="31" max="16384" width="9.77734375" style="167"/>
  </cols>
  <sheetData>
    <row r="1" spans="1:25">
      <c r="A1" s="37" t="s">
        <v>7</v>
      </c>
      <c r="B1" s="87"/>
      <c r="C1" s="87"/>
      <c r="D1" s="88"/>
      <c r="E1" s="88"/>
      <c r="F1" s="88"/>
      <c r="G1" s="88"/>
      <c r="H1" s="88"/>
      <c r="I1" s="88"/>
      <c r="J1" s="88"/>
      <c r="K1" s="88"/>
      <c r="L1" s="88"/>
      <c r="M1" s="88"/>
      <c r="N1" s="88"/>
      <c r="O1" s="88"/>
      <c r="P1" s="88"/>
      <c r="Q1" s="89"/>
    </row>
    <row r="2" spans="1:25">
      <c r="A2" s="37"/>
      <c r="B2" s="87"/>
      <c r="C2" s="87"/>
      <c r="D2" s="88"/>
      <c r="E2" s="88"/>
      <c r="F2" s="88"/>
      <c r="G2" s="88"/>
      <c r="H2" s="88"/>
      <c r="I2" s="88"/>
      <c r="J2" s="88"/>
      <c r="K2" s="88"/>
      <c r="L2" s="88"/>
      <c r="M2" s="88"/>
      <c r="N2" s="88"/>
      <c r="O2" s="88"/>
      <c r="P2" s="88"/>
      <c r="Q2" s="89"/>
    </row>
    <row r="3" spans="1:25">
      <c r="A3" s="88"/>
      <c r="B3" s="88"/>
      <c r="C3" s="88"/>
      <c r="D3" s="88"/>
      <c r="E3" s="88"/>
      <c r="F3" s="88"/>
      <c r="G3" s="88"/>
      <c r="H3" s="88"/>
      <c r="I3" s="88"/>
      <c r="J3" s="88"/>
      <c r="K3" s="88"/>
      <c r="L3" s="88"/>
      <c r="M3" s="88"/>
      <c r="N3" s="88"/>
      <c r="O3" s="88"/>
      <c r="P3" s="88"/>
      <c r="Q3" s="89"/>
    </row>
    <row r="4" spans="1:25">
      <c r="A4" s="88" t="s">
        <v>236</v>
      </c>
      <c r="B4" s="88"/>
      <c r="C4" s="88"/>
      <c r="D4" s="88"/>
      <c r="E4" s="88"/>
      <c r="F4" s="88"/>
      <c r="G4" s="88"/>
      <c r="H4" s="88"/>
      <c r="I4" s="88"/>
      <c r="J4" s="88"/>
      <c r="K4" s="88"/>
      <c r="L4" s="88"/>
      <c r="M4" s="88"/>
      <c r="N4" s="88"/>
      <c r="O4" s="88"/>
      <c r="P4" s="88"/>
      <c r="Q4" s="89"/>
    </row>
    <row r="5" spans="1:25">
      <c r="A5" s="89"/>
      <c r="B5" s="89"/>
      <c r="C5" s="89"/>
      <c r="D5" s="89"/>
      <c r="E5" s="89"/>
      <c r="F5" s="89"/>
      <c r="G5" s="89"/>
      <c r="H5" s="89"/>
      <c r="I5" s="89"/>
      <c r="J5" s="89"/>
      <c r="K5" s="89"/>
      <c r="L5" s="89"/>
      <c r="M5" s="89"/>
      <c r="N5" s="89"/>
      <c r="O5" s="89"/>
      <c r="P5" s="89"/>
      <c r="Q5" s="89"/>
    </row>
    <row r="6" spans="1:25">
      <c r="A6" s="89"/>
      <c r="B6" s="89"/>
      <c r="C6" s="89"/>
      <c r="D6" s="89"/>
      <c r="E6" s="89"/>
      <c r="F6" s="89"/>
      <c r="G6" s="89"/>
      <c r="H6" s="89"/>
      <c r="I6" s="89"/>
      <c r="J6" s="89"/>
      <c r="K6" s="89"/>
      <c r="L6" s="89"/>
      <c r="M6" s="89"/>
      <c r="N6" s="89"/>
      <c r="O6" s="89"/>
      <c r="P6" s="89"/>
      <c r="Q6" s="89"/>
    </row>
    <row r="7" spans="1:25">
      <c r="A7" s="89" t="s">
        <v>155</v>
      </c>
      <c r="B7" s="89"/>
      <c r="C7" s="89"/>
      <c r="D7" s="89"/>
      <c r="E7" s="89"/>
      <c r="F7" s="89"/>
      <c r="G7" s="89"/>
      <c r="H7" s="89"/>
      <c r="I7" s="89"/>
      <c r="J7" s="89"/>
      <c r="K7" s="89"/>
      <c r="L7" s="89"/>
      <c r="M7" s="89"/>
      <c r="N7" s="89"/>
      <c r="O7" s="89"/>
      <c r="P7" s="89"/>
      <c r="Q7" s="89"/>
    </row>
    <row r="8" spans="1:25">
      <c r="A8" s="89"/>
      <c r="B8" s="89"/>
      <c r="C8" s="89"/>
      <c r="D8" s="89"/>
      <c r="E8" s="89"/>
      <c r="F8" s="89"/>
      <c r="G8" s="89"/>
      <c r="H8" s="89"/>
      <c r="I8" s="89"/>
      <c r="J8" s="89"/>
      <c r="K8" s="89"/>
      <c r="L8" s="89"/>
      <c r="M8" s="89"/>
      <c r="N8" s="89"/>
      <c r="O8" s="89"/>
      <c r="P8" s="89"/>
      <c r="Q8" s="89"/>
    </row>
    <row r="9" spans="1:25" ht="29.85" customHeight="1">
      <c r="A9" s="627" t="s">
        <v>294</v>
      </c>
      <c r="B9" s="627"/>
      <c r="C9" s="627"/>
      <c r="D9" s="627"/>
      <c r="E9" s="627"/>
      <c r="F9" s="627"/>
      <c r="G9" s="627"/>
      <c r="H9" s="627"/>
      <c r="I9" s="627"/>
      <c r="J9" s="627"/>
      <c r="K9" s="627"/>
      <c r="L9" s="627"/>
      <c r="M9" s="627"/>
      <c r="N9" s="627"/>
      <c r="O9" s="627"/>
      <c r="P9" s="627"/>
      <c r="Q9" s="89"/>
    </row>
    <row r="10" spans="1:25">
      <c r="A10" s="89"/>
      <c r="B10" s="89"/>
      <c r="C10" s="89"/>
      <c r="D10" s="89"/>
      <c r="E10" s="89"/>
      <c r="F10" s="89"/>
      <c r="G10" s="89"/>
      <c r="H10" s="89"/>
      <c r="I10" s="89"/>
      <c r="J10" s="89"/>
      <c r="K10" s="89"/>
      <c r="L10" s="89"/>
      <c r="M10" s="89"/>
      <c r="N10" s="89"/>
      <c r="O10" s="89"/>
      <c r="P10" s="89"/>
      <c r="Q10" s="89"/>
      <c r="R10" s="455"/>
    </row>
    <row r="11" spans="1:25">
      <c r="A11" s="89"/>
      <c r="B11" s="89"/>
      <c r="C11" s="89"/>
      <c r="D11" s="88" t="s">
        <v>295</v>
      </c>
      <c r="E11" s="88"/>
      <c r="F11" s="88"/>
      <c r="G11" s="89"/>
      <c r="H11" s="88" t="s">
        <v>295</v>
      </c>
      <c r="I11" s="88"/>
      <c r="J11" s="88"/>
      <c r="K11" s="89"/>
      <c r="L11" s="88" t="s">
        <v>296</v>
      </c>
      <c r="M11" s="88"/>
      <c r="N11" s="88"/>
      <c r="O11" s="89"/>
      <c r="P11" s="89"/>
      <c r="Q11" s="89"/>
    </row>
    <row r="12" spans="1:25">
      <c r="A12" s="89"/>
      <c r="B12" s="89"/>
      <c r="C12" s="89"/>
      <c r="D12" s="88" t="s">
        <v>225</v>
      </c>
      <c r="E12" s="88"/>
      <c r="F12" s="88"/>
      <c r="G12" s="89"/>
      <c r="H12" s="88" t="s">
        <v>0</v>
      </c>
      <c r="I12" s="88"/>
      <c r="J12" s="88"/>
      <c r="K12" s="89"/>
      <c r="L12" s="88" t="s">
        <v>225</v>
      </c>
      <c r="M12" s="88"/>
      <c r="N12" s="88"/>
      <c r="O12" s="89"/>
      <c r="P12" s="89"/>
      <c r="Q12" s="89"/>
    </row>
    <row r="13" spans="1:25">
      <c r="A13" s="88" t="s">
        <v>204</v>
      </c>
      <c r="B13" s="88"/>
      <c r="C13" s="89"/>
      <c r="D13" s="90" t="s">
        <v>206</v>
      </c>
      <c r="E13" s="90"/>
      <c r="F13" s="90" t="s">
        <v>227</v>
      </c>
      <c r="G13" s="91"/>
      <c r="H13" s="90" t="s">
        <v>206</v>
      </c>
      <c r="I13" s="90"/>
      <c r="J13" s="90" t="s">
        <v>227</v>
      </c>
      <c r="K13" s="91"/>
      <c r="L13" s="90" t="s">
        <v>206</v>
      </c>
      <c r="M13" s="90"/>
      <c r="N13" s="90" t="s">
        <v>227</v>
      </c>
      <c r="O13" s="91"/>
      <c r="P13" s="91" t="s">
        <v>206</v>
      </c>
      <c r="Q13" s="89"/>
    </row>
    <row r="14" spans="1:25">
      <c r="A14" s="88" t="s">
        <v>207</v>
      </c>
      <c r="B14" s="88"/>
      <c r="C14" s="89"/>
      <c r="D14" s="91" t="s">
        <v>297</v>
      </c>
      <c r="E14" s="91"/>
      <c r="F14" s="91" t="s">
        <v>208</v>
      </c>
      <c r="G14" s="91"/>
      <c r="H14" s="91" t="s">
        <v>298</v>
      </c>
      <c r="I14" s="91"/>
      <c r="J14" s="91" t="s">
        <v>208</v>
      </c>
      <c r="K14" s="91"/>
      <c r="L14" s="91" t="s">
        <v>299</v>
      </c>
      <c r="M14" s="91"/>
      <c r="N14" s="91" t="s">
        <v>208</v>
      </c>
      <c r="O14" s="91"/>
      <c r="P14" s="91" t="s">
        <v>208</v>
      </c>
      <c r="Q14" s="89"/>
    </row>
    <row r="15" spans="1:25">
      <c r="A15" s="92" t="s">
        <v>209</v>
      </c>
      <c r="B15" s="92"/>
      <c r="C15" s="89"/>
      <c r="D15" s="90" t="s">
        <v>229</v>
      </c>
      <c r="E15" s="89"/>
      <c r="F15" s="93" t="s">
        <v>300</v>
      </c>
      <c r="G15" s="89"/>
      <c r="H15" s="90" t="s">
        <v>231</v>
      </c>
      <c r="I15" s="89"/>
      <c r="J15" s="93" t="s">
        <v>301</v>
      </c>
      <c r="K15" s="89"/>
      <c r="L15" s="90" t="s">
        <v>257</v>
      </c>
      <c r="M15" s="89"/>
      <c r="N15" s="93" t="s">
        <v>302</v>
      </c>
      <c r="O15" s="89"/>
      <c r="P15" s="93" t="s">
        <v>303</v>
      </c>
      <c r="Q15" s="89"/>
      <c r="R15" s="167" t="s">
        <v>449</v>
      </c>
      <c r="Y15" s="167" t="s">
        <v>206</v>
      </c>
    </row>
    <row r="16" spans="1:25">
      <c r="A16" s="89"/>
      <c r="B16" s="89"/>
      <c r="C16" s="89"/>
      <c r="D16" s="89"/>
      <c r="E16" s="89"/>
      <c r="F16" s="94">
        <f>N35</f>
        <v>0.4259</v>
      </c>
      <c r="G16" s="94"/>
      <c r="H16" s="94"/>
      <c r="I16" s="94"/>
      <c r="J16" s="94">
        <f>N37</f>
        <v>0.31090000000000001</v>
      </c>
      <c r="K16" s="94"/>
      <c r="L16" s="94"/>
      <c r="M16" s="94"/>
      <c r="N16" s="94">
        <f>N39</f>
        <v>0.26319999999999999</v>
      </c>
      <c r="O16" s="94"/>
      <c r="P16" s="95" t="s">
        <v>304</v>
      </c>
      <c r="Q16" s="89"/>
      <c r="R16" s="167" t="s">
        <v>305</v>
      </c>
      <c r="S16" s="167" t="s">
        <v>196</v>
      </c>
      <c r="T16" s="240">
        <f>+F16</f>
        <v>0.4259</v>
      </c>
      <c r="U16" s="167" t="s">
        <v>194</v>
      </c>
      <c r="V16" s="240">
        <f>+J16</f>
        <v>0.31090000000000001</v>
      </c>
      <c r="W16" s="167" t="s">
        <v>299</v>
      </c>
      <c r="X16" s="240">
        <f>+N16</f>
        <v>0.26319999999999999</v>
      </c>
      <c r="Y16" s="167" t="s">
        <v>208</v>
      </c>
    </row>
    <row r="17" spans="1:25" ht="12.75" customHeight="1">
      <c r="A17" s="89"/>
      <c r="B17" s="89"/>
      <c r="C17" s="89"/>
      <c r="D17" s="89"/>
      <c r="E17" s="89"/>
      <c r="F17" s="89"/>
      <c r="G17" s="89"/>
      <c r="H17" s="89"/>
      <c r="I17" s="89"/>
      <c r="J17" s="89"/>
      <c r="K17" s="89"/>
      <c r="L17" s="89"/>
      <c r="M17" s="89"/>
      <c r="N17" s="89"/>
      <c r="O17" s="89"/>
      <c r="P17" s="89"/>
      <c r="Q17" s="89"/>
    </row>
    <row r="18" spans="1:25">
      <c r="A18" s="89" t="s">
        <v>212</v>
      </c>
      <c r="B18" s="89"/>
      <c r="C18" s="89"/>
      <c r="D18" s="94">
        <f>'F 1-2'!$M$39</f>
        <v>0.50729999999999997</v>
      </c>
      <c r="E18" s="94"/>
      <c r="F18" s="94">
        <f>ROUND(+$F$16*D18,4)-0.0001</f>
        <v>0.216</v>
      </c>
      <c r="G18" s="94"/>
      <c r="H18" s="94">
        <f>'F 3-4'!$P$19</f>
        <v>0.46439999999999998</v>
      </c>
      <c r="I18" s="94"/>
      <c r="J18" s="94">
        <f>ROUND(+$J$16*H18,4)+0.0001</f>
        <v>0.14449999999999999</v>
      </c>
      <c r="K18" s="94"/>
      <c r="L18" s="94">
        <f>'F 3-4'!$R$49</f>
        <v>0.47039999999999998</v>
      </c>
      <c r="M18" s="94"/>
      <c r="N18" s="94">
        <f>ROUND(+$N$16*L18,4)+0.0001</f>
        <v>0.1239</v>
      </c>
      <c r="O18" s="94"/>
      <c r="P18" s="94">
        <f>N18+F18+J18</f>
        <v>0.48439999999999994</v>
      </c>
      <c r="Q18" s="89"/>
      <c r="R18" s="94" t="s">
        <v>306</v>
      </c>
      <c r="S18" s="167">
        <f>'F 1-2'!$G$37-'F 1-2'!$G$44-'F 1-2'!$G$45</f>
        <v>0.60259999999999991</v>
      </c>
      <c r="T18" s="264">
        <f>ROUND(+S18*$F$16,4)</f>
        <v>0.25659999999999999</v>
      </c>
      <c r="U18" s="167">
        <f>'F 3-4'!$F$17-'F 3-4'!$F$24-'F 3-4'!$F$25</f>
        <v>0.55149999999999999</v>
      </c>
      <c r="V18" s="264">
        <f>ROUND(U18*$J$16,4)</f>
        <v>0.17150000000000001</v>
      </c>
      <c r="W18" s="167">
        <f>'F 3-4'!$H$47-'F 3-4'!$H$54-'F 3-4'!$H$55</f>
        <v>0.34670000000000001</v>
      </c>
      <c r="X18" s="264">
        <f>W18*$N$16</f>
        <v>9.1251440000000003E-2</v>
      </c>
      <c r="Y18" s="240">
        <f>T18+V18+X18</f>
        <v>0.51935144</v>
      </c>
    </row>
    <row r="19" spans="1:25">
      <c r="A19" s="89" t="s">
        <v>213</v>
      </c>
      <c r="B19" s="89"/>
      <c r="C19" s="89"/>
      <c r="D19" s="94">
        <f>'F 1-2'!$M$40</f>
        <v>0.31140000000000001</v>
      </c>
      <c r="E19" s="94"/>
      <c r="F19" s="94">
        <f t="shared" ref="F19:F24" si="0">ROUND(+$F$16*D19,4)</f>
        <v>0.1326</v>
      </c>
      <c r="G19" s="94"/>
      <c r="H19" s="94">
        <f>'F 3-4'!$P$20</f>
        <v>0.28499999999999998</v>
      </c>
      <c r="I19" s="94"/>
      <c r="J19" s="94">
        <f t="shared" ref="J19:J24" si="1">ROUND(+$J$16*H19,4)</f>
        <v>8.8599999999999998E-2</v>
      </c>
      <c r="K19" s="94"/>
      <c r="L19" s="94">
        <f>'F 3-4'!$R$50</f>
        <v>0.28470000000000001</v>
      </c>
      <c r="M19" s="94"/>
      <c r="N19" s="94">
        <f t="shared" ref="N19:N24" si="2">ROUND(+$N$16*L19,4)</f>
        <v>7.4899999999999994E-2</v>
      </c>
      <c r="O19" s="94"/>
      <c r="P19" s="94">
        <f t="shared" ref="P19:P24" si="3">N19+F19+J19</f>
        <v>0.29609999999999997</v>
      </c>
      <c r="Q19" s="89"/>
      <c r="R19" s="94" t="s">
        <v>307</v>
      </c>
      <c r="S19" s="167">
        <f>'F 1-2'!$K$37</f>
        <v>0.39389999999999997</v>
      </c>
      <c r="T19" s="264">
        <f>ROUND(+S19*$F$16,4)</f>
        <v>0.1678</v>
      </c>
      <c r="U19" s="167">
        <f>'F 3-4'!$J$17</f>
        <v>0.36059999999999998</v>
      </c>
      <c r="V19" s="264">
        <f>ROUND(U19*$J$16,4)</f>
        <v>0.11210000000000001</v>
      </c>
      <c r="X19" s="264">
        <f>W19*$N$16</f>
        <v>0</v>
      </c>
      <c r="Y19" s="264">
        <f>T19+V19+X19</f>
        <v>0.27990000000000004</v>
      </c>
    </row>
    <row r="20" spans="1:25">
      <c r="A20" s="89" t="s">
        <v>214</v>
      </c>
      <c r="B20" s="89"/>
      <c r="C20" s="89"/>
      <c r="D20" s="94">
        <f>'F 1-2'!$M$41</f>
        <v>4.0100000000000004E-2</v>
      </c>
      <c r="E20" s="94"/>
      <c r="F20" s="265">
        <f t="shared" si="0"/>
        <v>1.7100000000000001E-2</v>
      </c>
      <c r="G20" s="94"/>
      <c r="H20" s="94">
        <f>'F 3-4'!$P$21</f>
        <v>3.6700000000000003E-2</v>
      </c>
      <c r="I20" s="94"/>
      <c r="J20" s="94">
        <f t="shared" si="1"/>
        <v>1.14E-2</v>
      </c>
      <c r="K20" s="94"/>
      <c r="L20" s="94">
        <f>'F 3-4'!$R$51</f>
        <v>3.2799999999999996E-2</v>
      </c>
      <c r="M20" s="94"/>
      <c r="N20" s="94">
        <f t="shared" si="2"/>
        <v>8.6E-3</v>
      </c>
      <c r="O20" s="94"/>
      <c r="P20" s="94">
        <f t="shared" si="3"/>
        <v>3.7100000000000001E-2</v>
      </c>
      <c r="Q20" s="89"/>
      <c r="R20" s="94" t="s">
        <v>308</v>
      </c>
      <c r="T20" s="264">
        <f>ROUND(+S20*$F$16,4)</f>
        <v>0</v>
      </c>
      <c r="V20" s="264">
        <f>ROUND(U20*$J$16,4)</f>
        <v>0</v>
      </c>
      <c r="W20" s="266">
        <f>'F 3-4'!$L$47</f>
        <v>0.52329999999999999</v>
      </c>
      <c r="X20" s="264">
        <f>W20*$N$16</f>
        <v>0.13773256</v>
      </c>
      <c r="Y20" s="264">
        <f>T20+V20+X20</f>
        <v>0.13773256</v>
      </c>
    </row>
    <row r="21" spans="1:25">
      <c r="A21" s="89" t="s">
        <v>216</v>
      </c>
      <c r="B21" s="89"/>
      <c r="C21" s="89"/>
      <c r="D21" s="94">
        <f>'F 1-2'!$M$42</f>
        <v>0.1056</v>
      </c>
      <c r="E21" s="94"/>
      <c r="F21" s="94">
        <f t="shared" si="0"/>
        <v>4.4999999999999998E-2</v>
      </c>
      <c r="G21" s="94"/>
      <c r="H21" s="94">
        <f>'F 3-4'!$P$22</f>
        <v>9.6599999999999991E-2</v>
      </c>
      <c r="I21" s="94"/>
      <c r="J21" s="94">
        <f t="shared" si="1"/>
        <v>0.03</v>
      </c>
      <c r="K21" s="94"/>
      <c r="L21" s="94">
        <f>'F 3-4'!$R$52</f>
        <v>8.2100000000000006E-2</v>
      </c>
      <c r="M21" s="94"/>
      <c r="N21" s="265">
        <f t="shared" si="2"/>
        <v>2.1600000000000001E-2</v>
      </c>
      <c r="O21" s="94"/>
      <c r="P21" s="94">
        <f t="shared" si="3"/>
        <v>9.6599999999999991E-2</v>
      </c>
      <c r="Q21" s="89"/>
      <c r="R21" s="94" t="s">
        <v>309</v>
      </c>
      <c r="S21" s="167">
        <f>'F 1-2'!$M$44</f>
        <v>1.6000000000000001E-3</v>
      </c>
      <c r="T21" s="264">
        <f>ROUND(+S21*$F$16,4)</f>
        <v>6.9999999999999999E-4</v>
      </c>
      <c r="U21" s="167">
        <f>'F 3-4'!$P$24</f>
        <v>3.9699999999999999E-2</v>
      </c>
      <c r="V21" s="264">
        <f>ROUND(U21*$J$16,4)</f>
        <v>1.23E-2</v>
      </c>
      <c r="W21" s="167">
        <f>'F 3-4'!$R$54</f>
        <v>5.8699999999999995E-2</v>
      </c>
      <c r="X21" s="264">
        <f>W21*$N$16</f>
        <v>1.5449839999999998E-2</v>
      </c>
      <c r="Y21" s="264">
        <f>T21+V21+X21</f>
        <v>2.8449839999999997E-2</v>
      </c>
    </row>
    <row r="22" spans="1:25">
      <c r="A22" s="89" t="s">
        <v>337</v>
      </c>
      <c r="B22" s="89"/>
      <c r="C22" s="89"/>
      <c r="D22" s="94">
        <f>'F 1-2'!$M$43</f>
        <v>3.2099999999999997E-2</v>
      </c>
      <c r="E22" s="94"/>
      <c r="F22" s="94">
        <f t="shared" si="0"/>
        <v>1.37E-2</v>
      </c>
      <c r="G22" s="94"/>
      <c r="H22" s="94">
        <f>'F 3-4'!$P$23</f>
        <v>2.9399999999999999E-2</v>
      </c>
      <c r="I22" s="94"/>
      <c r="J22" s="94">
        <f>ROUND(+$J$16*H22,4)</f>
        <v>9.1000000000000004E-3</v>
      </c>
      <c r="K22" s="94"/>
      <c r="L22" s="94">
        <f>'F 3-4'!$R$53</f>
        <v>0</v>
      </c>
      <c r="M22" s="94"/>
      <c r="N22" s="94">
        <f t="shared" si="2"/>
        <v>0</v>
      </c>
      <c r="O22" s="94"/>
      <c r="P22" s="94">
        <f t="shared" si="3"/>
        <v>2.2800000000000001E-2</v>
      </c>
      <c r="Q22" s="89"/>
      <c r="R22" s="94" t="s">
        <v>310</v>
      </c>
      <c r="S22" s="167">
        <f>'F 1-2'!$M$45</f>
        <v>1.9E-3</v>
      </c>
      <c r="T22" s="264">
        <f>ROUND(+S22*$F$16,4)</f>
        <v>8.0000000000000004E-4</v>
      </c>
      <c r="U22" s="167">
        <f>'F 3-4'!$P$25</f>
        <v>4.82E-2</v>
      </c>
      <c r="V22" s="264">
        <f>ROUND(U22*$J$16,4)</f>
        <v>1.4999999999999999E-2</v>
      </c>
      <c r="W22" s="167">
        <f>'F 3-4'!$R$55</f>
        <v>7.1300000000000002E-2</v>
      </c>
      <c r="X22" s="264">
        <f>W22*$N$16</f>
        <v>1.876616E-2</v>
      </c>
      <c r="Y22" s="264">
        <f>T22+V22+X22</f>
        <v>3.4566159999999999E-2</v>
      </c>
    </row>
    <row r="23" spans="1:25">
      <c r="A23" s="89" t="s">
        <v>218</v>
      </c>
      <c r="B23" s="89"/>
      <c r="C23" s="89"/>
      <c r="D23" s="94">
        <f>'F 1-2'!$M$44</f>
        <v>1.6000000000000001E-3</v>
      </c>
      <c r="E23" s="94"/>
      <c r="F23" s="94">
        <f t="shared" si="0"/>
        <v>6.9999999999999999E-4</v>
      </c>
      <c r="G23" s="94"/>
      <c r="H23" s="94">
        <f>'F 3-4'!$P$24</f>
        <v>3.9699999999999999E-2</v>
      </c>
      <c r="I23" s="94"/>
      <c r="J23" s="94">
        <f>ROUND(+$J$16*H23,4)</f>
        <v>1.23E-2</v>
      </c>
      <c r="K23" s="94"/>
      <c r="L23" s="94">
        <f>'F 3-4'!$R$54</f>
        <v>5.8699999999999995E-2</v>
      </c>
      <c r="M23" s="94"/>
      <c r="N23" s="94">
        <f t="shared" si="2"/>
        <v>1.54E-2</v>
      </c>
      <c r="O23" s="94"/>
      <c r="P23" s="94">
        <f t="shared" si="3"/>
        <v>2.8400000000000002E-2</v>
      </c>
      <c r="Q23" s="89"/>
      <c r="R23" s="94"/>
      <c r="S23" s="94"/>
      <c r="T23" s="94"/>
      <c r="U23" s="94"/>
      <c r="V23" s="94"/>
      <c r="W23" s="94"/>
      <c r="X23" s="94"/>
      <c r="Y23" s="94"/>
    </row>
    <row r="24" spans="1:25">
      <c r="A24" s="89" t="s">
        <v>219</v>
      </c>
      <c r="B24" s="89"/>
      <c r="C24" s="89"/>
      <c r="D24" s="94">
        <f>'F 1-2'!$M$45</f>
        <v>1.9E-3</v>
      </c>
      <c r="E24" s="94"/>
      <c r="F24" s="94">
        <f t="shared" si="0"/>
        <v>8.0000000000000004E-4</v>
      </c>
      <c r="G24" s="94"/>
      <c r="H24" s="94">
        <f>'F 3-4'!$P$25</f>
        <v>4.82E-2</v>
      </c>
      <c r="I24" s="94"/>
      <c r="J24" s="94">
        <f t="shared" si="1"/>
        <v>1.4999999999999999E-2</v>
      </c>
      <c r="K24" s="94"/>
      <c r="L24" s="94">
        <f>'F 3-4'!$R$55</f>
        <v>7.1300000000000002E-2</v>
      </c>
      <c r="M24" s="94"/>
      <c r="N24" s="94">
        <f t="shared" si="2"/>
        <v>1.8800000000000001E-2</v>
      </c>
      <c r="O24" s="94"/>
      <c r="P24" s="94">
        <f t="shared" si="3"/>
        <v>3.4599999999999999E-2</v>
      </c>
      <c r="Q24" s="89"/>
      <c r="R24" s="94"/>
      <c r="S24" s="264">
        <f t="shared" ref="S24:Y24" si="4">SUM(S18:S23)</f>
        <v>1</v>
      </c>
      <c r="T24" s="264">
        <f t="shared" si="4"/>
        <v>0.4259</v>
      </c>
      <c r="U24" s="264">
        <f t="shared" si="4"/>
        <v>0.99999999999999989</v>
      </c>
      <c r="V24" s="264">
        <f t="shared" si="4"/>
        <v>0.31090000000000001</v>
      </c>
      <c r="W24" s="264">
        <f t="shared" si="4"/>
        <v>1</v>
      </c>
      <c r="X24" s="264">
        <f t="shared" si="4"/>
        <v>0.26319999999999999</v>
      </c>
      <c r="Y24" s="264">
        <f t="shared" si="4"/>
        <v>1</v>
      </c>
    </row>
    <row r="25" spans="1:25">
      <c r="A25" s="89"/>
      <c r="B25" s="89"/>
      <c r="C25" s="89"/>
      <c r="D25" s="96"/>
      <c r="E25" s="94"/>
      <c r="F25" s="96"/>
      <c r="G25" s="94"/>
      <c r="H25" s="96"/>
      <c r="I25" s="94"/>
      <c r="J25" s="96"/>
      <c r="K25" s="94"/>
      <c r="L25" s="96"/>
      <c r="M25" s="94"/>
      <c r="N25" s="96"/>
      <c r="O25" s="94"/>
      <c r="P25" s="96"/>
      <c r="Q25" s="89"/>
    </row>
    <row r="26" spans="1:25" ht="15.75" thickBot="1">
      <c r="A26" s="89" t="s">
        <v>220</v>
      </c>
      <c r="B26" s="89"/>
      <c r="C26" s="89"/>
      <c r="D26" s="94">
        <f>SUM(D18:D25)</f>
        <v>1</v>
      </c>
      <c r="E26" s="94"/>
      <c r="F26" s="169">
        <f>SUM(F18:F25)</f>
        <v>0.4259</v>
      </c>
      <c r="G26" s="94"/>
      <c r="H26" s="94">
        <f>SUM(H18:H25)</f>
        <v>0.99999999999999989</v>
      </c>
      <c r="I26" s="94"/>
      <c r="J26" s="94">
        <f>SUM(J18:J25)</f>
        <v>0.31089999999999995</v>
      </c>
      <c r="K26" s="94"/>
      <c r="L26" s="94">
        <f>SUM(L18:L25)</f>
        <v>1</v>
      </c>
      <c r="M26" s="94"/>
      <c r="N26" s="94">
        <f>SUM(N18:N25)</f>
        <v>0.26319999999999999</v>
      </c>
      <c r="O26" s="94"/>
      <c r="P26" s="94">
        <f>SUM(P18:P25)</f>
        <v>1</v>
      </c>
      <c r="Q26" s="89"/>
    </row>
    <row r="27" spans="1:25" ht="15.75" thickTop="1">
      <c r="A27" s="89"/>
      <c r="B27" s="89"/>
      <c r="C27" s="89"/>
      <c r="D27" s="97"/>
      <c r="E27" s="89"/>
      <c r="F27" s="168"/>
      <c r="G27" s="89"/>
      <c r="H27" s="97"/>
      <c r="I27" s="89"/>
      <c r="J27" s="97"/>
      <c r="K27" s="89"/>
      <c r="L27" s="97"/>
      <c r="M27" s="89"/>
      <c r="N27" s="97"/>
      <c r="O27" s="89"/>
      <c r="P27" s="97"/>
      <c r="Q27" s="89"/>
    </row>
    <row r="28" spans="1:25">
      <c r="A28" s="89"/>
      <c r="B28" s="89"/>
      <c r="C28" s="89"/>
      <c r="D28" s="89"/>
      <c r="E28" s="89"/>
      <c r="F28" s="89"/>
      <c r="G28" s="89"/>
      <c r="H28" s="89"/>
      <c r="I28" s="89"/>
      <c r="J28" s="89"/>
      <c r="K28" s="89"/>
      <c r="L28" s="89"/>
      <c r="M28" s="89"/>
      <c r="N28" s="89"/>
      <c r="O28" s="89"/>
      <c r="P28" s="89"/>
      <c r="Q28" s="89"/>
    </row>
    <row r="29" spans="1:25" ht="29.85" customHeight="1">
      <c r="A29" s="627" t="s">
        <v>311</v>
      </c>
      <c r="B29" s="627"/>
      <c r="C29" s="627"/>
      <c r="D29" s="627"/>
      <c r="E29" s="627"/>
      <c r="F29" s="627"/>
      <c r="G29" s="627"/>
      <c r="H29" s="627"/>
      <c r="I29" s="627"/>
      <c r="J29" s="627"/>
      <c r="K29" s="627"/>
      <c r="L29" s="627"/>
      <c r="M29" s="627"/>
      <c r="N29" s="627"/>
      <c r="O29" s="627"/>
      <c r="P29" s="627"/>
      <c r="Q29" s="89"/>
    </row>
    <row r="30" spans="1:25">
      <c r="A30" s="89"/>
      <c r="B30" s="89"/>
      <c r="C30" s="89"/>
      <c r="D30" s="89"/>
      <c r="E30" s="89"/>
      <c r="F30" s="89"/>
      <c r="G30" s="89"/>
      <c r="H30" s="308"/>
      <c r="I30" s="89"/>
      <c r="J30" s="89"/>
      <c r="K30" s="89"/>
      <c r="L30" s="89"/>
      <c r="M30" s="89"/>
      <c r="N30" s="89"/>
      <c r="O30" s="89"/>
      <c r="P30" s="89"/>
      <c r="Q30" s="89"/>
      <c r="W30" s="315"/>
    </row>
    <row r="31" spans="1:25">
      <c r="A31" s="89"/>
      <c r="B31" s="89"/>
      <c r="C31" s="89"/>
      <c r="D31" s="89"/>
      <c r="E31" s="89"/>
      <c r="G31" s="91"/>
      <c r="H31" s="91" t="s">
        <v>312</v>
      </c>
      <c r="I31" s="91"/>
      <c r="K31" s="91"/>
      <c r="L31" s="91"/>
      <c r="M31" s="91"/>
      <c r="N31" s="91"/>
      <c r="O31" s="89"/>
      <c r="P31" s="89"/>
      <c r="Q31" s="308"/>
      <c r="R31" s="309"/>
      <c r="S31" s="309"/>
      <c r="T31" s="309"/>
      <c r="U31" s="309"/>
      <c r="V31" s="309"/>
    </row>
    <row r="32" spans="1:25">
      <c r="A32" s="89"/>
      <c r="B32" s="89"/>
      <c r="C32" s="89"/>
      <c r="D32" s="89"/>
      <c r="E32" s="89"/>
      <c r="G32" s="91"/>
      <c r="H32" s="91" t="s">
        <v>313</v>
      </c>
      <c r="I32" s="91"/>
      <c r="K32" s="91"/>
      <c r="L32" s="91"/>
      <c r="M32" s="91"/>
      <c r="N32" s="91" t="s">
        <v>247</v>
      </c>
      <c r="O32" s="89"/>
      <c r="P32" s="89"/>
      <c r="Q32" s="308"/>
      <c r="R32" s="309"/>
      <c r="S32" s="309"/>
      <c r="T32" s="309"/>
      <c r="U32" s="309"/>
      <c r="V32" s="309"/>
    </row>
    <row r="33" spans="1:22">
      <c r="A33" s="89"/>
      <c r="B33" s="89"/>
      <c r="C33" s="89"/>
      <c r="D33" s="89"/>
      <c r="E33" s="89"/>
      <c r="G33" s="89"/>
      <c r="H33" s="98"/>
      <c r="I33" s="89"/>
      <c r="K33" s="89"/>
      <c r="L33" s="89"/>
      <c r="M33" s="89"/>
      <c r="N33" s="98"/>
      <c r="O33" s="89"/>
      <c r="P33" s="89"/>
      <c r="Q33" s="308"/>
      <c r="R33" s="309"/>
      <c r="S33" s="309"/>
      <c r="T33" s="309"/>
      <c r="U33" s="309"/>
      <c r="V33" s="309"/>
    </row>
    <row r="34" spans="1:22">
      <c r="A34" s="89"/>
      <c r="B34" s="89"/>
      <c r="C34" s="89"/>
      <c r="D34" s="89"/>
      <c r="E34" s="89"/>
      <c r="G34" s="89"/>
      <c r="H34" s="89"/>
      <c r="I34" s="89"/>
      <c r="K34" s="89"/>
      <c r="L34" s="89"/>
      <c r="M34" s="89"/>
      <c r="N34" s="89"/>
      <c r="O34" s="89"/>
      <c r="P34" s="89"/>
      <c r="Q34" s="308"/>
      <c r="R34" s="309"/>
      <c r="S34" s="309"/>
      <c r="T34" s="309"/>
      <c r="U34" s="309"/>
      <c r="V34" s="309"/>
    </row>
    <row r="35" spans="1:22">
      <c r="A35" s="89" t="s">
        <v>314</v>
      </c>
      <c r="C35" s="89"/>
      <c r="D35" s="89"/>
      <c r="E35" s="89"/>
      <c r="G35" s="89"/>
      <c r="H35" s="267">
        <v>10200</v>
      </c>
      <c r="I35" s="89"/>
      <c r="K35" s="89"/>
      <c r="L35" s="89"/>
      <c r="M35" s="89"/>
      <c r="N35" s="94">
        <f>ROUND(+H35/H41,4)</f>
        <v>0.4259</v>
      </c>
      <c r="O35" s="89"/>
      <c r="P35" s="89"/>
      <c r="Q35" s="308"/>
      <c r="R35" s="309"/>
      <c r="S35" s="309"/>
      <c r="T35" s="309"/>
      <c r="U35" s="309"/>
      <c r="V35" s="309"/>
    </row>
    <row r="36" spans="1:22">
      <c r="A36" s="89"/>
      <c r="C36" s="89"/>
      <c r="D36" s="89"/>
      <c r="E36" s="89"/>
      <c r="G36" s="89"/>
      <c r="H36" s="267"/>
      <c r="I36" s="89"/>
      <c r="K36" s="89"/>
      <c r="L36" s="89"/>
      <c r="M36" s="89"/>
      <c r="N36" s="94"/>
      <c r="O36" s="89"/>
      <c r="P36" s="89"/>
      <c r="Q36" s="308"/>
      <c r="R36" s="309"/>
      <c r="S36" s="309"/>
      <c r="T36" s="309"/>
      <c r="U36" s="309"/>
      <c r="V36" s="309"/>
    </row>
    <row r="37" spans="1:22">
      <c r="A37" s="89" t="s">
        <v>315</v>
      </c>
      <c r="C37" s="89"/>
      <c r="D37" s="89"/>
      <c r="E37" s="89"/>
      <c r="G37" s="89"/>
      <c r="H37" s="267">
        <v>7447</v>
      </c>
      <c r="I37" s="89"/>
      <c r="K37" s="89"/>
      <c r="L37" s="89"/>
      <c r="M37" s="89"/>
      <c r="N37" s="94">
        <f>ROUND(+H37/H41,4)</f>
        <v>0.31090000000000001</v>
      </c>
      <c r="O37" s="89"/>
      <c r="P37" s="89"/>
      <c r="Q37" s="308"/>
      <c r="R37" s="309"/>
      <c r="S37" s="309"/>
      <c r="T37" s="309"/>
      <c r="U37" s="309"/>
      <c r="V37" s="309"/>
    </row>
    <row r="38" spans="1:22">
      <c r="A38" s="89"/>
      <c r="C38" s="89"/>
      <c r="D38" s="89"/>
      <c r="E38" s="89"/>
      <c r="G38" s="89"/>
      <c r="H38" s="267"/>
      <c r="I38" s="89"/>
      <c r="K38" s="89"/>
      <c r="L38" s="89"/>
      <c r="M38" s="89"/>
      <c r="N38" s="94"/>
      <c r="O38" s="89"/>
      <c r="P38" s="89"/>
      <c r="Q38" s="308"/>
      <c r="R38" s="309"/>
      <c r="S38" s="309"/>
      <c r="T38" s="309"/>
      <c r="U38" s="309"/>
      <c r="V38" s="309"/>
    </row>
    <row r="39" spans="1:22">
      <c r="A39" s="89" t="s">
        <v>316</v>
      </c>
      <c r="C39" s="89"/>
      <c r="D39" s="89"/>
      <c r="E39" s="89"/>
      <c r="G39" s="89"/>
      <c r="H39" s="267">
        <v>6305</v>
      </c>
      <c r="I39" s="89"/>
      <c r="K39" s="89"/>
      <c r="L39" s="89"/>
      <c r="M39" s="89"/>
      <c r="N39" s="94">
        <f>ROUND(+H39/H41,4)</f>
        <v>0.26319999999999999</v>
      </c>
      <c r="O39" s="89"/>
      <c r="P39" s="89"/>
      <c r="Q39" s="308"/>
      <c r="R39" s="309"/>
      <c r="S39" s="309"/>
      <c r="T39" s="309"/>
      <c r="U39" s="309"/>
      <c r="V39" s="309"/>
    </row>
    <row r="40" spans="1:22">
      <c r="A40" s="89"/>
      <c r="B40" s="89"/>
      <c r="C40" s="89"/>
      <c r="D40" s="89"/>
      <c r="E40" s="89"/>
      <c r="G40" s="89"/>
      <c r="H40" s="306"/>
      <c r="I40" s="89"/>
      <c r="K40" s="89"/>
      <c r="L40" s="89"/>
      <c r="M40" s="89"/>
      <c r="N40" s="96"/>
      <c r="O40" s="89"/>
      <c r="P40" s="89"/>
      <c r="Q40" s="308"/>
      <c r="R40" s="309"/>
      <c r="S40" s="309"/>
      <c r="T40" s="309"/>
      <c r="U40" s="309"/>
      <c r="V40" s="309"/>
    </row>
    <row r="41" spans="1:22" ht="15.75" thickBot="1">
      <c r="A41" s="89"/>
      <c r="B41" s="89" t="s">
        <v>317</v>
      </c>
      <c r="C41" s="89"/>
      <c r="D41" s="89"/>
      <c r="E41" s="89"/>
      <c r="G41" s="89"/>
      <c r="H41" s="307">
        <f>SUM(H35:H40)</f>
        <v>23952</v>
      </c>
      <c r="I41" s="89"/>
      <c r="K41" s="89"/>
      <c r="L41" s="89"/>
      <c r="M41" s="89"/>
      <c r="N41" s="94">
        <f>SUM(N35:N40)</f>
        <v>1</v>
      </c>
      <c r="O41" s="89"/>
      <c r="P41" s="89"/>
      <c r="Q41" s="308"/>
      <c r="R41" s="309"/>
      <c r="S41" s="309"/>
      <c r="T41" s="309"/>
      <c r="U41" s="309"/>
      <c r="V41" s="309"/>
    </row>
    <row r="42" spans="1:22" ht="15.75" thickTop="1">
      <c r="A42" s="89"/>
      <c r="B42" s="89"/>
      <c r="C42" s="89"/>
      <c r="D42" s="89"/>
      <c r="E42" s="89"/>
      <c r="F42" s="89"/>
      <c r="G42" s="89"/>
      <c r="H42" s="168"/>
      <c r="I42" s="89"/>
      <c r="J42" s="267"/>
      <c r="K42" s="89"/>
      <c r="L42" s="89"/>
      <c r="M42" s="89"/>
      <c r="N42" s="97"/>
      <c r="O42" s="89"/>
      <c r="P42" s="89"/>
      <c r="Q42" s="308"/>
      <c r="R42" s="309"/>
      <c r="S42" s="309"/>
      <c r="T42" s="309"/>
      <c r="U42" s="309"/>
      <c r="V42" s="309"/>
    </row>
    <row r="43" spans="1:22">
      <c r="A43" s="89"/>
      <c r="B43" s="89"/>
      <c r="C43" s="89"/>
      <c r="D43" s="89"/>
      <c r="E43" s="89"/>
      <c r="F43" s="89"/>
      <c r="G43" s="89"/>
      <c r="K43" s="89"/>
      <c r="L43" s="89"/>
      <c r="M43" s="89"/>
      <c r="N43" s="89"/>
      <c r="O43" s="89"/>
      <c r="P43" s="89"/>
      <c r="Q43" s="308"/>
      <c r="R43" s="309"/>
      <c r="S43" s="309"/>
      <c r="T43" s="309"/>
      <c r="U43" s="309"/>
      <c r="V43" s="309"/>
    </row>
    <row r="44" spans="1:22">
      <c r="A44" s="37" t="s">
        <v>7</v>
      </c>
      <c r="B44" s="87"/>
      <c r="C44" s="87"/>
      <c r="D44" s="88"/>
      <c r="E44" s="88"/>
      <c r="F44" s="88"/>
      <c r="G44" s="88"/>
      <c r="H44" s="88"/>
      <c r="I44" s="88"/>
      <c r="J44" s="88"/>
      <c r="K44" s="88"/>
      <c r="L44" s="88"/>
      <c r="M44" s="88"/>
      <c r="N44" s="88"/>
      <c r="O44" s="88"/>
      <c r="P44" s="88"/>
      <c r="Q44" s="309"/>
      <c r="R44" s="309"/>
      <c r="S44" s="309"/>
      <c r="T44" s="309"/>
      <c r="U44" s="309"/>
      <c r="V44" s="309"/>
    </row>
    <row r="45" spans="1:22">
      <c r="A45" s="37"/>
      <c r="B45" s="87"/>
      <c r="C45" s="87"/>
      <c r="D45" s="88"/>
      <c r="E45" s="88"/>
      <c r="F45" s="88"/>
      <c r="G45" s="88"/>
      <c r="H45" s="88"/>
      <c r="I45" s="88"/>
      <c r="J45" s="88"/>
      <c r="K45" s="88"/>
      <c r="L45" s="88"/>
      <c r="M45" s="88"/>
      <c r="N45" s="88"/>
      <c r="O45" s="88"/>
      <c r="P45" s="88"/>
      <c r="Q45" s="309"/>
      <c r="R45" s="309"/>
      <c r="S45" s="309"/>
      <c r="T45" s="309"/>
      <c r="U45" s="309"/>
      <c r="V45" s="309"/>
    </row>
    <row r="46" spans="1:22">
      <c r="A46" s="88"/>
      <c r="B46" s="88"/>
      <c r="C46" s="88"/>
      <c r="D46" s="88"/>
      <c r="E46" s="88"/>
      <c r="F46" s="88"/>
      <c r="G46" s="88"/>
      <c r="H46" s="88"/>
      <c r="I46" s="88"/>
      <c r="J46" s="88"/>
      <c r="K46" s="88"/>
      <c r="L46" s="88"/>
      <c r="M46" s="88"/>
      <c r="N46" s="88"/>
      <c r="O46" s="88"/>
      <c r="P46" s="88"/>
      <c r="Q46" s="309"/>
      <c r="R46" s="309"/>
      <c r="S46" s="309"/>
      <c r="T46" s="309"/>
      <c r="U46" s="309"/>
      <c r="V46" s="309"/>
    </row>
    <row r="47" spans="1:22">
      <c r="A47" s="88" t="s">
        <v>236</v>
      </c>
      <c r="B47" s="88"/>
      <c r="C47" s="88"/>
      <c r="D47" s="88"/>
      <c r="E47" s="88"/>
      <c r="F47" s="88"/>
      <c r="G47" s="88"/>
      <c r="H47" s="88"/>
      <c r="I47" s="88"/>
      <c r="J47" s="88"/>
      <c r="K47" s="88"/>
      <c r="L47" s="88"/>
      <c r="M47" s="88"/>
      <c r="N47" s="88"/>
      <c r="O47" s="88"/>
      <c r="P47" s="88"/>
      <c r="Q47" s="309"/>
      <c r="R47" s="309"/>
      <c r="S47" s="309"/>
      <c r="T47" s="309"/>
      <c r="U47" s="309"/>
      <c r="V47" s="309"/>
    </row>
    <row r="48" spans="1:22">
      <c r="A48" s="89"/>
      <c r="B48" s="89"/>
      <c r="C48" s="89"/>
      <c r="D48" s="89"/>
      <c r="E48" s="89"/>
      <c r="F48" s="89"/>
      <c r="G48" s="89"/>
      <c r="H48" s="89"/>
      <c r="I48" s="89"/>
      <c r="J48" s="89"/>
      <c r="K48" s="89"/>
      <c r="L48" s="89"/>
      <c r="M48" s="89"/>
      <c r="N48" s="89"/>
      <c r="O48" s="89"/>
      <c r="P48" s="89"/>
      <c r="Q48" s="309"/>
      <c r="R48" s="309"/>
      <c r="S48" s="309"/>
      <c r="T48" s="309"/>
      <c r="U48" s="309"/>
      <c r="V48" s="309"/>
    </row>
    <row r="49" spans="1:25">
      <c r="A49" s="89"/>
      <c r="B49" s="89"/>
      <c r="C49" s="89"/>
      <c r="D49" s="89"/>
      <c r="E49" s="89"/>
      <c r="F49" s="89"/>
      <c r="G49" s="89"/>
      <c r="H49" s="89"/>
      <c r="I49" s="89"/>
      <c r="J49" s="89"/>
      <c r="K49" s="89"/>
      <c r="L49" s="89"/>
      <c r="M49" s="89"/>
      <c r="N49" s="89"/>
      <c r="O49" s="89"/>
      <c r="P49" s="89"/>
      <c r="Q49" s="309"/>
      <c r="R49" s="309"/>
      <c r="S49" s="309"/>
      <c r="T49" s="309"/>
      <c r="U49" s="309"/>
      <c r="V49" s="309"/>
    </row>
    <row r="50" spans="1:25">
      <c r="A50" s="89" t="s">
        <v>156</v>
      </c>
      <c r="B50" s="89"/>
      <c r="C50" s="89"/>
      <c r="D50" s="89"/>
      <c r="E50" s="89"/>
      <c r="F50" s="89"/>
      <c r="G50" s="89"/>
      <c r="H50" s="89"/>
      <c r="I50" s="89"/>
      <c r="J50" s="89"/>
      <c r="K50" s="89"/>
      <c r="L50" s="89"/>
      <c r="M50" s="89"/>
      <c r="N50" s="89"/>
      <c r="O50" s="89"/>
      <c r="P50" s="89"/>
    </row>
    <row r="51" spans="1:25">
      <c r="A51" s="89"/>
      <c r="B51" s="89"/>
      <c r="C51" s="89"/>
      <c r="D51" s="89"/>
      <c r="E51" s="89"/>
      <c r="F51" s="89"/>
      <c r="G51" s="89"/>
      <c r="H51" s="89"/>
      <c r="I51" s="89"/>
      <c r="J51" s="89"/>
      <c r="K51" s="89"/>
      <c r="L51" s="89"/>
      <c r="M51" s="89"/>
      <c r="N51" s="89"/>
      <c r="O51" s="89"/>
      <c r="P51" s="89"/>
    </row>
    <row r="52" spans="1:25" ht="30.2" customHeight="1">
      <c r="A52" s="627" t="s">
        <v>179</v>
      </c>
      <c r="B52" s="627"/>
      <c r="C52" s="627"/>
      <c r="D52" s="627"/>
      <c r="E52" s="627"/>
      <c r="F52" s="627"/>
      <c r="G52" s="627"/>
      <c r="H52" s="627"/>
      <c r="I52" s="627"/>
      <c r="J52" s="627"/>
      <c r="K52" s="627"/>
      <c r="L52" s="627"/>
      <c r="M52" s="627"/>
      <c r="N52" s="627"/>
      <c r="O52" s="627"/>
      <c r="P52" s="627"/>
    </row>
    <row r="53" spans="1:25">
      <c r="A53" s="89"/>
      <c r="B53" s="89"/>
      <c r="C53" s="89"/>
      <c r="D53" s="89"/>
      <c r="E53" s="89"/>
      <c r="F53" s="89"/>
      <c r="G53" s="89"/>
      <c r="H53" s="89"/>
      <c r="I53" s="89"/>
      <c r="J53" s="89"/>
      <c r="K53" s="89"/>
      <c r="L53" s="89"/>
      <c r="M53" s="89"/>
      <c r="N53" s="89"/>
      <c r="O53" s="89"/>
      <c r="P53" s="89"/>
    </row>
    <row r="54" spans="1:25">
      <c r="A54" s="89"/>
      <c r="B54" s="89"/>
      <c r="C54" s="89"/>
      <c r="F54" s="88" t="s">
        <v>295</v>
      </c>
      <c r="G54" s="88"/>
      <c r="H54" s="88"/>
      <c r="I54" s="89"/>
      <c r="J54" s="88" t="s">
        <v>296</v>
      </c>
      <c r="K54" s="88"/>
      <c r="L54" s="88"/>
      <c r="M54" s="89"/>
      <c r="N54" s="89"/>
    </row>
    <row r="55" spans="1:25">
      <c r="B55" s="89"/>
      <c r="C55" s="89"/>
      <c r="F55" s="88" t="s">
        <v>0</v>
      </c>
      <c r="G55" s="88"/>
      <c r="H55" s="88"/>
      <c r="I55" s="89"/>
      <c r="J55" s="88" t="s">
        <v>225</v>
      </c>
      <c r="K55" s="88"/>
      <c r="L55" s="88"/>
      <c r="M55" s="89"/>
      <c r="N55" s="89"/>
    </row>
    <row r="56" spans="1:25">
      <c r="B56" s="88" t="s">
        <v>204</v>
      </c>
      <c r="C56" s="88"/>
      <c r="D56" s="87"/>
      <c r="F56" s="90" t="s">
        <v>206</v>
      </c>
      <c r="G56" s="90"/>
      <c r="H56" s="90" t="s">
        <v>227</v>
      </c>
      <c r="I56" s="91"/>
      <c r="J56" s="90" t="s">
        <v>206</v>
      </c>
      <c r="K56" s="90"/>
      <c r="L56" s="90" t="s">
        <v>227</v>
      </c>
      <c r="M56" s="91"/>
      <c r="N56" s="91" t="s">
        <v>206</v>
      </c>
    </row>
    <row r="57" spans="1:25">
      <c r="B57" s="88" t="s">
        <v>207</v>
      </c>
      <c r="C57" s="88"/>
      <c r="D57" s="87"/>
      <c r="F57" s="91" t="s">
        <v>298</v>
      </c>
      <c r="G57" s="91"/>
      <c r="H57" s="91" t="s">
        <v>208</v>
      </c>
      <c r="I57" s="91"/>
      <c r="J57" s="91" t="s">
        <v>299</v>
      </c>
      <c r="K57" s="91"/>
      <c r="L57" s="91" t="s">
        <v>208</v>
      </c>
      <c r="M57" s="91"/>
      <c r="N57" s="91" t="s">
        <v>208</v>
      </c>
      <c r="Y57" s="167" t="s">
        <v>206</v>
      </c>
    </row>
    <row r="58" spans="1:25">
      <c r="B58" s="92" t="s">
        <v>209</v>
      </c>
      <c r="C58" s="92"/>
      <c r="D58" s="99"/>
      <c r="F58" s="90" t="s">
        <v>229</v>
      </c>
      <c r="G58" s="89"/>
      <c r="H58" s="93" t="s">
        <v>300</v>
      </c>
      <c r="I58" s="89"/>
      <c r="J58" s="90" t="s">
        <v>231</v>
      </c>
      <c r="K58" s="89"/>
      <c r="L58" s="93" t="s">
        <v>301</v>
      </c>
      <c r="M58" s="89"/>
      <c r="N58" s="90" t="s">
        <v>233</v>
      </c>
      <c r="S58" s="167" t="s">
        <v>194</v>
      </c>
      <c r="T58" s="240">
        <f>+H59</f>
        <v>0.2056</v>
      </c>
      <c r="U58" s="167" t="s">
        <v>195</v>
      </c>
      <c r="V58" s="240">
        <f>+L59</f>
        <v>0.7944</v>
      </c>
      <c r="Y58" s="167" t="s">
        <v>208</v>
      </c>
    </row>
    <row r="59" spans="1:25">
      <c r="B59" s="89"/>
      <c r="C59" s="89"/>
      <c r="F59" s="94"/>
      <c r="G59" s="94"/>
      <c r="H59" s="94">
        <f>N77</f>
        <v>0.2056</v>
      </c>
      <c r="I59" s="94"/>
      <c r="J59" s="94"/>
      <c r="K59" s="94"/>
      <c r="L59" s="94">
        <f>N79</f>
        <v>0.7944</v>
      </c>
      <c r="M59" s="94"/>
      <c r="N59" s="95"/>
    </row>
    <row r="60" spans="1:25">
      <c r="B60" s="89"/>
      <c r="C60" s="89"/>
      <c r="F60" s="89"/>
      <c r="G60" s="89"/>
      <c r="H60" s="89"/>
      <c r="I60" s="89"/>
      <c r="J60" s="89"/>
      <c r="K60" s="89"/>
      <c r="L60" s="89"/>
      <c r="M60" s="89"/>
      <c r="N60" s="89"/>
      <c r="R60" s="94" t="s">
        <v>306</v>
      </c>
      <c r="S60" s="167">
        <f>+'F 3-4'!F17-'F 3-4'!F24-'F 3-4'!F25</f>
        <v>0.55149999999999999</v>
      </c>
      <c r="T60" s="264">
        <f>ROUND(S60*$H$59,4)</f>
        <v>0.1134</v>
      </c>
      <c r="U60" s="266">
        <f>+'F 3-4'!H47-'F 3-4'!H54-'F 3-4'!H55</f>
        <v>0.34670000000000001</v>
      </c>
      <c r="V60" s="264">
        <f>ROUND(U60*$L$59,4)+0.0001</f>
        <v>0.27549999999999997</v>
      </c>
      <c r="X60" s="264"/>
      <c r="Y60" s="240">
        <f>T60+V60+X60-0</f>
        <v>0.38889999999999997</v>
      </c>
    </row>
    <row r="61" spans="1:25">
      <c r="B61" s="89" t="s">
        <v>212</v>
      </c>
      <c r="C61" s="89"/>
      <c r="F61" s="94">
        <f>'F 3-4'!$P$19</f>
        <v>0.46439999999999998</v>
      </c>
      <c r="G61" s="94"/>
      <c r="H61" s="94">
        <f>ROUND($H$59*F61,4)</f>
        <v>9.5500000000000002E-2</v>
      </c>
      <c r="I61" s="94"/>
      <c r="J61" s="94">
        <f>+'F 3-4'!R49</f>
        <v>0.47039999999999998</v>
      </c>
      <c r="K61" s="94"/>
      <c r="L61" s="94">
        <f>ROUND($L$59*J61,4)</f>
        <v>0.37369999999999998</v>
      </c>
      <c r="M61" s="94"/>
      <c r="N61" s="94">
        <f t="shared" ref="N61:N67" si="5">H61+L61</f>
        <v>0.46919999999999995</v>
      </c>
      <c r="R61" s="94" t="s">
        <v>307</v>
      </c>
      <c r="S61" s="167">
        <f>+'F 3-4'!J17</f>
        <v>0.36059999999999998</v>
      </c>
      <c r="T61" s="264">
        <f>ROUND(S61*$H$59,4)</f>
        <v>7.4099999999999999E-2</v>
      </c>
      <c r="U61" s="266"/>
      <c r="V61" s="264">
        <f>ROUND(U61*$L$59,4)</f>
        <v>0</v>
      </c>
      <c r="X61" s="264"/>
      <c r="Y61" s="264">
        <f>T61+V61+X61</f>
        <v>7.4099999999999999E-2</v>
      </c>
    </row>
    <row r="62" spans="1:25">
      <c r="B62" s="89" t="s">
        <v>213</v>
      </c>
      <c r="C62" s="89"/>
      <c r="F62" s="94">
        <f>'F 3-4'!$P$20</f>
        <v>0.28499999999999998</v>
      </c>
      <c r="G62" s="94"/>
      <c r="H62" s="94">
        <f t="shared" ref="H62:H67" si="6">ROUND($H$59*F62,4)</f>
        <v>5.8599999999999999E-2</v>
      </c>
      <c r="I62" s="94"/>
      <c r="J62" s="94">
        <f>+'F 3-4'!R50</f>
        <v>0.28470000000000001</v>
      </c>
      <c r="K62" s="94"/>
      <c r="L62" s="94">
        <f t="shared" ref="L62:L67" si="7">ROUND($L$59*J62,4)</f>
        <v>0.22620000000000001</v>
      </c>
      <c r="M62" s="94"/>
      <c r="N62" s="94">
        <f t="shared" si="5"/>
        <v>0.2848</v>
      </c>
      <c r="R62" s="94" t="s">
        <v>308</v>
      </c>
      <c r="S62" s="167">
        <f>'F 3B 4B'!I18</f>
        <v>0</v>
      </c>
      <c r="T62" s="264">
        <f>ROUND(S62*$H$59,4)</f>
        <v>0</v>
      </c>
      <c r="U62" s="266">
        <f>+'F 3-4'!L47</f>
        <v>0.52329999999999999</v>
      </c>
      <c r="V62" s="264">
        <f>ROUND(U62*$L$59,4)</f>
        <v>0.41570000000000001</v>
      </c>
      <c r="X62" s="264"/>
      <c r="Y62" s="264">
        <f>T62+V62+X62</f>
        <v>0.41570000000000001</v>
      </c>
    </row>
    <row r="63" spans="1:25">
      <c r="B63" s="89" t="s">
        <v>214</v>
      </c>
      <c r="C63" s="89"/>
      <c r="F63" s="94">
        <f>'F 3-4'!$P$21</f>
        <v>3.6700000000000003E-2</v>
      </c>
      <c r="G63" s="94"/>
      <c r="H63" s="94">
        <f t="shared" si="6"/>
        <v>7.4999999999999997E-3</v>
      </c>
      <c r="I63" s="94"/>
      <c r="J63" s="94">
        <f>+'F 3-4'!R51</f>
        <v>3.2799999999999996E-2</v>
      </c>
      <c r="K63" s="94"/>
      <c r="L63" s="94">
        <f t="shared" si="7"/>
        <v>2.6100000000000002E-2</v>
      </c>
      <c r="M63" s="94"/>
      <c r="N63" s="94">
        <f t="shared" si="5"/>
        <v>3.3600000000000005E-2</v>
      </c>
      <c r="R63" s="94" t="s">
        <v>309</v>
      </c>
      <c r="S63" s="264">
        <f>+'F 3-4'!P24</f>
        <v>3.9699999999999999E-2</v>
      </c>
      <c r="T63" s="264">
        <f>ROUND(S63*$H$59,4)</f>
        <v>8.2000000000000007E-3</v>
      </c>
      <c r="U63" s="266">
        <f>+'F 3-4'!R54</f>
        <v>5.8699999999999995E-2</v>
      </c>
      <c r="V63" s="264">
        <f>ROUND(U63*$L$59,4)</f>
        <v>4.6600000000000003E-2</v>
      </c>
      <c r="X63" s="264"/>
      <c r="Y63" s="264">
        <f>T63+V63+X63</f>
        <v>5.4800000000000001E-2</v>
      </c>
    </row>
    <row r="64" spans="1:25">
      <c r="B64" s="89" t="s">
        <v>216</v>
      </c>
      <c r="C64" s="89"/>
      <c r="F64" s="94">
        <f>'F 3-4'!$P$22</f>
        <v>9.6599999999999991E-2</v>
      </c>
      <c r="G64" s="94"/>
      <c r="H64" s="94">
        <f t="shared" si="6"/>
        <v>1.9900000000000001E-2</v>
      </c>
      <c r="I64" s="94"/>
      <c r="J64" s="94">
        <f>+'F 3-4'!R52</f>
        <v>8.2100000000000006E-2</v>
      </c>
      <c r="K64" s="94"/>
      <c r="L64" s="94">
        <f t="shared" si="7"/>
        <v>6.5199999999999994E-2</v>
      </c>
      <c r="M64" s="94"/>
      <c r="N64" s="94">
        <f t="shared" si="5"/>
        <v>8.5099999999999995E-2</v>
      </c>
      <c r="R64" s="94" t="s">
        <v>310</v>
      </c>
      <c r="S64" s="264">
        <f>+'F 3-4'!P25</f>
        <v>4.82E-2</v>
      </c>
      <c r="T64" s="264">
        <f>ROUND(S64*$H$59,4)</f>
        <v>9.9000000000000008E-3</v>
      </c>
      <c r="U64" s="266">
        <f>+'F 3-4'!R55</f>
        <v>7.1300000000000002E-2</v>
      </c>
      <c r="V64" s="264">
        <f>ROUND(U64*$L$59,4)</f>
        <v>5.6599999999999998E-2</v>
      </c>
      <c r="X64" s="264"/>
      <c r="Y64" s="264">
        <f>T64+V64+X64</f>
        <v>6.6500000000000004E-2</v>
      </c>
    </row>
    <row r="65" spans="1:34">
      <c r="B65" s="89" t="s">
        <v>337</v>
      </c>
      <c r="C65" s="89"/>
      <c r="F65" s="94">
        <f>'F 3-4'!$P$23</f>
        <v>2.9399999999999999E-2</v>
      </c>
      <c r="G65" s="94"/>
      <c r="H65" s="94">
        <f t="shared" si="6"/>
        <v>6.0000000000000001E-3</v>
      </c>
      <c r="I65" s="94"/>
      <c r="J65" s="94">
        <f>+'F 3-4'!R53</f>
        <v>0</v>
      </c>
      <c r="K65" s="94"/>
      <c r="L65" s="94">
        <f t="shared" si="7"/>
        <v>0</v>
      </c>
      <c r="M65" s="94"/>
      <c r="N65" s="94">
        <f t="shared" si="5"/>
        <v>6.0000000000000001E-3</v>
      </c>
      <c r="R65" s="94"/>
      <c r="U65" s="266"/>
      <c r="V65" s="264"/>
      <c r="X65" s="264"/>
      <c r="Y65" s="264"/>
    </row>
    <row r="66" spans="1:34">
      <c r="B66" s="89" t="s">
        <v>218</v>
      </c>
      <c r="C66" s="89"/>
      <c r="F66" s="94">
        <f>'F 3-4'!$P$24</f>
        <v>3.9699999999999999E-2</v>
      </c>
      <c r="G66" s="94"/>
      <c r="H66" s="94">
        <f t="shared" si="6"/>
        <v>8.2000000000000007E-3</v>
      </c>
      <c r="I66" s="94"/>
      <c r="J66" s="94">
        <f>+'F 3-4'!R54</f>
        <v>5.8699999999999995E-2</v>
      </c>
      <c r="K66" s="94"/>
      <c r="L66" s="94">
        <f t="shared" si="7"/>
        <v>4.6600000000000003E-2</v>
      </c>
      <c r="M66" s="94"/>
      <c r="N66" s="94">
        <f t="shared" si="5"/>
        <v>5.4800000000000001E-2</v>
      </c>
      <c r="R66" s="94"/>
      <c r="S66" s="264">
        <f>SUM(S60:S65)</f>
        <v>0.99999999999999989</v>
      </c>
      <c r="T66" s="264">
        <f>SUM(T60:T65)</f>
        <v>0.2056</v>
      </c>
      <c r="U66" s="268">
        <f>SUM(U60:U65)</f>
        <v>1</v>
      </c>
      <c r="V66" s="264">
        <f>SUM(V60:V65)</f>
        <v>0.7944</v>
      </c>
      <c r="W66" s="264"/>
      <c r="X66" s="264"/>
      <c r="Y66" s="264">
        <f>SUM(Y60:Y65)</f>
        <v>1</v>
      </c>
    </row>
    <row r="67" spans="1:34">
      <c r="B67" s="89" t="s">
        <v>219</v>
      </c>
      <c r="C67" s="89"/>
      <c r="F67" s="94">
        <f>'F 3-4'!$P$25</f>
        <v>4.82E-2</v>
      </c>
      <c r="G67" s="94"/>
      <c r="H67" s="94">
        <f t="shared" si="6"/>
        <v>9.9000000000000008E-3</v>
      </c>
      <c r="I67" s="94"/>
      <c r="J67" s="94">
        <f>+'F 3-4'!R55</f>
        <v>7.1300000000000002E-2</v>
      </c>
      <c r="K67" s="94"/>
      <c r="L67" s="94">
        <f t="shared" si="7"/>
        <v>5.6599999999999998E-2</v>
      </c>
      <c r="M67" s="94"/>
      <c r="N67" s="94">
        <f t="shared" si="5"/>
        <v>6.6500000000000004E-2</v>
      </c>
    </row>
    <row r="68" spans="1:34">
      <c r="B68" s="89"/>
      <c r="C68" s="89"/>
      <c r="F68" s="96"/>
      <c r="G68" s="94"/>
      <c r="H68" s="96"/>
      <c r="I68" s="94"/>
      <c r="J68" s="96"/>
      <c r="K68" s="94"/>
      <c r="L68" s="96"/>
      <c r="M68" s="94"/>
      <c r="N68" s="96"/>
    </row>
    <row r="69" spans="1:34" ht="15.75" thickBot="1">
      <c r="B69" s="89" t="s">
        <v>220</v>
      </c>
      <c r="C69" s="89"/>
      <c r="F69" s="94">
        <f>SUM(F61:F68)</f>
        <v>0.99999999999999989</v>
      </c>
      <c r="G69" s="94"/>
      <c r="H69" s="94">
        <f>SUM(H61:H68)</f>
        <v>0.20560000000000003</v>
      </c>
      <c r="I69" s="94"/>
      <c r="J69" s="169">
        <f>SUM(J61:J68)</f>
        <v>1</v>
      </c>
      <c r="K69" s="94"/>
      <c r="L69" s="94">
        <f>SUM(L61:L68)</f>
        <v>0.7944</v>
      </c>
      <c r="M69" s="94"/>
      <c r="N69" s="94">
        <f>SUM(N61:N68)</f>
        <v>0.99999999999999989</v>
      </c>
    </row>
    <row r="70" spans="1:34" ht="15.75" thickTop="1">
      <c r="A70" s="89"/>
      <c r="B70" s="89"/>
      <c r="C70" s="89"/>
      <c r="F70" s="97"/>
      <c r="G70" s="89"/>
      <c r="H70" s="97"/>
      <c r="I70" s="89"/>
      <c r="J70" s="168"/>
      <c r="K70" s="89"/>
      <c r="L70" s="97"/>
      <c r="M70" s="89"/>
      <c r="N70" s="97"/>
    </row>
    <row r="71" spans="1:34">
      <c r="A71" s="89"/>
      <c r="B71" s="89"/>
      <c r="C71" s="89"/>
      <c r="D71" s="89"/>
      <c r="E71" s="89"/>
      <c r="F71" s="89"/>
      <c r="G71" s="89"/>
      <c r="H71" s="89"/>
      <c r="I71" s="89"/>
      <c r="J71" s="89"/>
      <c r="K71" s="89"/>
      <c r="L71" s="89"/>
      <c r="M71" s="89"/>
      <c r="N71" s="89"/>
      <c r="O71" s="89"/>
      <c r="P71" s="89"/>
    </row>
    <row r="72" spans="1:34" ht="29.85" customHeight="1">
      <c r="A72" s="627" t="s">
        <v>318</v>
      </c>
      <c r="B72" s="627"/>
      <c r="C72" s="627"/>
      <c r="D72" s="627"/>
      <c r="E72" s="627"/>
      <c r="F72" s="627"/>
      <c r="G72" s="627"/>
      <c r="H72" s="627"/>
      <c r="I72" s="627"/>
      <c r="J72" s="627"/>
      <c r="K72" s="627"/>
      <c r="L72" s="627"/>
      <c r="M72" s="627"/>
      <c r="N72" s="627"/>
      <c r="O72" s="627"/>
      <c r="P72" s="627"/>
      <c r="V72" s="455"/>
      <c r="W72" s="455"/>
      <c r="X72" s="455"/>
      <c r="Y72" s="455"/>
      <c r="AC72" s="309"/>
    </row>
    <row r="73" spans="1:34">
      <c r="A73" s="89"/>
      <c r="B73" s="89"/>
      <c r="C73" s="89"/>
      <c r="D73" s="89"/>
      <c r="E73" s="89"/>
      <c r="F73" s="89"/>
      <c r="G73" s="89"/>
      <c r="H73" s="89"/>
      <c r="I73" s="89"/>
      <c r="J73" s="89"/>
      <c r="K73" s="89"/>
      <c r="L73" s="89"/>
      <c r="M73" s="89"/>
      <c r="N73" s="89"/>
      <c r="O73" s="89"/>
      <c r="P73" s="89"/>
      <c r="S73" s="444"/>
      <c r="T73" s="444"/>
      <c r="U73" s="444"/>
      <c r="V73" s="456"/>
      <c r="W73" s="444"/>
      <c r="X73" s="444"/>
      <c r="Y73" s="444"/>
      <c r="AA73" s="89"/>
      <c r="AB73" s="440"/>
      <c r="AC73" s="137"/>
      <c r="AD73" s="137"/>
      <c r="AF73" s="444"/>
      <c r="AG73" s="444"/>
      <c r="AH73" s="444"/>
    </row>
    <row r="74" spans="1:34">
      <c r="A74" s="89"/>
      <c r="B74" s="89"/>
      <c r="C74" s="89"/>
      <c r="D74" s="89"/>
      <c r="E74" s="89"/>
      <c r="G74" s="91"/>
      <c r="H74" s="91" t="s">
        <v>319</v>
      </c>
      <c r="I74" s="91"/>
      <c r="K74" s="91"/>
      <c r="L74" s="91"/>
      <c r="M74" s="91"/>
      <c r="N74" s="91"/>
      <c r="O74" s="89"/>
      <c r="P74" s="89"/>
      <c r="S74" s="444"/>
      <c r="T74" s="444"/>
      <c r="U74" s="444"/>
      <c r="V74" s="456"/>
      <c r="W74" s="444"/>
      <c r="X74" s="444"/>
      <c r="Y74" s="444"/>
      <c r="AA74" s="364"/>
      <c r="AB74" s="137"/>
      <c r="AC74" s="137"/>
      <c r="AD74" s="137"/>
      <c r="AF74" s="458"/>
      <c r="AG74" s="458"/>
      <c r="AH74" s="458"/>
    </row>
    <row r="75" spans="1:34">
      <c r="A75" s="89"/>
      <c r="B75" s="89"/>
      <c r="C75" s="89"/>
      <c r="D75" s="89"/>
      <c r="E75" s="89"/>
      <c r="G75" s="91"/>
      <c r="H75" s="91" t="s">
        <v>320</v>
      </c>
      <c r="I75" s="91"/>
      <c r="K75" s="91"/>
      <c r="L75" s="91"/>
      <c r="M75" s="91"/>
      <c r="N75" s="91" t="s">
        <v>247</v>
      </c>
      <c r="O75" s="89"/>
      <c r="P75" s="89"/>
      <c r="S75" s="314"/>
      <c r="T75" s="314"/>
      <c r="V75" s="456"/>
      <c r="W75" s="443"/>
      <c r="X75" s="443"/>
      <c r="Y75" s="443"/>
      <c r="AA75" s="364"/>
      <c r="AB75" s="311"/>
      <c r="AC75" s="311"/>
      <c r="AD75" s="311"/>
      <c r="AF75" s="458"/>
      <c r="AG75" s="458"/>
      <c r="AH75" s="458"/>
    </row>
    <row r="76" spans="1:34">
      <c r="A76" s="89"/>
      <c r="B76" s="456"/>
      <c r="C76" s="89"/>
      <c r="D76" s="89"/>
      <c r="E76" s="89"/>
      <c r="G76" s="89"/>
      <c r="H76" s="98"/>
      <c r="I76" s="89"/>
      <c r="K76" s="89"/>
      <c r="L76" s="89"/>
      <c r="M76" s="89"/>
      <c r="N76" s="98"/>
      <c r="O76" s="89"/>
      <c r="P76" s="89"/>
      <c r="S76" s="314"/>
      <c r="T76" s="314"/>
      <c r="V76" s="456"/>
      <c r="W76" s="443"/>
      <c r="X76" s="443"/>
      <c r="Y76" s="443"/>
      <c r="AA76" s="364"/>
      <c r="AB76" s="311"/>
      <c r="AC76" s="311"/>
      <c r="AD76" s="311"/>
      <c r="AF76" s="458"/>
      <c r="AG76" s="458"/>
      <c r="AH76" s="458"/>
    </row>
    <row r="77" spans="1:34">
      <c r="A77" s="89" t="s">
        <v>321</v>
      </c>
      <c r="C77" s="89"/>
      <c r="D77" s="89"/>
      <c r="E77" s="89"/>
      <c r="G77" s="89"/>
      <c r="H77" s="267">
        <v>2133290</v>
      </c>
      <c r="I77" s="89"/>
      <c r="K77" s="89"/>
      <c r="L77" s="89"/>
      <c r="M77" s="89"/>
      <c r="N77" s="94">
        <f>ROUND(H77/H81,4)</f>
        <v>0.2056</v>
      </c>
      <c r="O77" s="89"/>
      <c r="P77" s="89"/>
      <c r="S77" s="314"/>
      <c r="T77" s="314"/>
      <c r="V77" s="456"/>
      <c r="W77" s="443"/>
      <c r="X77" s="443"/>
      <c r="Y77" s="443"/>
      <c r="AA77" s="364"/>
      <c r="AB77" s="311"/>
      <c r="AC77" s="311"/>
      <c r="AD77" s="311"/>
      <c r="AF77" s="458"/>
      <c r="AG77" s="458"/>
      <c r="AH77" s="458"/>
    </row>
    <row r="78" spans="1:34">
      <c r="A78" s="89"/>
      <c r="C78" s="89"/>
      <c r="D78" s="89"/>
      <c r="E78" s="89"/>
      <c r="G78" s="89"/>
      <c r="H78" s="267"/>
      <c r="I78" s="89"/>
      <c r="K78" s="89"/>
      <c r="L78" s="89"/>
      <c r="M78" s="89"/>
      <c r="N78" s="94"/>
      <c r="O78" s="89"/>
      <c r="P78" s="89"/>
      <c r="S78" s="314"/>
      <c r="T78" s="314"/>
      <c r="U78" s="314"/>
      <c r="V78" s="456"/>
      <c r="W78" s="443"/>
      <c r="X78" s="443"/>
      <c r="Y78" s="443"/>
      <c r="AA78" s="364"/>
      <c r="AB78" s="311"/>
      <c r="AC78" s="311"/>
      <c r="AD78" s="311"/>
      <c r="AF78" s="458"/>
      <c r="AG78" s="458"/>
      <c r="AH78" s="458"/>
    </row>
    <row r="79" spans="1:34">
      <c r="A79" s="89" t="s">
        <v>322</v>
      </c>
      <c r="C79" s="89"/>
      <c r="D79" s="89"/>
      <c r="E79" s="89"/>
      <c r="G79" s="89"/>
      <c r="H79" s="267">
        <v>8240508</v>
      </c>
      <c r="I79" s="89"/>
      <c r="K79" s="89"/>
      <c r="L79" s="89"/>
      <c r="M79" s="89"/>
      <c r="N79" s="94">
        <f>ROUND(H79/H81,4)</f>
        <v>0.7944</v>
      </c>
      <c r="O79" s="89"/>
      <c r="P79" s="89"/>
      <c r="S79" s="314"/>
      <c r="T79" s="314"/>
      <c r="U79" s="314"/>
      <c r="V79" s="456"/>
      <c r="W79" s="443"/>
      <c r="X79" s="443"/>
      <c r="Y79" s="443"/>
      <c r="AA79" s="364"/>
      <c r="AB79" s="311"/>
      <c r="AC79" s="311"/>
      <c r="AD79" s="311"/>
      <c r="AF79" s="458"/>
      <c r="AG79" s="458"/>
      <c r="AH79" s="458"/>
    </row>
    <row r="80" spans="1:34">
      <c r="A80" s="89"/>
      <c r="B80" s="89"/>
      <c r="C80" s="89"/>
      <c r="D80" s="89"/>
      <c r="E80" s="89"/>
      <c r="G80" s="89"/>
      <c r="H80" s="306"/>
      <c r="I80" s="89"/>
      <c r="K80" s="89"/>
      <c r="L80" s="89"/>
      <c r="M80" s="89"/>
      <c r="N80" s="96"/>
      <c r="O80" s="89"/>
      <c r="P80" s="89"/>
      <c r="S80" s="314"/>
      <c r="T80" s="314"/>
      <c r="U80" s="314"/>
      <c r="V80" s="456"/>
      <c r="W80" s="443"/>
      <c r="X80" s="443"/>
      <c r="Y80" s="443"/>
      <c r="AA80" s="364"/>
      <c r="AB80" s="311"/>
      <c r="AC80" s="311"/>
      <c r="AD80" s="311"/>
      <c r="AF80" s="458"/>
      <c r="AG80" s="458"/>
      <c r="AH80" s="458"/>
    </row>
    <row r="81" spans="1:34" ht="15.75" thickBot="1">
      <c r="A81" s="89"/>
      <c r="B81" s="89" t="s">
        <v>317</v>
      </c>
      <c r="C81" s="89"/>
      <c r="D81" s="89"/>
      <c r="E81" s="89"/>
      <c r="G81" s="89"/>
      <c r="H81" s="307">
        <f>SUM(H77:H80)</f>
        <v>10373798</v>
      </c>
      <c r="I81" s="89"/>
      <c r="K81" s="89"/>
      <c r="L81" s="89"/>
      <c r="M81" s="89"/>
      <c r="N81" s="94">
        <f>SUM(N77:N80)</f>
        <v>1</v>
      </c>
      <c r="O81" s="89"/>
      <c r="P81" s="89"/>
      <c r="S81" s="314"/>
      <c r="T81" s="314"/>
      <c r="U81" s="314"/>
      <c r="V81" s="456"/>
      <c r="W81" s="443"/>
      <c r="X81" s="443"/>
      <c r="Y81" s="443"/>
      <c r="AA81" s="364"/>
      <c r="AB81" s="311"/>
      <c r="AC81" s="311"/>
      <c r="AD81" s="311"/>
      <c r="AF81" s="458"/>
      <c r="AG81" s="458"/>
      <c r="AH81" s="458"/>
    </row>
    <row r="82" spans="1:34" ht="15.75" thickTop="1">
      <c r="A82" s="89"/>
      <c r="B82" s="89"/>
      <c r="C82" s="89"/>
      <c r="D82" s="89"/>
      <c r="E82" s="89"/>
      <c r="F82" s="89"/>
      <c r="G82" s="89"/>
      <c r="H82" s="168"/>
      <c r="I82" s="89"/>
      <c r="J82" s="89"/>
      <c r="K82" s="89"/>
      <c r="L82" s="89"/>
      <c r="M82" s="89"/>
      <c r="N82" s="97"/>
      <c r="O82" s="89"/>
      <c r="P82" s="89"/>
      <c r="S82" s="314"/>
      <c r="T82" s="314"/>
      <c r="U82" s="314"/>
      <c r="V82" s="456"/>
      <c r="W82" s="443"/>
      <c r="X82" s="443"/>
      <c r="Y82" s="443"/>
      <c r="AA82" s="364"/>
      <c r="AB82" s="311"/>
      <c r="AC82" s="311"/>
      <c r="AD82" s="311"/>
      <c r="AF82" s="458"/>
      <c r="AG82" s="458"/>
      <c r="AH82" s="458"/>
    </row>
    <row r="83" spans="1:34">
      <c r="A83" s="89"/>
      <c r="B83" s="89"/>
      <c r="C83" s="89"/>
      <c r="D83" s="89"/>
      <c r="E83" s="89"/>
      <c r="F83" s="89"/>
      <c r="G83" s="89"/>
      <c r="H83" s="267"/>
      <c r="I83" s="89"/>
      <c r="J83" s="89"/>
      <c r="K83" s="89"/>
      <c r="L83" s="89"/>
      <c r="M83" s="89"/>
      <c r="N83" s="89"/>
      <c r="O83" s="89"/>
      <c r="P83" s="89"/>
      <c r="S83" s="314"/>
      <c r="T83" s="314"/>
      <c r="U83" s="314"/>
      <c r="V83" s="456"/>
      <c r="W83" s="443"/>
      <c r="X83" s="443"/>
      <c r="Y83" s="443"/>
      <c r="AA83" s="364"/>
      <c r="AB83" s="311"/>
      <c r="AC83" s="311"/>
      <c r="AD83" s="311"/>
      <c r="AF83" s="458"/>
      <c r="AG83" s="458"/>
      <c r="AH83" s="458"/>
    </row>
    <row r="84" spans="1:34">
      <c r="S84" s="314"/>
      <c r="T84" s="314"/>
      <c r="U84" s="314"/>
      <c r="V84" s="444"/>
      <c r="W84" s="443"/>
      <c r="X84" s="443"/>
      <c r="Y84" s="443"/>
      <c r="AA84" s="137"/>
      <c r="AB84" s="311"/>
      <c r="AC84" s="311"/>
      <c r="AD84" s="311"/>
      <c r="AF84" s="458"/>
      <c r="AG84" s="458"/>
      <c r="AH84" s="458"/>
    </row>
    <row r="85" spans="1:34">
      <c r="S85" s="314"/>
      <c r="T85" s="314"/>
      <c r="U85" s="314"/>
      <c r="V85" s="444"/>
      <c r="W85" s="443"/>
      <c r="X85" s="443"/>
      <c r="Y85" s="443"/>
      <c r="AA85" s="137"/>
      <c r="AB85" s="311"/>
      <c r="AC85" s="311"/>
      <c r="AD85" s="311"/>
      <c r="AF85" s="458"/>
      <c r="AG85" s="458"/>
      <c r="AH85" s="458"/>
    </row>
    <row r="86" spans="1:34">
      <c r="S86" s="314"/>
      <c r="T86" s="314"/>
      <c r="U86" s="314"/>
      <c r="V86" s="444"/>
      <c r="W86" s="443"/>
      <c r="X86" s="443"/>
      <c r="Y86" s="443"/>
      <c r="AA86" s="137"/>
      <c r="AB86" s="311"/>
      <c r="AC86" s="311"/>
      <c r="AD86" s="311"/>
      <c r="AF86" s="458"/>
      <c r="AG86" s="458"/>
      <c r="AH86" s="458"/>
    </row>
    <row r="87" spans="1:34">
      <c r="S87" s="314"/>
      <c r="T87" s="314"/>
      <c r="U87" s="314"/>
      <c r="V87" s="444"/>
      <c r="W87" s="443"/>
      <c r="X87" s="443"/>
      <c r="Y87" s="443"/>
      <c r="AA87" s="137"/>
      <c r="AB87" s="311"/>
      <c r="AC87" s="311"/>
      <c r="AD87" s="311"/>
      <c r="AF87" s="458"/>
      <c r="AG87" s="458"/>
      <c r="AH87" s="458"/>
    </row>
    <row r="88" spans="1:34">
      <c r="S88" s="314"/>
      <c r="T88" s="314"/>
      <c r="U88" s="314"/>
      <c r="V88" s="444"/>
      <c r="W88" s="443"/>
      <c r="X88" s="443"/>
      <c r="Y88" s="443"/>
      <c r="AA88" s="137"/>
      <c r="AB88" s="311"/>
      <c r="AC88" s="311"/>
      <c r="AD88" s="311"/>
      <c r="AF88" s="458"/>
      <c r="AG88" s="458"/>
      <c r="AH88" s="458"/>
    </row>
    <row r="89" spans="1:34">
      <c r="S89" s="314"/>
      <c r="T89" s="314"/>
      <c r="U89" s="314"/>
      <c r="V89" s="444"/>
      <c r="W89" s="443"/>
      <c r="X89" s="443"/>
      <c r="Y89" s="443"/>
      <c r="AA89" s="137"/>
      <c r="AB89" s="311"/>
      <c r="AC89" s="311"/>
      <c r="AD89" s="311"/>
      <c r="AF89" s="458"/>
      <c r="AG89" s="458"/>
      <c r="AH89" s="458"/>
    </row>
    <row r="90" spans="1:34">
      <c r="S90" s="314"/>
      <c r="T90" s="314"/>
      <c r="U90" s="314"/>
      <c r="V90" s="444"/>
      <c r="W90" s="443"/>
      <c r="X90" s="443"/>
      <c r="Y90" s="443"/>
      <c r="AA90" s="137"/>
      <c r="AB90" s="311"/>
      <c r="AC90" s="311"/>
      <c r="AD90" s="311"/>
      <c r="AF90" s="458"/>
      <c r="AG90" s="458"/>
      <c r="AH90" s="458"/>
    </row>
    <row r="91" spans="1:34">
      <c r="S91" s="314"/>
      <c r="T91" s="314"/>
      <c r="U91" s="314"/>
      <c r="V91" s="444"/>
      <c r="W91" s="443"/>
      <c r="X91" s="443"/>
      <c r="Y91" s="443"/>
      <c r="AA91" s="137"/>
      <c r="AB91" s="311"/>
      <c r="AC91" s="311"/>
      <c r="AD91" s="311"/>
      <c r="AF91" s="458"/>
      <c r="AG91" s="458"/>
      <c r="AH91" s="458"/>
    </row>
    <row r="92" spans="1:34">
      <c r="S92" s="314"/>
      <c r="T92" s="314"/>
      <c r="U92" s="314"/>
      <c r="V92" s="444"/>
      <c r="W92" s="443"/>
      <c r="X92" s="443"/>
      <c r="Y92" s="443"/>
      <c r="AA92" s="137"/>
      <c r="AB92" s="311"/>
      <c r="AC92" s="311"/>
      <c r="AD92" s="311"/>
      <c r="AF92" s="458"/>
      <c r="AG92" s="458"/>
      <c r="AH92" s="458"/>
    </row>
    <row r="93" spans="1:34">
      <c r="S93" s="314"/>
      <c r="T93" s="314"/>
      <c r="U93" s="314"/>
      <c r="V93" s="444"/>
      <c r="W93" s="443"/>
      <c r="X93" s="443"/>
      <c r="Y93" s="443"/>
      <c r="AA93" s="137"/>
      <c r="AB93" s="311"/>
      <c r="AC93" s="311"/>
      <c r="AD93" s="311"/>
      <c r="AF93" s="458"/>
      <c r="AG93" s="458"/>
      <c r="AH93" s="458"/>
    </row>
    <row r="94" spans="1:34">
      <c r="S94" s="314"/>
      <c r="T94" s="314"/>
      <c r="U94" s="314"/>
      <c r="V94" s="444"/>
      <c r="W94" s="443"/>
      <c r="X94" s="443"/>
      <c r="Y94" s="443"/>
      <c r="AA94" s="137"/>
      <c r="AB94" s="311"/>
      <c r="AC94" s="311"/>
      <c r="AD94" s="311"/>
      <c r="AF94" s="458"/>
      <c r="AG94" s="458"/>
      <c r="AH94" s="458"/>
    </row>
    <row r="95" spans="1:34">
      <c r="S95" s="314"/>
      <c r="T95" s="314"/>
      <c r="U95" s="314"/>
      <c r="V95" s="444"/>
      <c r="W95" s="443"/>
      <c r="X95" s="443"/>
      <c r="Y95" s="443"/>
      <c r="AA95" s="137"/>
      <c r="AB95" s="311"/>
      <c r="AC95" s="311"/>
      <c r="AD95" s="311"/>
      <c r="AF95" s="458"/>
      <c r="AG95" s="458"/>
      <c r="AH95" s="458"/>
    </row>
    <row r="96" spans="1:34">
      <c r="S96" s="314"/>
      <c r="T96" s="314"/>
      <c r="U96" s="314"/>
      <c r="V96" s="444"/>
      <c r="W96" s="443"/>
      <c r="X96" s="443"/>
      <c r="Y96" s="443"/>
      <c r="AA96" s="137"/>
      <c r="AB96" s="311"/>
      <c r="AC96" s="311"/>
      <c r="AD96" s="311"/>
      <c r="AF96" s="458"/>
      <c r="AG96" s="458"/>
      <c r="AH96" s="458"/>
    </row>
    <row r="97" spans="19:34">
      <c r="S97" s="314"/>
      <c r="T97" s="314"/>
      <c r="U97" s="314"/>
      <c r="V97" s="444"/>
      <c r="W97" s="443"/>
      <c r="X97" s="443"/>
      <c r="Y97" s="443"/>
      <c r="AA97" s="137"/>
      <c r="AB97" s="311"/>
      <c r="AC97" s="311"/>
      <c r="AD97" s="311"/>
      <c r="AF97" s="458"/>
      <c r="AG97" s="458"/>
      <c r="AH97" s="458"/>
    </row>
    <row r="98" spans="19:34">
      <c r="S98" s="314"/>
      <c r="T98" s="314"/>
      <c r="U98" s="314"/>
      <c r="V98" s="444"/>
      <c r="W98" s="443"/>
      <c r="X98" s="443"/>
      <c r="Y98" s="443"/>
      <c r="AA98" s="137"/>
      <c r="AB98" s="311"/>
      <c r="AC98" s="311"/>
      <c r="AD98" s="311"/>
      <c r="AF98" s="458"/>
      <c r="AG98" s="458"/>
      <c r="AH98" s="458"/>
    </row>
    <row r="99" spans="19:34">
      <c r="S99" s="314"/>
      <c r="T99" s="314"/>
      <c r="U99" s="314"/>
      <c r="V99" s="444"/>
      <c r="W99" s="443"/>
      <c r="X99" s="443"/>
      <c r="Y99" s="443"/>
      <c r="AA99" s="137"/>
      <c r="AB99" s="311"/>
      <c r="AC99" s="311"/>
      <c r="AD99" s="311"/>
      <c r="AF99" s="458"/>
      <c r="AG99" s="458"/>
      <c r="AH99" s="458"/>
    </row>
    <row r="100" spans="19:34">
      <c r="S100" s="314"/>
      <c r="T100" s="314"/>
      <c r="U100" s="314"/>
      <c r="V100" s="444"/>
      <c r="W100" s="443"/>
      <c r="X100" s="443"/>
      <c r="Y100" s="443"/>
      <c r="AA100" s="137"/>
      <c r="AB100" s="311"/>
      <c r="AC100" s="311"/>
      <c r="AD100" s="311"/>
      <c r="AF100" s="458"/>
      <c r="AG100" s="458"/>
      <c r="AH100" s="458"/>
    </row>
    <row r="101" spans="19:34">
      <c r="S101" s="314"/>
      <c r="T101" s="314"/>
      <c r="U101" s="314"/>
      <c r="V101" s="444"/>
      <c r="W101" s="443"/>
      <c r="X101" s="443"/>
      <c r="Y101" s="443"/>
      <c r="AA101" s="137"/>
      <c r="AB101" s="311"/>
      <c r="AC101" s="311"/>
      <c r="AD101" s="311"/>
    </row>
    <row r="102" spans="19:34">
      <c r="S102" s="314"/>
      <c r="T102" s="314"/>
      <c r="U102" s="314"/>
      <c r="V102" s="444"/>
      <c r="W102" s="443"/>
      <c r="X102" s="443"/>
      <c r="Y102" s="443"/>
      <c r="AA102" s="137"/>
      <c r="AB102" s="311"/>
      <c r="AC102" s="311"/>
      <c r="AD102" s="311"/>
    </row>
    <row r="103" spans="19:34">
      <c r="S103" s="314"/>
      <c r="T103" s="314"/>
      <c r="U103" s="314"/>
      <c r="V103" s="444"/>
      <c r="W103" s="443"/>
      <c r="X103" s="443"/>
      <c r="Y103" s="443"/>
      <c r="AA103" s="137"/>
      <c r="AB103" s="311"/>
      <c r="AC103" s="311"/>
      <c r="AD103" s="311"/>
    </row>
    <row r="104" spans="19:34">
      <c r="S104" s="314"/>
      <c r="T104" s="314"/>
      <c r="U104" s="314"/>
      <c r="V104" s="457"/>
      <c r="W104" s="443"/>
      <c r="X104" s="443"/>
      <c r="Y104" s="443"/>
      <c r="AA104" s="402"/>
      <c r="AB104" s="311"/>
      <c r="AC104" s="311"/>
      <c r="AD104" s="311"/>
    </row>
    <row r="105" spans="19:34">
      <c r="S105" s="314"/>
      <c r="T105" s="314"/>
      <c r="U105" s="314"/>
      <c r="V105" s="444"/>
      <c r="W105" s="443"/>
      <c r="X105" s="443"/>
      <c r="Y105" s="443"/>
      <c r="AA105" s="137"/>
      <c r="AB105" s="311"/>
      <c r="AC105" s="311"/>
      <c r="AD105" s="311"/>
    </row>
    <row r="106" spans="19:34">
      <c r="S106" s="314"/>
      <c r="T106" s="314"/>
      <c r="U106" s="314"/>
      <c r="V106" s="444"/>
      <c r="W106" s="443"/>
      <c r="X106" s="443"/>
      <c r="Y106" s="443"/>
      <c r="AA106" s="137"/>
      <c r="AB106" s="311"/>
      <c r="AC106" s="311"/>
      <c r="AD106" s="311"/>
    </row>
    <row r="107" spans="19:34">
      <c r="S107" s="314"/>
      <c r="T107" s="314"/>
      <c r="U107" s="314"/>
      <c r="V107" s="444"/>
      <c r="W107" s="443"/>
      <c r="X107" s="443"/>
      <c r="Y107" s="443"/>
      <c r="AA107" s="137"/>
      <c r="AB107" s="311"/>
      <c r="AC107" s="311"/>
      <c r="AD107" s="311"/>
    </row>
    <row r="108" spans="19:34">
      <c r="V108" s="444"/>
      <c r="W108" s="443"/>
      <c r="X108" s="443"/>
      <c r="Y108" s="443"/>
      <c r="AA108" s="137"/>
      <c r="AB108" s="311"/>
      <c r="AC108" s="311"/>
      <c r="AD108" s="311"/>
    </row>
    <row r="109" spans="19:34">
      <c r="V109" s="444"/>
      <c r="W109" s="443"/>
      <c r="X109" s="443"/>
      <c r="Y109" s="443"/>
      <c r="AA109" s="137"/>
      <c r="AB109" s="311"/>
      <c r="AC109" s="311"/>
      <c r="AD109" s="311"/>
    </row>
    <row r="110" spans="19:34">
      <c r="V110" s="444"/>
      <c r="W110" s="443"/>
      <c r="X110" s="443"/>
      <c r="Y110" s="443"/>
      <c r="AA110" s="137"/>
      <c r="AB110" s="311"/>
      <c r="AC110" s="311"/>
      <c r="AD110" s="311"/>
    </row>
    <row r="111" spans="19:34">
      <c r="V111" s="444"/>
      <c r="W111" s="443"/>
      <c r="X111" s="443"/>
      <c r="Y111" s="443"/>
      <c r="AA111" s="137"/>
      <c r="AB111" s="311"/>
      <c r="AC111" s="311"/>
      <c r="AD111" s="311"/>
    </row>
    <row r="112" spans="19:34">
      <c r="V112" s="444"/>
      <c r="W112" s="443"/>
      <c r="X112" s="443"/>
      <c r="Y112" s="443"/>
      <c r="AA112" s="137"/>
      <c r="AB112" s="311"/>
      <c r="AC112" s="311"/>
      <c r="AD112" s="311"/>
    </row>
    <row r="113" spans="22:30">
      <c r="V113" s="444"/>
      <c r="W113" s="443"/>
      <c r="X113" s="443"/>
      <c r="Y113" s="443"/>
      <c r="AA113" s="137"/>
      <c r="AB113" s="311"/>
      <c r="AC113" s="311"/>
      <c r="AD113" s="311"/>
    </row>
    <row r="114" spans="22:30">
      <c r="V114" s="444"/>
      <c r="W114" s="443"/>
      <c r="X114" s="443"/>
      <c r="Y114" s="443"/>
      <c r="AA114" s="137"/>
      <c r="AB114" s="311"/>
      <c r="AC114" s="311"/>
      <c r="AD114" s="311"/>
    </row>
    <row r="115" spans="22:30">
      <c r="V115" s="444"/>
      <c r="W115" s="443"/>
      <c r="X115" s="443"/>
      <c r="Y115" s="443"/>
      <c r="AA115" s="137"/>
      <c r="AB115" s="311"/>
      <c r="AC115" s="311"/>
      <c r="AD115" s="311"/>
    </row>
    <row r="116" spans="22:30">
      <c r="V116" s="444"/>
      <c r="W116" s="443"/>
      <c r="X116" s="443"/>
      <c r="Y116" s="443"/>
      <c r="AA116" s="137"/>
      <c r="AB116" s="311"/>
      <c r="AC116" s="311"/>
      <c r="AD116" s="311"/>
    </row>
    <row r="117" spans="22:30">
      <c r="V117" s="444"/>
      <c r="W117" s="444"/>
      <c r="X117" s="444"/>
      <c r="Y117" s="444"/>
    </row>
    <row r="118" spans="22:30">
      <c r="V118" s="444"/>
      <c r="W118" s="444"/>
      <c r="X118" s="444"/>
      <c r="Y118" s="446"/>
    </row>
    <row r="119" spans="22:30">
      <c r="V119" s="444"/>
      <c r="W119" s="444"/>
      <c r="X119" s="444"/>
      <c r="Y119" s="444"/>
    </row>
    <row r="120" spans="22:30">
      <c r="V120" s="444"/>
      <c r="W120" s="444"/>
      <c r="X120" s="444"/>
      <c r="Y120" s="443"/>
    </row>
    <row r="121" spans="22:30">
      <c r="V121" s="444"/>
      <c r="W121" s="444"/>
      <c r="X121" s="444"/>
      <c r="Y121" s="446"/>
    </row>
  </sheetData>
  <mergeCells count="4">
    <mergeCell ref="A9:P9"/>
    <mergeCell ref="A29:P29"/>
    <mergeCell ref="A52:P52"/>
    <mergeCell ref="A72:P72"/>
  </mergeCells>
  <phoneticPr fontId="11" type="noConversion"/>
  <printOptions horizontalCentered="1"/>
  <pageMargins left="1" right="0.75" top="1" bottom="0.5" header="0.5" footer="0.5"/>
  <pageSetup scale="90" fitToHeight="0" orientation="portrait" r:id="rId1"/>
  <headerFooter alignWithMargins="0"/>
  <rowBreaks count="1" manualBreakCount="1">
    <brk id="43" max="15" man="1"/>
  </rowBreaks>
</worksheet>
</file>

<file path=xl/worksheets/sheet9.xml><?xml version="1.0" encoding="utf-8"?>
<worksheet xmlns="http://schemas.openxmlformats.org/spreadsheetml/2006/main" xmlns:r="http://schemas.openxmlformats.org/officeDocument/2006/relationships">
  <sheetPr>
    <pageSetUpPr autoPageBreaks="0"/>
  </sheetPr>
  <dimension ref="A1:AY197"/>
  <sheetViews>
    <sheetView workbookViewId="0"/>
  </sheetViews>
  <sheetFormatPr defaultColWidth="9.77734375" defaultRowHeight="15"/>
  <cols>
    <col min="1" max="1" width="7.77734375" style="102" customWidth="1"/>
    <col min="2" max="2" width="8.44140625" style="102" customWidth="1"/>
    <col min="3" max="3" width="11.88671875" style="102" customWidth="1"/>
    <col min="4" max="4" width="10.6640625" style="102" customWidth="1"/>
    <col min="5" max="5" width="11.88671875" style="102" customWidth="1"/>
    <col min="6" max="6" width="10.6640625" style="102" customWidth="1"/>
    <col min="7" max="7" width="6.88671875" style="102" customWidth="1"/>
    <col min="8" max="9" width="9.77734375" style="102" customWidth="1"/>
    <col min="10" max="10" width="5.77734375" style="102" customWidth="1"/>
    <col min="11" max="11" width="8.6640625" style="102" customWidth="1"/>
    <col min="12" max="12" width="7.77734375" style="102" customWidth="1"/>
    <col min="13" max="13" width="1.77734375" style="102" customWidth="1"/>
    <col min="14" max="14" width="7.77734375" style="102" customWidth="1"/>
    <col min="15" max="15" width="1.77734375" style="102" customWidth="1"/>
    <col min="16" max="16" width="7.77734375" style="102" customWidth="1"/>
    <col min="17" max="17" width="1.77734375" style="102" customWidth="1"/>
    <col min="18" max="18" width="7.77734375" style="102" customWidth="1"/>
    <col min="19" max="19" width="1.77734375" style="102" customWidth="1"/>
    <col min="20" max="20" width="7.77734375" style="102" customWidth="1"/>
    <col min="21" max="21" width="1.77734375" style="102" customWidth="1"/>
    <col min="22" max="22" width="7.77734375" style="102" customWidth="1"/>
    <col min="23" max="23" width="1.77734375" style="102" customWidth="1"/>
    <col min="24" max="24" width="8.77734375" style="102" customWidth="1"/>
    <col min="25" max="25" width="1.77734375" style="102" customWidth="1"/>
    <col min="26" max="26" width="7.77734375" style="102" customWidth="1"/>
    <col min="27" max="27" width="1.77734375" style="102" customWidth="1"/>
    <col min="28" max="28" width="8.77734375" style="102" customWidth="1"/>
    <col min="29" max="29" width="1.77734375" style="102" customWidth="1"/>
    <col min="30" max="30" width="7.77734375" style="102" customWidth="1"/>
    <col min="31" max="31" width="1.77734375" style="102" customWidth="1"/>
    <col min="32" max="32" width="9.77734375" style="102" customWidth="1"/>
    <col min="33" max="33" width="1.77734375" style="102" customWidth="1"/>
    <col min="34" max="34" width="7.77734375" style="102" customWidth="1"/>
    <col min="35" max="35" width="1.77734375" style="102" customWidth="1"/>
    <col min="36" max="36" width="9.77734375" style="102" customWidth="1"/>
    <col min="37" max="37" width="1.77734375" style="102" customWidth="1"/>
    <col min="38" max="38" width="7.77734375" style="102" customWidth="1"/>
    <col min="39" max="39" width="1.77734375" style="102" customWidth="1"/>
    <col min="40" max="40" width="7.77734375" style="102" customWidth="1"/>
    <col min="41" max="42" width="9.77734375" style="102" customWidth="1"/>
    <col min="43" max="43" width="6.77734375" style="102" customWidth="1"/>
    <col min="44" max="44" width="4.77734375" style="102" customWidth="1"/>
    <col min="45" max="45" width="9.77734375" style="102" customWidth="1"/>
    <col min="46" max="46" width="4.77734375" style="102" customWidth="1"/>
    <col min="47" max="47" width="9.77734375" style="102" customWidth="1"/>
    <col min="48" max="48" width="4.77734375" style="102" customWidth="1"/>
    <col min="49" max="49" width="9.77734375" style="102" customWidth="1"/>
    <col min="50" max="50" width="4.77734375" style="102" customWidth="1"/>
    <col min="51" max="51" width="8.77734375" style="102" customWidth="1"/>
    <col min="52" max="16384" width="9.77734375" style="102"/>
  </cols>
  <sheetData>
    <row r="1" spans="1:7">
      <c r="A1" s="37" t="s">
        <v>7</v>
      </c>
      <c r="B1" s="101"/>
      <c r="C1" s="100"/>
      <c r="D1" s="101"/>
      <c r="E1" s="101"/>
      <c r="F1" s="101"/>
      <c r="G1" s="101"/>
    </row>
    <row r="2" spans="1:7">
      <c r="A2" s="37"/>
      <c r="B2" s="101"/>
      <c r="C2" s="100"/>
      <c r="D2" s="101"/>
      <c r="E2" s="101"/>
      <c r="F2" s="101"/>
      <c r="G2" s="101"/>
    </row>
    <row r="3" spans="1:7">
      <c r="A3" s="101"/>
      <c r="B3" s="101"/>
      <c r="C3" s="101"/>
      <c r="D3" s="101"/>
      <c r="E3" s="101"/>
      <c r="F3" s="101"/>
      <c r="G3" s="101"/>
    </row>
    <row r="4" spans="1:7">
      <c r="A4" s="629" t="s">
        <v>236</v>
      </c>
      <c r="B4" s="629"/>
      <c r="C4" s="629"/>
      <c r="D4" s="629"/>
      <c r="E4" s="629"/>
      <c r="F4" s="629"/>
      <c r="G4" s="629"/>
    </row>
    <row r="5" spans="1:7">
      <c r="A5" s="103"/>
      <c r="B5" s="103"/>
      <c r="C5" s="103"/>
      <c r="D5" s="103"/>
      <c r="E5" s="103"/>
      <c r="F5" s="103"/>
      <c r="G5" s="103"/>
    </row>
    <row r="6" spans="1:7">
      <c r="A6" s="103"/>
      <c r="B6" s="103"/>
      <c r="C6" s="103"/>
      <c r="D6" s="103"/>
      <c r="E6" s="103"/>
      <c r="F6" s="103"/>
      <c r="G6" s="103"/>
    </row>
    <row r="7" spans="1:7">
      <c r="A7" s="103" t="s">
        <v>157</v>
      </c>
      <c r="B7" s="103"/>
      <c r="C7" s="103"/>
      <c r="D7" s="103"/>
      <c r="E7" s="103"/>
      <c r="F7" s="103"/>
      <c r="G7" s="103"/>
    </row>
    <row r="8" spans="1:7">
      <c r="A8" s="103"/>
      <c r="B8" s="103"/>
      <c r="C8" s="103"/>
      <c r="D8" s="103"/>
      <c r="E8" s="103"/>
      <c r="F8" s="103"/>
      <c r="G8" s="103"/>
    </row>
    <row r="9" spans="1:7">
      <c r="A9" s="103" t="s">
        <v>180</v>
      </c>
      <c r="B9" s="103"/>
      <c r="C9" s="103"/>
      <c r="D9" s="103"/>
      <c r="E9" s="103"/>
      <c r="F9" s="103"/>
      <c r="G9" s="103"/>
    </row>
    <row r="10" spans="1:7">
      <c r="A10" s="103"/>
      <c r="B10" s="103"/>
      <c r="C10" s="103"/>
      <c r="D10" s="103"/>
      <c r="E10" s="103"/>
      <c r="F10" s="103"/>
      <c r="G10" s="103"/>
    </row>
    <row r="11" spans="1:7">
      <c r="A11" s="101" t="s">
        <v>204</v>
      </c>
      <c r="B11" s="100"/>
      <c r="C11" s="103"/>
      <c r="D11"/>
      <c r="E11" s="104"/>
      <c r="F11" s="104" t="s">
        <v>206</v>
      </c>
      <c r="G11" s="103"/>
    </row>
    <row r="12" spans="1:7">
      <c r="A12" s="101" t="s">
        <v>207</v>
      </c>
      <c r="B12" s="100"/>
      <c r="C12" s="103"/>
      <c r="D12"/>
      <c r="E12" s="104"/>
      <c r="F12" s="104" t="s">
        <v>208</v>
      </c>
      <c r="G12" s="103"/>
    </row>
    <row r="13" spans="1:7">
      <c r="A13" s="105" t="s">
        <v>209</v>
      </c>
      <c r="B13" s="106"/>
      <c r="C13" s="103"/>
      <c r="D13"/>
      <c r="E13" s="104"/>
      <c r="F13" s="107" t="s">
        <v>211</v>
      </c>
      <c r="G13" s="103"/>
    </row>
    <row r="14" spans="1:7" ht="12.75" customHeight="1">
      <c r="A14" s="103"/>
      <c r="C14" s="103"/>
      <c r="D14"/>
      <c r="E14" s="103"/>
      <c r="F14" s="103"/>
      <c r="G14" s="103"/>
    </row>
    <row r="15" spans="1:7">
      <c r="A15" s="108" t="s">
        <v>219</v>
      </c>
      <c r="C15" s="103"/>
      <c r="D15"/>
      <c r="E15" s="103"/>
      <c r="F15" s="110">
        <v>1</v>
      </c>
      <c r="G15" s="103"/>
    </row>
    <row r="16" spans="1:7">
      <c r="A16" s="103"/>
      <c r="B16" s="103"/>
      <c r="C16" s="103"/>
      <c r="D16"/>
      <c r="E16" s="103"/>
      <c r="F16" s="112"/>
      <c r="G16" s="103"/>
    </row>
    <row r="17" spans="1:11" ht="15.75" thickBot="1">
      <c r="A17" s="103" t="s">
        <v>324</v>
      </c>
      <c r="B17" s="103"/>
      <c r="C17" s="103"/>
      <c r="D17"/>
      <c r="E17" s="103"/>
      <c r="F17" s="110">
        <f>SUM(F15:F15)</f>
        <v>1</v>
      </c>
      <c r="G17" s="103"/>
    </row>
    <row r="18" spans="1:11" ht="15.75" thickTop="1">
      <c r="A18" s="103"/>
      <c r="B18" s="103"/>
      <c r="C18" s="103"/>
      <c r="D18"/>
      <c r="E18" s="103"/>
      <c r="F18" s="113"/>
      <c r="G18" s="103"/>
    </row>
    <row r="19" spans="1:11">
      <c r="A19" s="103"/>
      <c r="B19" s="103"/>
      <c r="C19" s="103"/>
      <c r="D19" s="103"/>
      <c r="E19" s="103"/>
      <c r="F19" s="103"/>
      <c r="G19" s="103"/>
    </row>
    <row r="20" spans="1:11">
      <c r="A20" s="103"/>
      <c r="B20" s="103"/>
      <c r="C20" s="103"/>
      <c r="D20" s="103"/>
      <c r="E20" s="103"/>
      <c r="F20" s="103"/>
      <c r="G20" s="103"/>
    </row>
    <row r="21" spans="1:11">
      <c r="A21" s="103" t="s">
        <v>325</v>
      </c>
      <c r="B21" s="103"/>
      <c r="C21" s="103"/>
      <c r="D21" s="103"/>
      <c r="E21" s="103"/>
      <c r="F21" s="103"/>
      <c r="G21" s="103"/>
    </row>
    <row r="22" spans="1:11">
      <c r="A22" s="103"/>
      <c r="B22" s="103"/>
      <c r="C22" s="103"/>
      <c r="D22" s="103"/>
      <c r="E22" s="103"/>
      <c r="F22" s="103"/>
      <c r="G22" s="103"/>
    </row>
    <row r="23" spans="1:11" ht="28.15" customHeight="1">
      <c r="A23" s="628" t="s">
        <v>326</v>
      </c>
      <c r="B23" s="628"/>
      <c r="C23" s="628"/>
      <c r="D23" s="628"/>
      <c r="E23" s="628"/>
      <c r="F23" s="628"/>
      <c r="G23" s="628"/>
    </row>
    <row r="24" spans="1:11">
      <c r="A24" s="103"/>
      <c r="B24" s="103"/>
      <c r="C24" s="103"/>
      <c r="D24" s="103"/>
      <c r="E24" s="103"/>
      <c r="F24" s="103"/>
      <c r="G24" s="103"/>
    </row>
    <row r="25" spans="1:11">
      <c r="A25" s="101" t="s">
        <v>204</v>
      </c>
      <c r="B25" s="100"/>
      <c r="C25" s="103"/>
      <c r="D25" s="104" t="s">
        <v>327</v>
      </c>
      <c r="E25" s="104"/>
      <c r="F25" s="104" t="s">
        <v>206</v>
      </c>
      <c r="G25" s="103"/>
    </row>
    <row r="26" spans="1:11">
      <c r="A26" s="101" t="s">
        <v>207</v>
      </c>
      <c r="B26" s="100"/>
      <c r="C26" s="103"/>
      <c r="D26" s="104" t="s">
        <v>328</v>
      </c>
      <c r="E26" s="104"/>
      <c r="F26" s="104" t="s">
        <v>208</v>
      </c>
      <c r="G26" s="103"/>
    </row>
    <row r="27" spans="1:11">
      <c r="A27" s="105" t="s">
        <v>209</v>
      </c>
      <c r="B27" s="106"/>
      <c r="C27" s="103"/>
      <c r="D27" s="107" t="s">
        <v>229</v>
      </c>
      <c r="E27" s="104" t="s">
        <v>329</v>
      </c>
      <c r="F27" s="107" t="s">
        <v>211</v>
      </c>
      <c r="G27" s="103"/>
    </row>
    <row r="28" spans="1:11" ht="12.75" customHeight="1">
      <c r="A28" s="103"/>
      <c r="C28" s="103"/>
      <c r="D28" s="103"/>
      <c r="E28" s="103"/>
      <c r="F28" s="110"/>
      <c r="G28" s="103"/>
      <c r="I28" s="320"/>
      <c r="J28" s="320"/>
      <c r="K28" s="320"/>
    </row>
    <row r="29" spans="1:11">
      <c r="A29" s="103" t="s">
        <v>212</v>
      </c>
      <c r="C29" s="103"/>
      <c r="D29" s="109">
        <f>+'Meters &amp; Services'!H29</f>
        <v>113730</v>
      </c>
      <c r="E29" s="103"/>
      <c r="F29" s="114">
        <f>ROUND(+D29/D$36,4)+0.0001</f>
        <v>0.82699999999999996</v>
      </c>
      <c r="G29" s="103"/>
      <c r="I29" s="321"/>
      <c r="J29" s="320"/>
      <c r="K29" s="318"/>
    </row>
    <row r="30" spans="1:11">
      <c r="A30" s="103" t="s">
        <v>213</v>
      </c>
      <c r="C30" s="103"/>
      <c r="D30" s="109">
        <f>+'Meters &amp; Services'!L29</f>
        <v>18048</v>
      </c>
      <c r="E30" s="103"/>
      <c r="F30" s="110">
        <f t="shared" ref="F30:F34" si="0">ROUND(+D30/D$36,4)</f>
        <v>0.13120000000000001</v>
      </c>
      <c r="G30" s="103"/>
      <c r="I30" s="321"/>
      <c r="J30" s="320"/>
      <c r="K30" s="322"/>
    </row>
    <row r="31" spans="1:11">
      <c r="A31" s="103" t="s">
        <v>214</v>
      </c>
      <c r="C31" s="103"/>
      <c r="D31" s="109">
        <f>+'Meters &amp; Services'!P29</f>
        <v>570</v>
      </c>
      <c r="E31" s="103"/>
      <c r="F31" s="110">
        <f t="shared" si="0"/>
        <v>4.1000000000000003E-3</v>
      </c>
      <c r="G31" s="103"/>
      <c r="I31" s="321"/>
      <c r="J31" s="320"/>
      <c r="K31" s="322"/>
    </row>
    <row r="32" spans="1:11">
      <c r="A32" s="103" t="s">
        <v>216</v>
      </c>
      <c r="C32" s="103"/>
      <c r="D32" s="109">
        <f>+'Meters &amp; Services'!T29</f>
        <v>3260</v>
      </c>
      <c r="E32" s="103"/>
      <c r="F32" s="110">
        <f t="shared" si="0"/>
        <v>2.3699999999999999E-2</v>
      </c>
      <c r="G32" s="103"/>
      <c r="I32" s="321"/>
      <c r="J32" s="320"/>
      <c r="K32" s="322"/>
    </row>
    <row r="33" spans="1:51">
      <c r="A33" s="103" t="s">
        <v>337</v>
      </c>
      <c r="C33" s="103"/>
      <c r="D33" s="109">
        <f>+'Meters &amp; Services'!X29</f>
        <v>334</v>
      </c>
      <c r="E33" s="103"/>
      <c r="F33" s="110">
        <f t="shared" si="0"/>
        <v>2.3999999999999998E-3</v>
      </c>
      <c r="G33" s="103"/>
      <c r="I33" s="320"/>
      <c r="J33" s="320"/>
      <c r="K33" s="322"/>
    </row>
    <row r="34" spans="1:51">
      <c r="A34" s="103" t="s">
        <v>149</v>
      </c>
      <c r="C34" s="103"/>
      <c r="D34" s="109">
        <f>+'Meters &amp; Services'!AB29</f>
        <v>1595</v>
      </c>
      <c r="E34" s="103"/>
      <c r="F34" s="110">
        <f t="shared" si="0"/>
        <v>1.1599999999999999E-2</v>
      </c>
      <c r="G34" s="103"/>
      <c r="I34" s="320"/>
      <c r="J34" s="320"/>
      <c r="K34" s="322"/>
    </row>
    <row r="35" spans="1:51">
      <c r="A35" s="103"/>
      <c r="C35" s="103"/>
      <c r="D35" s="111"/>
      <c r="E35" s="103"/>
      <c r="F35" s="115"/>
      <c r="G35" s="103"/>
      <c r="I35" s="320"/>
      <c r="J35" s="320"/>
      <c r="K35" s="170"/>
    </row>
    <row r="36" spans="1:51" ht="15.75" thickBot="1">
      <c r="A36" s="103" t="s">
        <v>220</v>
      </c>
      <c r="C36" s="103"/>
      <c r="D36" s="109">
        <f>SUM(D29:D35)</f>
        <v>137537</v>
      </c>
      <c r="E36" s="103"/>
      <c r="F36" s="171">
        <f>SUM(F29:F35)</f>
        <v>1</v>
      </c>
      <c r="G36" s="103"/>
      <c r="I36" s="323"/>
      <c r="J36" s="320"/>
      <c r="K36" s="322"/>
    </row>
    <row r="37" spans="1:51" ht="15.75" thickTop="1">
      <c r="A37" s="103"/>
      <c r="B37" s="103"/>
      <c r="C37" s="103"/>
      <c r="D37" s="116"/>
      <c r="E37" s="117"/>
      <c r="F37" s="170"/>
      <c r="G37" s="103"/>
      <c r="I37" s="320"/>
      <c r="J37" s="320"/>
      <c r="K37" s="320"/>
    </row>
    <row r="38" spans="1:51">
      <c r="A38" s="37" t="s">
        <v>7</v>
      </c>
      <c r="B38" s="101"/>
      <c r="C38" s="100"/>
      <c r="D38" s="101"/>
      <c r="E38" s="101"/>
      <c r="F38" s="101"/>
      <c r="G38" s="101"/>
      <c r="H38" s="119"/>
      <c r="I38" s="324"/>
      <c r="J38" s="324"/>
      <c r="K38" s="324"/>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row>
    <row r="39" spans="1:51">
      <c r="A39" s="37"/>
      <c r="B39" s="101"/>
      <c r="C39" s="100"/>
      <c r="D39" s="101"/>
      <c r="E39" s="101"/>
      <c r="F39" s="101"/>
      <c r="G39" s="101"/>
    </row>
    <row r="40" spans="1:51">
      <c r="A40" s="101"/>
      <c r="B40" s="101"/>
      <c r="C40" s="101"/>
      <c r="D40" s="101"/>
      <c r="E40" s="101"/>
      <c r="F40" s="101"/>
      <c r="G40" s="101"/>
    </row>
    <row r="41" spans="1:51">
      <c r="A41" s="629" t="s">
        <v>236</v>
      </c>
      <c r="B41" s="629"/>
      <c r="C41" s="629"/>
      <c r="D41" s="629"/>
      <c r="E41" s="629"/>
      <c r="F41" s="629"/>
      <c r="G41" s="629"/>
    </row>
    <row r="42" spans="1:51">
      <c r="A42" s="103"/>
      <c r="B42" s="103"/>
      <c r="C42" s="103"/>
      <c r="D42" s="103"/>
      <c r="E42" s="103"/>
      <c r="F42" s="103"/>
      <c r="G42" s="103"/>
    </row>
    <row r="43" spans="1:51">
      <c r="A43" s="103"/>
      <c r="B43" s="103"/>
      <c r="C43" s="103"/>
      <c r="D43" s="103"/>
      <c r="E43" s="103"/>
      <c r="F43" s="103"/>
      <c r="G43" s="103"/>
    </row>
    <row r="44" spans="1:51">
      <c r="A44" s="103" t="s">
        <v>330</v>
      </c>
      <c r="B44" s="103"/>
      <c r="C44" s="103"/>
      <c r="D44" s="103"/>
      <c r="E44" s="103"/>
      <c r="F44" s="103"/>
      <c r="G44" s="103"/>
    </row>
    <row r="45" spans="1:51">
      <c r="A45" s="103"/>
      <c r="B45" s="103"/>
      <c r="C45" s="103"/>
      <c r="D45" s="103"/>
      <c r="E45" s="103"/>
      <c r="F45" s="103"/>
      <c r="G45" s="103"/>
    </row>
    <row r="46" spans="1:51" ht="27.6" customHeight="1">
      <c r="A46" s="628" t="s">
        <v>331</v>
      </c>
      <c r="B46" s="628"/>
      <c r="C46" s="628"/>
      <c r="D46" s="628"/>
      <c r="E46" s="628"/>
      <c r="F46" s="628"/>
      <c r="G46" s="103"/>
    </row>
    <row r="47" spans="1:51">
      <c r="A47" s="103"/>
      <c r="B47" s="103"/>
      <c r="C47" s="103"/>
      <c r="D47" s="103"/>
      <c r="E47" s="103"/>
      <c r="F47" s="103"/>
      <c r="G47" s="103"/>
    </row>
    <row r="48" spans="1:51">
      <c r="A48" s="101" t="s">
        <v>204</v>
      </c>
      <c r="B48" s="100"/>
      <c r="C48" s="103"/>
      <c r="D48" s="104" t="s">
        <v>332</v>
      </c>
      <c r="E48" s="104"/>
      <c r="F48" s="104" t="s">
        <v>206</v>
      </c>
      <c r="G48" s="103"/>
    </row>
    <row r="49" spans="1:7">
      <c r="A49" s="101" t="s">
        <v>207</v>
      </c>
      <c r="B49" s="100"/>
      <c r="C49" s="103"/>
      <c r="D49" s="104" t="s">
        <v>328</v>
      </c>
      <c r="E49" s="104"/>
      <c r="F49" s="104" t="s">
        <v>208</v>
      </c>
      <c r="G49" s="103"/>
    </row>
    <row r="50" spans="1:7">
      <c r="A50" s="105" t="s">
        <v>209</v>
      </c>
      <c r="B50" s="106"/>
      <c r="C50" s="103"/>
      <c r="D50" s="107" t="s">
        <v>229</v>
      </c>
      <c r="E50" s="104" t="s">
        <v>329</v>
      </c>
      <c r="F50" s="107" t="s">
        <v>211</v>
      </c>
      <c r="G50" s="103"/>
    </row>
    <row r="51" spans="1:7" ht="12.75" customHeight="1">
      <c r="A51" s="103"/>
      <c r="C51" s="103"/>
      <c r="D51" s="103"/>
      <c r="E51" s="103"/>
      <c r="F51" s="110"/>
      <c r="G51" s="103"/>
    </row>
    <row r="52" spans="1:7">
      <c r="A52" s="103" t="s">
        <v>212</v>
      </c>
      <c r="C52" s="103"/>
      <c r="D52" s="109">
        <f>+'Meters &amp; Services'!H61</f>
        <v>113969</v>
      </c>
      <c r="E52" s="103"/>
      <c r="F52" s="114">
        <f>ROUND(D52/D$59,4)-0.0001</f>
        <v>0.82400000000000007</v>
      </c>
      <c r="G52" s="103"/>
    </row>
    <row r="53" spans="1:7">
      <c r="A53" s="103" t="s">
        <v>213</v>
      </c>
      <c r="C53" s="103"/>
      <c r="D53" s="109">
        <f>+'Meters &amp; Services'!L61</f>
        <v>15656</v>
      </c>
      <c r="E53" s="103"/>
      <c r="F53" s="110">
        <f>ROUND(D53/D$59,4)</f>
        <v>0.1132</v>
      </c>
      <c r="G53" s="103"/>
    </row>
    <row r="54" spans="1:7">
      <c r="A54" s="103" t="s">
        <v>214</v>
      </c>
      <c r="C54" s="103"/>
      <c r="D54" s="109">
        <f>+'Meters &amp; Services'!P61</f>
        <v>160</v>
      </c>
      <c r="E54" s="103"/>
      <c r="F54" s="110">
        <f>ROUND(D54/D$59,4)</f>
        <v>1.1999999999999999E-3</v>
      </c>
      <c r="G54" s="103"/>
    </row>
    <row r="55" spans="1:7">
      <c r="A55" s="103" t="s">
        <v>216</v>
      </c>
      <c r="C55" s="103"/>
      <c r="D55" s="109">
        <f>+'Meters &amp; Services'!T61</f>
        <v>1935</v>
      </c>
      <c r="E55" s="103"/>
      <c r="F55" s="110">
        <f>ROUND(D55/D$59,4)</f>
        <v>1.4E-2</v>
      </c>
      <c r="G55" s="103"/>
    </row>
    <row r="56" spans="1:7">
      <c r="A56" s="103" t="s">
        <v>337</v>
      </c>
      <c r="C56" s="103"/>
      <c r="D56" s="109">
        <f>+'Meters &amp; Services'!X61</f>
        <v>80</v>
      </c>
      <c r="E56" s="103"/>
      <c r="F56" s="110">
        <f>ROUND(D56/D$59,4)</f>
        <v>5.9999999999999995E-4</v>
      </c>
      <c r="G56" s="103"/>
    </row>
    <row r="57" spans="1:7">
      <c r="A57" s="103" t="s">
        <v>218</v>
      </c>
      <c r="C57" s="103"/>
      <c r="D57" s="109">
        <f>+'Meters &amp; Services'!AB61</f>
        <v>6497</v>
      </c>
      <c r="E57" s="103"/>
      <c r="F57" s="110">
        <f>ROUND(D57/D$59,4)</f>
        <v>4.7E-2</v>
      </c>
      <c r="G57" s="103"/>
    </row>
    <row r="58" spans="1:7">
      <c r="A58" s="103"/>
      <c r="C58" s="103"/>
      <c r="D58" s="111"/>
      <c r="E58" s="103"/>
      <c r="F58" s="115"/>
      <c r="G58" s="103"/>
    </row>
    <row r="59" spans="1:7" ht="15.75" thickBot="1">
      <c r="A59" s="103" t="s">
        <v>220</v>
      </c>
      <c r="C59" s="103"/>
      <c r="D59" s="109">
        <f>SUM(D52:D58)</f>
        <v>138297</v>
      </c>
      <c r="E59" s="103"/>
      <c r="F59" s="171">
        <f>SUM(F52:F58)</f>
        <v>1</v>
      </c>
      <c r="G59" s="103"/>
    </row>
    <row r="60" spans="1:7" ht="15.75" thickTop="1">
      <c r="A60" s="103"/>
      <c r="B60" s="103"/>
      <c r="C60" s="103"/>
      <c r="D60" s="116"/>
      <c r="E60" s="117"/>
      <c r="F60" s="118"/>
      <c r="G60" s="103"/>
    </row>
    <row r="61" spans="1:7">
      <c r="A61" s="103"/>
      <c r="B61" s="103"/>
      <c r="C61" s="103"/>
      <c r="D61" s="103"/>
      <c r="E61" s="103"/>
      <c r="F61" s="103"/>
      <c r="G61" s="103"/>
    </row>
    <row r="62" spans="1:7">
      <c r="A62" s="103"/>
      <c r="B62" s="103"/>
      <c r="C62" s="103"/>
      <c r="D62" s="103"/>
      <c r="E62" s="103"/>
      <c r="F62" s="103"/>
      <c r="G62" s="103"/>
    </row>
    <row r="63" spans="1:7">
      <c r="A63" s="103"/>
      <c r="B63" s="103"/>
      <c r="C63" s="103"/>
      <c r="D63" s="103"/>
      <c r="E63" s="103"/>
      <c r="F63" s="103"/>
      <c r="G63" s="103"/>
    </row>
    <row r="64" spans="1:7">
      <c r="A64" s="103"/>
      <c r="B64" s="103"/>
      <c r="C64" s="103"/>
      <c r="D64" s="103"/>
      <c r="E64" s="103"/>
      <c r="F64" s="103"/>
      <c r="G64" s="103"/>
    </row>
    <row r="65" spans="1:51">
      <c r="A65" s="103"/>
      <c r="B65" s="103"/>
      <c r="C65" s="103"/>
      <c r="D65" s="103"/>
      <c r="E65" s="103"/>
      <c r="F65" s="103"/>
      <c r="G65" s="103"/>
    </row>
    <row r="66" spans="1:51">
      <c r="A66" s="103"/>
      <c r="B66" s="103"/>
      <c r="C66" s="103"/>
      <c r="D66" s="103"/>
      <c r="E66" s="103"/>
      <c r="F66" s="103"/>
      <c r="G66" s="103"/>
    </row>
    <row r="67" spans="1:51">
      <c r="A67" s="103"/>
      <c r="B67" s="103"/>
      <c r="C67" s="103"/>
      <c r="D67" s="103"/>
      <c r="E67" s="103"/>
      <c r="F67" s="103"/>
      <c r="G67" s="103"/>
    </row>
    <row r="68" spans="1:51">
      <c r="A68" s="103"/>
      <c r="B68" s="103"/>
      <c r="C68" s="103"/>
      <c r="D68" s="103"/>
      <c r="E68" s="103"/>
      <c r="F68" s="103"/>
      <c r="G68" s="103"/>
    </row>
    <row r="69" spans="1:51">
      <c r="A69" s="103"/>
      <c r="B69" s="103"/>
      <c r="C69" s="103"/>
      <c r="D69" s="103"/>
      <c r="E69" s="103"/>
      <c r="F69" s="103"/>
      <c r="G69" s="103"/>
    </row>
    <row r="73" spans="1:51">
      <c r="AO73" s="103"/>
      <c r="AQ73" s="100"/>
      <c r="AR73" s="100"/>
      <c r="AS73" s="100"/>
      <c r="AT73" s="100"/>
      <c r="AU73" s="100"/>
      <c r="AV73" s="100"/>
      <c r="AW73" s="100"/>
      <c r="AX73" s="100"/>
      <c r="AY73" s="100"/>
    </row>
    <row r="74" spans="1:51">
      <c r="AO74" s="103">
        <f>14*15</f>
        <v>210</v>
      </c>
      <c r="AQ74" s="100"/>
      <c r="AR74" s="100"/>
      <c r="AS74" s="100"/>
      <c r="AT74" s="100"/>
      <c r="AU74" s="100"/>
      <c r="AV74" s="100"/>
      <c r="AW74" s="100"/>
      <c r="AX74" s="100"/>
      <c r="AY74" s="100"/>
    </row>
    <row r="75" spans="1:51">
      <c r="AO75" s="103"/>
      <c r="AQ75" s="101"/>
      <c r="AR75" s="100"/>
      <c r="AS75" s="100"/>
      <c r="AT75" s="100"/>
      <c r="AU75" s="100"/>
      <c r="AV75" s="100"/>
      <c r="AW75" s="100"/>
      <c r="AX75" s="100"/>
      <c r="AY75" s="100"/>
    </row>
    <row r="76" spans="1:51">
      <c r="AO76" s="103"/>
      <c r="AQ76" s="101"/>
      <c r="AR76" s="100"/>
      <c r="AS76" s="100"/>
      <c r="AT76" s="100"/>
      <c r="AU76" s="100"/>
      <c r="AV76" s="100"/>
      <c r="AW76" s="100"/>
      <c r="AX76" s="100"/>
      <c r="AY76" s="100"/>
    </row>
    <row r="77" spans="1:51">
      <c r="AO77" s="103"/>
    </row>
    <row r="78" spans="1:51">
      <c r="AO78" s="103"/>
      <c r="AQ78" s="103"/>
      <c r="AR78" s="103"/>
      <c r="AS78" s="103"/>
      <c r="AT78" s="103"/>
      <c r="AU78" s="103"/>
      <c r="AV78" s="103"/>
      <c r="AW78" s="103"/>
      <c r="AX78" s="103"/>
      <c r="AY78" s="103"/>
    </row>
    <row r="79" spans="1:51">
      <c r="AO79" s="103"/>
      <c r="AQ79" s="103"/>
      <c r="AR79" s="103"/>
      <c r="AS79" s="104"/>
      <c r="AT79" s="104"/>
      <c r="AU79" s="104"/>
      <c r="AV79" s="104"/>
      <c r="AW79" s="104"/>
      <c r="AX79" s="104"/>
      <c r="AY79" s="104"/>
    </row>
    <row r="80" spans="1:51">
      <c r="AO80" s="103"/>
      <c r="AQ80" s="104"/>
      <c r="AR80" s="103"/>
      <c r="AS80" s="104"/>
      <c r="AT80" s="104"/>
      <c r="AU80" s="104"/>
      <c r="AV80" s="104"/>
      <c r="AW80" s="104"/>
      <c r="AX80" s="104"/>
      <c r="AY80" s="104"/>
    </row>
    <row r="81" spans="41:51">
      <c r="AO81" s="103"/>
      <c r="AQ81" s="104"/>
      <c r="AR81" s="103"/>
      <c r="AS81" s="104"/>
      <c r="AT81" s="104"/>
      <c r="AU81" s="104"/>
      <c r="AV81" s="104"/>
      <c r="AW81" s="104"/>
      <c r="AX81" s="104"/>
      <c r="AY81" s="104"/>
    </row>
    <row r="82" spans="41:51">
      <c r="AO82" s="103"/>
      <c r="AQ82" s="120"/>
      <c r="AR82" s="103"/>
      <c r="AS82" s="120"/>
      <c r="AT82" s="120"/>
      <c r="AU82" s="120"/>
      <c r="AV82" s="103"/>
      <c r="AW82" s="120"/>
      <c r="AX82" s="120"/>
      <c r="AY82" s="120"/>
    </row>
    <row r="83" spans="41:51">
      <c r="AO83" s="103"/>
      <c r="AQ83" s="103"/>
      <c r="AR83" s="103"/>
      <c r="AS83" s="103"/>
      <c r="AT83" s="103"/>
      <c r="AU83" s="103"/>
      <c r="AV83" s="103"/>
      <c r="AW83" s="103"/>
      <c r="AX83" s="103"/>
      <c r="AY83" s="103"/>
    </row>
    <row r="84" spans="41:51">
      <c r="AO84" s="103"/>
      <c r="AQ84" s="104"/>
      <c r="AR84" s="103"/>
      <c r="AS84" s="109"/>
      <c r="AT84" s="109"/>
      <c r="AU84" s="109"/>
      <c r="AV84" s="109"/>
      <c r="AW84" s="109"/>
      <c r="AX84" s="121"/>
      <c r="AY84" s="121"/>
    </row>
    <row r="85" spans="41:51">
      <c r="AO85" s="103"/>
      <c r="AQ85" s="104"/>
      <c r="AR85" s="103"/>
      <c r="AS85" s="109"/>
      <c r="AT85" s="109"/>
      <c r="AU85" s="109"/>
      <c r="AV85" s="109"/>
      <c r="AW85" s="109"/>
      <c r="AX85" s="121"/>
      <c r="AY85" s="121"/>
    </row>
    <row r="86" spans="41:51">
      <c r="AO86" s="103"/>
      <c r="AQ86" s="104"/>
      <c r="AR86" s="103"/>
      <c r="AS86" s="109"/>
      <c r="AT86" s="109"/>
      <c r="AU86" s="109"/>
      <c r="AV86" s="109"/>
      <c r="AW86" s="109"/>
      <c r="AX86" s="121"/>
      <c r="AY86" s="121"/>
    </row>
    <row r="87" spans="41:51">
      <c r="AO87" s="103"/>
      <c r="AQ87" s="104"/>
      <c r="AR87" s="103"/>
      <c r="AS87" s="109"/>
      <c r="AT87" s="109"/>
      <c r="AU87" s="109"/>
      <c r="AV87" s="109"/>
      <c r="AW87" s="109"/>
      <c r="AX87" s="121"/>
      <c r="AY87" s="121"/>
    </row>
    <row r="88" spans="41:51">
      <c r="AO88" s="103"/>
      <c r="AQ88" s="104"/>
      <c r="AR88" s="103"/>
      <c r="AS88" s="109"/>
      <c r="AT88" s="109"/>
      <c r="AU88" s="109"/>
      <c r="AV88" s="109"/>
      <c r="AW88" s="109"/>
      <c r="AX88" s="121"/>
      <c r="AY88" s="121"/>
    </row>
    <row r="89" spans="41:51">
      <c r="AO89" s="103"/>
      <c r="AQ89" s="104"/>
      <c r="AR89" s="103"/>
      <c r="AS89" s="109"/>
      <c r="AT89" s="109"/>
      <c r="AU89" s="109"/>
      <c r="AV89" s="109"/>
      <c r="AW89" s="109"/>
      <c r="AX89" s="121"/>
      <c r="AY89" s="121"/>
    </row>
    <row r="90" spans="41:51">
      <c r="AO90" s="103"/>
      <c r="AQ90" s="104"/>
      <c r="AR90" s="103"/>
      <c r="AS90" s="109"/>
      <c r="AT90" s="109"/>
      <c r="AU90" s="109"/>
      <c r="AV90" s="109"/>
      <c r="AW90" s="109"/>
      <c r="AX90" s="121"/>
      <c r="AY90" s="121"/>
    </row>
    <row r="91" spans="41:51">
      <c r="AO91" s="103"/>
      <c r="AQ91" s="104"/>
      <c r="AR91" s="103"/>
      <c r="AS91" s="109"/>
      <c r="AT91" s="109"/>
      <c r="AU91" s="109"/>
      <c r="AV91" s="109"/>
      <c r="AW91" s="109"/>
      <c r="AX91" s="121"/>
      <c r="AY91" s="121"/>
    </row>
    <row r="92" spans="41:51">
      <c r="AO92" s="103"/>
      <c r="AQ92" s="104"/>
      <c r="AR92" s="103"/>
      <c r="AS92" s="109"/>
      <c r="AT92" s="109"/>
      <c r="AU92" s="109"/>
      <c r="AV92" s="109"/>
      <c r="AW92" s="109"/>
      <c r="AX92" s="121"/>
      <c r="AY92" s="121"/>
    </row>
    <row r="93" spans="41:51">
      <c r="AO93" s="103"/>
      <c r="AQ93" s="104"/>
      <c r="AR93" s="103"/>
      <c r="AS93" s="109"/>
      <c r="AT93" s="109"/>
      <c r="AU93" s="109"/>
      <c r="AV93" s="109"/>
      <c r="AW93" s="109"/>
      <c r="AX93" s="121"/>
      <c r="AY93" s="121"/>
    </row>
    <row r="94" spans="41:51">
      <c r="AO94" s="103"/>
      <c r="AQ94" s="104"/>
      <c r="AR94" s="103"/>
      <c r="AS94" s="109"/>
      <c r="AT94" s="109"/>
      <c r="AU94" s="109"/>
      <c r="AV94" s="109"/>
      <c r="AW94" s="109"/>
      <c r="AX94" s="121"/>
      <c r="AY94" s="121"/>
    </row>
    <row r="95" spans="41:51">
      <c r="AO95" s="103"/>
      <c r="AQ95" s="104"/>
      <c r="AR95" s="103"/>
      <c r="AS95" s="109"/>
      <c r="AT95" s="109"/>
      <c r="AU95" s="109"/>
      <c r="AV95" s="109"/>
      <c r="AW95" s="109"/>
      <c r="AX95" s="121"/>
      <c r="AY95" s="121"/>
    </row>
    <row r="96" spans="41:51">
      <c r="AO96" s="103"/>
      <c r="AQ96" s="104"/>
      <c r="AR96" s="103"/>
      <c r="AS96" s="109"/>
      <c r="AT96" s="109"/>
      <c r="AU96" s="109"/>
      <c r="AV96" s="109"/>
      <c r="AW96" s="109"/>
      <c r="AX96" s="121"/>
      <c r="AY96" s="121"/>
    </row>
    <row r="97" spans="10:51">
      <c r="AO97" s="103"/>
      <c r="AQ97" s="104"/>
      <c r="AR97" s="103"/>
      <c r="AS97" s="109"/>
      <c r="AT97" s="109"/>
      <c r="AU97" s="109"/>
      <c r="AV97" s="109"/>
      <c r="AW97" s="109"/>
      <c r="AX97" s="121"/>
      <c r="AY97" s="121"/>
    </row>
    <row r="98" spans="10:51">
      <c r="AO98" s="103"/>
      <c r="AQ98" s="104"/>
      <c r="AR98" s="103"/>
      <c r="AS98" s="109"/>
      <c r="AT98" s="109"/>
      <c r="AU98" s="109"/>
      <c r="AV98" s="109"/>
      <c r="AW98" s="109"/>
      <c r="AX98" s="121"/>
      <c r="AY98" s="121"/>
    </row>
    <row r="99" spans="10:51">
      <c r="AO99" s="103"/>
      <c r="AQ99" s="104"/>
    </row>
    <row r="100" spans="10:51">
      <c r="AO100" s="103"/>
      <c r="AQ100" s="104"/>
      <c r="AS100" s="109"/>
      <c r="AU100" s="109"/>
      <c r="AW100" s="109"/>
      <c r="AY100" s="121"/>
    </row>
    <row r="101" spans="10:51">
      <c r="AO101" s="103"/>
      <c r="AQ101" s="104"/>
      <c r="AS101" s="109"/>
      <c r="AU101" s="109"/>
      <c r="AW101" s="109"/>
      <c r="AY101" s="121"/>
    </row>
    <row r="102" spans="10:51">
      <c r="AO102" s="103"/>
      <c r="AQ102" s="104"/>
      <c r="AS102" s="109"/>
      <c r="AU102" s="109"/>
      <c r="AW102" s="109"/>
      <c r="AY102" s="121"/>
    </row>
    <row r="103" spans="10:51">
      <c r="AO103" s="103"/>
      <c r="AQ103" s="104"/>
      <c r="AS103" s="109"/>
      <c r="AU103" s="109"/>
      <c r="AW103" s="109"/>
      <c r="AY103" s="121"/>
    </row>
    <row r="104" spans="10:51">
      <c r="AO104" s="103"/>
      <c r="AQ104" s="104"/>
      <c r="AS104" s="109"/>
      <c r="AU104" s="109"/>
      <c r="AW104" s="109"/>
      <c r="AY104" s="121"/>
    </row>
    <row r="105" spans="10:51">
      <c r="AO105" s="103"/>
      <c r="AQ105" s="104"/>
      <c r="AS105" s="109"/>
      <c r="AU105" s="109"/>
      <c r="AW105" s="109"/>
      <c r="AY105" s="121"/>
    </row>
    <row r="106" spans="10:51">
      <c r="AO106" s="103"/>
      <c r="AQ106" s="104"/>
      <c r="AS106" s="109"/>
      <c r="AU106" s="109"/>
      <c r="AW106" s="109"/>
      <c r="AY106" s="121"/>
    </row>
    <row r="107" spans="10:51">
      <c r="AO107" s="103"/>
    </row>
    <row r="108" spans="10:51">
      <c r="AO108" s="103"/>
    </row>
    <row r="109" spans="10:51">
      <c r="AO109" s="103"/>
    </row>
    <row r="110" spans="10:51">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row>
    <row r="111" spans="10:51">
      <c r="J111" s="103"/>
      <c r="K111" s="103"/>
      <c r="L111" s="103"/>
      <c r="M111" s="103"/>
      <c r="N111" s="103"/>
      <c r="O111" s="103"/>
      <c r="P111" s="122"/>
      <c r="Q111" s="103"/>
      <c r="R111" s="103"/>
      <c r="S111" s="103"/>
      <c r="T111" s="122"/>
      <c r="U111" s="103"/>
      <c r="V111" s="103"/>
      <c r="W111" s="103"/>
      <c r="X111" s="122"/>
      <c r="Y111" s="103"/>
      <c r="Z111" s="103"/>
      <c r="AA111" s="103"/>
      <c r="AB111" s="122"/>
      <c r="AC111" s="103"/>
      <c r="AD111" s="103"/>
      <c r="AE111" s="103"/>
      <c r="AF111" s="122"/>
      <c r="AG111" s="103"/>
      <c r="AH111" s="103"/>
      <c r="AI111" s="103"/>
      <c r="AJ111" s="123"/>
      <c r="AK111" s="103"/>
      <c r="AL111" s="103"/>
      <c r="AM111" s="103"/>
      <c r="AN111" s="122"/>
      <c r="AO111" s="103"/>
    </row>
    <row r="112" spans="10:51">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row>
    <row r="113" spans="10:41">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row>
    <row r="114" spans="10:41">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row>
    <row r="115" spans="10:41">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row>
    <row r="116" spans="10:41">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row>
    <row r="117" spans="10:41">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row>
    <row r="118" spans="10:41">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row>
    <row r="119" spans="10:41">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row>
    <row r="120" spans="10:41">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row>
    <row r="121" spans="10:41">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row>
    <row r="122" spans="10:41">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row>
    <row r="123" spans="10:41">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row>
    <row r="124" spans="10:41">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row>
    <row r="125" spans="10:41">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row>
    <row r="126" spans="10:41">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row>
    <row r="127" spans="10:41">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row>
    <row r="128" spans="10:41">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row>
    <row r="129" spans="10:41">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row>
    <row r="130" spans="10:41">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row>
    <row r="131" spans="10:41">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row>
    <row r="132" spans="10:41">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row>
    <row r="133" spans="10:41">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row>
    <row r="134" spans="10:41">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row>
    <row r="135" spans="10:41">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row>
    <row r="136" spans="10:41">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row>
    <row r="137" spans="10:41">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row>
    <row r="138" spans="10:41">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row>
    <row r="139" spans="10:41">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row>
    <row r="140" spans="10:41">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row>
    <row r="141" spans="10:41">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row>
    <row r="142" spans="10:41">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row>
    <row r="143" spans="10:41">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row>
    <row r="144" spans="10:41">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row>
    <row r="145" spans="10:51">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row>
    <row r="146" spans="10:51">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row>
    <row r="147" spans="10:51">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row>
    <row r="148" spans="10:51">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row>
    <row r="149" spans="10:51">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row>
    <row r="150" spans="10:51">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row>
    <row r="151" spans="10:51">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row>
    <row r="152" spans="10:51">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row>
    <row r="153" spans="10:51">
      <c r="J153" s="103" t="s">
        <v>333</v>
      </c>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row>
    <row r="154" spans="10:51">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row>
    <row r="155" spans="10:51">
      <c r="J155" s="124" t="s">
        <v>334</v>
      </c>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row>
    <row r="156" spans="10:51">
      <c r="J156" s="100" t="s">
        <v>198</v>
      </c>
      <c r="K156" s="101"/>
      <c r="L156" s="101"/>
      <c r="M156" s="101"/>
      <c r="N156" s="101"/>
      <c r="O156" s="101"/>
      <c r="P156" s="101"/>
      <c r="Q156" s="101"/>
      <c r="R156" s="101"/>
      <c r="S156" s="101"/>
      <c r="T156" s="101"/>
      <c r="U156" s="101"/>
      <c r="V156" s="100"/>
      <c r="W156" s="101"/>
      <c r="X156" s="101"/>
      <c r="Y156" s="101"/>
      <c r="Z156" s="101"/>
      <c r="AA156" s="101"/>
      <c r="AB156" s="101"/>
      <c r="AC156" s="101"/>
      <c r="AD156" s="101"/>
      <c r="AE156" s="101"/>
      <c r="AF156" s="101"/>
      <c r="AG156" s="101"/>
      <c r="AH156" s="101"/>
      <c r="AI156" s="101"/>
      <c r="AJ156" s="101"/>
      <c r="AK156" s="101"/>
      <c r="AL156" s="101"/>
      <c r="AM156" s="101"/>
      <c r="AN156" s="101"/>
      <c r="AO156" s="103"/>
      <c r="AQ156" s="100"/>
      <c r="AR156" s="100"/>
      <c r="AS156" s="100"/>
      <c r="AT156" s="100"/>
      <c r="AU156" s="100"/>
      <c r="AV156" s="100"/>
      <c r="AW156" s="100"/>
      <c r="AX156" s="100"/>
      <c r="AY156" s="100"/>
    </row>
    <row r="157" spans="10:5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3"/>
      <c r="AQ157" s="100"/>
      <c r="AR157" s="100"/>
      <c r="AS157" s="100"/>
      <c r="AT157" s="100"/>
      <c r="AU157" s="100"/>
      <c r="AV157" s="100"/>
      <c r="AW157" s="100"/>
      <c r="AX157" s="100"/>
      <c r="AY157" s="100"/>
    </row>
    <row r="158" spans="10:51">
      <c r="J158" s="101" t="s">
        <v>335</v>
      </c>
      <c r="K158" s="101"/>
      <c r="L158" s="101"/>
      <c r="M158" s="101"/>
      <c r="N158" s="101"/>
      <c r="O158" s="101"/>
      <c r="P158" s="101"/>
      <c r="Q158" s="101"/>
      <c r="R158" s="101"/>
      <c r="S158" s="101"/>
      <c r="T158" s="100"/>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3"/>
      <c r="AQ158" s="101"/>
      <c r="AR158" s="100"/>
      <c r="AS158" s="100"/>
      <c r="AT158" s="100"/>
      <c r="AU158" s="100"/>
      <c r="AV158" s="100"/>
      <c r="AW158" s="100"/>
      <c r="AX158" s="100"/>
      <c r="AY158" s="100"/>
    </row>
    <row r="159" spans="10:51">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Q159" s="101"/>
      <c r="AR159" s="100"/>
      <c r="AS159" s="100"/>
      <c r="AT159" s="100"/>
      <c r="AU159" s="100"/>
      <c r="AV159" s="100"/>
      <c r="AW159" s="100"/>
      <c r="AX159" s="100"/>
      <c r="AY159" s="100"/>
    </row>
    <row r="160" spans="10:51">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row>
    <row r="161" spans="7:51">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Q161" s="103"/>
      <c r="AR161" s="103"/>
      <c r="AS161" s="103"/>
      <c r="AT161" s="103"/>
      <c r="AU161" s="103"/>
      <c r="AV161" s="103"/>
      <c r="AW161" s="103"/>
      <c r="AX161" s="103"/>
      <c r="AY161" s="103"/>
    </row>
    <row r="162" spans="7:51">
      <c r="J162" s="104"/>
      <c r="K162" s="104"/>
      <c r="L162" s="104" t="s">
        <v>336</v>
      </c>
      <c r="M162" s="104"/>
      <c r="N162" s="101" t="s">
        <v>212</v>
      </c>
      <c r="O162" s="101"/>
      <c r="P162" s="101"/>
      <c r="Q162" s="104"/>
      <c r="R162" s="101" t="s">
        <v>213</v>
      </c>
      <c r="S162" s="101"/>
      <c r="T162" s="101"/>
      <c r="U162" s="104"/>
      <c r="V162" s="101" t="s">
        <v>214</v>
      </c>
      <c r="W162" s="101"/>
      <c r="X162" s="101"/>
      <c r="Y162" s="104"/>
      <c r="Z162" s="101" t="s">
        <v>216</v>
      </c>
      <c r="AA162" s="101"/>
      <c r="AB162" s="101"/>
      <c r="AC162" s="104"/>
      <c r="AD162" s="101" t="s">
        <v>340</v>
      </c>
      <c r="AE162" s="101"/>
      <c r="AF162" s="101"/>
      <c r="AG162" s="104"/>
      <c r="AH162" s="101" t="s">
        <v>218</v>
      </c>
      <c r="AI162" s="101"/>
      <c r="AJ162" s="101"/>
      <c r="AK162" s="104"/>
      <c r="AL162" s="101" t="s">
        <v>341</v>
      </c>
      <c r="AM162" s="101"/>
      <c r="AN162" s="101"/>
      <c r="AO162" s="103"/>
      <c r="AQ162" s="103"/>
      <c r="AR162" s="103"/>
      <c r="AS162" s="104"/>
      <c r="AT162" s="104"/>
      <c r="AU162" s="104"/>
      <c r="AV162" s="104"/>
      <c r="AW162" s="104"/>
      <c r="AX162" s="104"/>
      <c r="AY162" s="104"/>
    </row>
    <row r="163" spans="7:51">
      <c r="J163" s="104" t="s">
        <v>342</v>
      </c>
      <c r="K163" s="104"/>
      <c r="L163" s="104" t="s">
        <v>343</v>
      </c>
      <c r="M163" s="104"/>
      <c r="N163" s="107" t="s">
        <v>323</v>
      </c>
      <c r="O163" s="107"/>
      <c r="P163" s="107"/>
      <c r="Q163" s="104"/>
      <c r="R163" s="107" t="s">
        <v>323</v>
      </c>
      <c r="S163" s="107"/>
      <c r="T163" s="107"/>
      <c r="U163" s="104"/>
      <c r="V163" s="107" t="s">
        <v>323</v>
      </c>
      <c r="W163" s="107"/>
      <c r="X163" s="107"/>
      <c r="Y163" s="104"/>
      <c r="Z163" s="107" t="s">
        <v>323</v>
      </c>
      <c r="AA163" s="107"/>
      <c r="AB163" s="107"/>
      <c r="AC163" s="104"/>
      <c r="AD163" s="107" t="s">
        <v>323</v>
      </c>
      <c r="AE163" s="107"/>
      <c r="AF163" s="107"/>
      <c r="AG163" s="104"/>
      <c r="AH163" s="107" t="s">
        <v>323</v>
      </c>
      <c r="AI163" s="107"/>
      <c r="AJ163" s="107"/>
      <c r="AK163" s="104"/>
      <c r="AL163" s="107" t="s">
        <v>323</v>
      </c>
      <c r="AM163" s="107"/>
      <c r="AN163" s="107"/>
      <c r="AO163" s="103"/>
      <c r="AQ163" s="104"/>
      <c r="AR163" s="103"/>
      <c r="AS163" s="104"/>
      <c r="AT163" s="104"/>
      <c r="AU163" s="104"/>
      <c r="AV163" s="104"/>
      <c r="AW163" s="104"/>
      <c r="AX163" s="104"/>
      <c r="AY163" s="104"/>
    </row>
    <row r="164" spans="7:51">
      <c r="J164" s="104" t="s">
        <v>344</v>
      </c>
      <c r="K164" s="104"/>
      <c r="L164" s="104" t="s">
        <v>345</v>
      </c>
      <c r="M164" s="104"/>
      <c r="N164" s="104" t="s">
        <v>346</v>
      </c>
      <c r="O164" s="104"/>
      <c r="P164" s="104" t="s">
        <v>347</v>
      </c>
      <c r="Q164" s="104"/>
      <c r="R164" s="104" t="s">
        <v>346</v>
      </c>
      <c r="S164" s="104"/>
      <c r="T164" s="104" t="s">
        <v>347</v>
      </c>
      <c r="U164" s="104"/>
      <c r="V164" s="104" t="s">
        <v>346</v>
      </c>
      <c r="W164" s="104"/>
      <c r="X164" s="104" t="s">
        <v>347</v>
      </c>
      <c r="Y164" s="104"/>
      <c r="Z164" s="104" t="s">
        <v>346</v>
      </c>
      <c r="AA164" s="104"/>
      <c r="AB164" s="104" t="s">
        <v>347</v>
      </c>
      <c r="AC164" s="104"/>
      <c r="AD164" s="104" t="s">
        <v>346</v>
      </c>
      <c r="AE164" s="104"/>
      <c r="AF164" s="104" t="s">
        <v>347</v>
      </c>
      <c r="AG164" s="104"/>
      <c r="AH164" s="104" t="s">
        <v>346</v>
      </c>
      <c r="AI164" s="104"/>
      <c r="AJ164" s="104" t="s">
        <v>347</v>
      </c>
      <c r="AK164" s="104"/>
      <c r="AL164" s="104" t="s">
        <v>346</v>
      </c>
      <c r="AM164" s="104"/>
      <c r="AN164" s="104" t="s">
        <v>347</v>
      </c>
      <c r="AO164" s="103"/>
      <c r="AQ164" s="104"/>
      <c r="AR164" s="103"/>
      <c r="AS164" s="104"/>
      <c r="AT164" s="104"/>
      <c r="AU164" s="104"/>
      <c r="AV164" s="104"/>
      <c r="AW164" s="104"/>
      <c r="AX164" s="104"/>
      <c r="AY164" s="104"/>
    </row>
    <row r="165" spans="7:51">
      <c r="J165" s="125">
        <v>-1</v>
      </c>
      <c r="K165" s="120"/>
      <c r="L165" s="125">
        <v>-2</v>
      </c>
      <c r="M165" s="120"/>
      <c r="N165" s="125">
        <v>-3</v>
      </c>
      <c r="O165" s="120"/>
      <c r="P165" s="125" t="s">
        <v>348</v>
      </c>
      <c r="Q165" s="120"/>
      <c r="R165" s="125">
        <v>-5</v>
      </c>
      <c r="S165" s="120"/>
      <c r="T165" s="125" t="s">
        <v>349</v>
      </c>
      <c r="U165" s="120"/>
      <c r="V165" s="125">
        <v>-7</v>
      </c>
      <c r="W165" s="120"/>
      <c r="X165" s="125" t="s">
        <v>350</v>
      </c>
      <c r="Y165" s="120"/>
      <c r="Z165" s="125">
        <v>-9</v>
      </c>
      <c r="AA165" s="120"/>
      <c r="AB165" s="125" t="s">
        <v>351</v>
      </c>
      <c r="AC165" s="120"/>
      <c r="AD165" s="125">
        <v>-11</v>
      </c>
      <c r="AE165" s="120"/>
      <c r="AF165" s="125" t="s">
        <v>352</v>
      </c>
      <c r="AG165" s="120"/>
      <c r="AH165" s="125">
        <v>-13</v>
      </c>
      <c r="AI165" s="120"/>
      <c r="AJ165" s="125" t="s">
        <v>353</v>
      </c>
      <c r="AK165" s="120"/>
      <c r="AL165" s="125">
        <v>-15</v>
      </c>
      <c r="AM165" s="120"/>
      <c r="AN165" s="125">
        <v>-16</v>
      </c>
      <c r="AO165" s="103"/>
      <c r="AQ165" s="120"/>
      <c r="AR165" s="103"/>
      <c r="AS165" s="120"/>
      <c r="AT165" s="120"/>
      <c r="AU165" s="120"/>
      <c r="AV165" s="103"/>
      <c r="AW165" s="120"/>
      <c r="AX165" s="120"/>
      <c r="AY165" s="120"/>
    </row>
    <row r="166" spans="7:51">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Q166" s="103"/>
      <c r="AR166" s="103"/>
      <c r="AS166" s="103"/>
      <c r="AT166" s="103"/>
      <c r="AU166" s="103"/>
      <c r="AV166" s="103"/>
      <c r="AW166" s="103"/>
      <c r="AX166" s="103"/>
      <c r="AY166" s="103"/>
    </row>
    <row r="167" spans="7:51">
      <c r="J167" s="103" t="s">
        <v>354</v>
      </c>
      <c r="K167" s="103"/>
      <c r="L167" s="121">
        <v>1</v>
      </c>
      <c r="M167" s="103"/>
      <c r="N167" s="109">
        <v>262484</v>
      </c>
      <c r="O167" s="103"/>
      <c r="P167" s="109">
        <f>ROUND(+N167*$L167,0)</f>
        <v>262484</v>
      </c>
      <c r="Q167" s="103"/>
      <c r="R167" s="109">
        <v>7892</v>
      </c>
      <c r="S167" s="103"/>
      <c r="T167" s="109">
        <f>ROUND(+R167*$L167,0)</f>
        <v>7892</v>
      </c>
      <c r="U167" s="103"/>
      <c r="V167" s="109">
        <v>272</v>
      </c>
      <c r="W167" s="103"/>
      <c r="X167" s="109">
        <f>ROUND(+V167*$L167,0)</f>
        <v>272</v>
      </c>
      <c r="Y167" s="103"/>
      <c r="Z167" s="109">
        <v>299</v>
      </c>
      <c r="AA167" s="103"/>
      <c r="AB167" s="109">
        <f>ROUND(+Z167*$L167,0)</f>
        <v>299</v>
      </c>
      <c r="AC167" s="103"/>
      <c r="AD167" s="109">
        <v>0</v>
      </c>
      <c r="AE167" s="103"/>
      <c r="AF167" s="109">
        <f>ROUND(+AD167*$L167,0)</f>
        <v>0</v>
      </c>
      <c r="AG167" s="103"/>
      <c r="AH167" s="109">
        <v>0</v>
      </c>
      <c r="AI167" s="103"/>
      <c r="AJ167" s="109">
        <f>ROUND(+AH167*$L167,0)</f>
        <v>0</v>
      </c>
      <c r="AK167" s="103"/>
      <c r="AL167" s="109">
        <f>N167+R167+V167+Z167+AD167+AH167</f>
        <v>270947</v>
      </c>
      <c r="AM167" s="103"/>
      <c r="AN167" s="109">
        <f>P167+T167+X167+AB167+AF167+AJ167</f>
        <v>270947</v>
      </c>
      <c r="AO167" s="103"/>
      <c r="AQ167" s="104"/>
      <c r="AR167" s="103"/>
      <c r="AS167" s="109"/>
      <c r="AT167" s="109"/>
      <c r="AU167" s="109"/>
      <c r="AV167" s="109"/>
      <c r="AW167" s="109"/>
      <c r="AX167" s="121"/>
      <c r="AY167" s="121"/>
    </row>
    <row r="168" spans="7:51">
      <c r="J168" s="103"/>
      <c r="K168" s="103"/>
      <c r="L168" s="121"/>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Q168" s="104"/>
      <c r="AR168" s="103"/>
      <c r="AS168" s="109"/>
      <c r="AT168" s="109"/>
      <c r="AU168" s="109"/>
      <c r="AV168" s="109"/>
      <c r="AW168" s="109"/>
      <c r="AX168" s="121"/>
      <c r="AY168" s="121"/>
    </row>
    <row r="169" spans="7:51">
      <c r="G169" s="121"/>
      <c r="J169" s="103" t="s">
        <v>355</v>
      </c>
      <c r="K169" s="103"/>
      <c r="L169" s="121">
        <v>1.19</v>
      </c>
      <c r="M169" s="103"/>
      <c r="N169" s="109">
        <v>4546</v>
      </c>
      <c r="O169" s="103"/>
      <c r="P169" s="109">
        <f>ROUND(+N169*$L169,0)</f>
        <v>5410</v>
      </c>
      <c r="Q169" s="103"/>
      <c r="R169" s="109">
        <v>2180</v>
      </c>
      <c r="S169" s="103"/>
      <c r="T169" s="109">
        <f>ROUND(+R169*$L169,0)</f>
        <v>2594</v>
      </c>
      <c r="U169" s="103"/>
      <c r="V169" s="109">
        <v>146</v>
      </c>
      <c r="W169" s="103"/>
      <c r="X169" s="109">
        <f>ROUND(+V169*$L169,0)</f>
        <v>174</v>
      </c>
      <c r="Y169" s="103"/>
      <c r="Z169" s="109">
        <v>179</v>
      </c>
      <c r="AA169" s="103"/>
      <c r="AB169" s="109">
        <f>ROUND(+Z169*$L169,0)</f>
        <v>213</v>
      </c>
      <c r="AC169" s="103"/>
      <c r="AD169" s="109">
        <v>1</v>
      </c>
      <c r="AE169" s="103"/>
      <c r="AF169" s="109">
        <f>ROUND(+AD169*$L169,0)</f>
        <v>1</v>
      </c>
      <c r="AG169" s="103"/>
      <c r="AH169" s="109">
        <v>2</v>
      </c>
      <c r="AI169" s="103"/>
      <c r="AJ169" s="109">
        <f>ROUND(+AH169*$L169,0)</f>
        <v>2</v>
      </c>
      <c r="AK169" s="103"/>
      <c r="AL169" s="109">
        <f>N169+R169+V169+Z169+AD169+AH169</f>
        <v>7054</v>
      </c>
      <c r="AM169" s="103"/>
      <c r="AN169" s="109">
        <f>P169+T169+X169+AB169+AF169+AJ169</f>
        <v>8394</v>
      </c>
      <c r="AO169" s="103"/>
      <c r="AQ169" s="104"/>
      <c r="AR169" s="103"/>
      <c r="AS169" s="109"/>
      <c r="AT169" s="109"/>
      <c r="AU169" s="109"/>
      <c r="AV169" s="109"/>
      <c r="AW169" s="109"/>
      <c r="AX169" s="121"/>
      <c r="AY169" s="121"/>
    </row>
    <row r="170" spans="7:51">
      <c r="G170" s="121"/>
      <c r="J170" s="103"/>
      <c r="K170" s="103"/>
      <c r="L170" s="121"/>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Q170" s="104"/>
      <c r="AR170" s="103"/>
      <c r="AS170" s="109"/>
      <c r="AT170" s="109"/>
      <c r="AU170" s="109"/>
      <c r="AV170" s="109"/>
      <c r="AW170" s="109"/>
      <c r="AX170" s="121"/>
      <c r="AY170" s="121"/>
    </row>
    <row r="171" spans="7:51">
      <c r="G171" s="121"/>
      <c r="J171" s="103" t="s">
        <v>356</v>
      </c>
      <c r="K171" s="103"/>
      <c r="L171" s="121">
        <v>1.72</v>
      </c>
      <c r="M171" s="103"/>
      <c r="N171" s="109">
        <v>149</v>
      </c>
      <c r="O171" s="103"/>
      <c r="P171" s="109">
        <f>ROUND(+N171*$L171,0)</f>
        <v>256</v>
      </c>
      <c r="Q171" s="103"/>
      <c r="R171" s="109">
        <v>1409</v>
      </c>
      <c r="S171" s="103"/>
      <c r="T171" s="109">
        <f>ROUND(+R171*$L171,0)</f>
        <v>2423</v>
      </c>
      <c r="U171" s="103"/>
      <c r="V171" s="109">
        <v>53</v>
      </c>
      <c r="W171" s="103"/>
      <c r="X171" s="109">
        <f>ROUND(+V171*$L171,0)</f>
        <v>91</v>
      </c>
      <c r="Y171" s="103"/>
      <c r="Z171" s="109">
        <v>64</v>
      </c>
      <c r="AA171" s="103"/>
      <c r="AB171" s="109">
        <f>ROUND(+Z171*$L171,0)</f>
        <v>110</v>
      </c>
      <c r="AC171" s="103"/>
      <c r="AD171" s="109">
        <v>0</v>
      </c>
      <c r="AE171" s="103"/>
      <c r="AF171" s="109">
        <f>ROUND(+AD171*$L171,0)</f>
        <v>0</v>
      </c>
      <c r="AG171" s="103"/>
      <c r="AH171" s="109">
        <v>61</v>
      </c>
      <c r="AI171" s="103"/>
      <c r="AJ171" s="109">
        <f>ROUND(+AH171*$L171,0)</f>
        <v>105</v>
      </c>
      <c r="AK171" s="103"/>
      <c r="AL171" s="109">
        <f>N171+R171+V171+Z171+AD171+AH171</f>
        <v>1736</v>
      </c>
      <c r="AM171" s="103"/>
      <c r="AN171" s="109">
        <f>P171+T171+X171+AB171+AF171+AJ171</f>
        <v>2985</v>
      </c>
      <c r="AO171" s="103"/>
      <c r="AQ171" s="104"/>
      <c r="AR171" s="103"/>
      <c r="AS171" s="109"/>
      <c r="AT171" s="109"/>
      <c r="AU171" s="109"/>
      <c r="AV171" s="109"/>
      <c r="AW171" s="109"/>
      <c r="AX171" s="121"/>
      <c r="AY171" s="121"/>
    </row>
    <row r="172" spans="7:51">
      <c r="G172" s="121"/>
      <c r="J172" s="103"/>
      <c r="K172" s="103"/>
      <c r="L172" s="121"/>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Q172" s="104"/>
      <c r="AR172" s="103"/>
      <c r="AS172" s="109"/>
      <c r="AT172" s="109"/>
      <c r="AU172" s="109"/>
      <c r="AV172" s="109"/>
      <c r="AW172" s="109"/>
      <c r="AX172" s="121"/>
      <c r="AY172" s="121"/>
    </row>
    <row r="173" spans="7:51">
      <c r="G173" s="121"/>
      <c r="J173" s="103" t="s">
        <v>357</v>
      </c>
      <c r="K173" s="103"/>
      <c r="L173" s="121">
        <v>2.38</v>
      </c>
      <c r="M173" s="103"/>
      <c r="N173" s="109">
        <v>79</v>
      </c>
      <c r="O173" s="103"/>
      <c r="P173" s="109">
        <f>ROUND(+N173*$L173,0)</f>
        <v>188</v>
      </c>
      <c r="Q173" s="103"/>
      <c r="R173" s="109">
        <v>1311</v>
      </c>
      <c r="S173" s="103"/>
      <c r="T173" s="109">
        <f>ROUND(+R173*$L173,0)</f>
        <v>3120</v>
      </c>
      <c r="U173" s="103"/>
      <c r="V173" s="109">
        <v>123</v>
      </c>
      <c r="W173" s="103"/>
      <c r="X173" s="109">
        <f>ROUND(+V173*$L173,0)</f>
        <v>293</v>
      </c>
      <c r="Y173" s="103"/>
      <c r="Z173" s="109">
        <v>115</v>
      </c>
      <c r="AA173" s="103"/>
      <c r="AB173" s="109">
        <f>ROUND(+Z173*$L173,0)</f>
        <v>274</v>
      </c>
      <c r="AC173" s="103"/>
      <c r="AD173" s="109">
        <v>1</v>
      </c>
      <c r="AE173" s="103"/>
      <c r="AF173" s="109">
        <f>ROUND(+AD173*$L173,0)</f>
        <v>2</v>
      </c>
      <c r="AG173" s="103"/>
      <c r="AH173" s="109">
        <v>51</v>
      </c>
      <c r="AI173" s="103"/>
      <c r="AJ173" s="109">
        <f>ROUND(+AH173*$L173,0)</f>
        <v>121</v>
      </c>
      <c r="AK173" s="103"/>
      <c r="AL173" s="109">
        <f>N173+R173+V173+Z173+AD173+AH173</f>
        <v>1680</v>
      </c>
      <c r="AM173" s="103"/>
      <c r="AN173" s="109">
        <f>P173+T173+X173+AB173+AF173+AJ173</f>
        <v>3998</v>
      </c>
      <c r="AO173" s="103"/>
      <c r="AQ173" s="104"/>
      <c r="AR173" s="103"/>
      <c r="AS173" s="109"/>
      <c r="AT173" s="109"/>
      <c r="AU173" s="109"/>
      <c r="AV173" s="109"/>
      <c r="AW173" s="109"/>
      <c r="AX173" s="121"/>
      <c r="AY173" s="121"/>
    </row>
    <row r="174" spans="7:51">
      <c r="G174" s="121"/>
      <c r="J174" s="103"/>
      <c r="K174" s="103"/>
      <c r="L174" s="121"/>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Q174" s="104"/>
      <c r="AR174" s="103"/>
      <c r="AS174" s="109"/>
      <c r="AT174" s="109"/>
      <c r="AU174" s="109"/>
      <c r="AV174" s="109"/>
      <c r="AW174" s="109"/>
      <c r="AX174" s="121"/>
      <c r="AY174" s="121"/>
    </row>
    <row r="175" spans="7:51">
      <c r="G175" s="121"/>
      <c r="J175" s="103" t="s">
        <v>358</v>
      </c>
      <c r="K175" s="103"/>
      <c r="L175" s="121">
        <v>2.92</v>
      </c>
      <c r="M175" s="103"/>
      <c r="N175" s="109">
        <v>2</v>
      </c>
      <c r="O175" s="103"/>
      <c r="P175" s="109">
        <f>ROUND(+N175*$L175,0)</f>
        <v>6</v>
      </c>
      <c r="Q175" s="103"/>
      <c r="R175" s="109">
        <v>530</v>
      </c>
      <c r="S175" s="103"/>
      <c r="T175" s="109">
        <f>ROUND(+R175*$L175,0)</f>
        <v>1548</v>
      </c>
      <c r="U175" s="103"/>
      <c r="V175" s="109">
        <v>82</v>
      </c>
      <c r="W175" s="103"/>
      <c r="X175" s="109">
        <f>ROUND(+V175*$L175,0)</f>
        <v>239</v>
      </c>
      <c r="Y175" s="103"/>
      <c r="Z175" s="109">
        <v>123</v>
      </c>
      <c r="AA175" s="103"/>
      <c r="AB175" s="109">
        <f>ROUND(+Z175*$L175,0)</f>
        <v>359</v>
      </c>
      <c r="AC175" s="103"/>
      <c r="AD175" s="109">
        <v>6</v>
      </c>
      <c r="AE175" s="103"/>
      <c r="AF175" s="109">
        <f>ROUND(+AD175*$L175,0)</f>
        <v>18</v>
      </c>
      <c r="AG175" s="103"/>
      <c r="AH175" s="109">
        <v>622</v>
      </c>
      <c r="AI175" s="103"/>
      <c r="AJ175" s="109">
        <f>ROUND(+AH175*$L175,0)</f>
        <v>1816</v>
      </c>
      <c r="AK175" s="103"/>
      <c r="AL175" s="109">
        <f>N175+R175+V175+Z175+AD175+AH175</f>
        <v>1365</v>
      </c>
      <c r="AM175" s="103"/>
      <c r="AN175" s="109">
        <f>P175+T175+X175+AB175+AF175+AJ175</f>
        <v>3986</v>
      </c>
      <c r="AO175" s="103"/>
      <c r="AQ175" s="104"/>
      <c r="AR175" s="103"/>
      <c r="AS175" s="109"/>
      <c r="AT175" s="109"/>
      <c r="AU175" s="109"/>
      <c r="AV175" s="109"/>
      <c r="AW175" s="109"/>
      <c r="AX175" s="121"/>
      <c r="AY175" s="121"/>
    </row>
    <row r="176" spans="7:51">
      <c r="G176" s="121"/>
      <c r="J176" s="103"/>
      <c r="K176" s="103"/>
      <c r="L176" s="121"/>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Q176" s="104"/>
      <c r="AR176" s="103"/>
      <c r="AS176" s="109"/>
      <c r="AT176" s="109"/>
      <c r="AU176" s="109"/>
      <c r="AV176" s="109"/>
      <c r="AW176" s="109"/>
      <c r="AX176" s="121"/>
      <c r="AY176" s="121"/>
    </row>
    <row r="177" spans="7:51">
      <c r="G177" s="121"/>
      <c r="J177" s="103" t="s">
        <v>359</v>
      </c>
      <c r="K177" s="103"/>
      <c r="L177" s="121">
        <v>3.96</v>
      </c>
      <c r="M177" s="103"/>
      <c r="N177" s="109">
        <v>16</v>
      </c>
      <c r="O177" s="103"/>
      <c r="P177" s="109">
        <f>ROUND(+N177*$L177,0)</f>
        <v>63</v>
      </c>
      <c r="Q177" s="103"/>
      <c r="R177" s="109">
        <v>144</v>
      </c>
      <c r="S177" s="103"/>
      <c r="T177" s="109">
        <f>ROUND(+R177*$L177,0)</f>
        <v>570</v>
      </c>
      <c r="U177" s="103"/>
      <c r="V177" s="109">
        <v>61</v>
      </c>
      <c r="W177" s="103"/>
      <c r="X177" s="109">
        <f>ROUND(+V177*$L177,0)</f>
        <v>242</v>
      </c>
      <c r="Y177" s="103"/>
      <c r="Z177" s="109">
        <v>9</v>
      </c>
      <c r="AA177" s="103"/>
      <c r="AB177" s="109">
        <f>ROUND(+Z177*$L177,0)</f>
        <v>36</v>
      </c>
      <c r="AC177" s="103"/>
      <c r="AD177" s="109">
        <v>2</v>
      </c>
      <c r="AE177" s="103"/>
      <c r="AF177" s="109">
        <f>ROUND(+AD177*$L177,0)</f>
        <v>8</v>
      </c>
      <c r="AG177" s="103"/>
      <c r="AH177" s="109">
        <v>988</v>
      </c>
      <c r="AI177" s="103"/>
      <c r="AJ177" s="109">
        <f>ROUND(+AH177*$L177,0)</f>
        <v>3912</v>
      </c>
      <c r="AK177" s="103"/>
      <c r="AL177" s="109">
        <f>N177+R177+V177+Z177+AD177+AH177</f>
        <v>1220</v>
      </c>
      <c r="AM177" s="103"/>
      <c r="AN177" s="109">
        <f>P177+T177+X177+AB177+AF177+AJ177</f>
        <v>4831</v>
      </c>
      <c r="AO177" s="103"/>
      <c r="AQ177" s="104"/>
      <c r="AR177" s="103"/>
      <c r="AS177" s="109"/>
      <c r="AT177" s="109"/>
      <c r="AU177" s="109"/>
      <c r="AV177" s="109"/>
      <c r="AW177" s="109"/>
      <c r="AX177" s="121"/>
      <c r="AY177" s="121"/>
    </row>
    <row r="178" spans="7:51">
      <c r="G178" s="121"/>
      <c r="J178" s="103"/>
      <c r="K178" s="103"/>
      <c r="L178" s="121"/>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Q178" s="104"/>
      <c r="AR178" s="103"/>
      <c r="AS178" s="109"/>
      <c r="AT178" s="109"/>
      <c r="AU178" s="109"/>
      <c r="AV178" s="109"/>
      <c r="AW178" s="109"/>
      <c r="AX178" s="121"/>
      <c r="AY178" s="121"/>
    </row>
    <row r="179" spans="7:51">
      <c r="G179" s="121"/>
      <c r="J179" s="103" t="s">
        <v>360</v>
      </c>
      <c r="K179" s="103"/>
      <c r="L179" s="121">
        <v>6.46</v>
      </c>
      <c r="M179" s="103"/>
      <c r="N179" s="109">
        <v>1</v>
      </c>
      <c r="O179" s="103"/>
      <c r="P179" s="109">
        <f>ROUND(+N179*$L179,0)</f>
        <v>6</v>
      </c>
      <c r="Q179" s="103"/>
      <c r="R179" s="109">
        <v>12</v>
      </c>
      <c r="S179" s="103"/>
      <c r="T179" s="109">
        <f>ROUND(+R179*$L179,0)</f>
        <v>78</v>
      </c>
      <c r="U179" s="103"/>
      <c r="V179" s="109">
        <v>10</v>
      </c>
      <c r="W179" s="103"/>
      <c r="X179" s="109">
        <f>ROUND(+V179*$L179,0)</f>
        <v>65</v>
      </c>
      <c r="Y179" s="103"/>
      <c r="Z179" s="109">
        <v>0</v>
      </c>
      <c r="AA179" s="103"/>
      <c r="AB179" s="109">
        <f>ROUND(+Z179*$L179,0)</f>
        <v>0</v>
      </c>
      <c r="AC179" s="103"/>
      <c r="AD179" s="109">
        <v>1</v>
      </c>
      <c r="AE179" s="103"/>
      <c r="AF179" s="109">
        <f>ROUND(+AD179*$L179,0)</f>
        <v>6</v>
      </c>
      <c r="AG179" s="103"/>
      <c r="AH179" s="109">
        <v>445</v>
      </c>
      <c r="AI179" s="103"/>
      <c r="AJ179" s="109">
        <f>ROUND(+AH179*$L179,0)</f>
        <v>2875</v>
      </c>
      <c r="AK179" s="103"/>
      <c r="AL179" s="109">
        <f>N179+R179+V179+Z179+AD179+AH179</f>
        <v>469</v>
      </c>
      <c r="AM179" s="103"/>
      <c r="AN179" s="109">
        <f>P179+T179+X179+AB179+AF179+AJ179</f>
        <v>3030</v>
      </c>
      <c r="AO179" s="103"/>
      <c r="AQ179" s="104"/>
      <c r="AR179" s="103"/>
      <c r="AS179" s="109"/>
      <c r="AT179" s="109"/>
      <c r="AU179" s="109"/>
      <c r="AV179" s="109"/>
      <c r="AW179" s="109"/>
      <c r="AX179" s="121"/>
      <c r="AY179" s="121"/>
    </row>
    <row r="180" spans="7:51">
      <c r="G180" s="121"/>
      <c r="J180" s="103"/>
      <c r="K180" s="103"/>
      <c r="L180" s="121"/>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Q180" s="104"/>
      <c r="AR180" s="103"/>
      <c r="AS180" s="109"/>
      <c r="AT180" s="109"/>
      <c r="AU180" s="109"/>
      <c r="AV180" s="109"/>
      <c r="AW180" s="109"/>
      <c r="AX180" s="121"/>
      <c r="AY180" s="121"/>
    </row>
    <row r="181" spans="7:51">
      <c r="G181" s="121"/>
      <c r="J181" s="103" t="s">
        <v>361</v>
      </c>
      <c r="K181" s="103"/>
      <c r="L181" s="121">
        <v>8.68</v>
      </c>
      <c r="M181" s="103"/>
      <c r="N181" s="109">
        <v>0</v>
      </c>
      <c r="O181" s="103"/>
      <c r="P181" s="109">
        <f>ROUND(+N181*$L181,0)</f>
        <v>0</v>
      </c>
      <c r="Q181" s="103"/>
      <c r="R181" s="109">
        <v>12</v>
      </c>
      <c r="S181" s="103"/>
      <c r="T181" s="109">
        <f>ROUND(+R181*$L181,0)</f>
        <v>104</v>
      </c>
      <c r="U181" s="103"/>
      <c r="V181" s="109">
        <v>10</v>
      </c>
      <c r="W181" s="103"/>
      <c r="X181" s="109">
        <f>ROUND(+V181*$L181,0)</f>
        <v>87</v>
      </c>
      <c r="Y181" s="103"/>
      <c r="Z181" s="109">
        <v>0</v>
      </c>
      <c r="AA181" s="103"/>
      <c r="AB181" s="109">
        <f>ROUND(+Z181*$L181,0)</f>
        <v>0</v>
      </c>
      <c r="AC181" s="103"/>
      <c r="AD181" s="109">
        <v>1</v>
      </c>
      <c r="AE181" s="103"/>
      <c r="AF181" s="109">
        <f>ROUND(+AD181*$L181,0)</f>
        <v>9</v>
      </c>
      <c r="AG181" s="103"/>
      <c r="AH181" s="109">
        <v>20</v>
      </c>
      <c r="AI181" s="103"/>
      <c r="AJ181" s="109">
        <f>ROUND(+AH181*$L181,0)</f>
        <v>174</v>
      </c>
      <c r="AK181" s="103"/>
      <c r="AL181" s="109">
        <f>N181+R181+V181+Z181+AD181+AH181</f>
        <v>43</v>
      </c>
      <c r="AM181" s="103"/>
      <c r="AN181" s="109">
        <f>P181+T181+X181+AB181+AF181+AJ181</f>
        <v>374</v>
      </c>
      <c r="AO181" s="103"/>
      <c r="AQ181" s="104"/>
      <c r="AR181" s="103"/>
      <c r="AS181" s="109"/>
      <c r="AT181" s="109"/>
      <c r="AU181" s="109"/>
      <c r="AV181" s="109"/>
      <c r="AW181" s="109"/>
      <c r="AX181" s="121"/>
      <c r="AY181" s="121"/>
    </row>
    <row r="182" spans="7:51">
      <c r="G182" s="121"/>
      <c r="J182" s="103"/>
      <c r="K182" s="103"/>
      <c r="L182" s="121"/>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Q182" s="104"/>
      <c r="AR182" s="103"/>
      <c r="AS182" s="109"/>
      <c r="AT182" s="109"/>
      <c r="AU182" s="109"/>
      <c r="AV182" s="109"/>
      <c r="AW182" s="109"/>
      <c r="AX182" s="121"/>
      <c r="AY182" s="121"/>
    </row>
    <row r="183" spans="7:51">
      <c r="G183" s="121"/>
      <c r="J183" s="103" t="s">
        <v>362</v>
      </c>
      <c r="K183" s="103"/>
      <c r="L183" s="121">
        <v>11.11</v>
      </c>
      <c r="M183" s="103"/>
      <c r="N183" s="109">
        <v>0</v>
      </c>
      <c r="O183" s="103"/>
      <c r="P183" s="109">
        <f>ROUND(+N183*$L183,0)</f>
        <v>0</v>
      </c>
      <c r="Q183" s="103"/>
      <c r="R183" s="109">
        <v>0</v>
      </c>
      <c r="S183" s="103"/>
      <c r="T183" s="109">
        <f>ROUND(+R183*$L183,0)</f>
        <v>0</v>
      </c>
      <c r="U183" s="103"/>
      <c r="V183" s="109">
        <v>0</v>
      </c>
      <c r="W183" s="103"/>
      <c r="X183" s="109">
        <f>ROUND(+V183*$L183,0)</f>
        <v>0</v>
      </c>
      <c r="Y183" s="103"/>
      <c r="Z183" s="109">
        <v>0</v>
      </c>
      <c r="AA183" s="103"/>
      <c r="AB183" s="109">
        <f>ROUND(+Z183*$L183,0)</f>
        <v>0</v>
      </c>
      <c r="AC183" s="103"/>
      <c r="AD183" s="109">
        <v>1</v>
      </c>
      <c r="AE183" s="103"/>
      <c r="AF183" s="109">
        <f>ROUND(+AD183*$L183,0)</f>
        <v>11</v>
      </c>
      <c r="AG183" s="103"/>
      <c r="AH183" s="109">
        <v>0</v>
      </c>
      <c r="AI183" s="103"/>
      <c r="AJ183" s="109">
        <f>ROUND(+AH183*$L183,0)</f>
        <v>0</v>
      </c>
      <c r="AK183" s="103"/>
      <c r="AL183" s="109">
        <f>N183+R183+V183+Z183+AD183+AH183</f>
        <v>1</v>
      </c>
      <c r="AM183" s="103"/>
      <c r="AN183" s="109">
        <f>P183+T183+X183+AB183+AF183+AJ183</f>
        <v>11</v>
      </c>
      <c r="AO183" s="103"/>
      <c r="AQ183" s="104"/>
      <c r="AR183" s="103"/>
      <c r="AS183" s="109"/>
      <c r="AT183" s="109"/>
      <c r="AU183" s="109"/>
      <c r="AV183" s="109"/>
      <c r="AW183" s="109"/>
      <c r="AX183" s="121"/>
      <c r="AY183" s="121"/>
    </row>
    <row r="184" spans="7:51">
      <c r="G184" s="121"/>
      <c r="J184" s="103"/>
      <c r="K184" s="103"/>
      <c r="L184" s="121"/>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Q184" s="104"/>
      <c r="AR184" s="103"/>
      <c r="AS184" s="109"/>
      <c r="AT184" s="109"/>
      <c r="AU184" s="109"/>
      <c r="AV184" s="109"/>
      <c r="AW184" s="109"/>
      <c r="AX184" s="121"/>
      <c r="AY184" s="121"/>
    </row>
    <row r="185" spans="7:51">
      <c r="G185" s="121"/>
      <c r="I185" s="126"/>
      <c r="J185" s="103" t="s">
        <v>363</v>
      </c>
      <c r="K185" s="103"/>
      <c r="L185" s="121">
        <v>15.97</v>
      </c>
      <c r="M185" s="103"/>
      <c r="N185" s="109">
        <v>0</v>
      </c>
      <c r="O185" s="103"/>
      <c r="P185" s="109">
        <f>ROUND(+N185*$L185,0)</f>
        <v>0</v>
      </c>
      <c r="Q185" s="103"/>
      <c r="R185" s="109">
        <v>0</v>
      </c>
      <c r="S185" s="103"/>
      <c r="T185" s="109">
        <f>ROUND(+R185*$L185,0)</f>
        <v>0</v>
      </c>
      <c r="U185" s="103"/>
      <c r="V185" s="109">
        <v>0</v>
      </c>
      <c r="W185" s="103"/>
      <c r="X185" s="109">
        <f>ROUND(+V185*$L185,0)</f>
        <v>0</v>
      </c>
      <c r="Y185" s="103"/>
      <c r="Z185" s="109">
        <v>0</v>
      </c>
      <c r="AA185" s="103"/>
      <c r="AB185" s="109">
        <f>ROUND(+Z185*$L185,0)</f>
        <v>0</v>
      </c>
      <c r="AC185" s="103"/>
      <c r="AD185" s="109">
        <v>1</v>
      </c>
      <c r="AE185" s="103"/>
      <c r="AF185" s="109">
        <f>ROUND(+AD185*$L185,0)</f>
        <v>16</v>
      </c>
      <c r="AG185" s="103"/>
      <c r="AH185" s="109">
        <v>0</v>
      </c>
      <c r="AI185" s="103"/>
      <c r="AJ185" s="109">
        <f>ROUND(+AH185*$L185,0)</f>
        <v>0</v>
      </c>
      <c r="AK185" s="103"/>
      <c r="AL185" s="109">
        <f>N185+R185+V185+Z185+AD185+AH185</f>
        <v>1</v>
      </c>
      <c r="AM185" s="103"/>
      <c r="AN185" s="109">
        <f>P185+T185+X185+AB185+AF185+AJ185</f>
        <v>16</v>
      </c>
      <c r="AO185" s="103"/>
      <c r="AQ185" s="104"/>
      <c r="AR185" s="103"/>
      <c r="AS185" s="109"/>
      <c r="AT185" s="109"/>
      <c r="AU185" s="109"/>
      <c r="AV185" s="109"/>
      <c r="AW185" s="109"/>
      <c r="AX185" s="121"/>
      <c r="AY185" s="121"/>
    </row>
    <row r="186" spans="7:51">
      <c r="J186" s="103"/>
      <c r="K186" s="103"/>
      <c r="L186" s="103"/>
      <c r="M186" s="103"/>
      <c r="N186" s="127"/>
      <c r="O186" s="103"/>
      <c r="P186" s="127"/>
      <c r="Q186" s="103"/>
      <c r="R186" s="127"/>
      <c r="S186" s="103"/>
      <c r="T186" s="127"/>
      <c r="U186" s="103"/>
      <c r="V186" s="127"/>
      <c r="W186" s="103"/>
      <c r="X186" s="127"/>
      <c r="Y186" s="103"/>
      <c r="Z186" s="127"/>
      <c r="AA186" s="103"/>
      <c r="AB186" s="127"/>
      <c r="AC186" s="103"/>
      <c r="AD186" s="127"/>
      <c r="AE186" s="103"/>
      <c r="AF186" s="127"/>
      <c r="AG186" s="103"/>
      <c r="AH186" s="127"/>
      <c r="AI186" s="103"/>
      <c r="AJ186" s="127"/>
      <c r="AK186" s="103"/>
      <c r="AL186" s="127"/>
      <c r="AM186" s="103"/>
      <c r="AN186" s="127"/>
      <c r="AO186" s="103"/>
      <c r="AQ186" s="103"/>
      <c r="AR186" s="103"/>
      <c r="AS186" s="109"/>
      <c r="AT186" s="109"/>
      <c r="AU186" s="109"/>
      <c r="AV186" s="109"/>
      <c r="AW186" s="109"/>
      <c r="AX186" s="103"/>
      <c r="AY186" s="103"/>
    </row>
    <row r="187" spans="7:51">
      <c r="J187" s="103" t="s">
        <v>341</v>
      </c>
      <c r="K187" s="103"/>
      <c r="L187" s="103"/>
      <c r="M187" s="103"/>
      <c r="N187" s="109">
        <f>SUM(N167:N185)</f>
        <v>267277</v>
      </c>
      <c r="O187" s="103"/>
      <c r="P187" s="109">
        <f>SUM(P167:P185)</f>
        <v>268413</v>
      </c>
      <c r="Q187" s="103"/>
      <c r="R187" s="109">
        <f>SUM(R167:R185)</f>
        <v>13490</v>
      </c>
      <c r="S187" s="103"/>
      <c r="T187" s="109">
        <f>SUM(T167:T185)</f>
        <v>18329</v>
      </c>
      <c r="U187" s="103"/>
      <c r="V187" s="109">
        <f>SUM(V167:V185)</f>
        <v>757</v>
      </c>
      <c r="W187" s="103"/>
      <c r="X187" s="109">
        <f>SUM(X167:X185)</f>
        <v>1463</v>
      </c>
      <c r="Y187" s="103"/>
      <c r="Z187" s="109">
        <f>SUM(Z167:Z185)</f>
        <v>789</v>
      </c>
      <c r="AA187" s="103"/>
      <c r="AB187" s="109">
        <f>SUM(AB167:AB185)</f>
        <v>1291</v>
      </c>
      <c r="AC187" s="103"/>
      <c r="AD187" s="109">
        <f>SUM(AD167:AD185)</f>
        <v>14</v>
      </c>
      <c r="AE187" s="103"/>
      <c r="AF187" s="109">
        <f>SUM(AF167:AF185)</f>
        <v>71</v>
      </c>
      <c r="AG187" s="103"/>
      <c r="AH187" s="109">
        <f>SUM(AH167:AH185)</f>
        <v>2189</v>
      </c>
      <c r="AI187" s="103"/>
      <c r="AJ187" s="109">
        <f>SUM(AJ167:AJ185)</f>
        <v>9005</v>
      </c>
      <c r="AK187" s="103"/>
      <c r="AL187" s="109">
        <f>SUM(AL167:AL185)</f>
        <v>284516</v>
      </c>
      <c r="AM187" s="103"/>
      <c r="AN187" s="109">
        <f>SUM(AN167:AN185)</f>
        <v>298572</v>
      </c>
      <c r="AO187" s="103"/>
      <c r="AQ187" s="103"/>
      <c r="AR187" s="103"/>
      <c r="AS187" s="103"/>
      <c r="AT187" s="103"/>
      <c r="AU187" s="103"/>
      <c r="AV187" s="103"/>
      <c r="AW187" s="103"/>
      <c r="AX187" s="103"/>
      <c r="AY187" s="103"/>
    </row>
    <row r="188" spans="7:51">
      <c r="J188" s="103"/>
      <c r="K188" s="103"/>
      <c r="L188" s="103"/>
      <c r="M188" s="103"/>
      <c r="N188" s="116"/>
      <c r="O188" s="103"/>
      <c r="P188" s="116"/>
      <c r="Q188" s="103"/>
      <c r="R188" s="116"/>
      <c r="S188" s="103"/>
      <c r="T188" s="116"/>
      <c r="U188" s="103"/>
      <c r="V188" s="116"/>
      <c r="W188" s="103"/>
      <c r="X188" s="116"/>
      <c r="Y188" s="103"/>
      <c r="Z188" s="116"/>
      <c r="AA188" s="103"/>
      <c r="AB188" s="116"/>
      <c r="AC188" s="103"/>
      <c r="AD188" s="116"/>
      <c r="AE188" s="103"/>
      <c r="AF188" s="116"/>
      <c r="AG188" s="103"/>
      <c r="AH188" s="116"/>
      <c r="AI188" s="103"/>
      <c r="AJ188" s="116"/>
      <c r="AK188" s="103"/>
      <c r="AL188" s="116"/>
      <c r="AM188" s="103"/>
      <c r="AN188" s="116"/>
      <c r="AO188" s="103"/>
    </row>
    <row r="189" spans="7:51">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row>
    <row r="190" spans="7:51">
      <c r="J190" s="103"/>
      <c r="K190" s="103"/>
      <c r="L190" s="103"/>
      <c r="M190" s="103"/>
      <c r="N190" s="103"/>
      <c r="O190" s="103"/>
      <c r="P190" s="122"/>
      <c r="Q190" s="103"/>
      <c r="R190" s="103"/>
      <c r="S190" s="103"/>
      <c r="T190" s="122"/>
      <c r="U190" s="103"/>
      <c r="V190" s="103"/>
      <c r="W190" s="103"/>
      <c r="X190" s="122"/>
      <c r="Y190" s="103"/>
      <c r="Z190" s="103"/>
      <c r="AA190" s="103"/>
      <c r="AB190" s="122"/>
      <c r="AC190" s="103"/>
      <c r="AD190" s="103"/>
      <c r="AE190" s="103"/>
      <c r="AF190" s="122"/>
      <c r="AG190" s="103"/>
      <c r="AH190" s="103"/>
      <c r="AI190" s="103"/>
      <c r="AJ190" s="122"/>
      <c r="AK190" s="103"/>
      <c r="AL190" s="103"/>
      <c r="AM190" s="103"/>
      <c r="AN190" s="122"/>
      <c r="AO190" s="103"/>
    </row>
    <row r="191" spans="7:51">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row>
    <row r="192" spans="7:51">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row>
    <row r="193" spans="10:41">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row>
    <row r="194" spans="10:41">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row>
    <row r="195" spans="10:41">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row>
    <row r="196" spans="10:41">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row>
    <row r="197" spans="10:41">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row>
  </sheetData>
  <mergeCells count="4">
    <mergeCell ref="A23:G23"/>
    <mergeCell ref="A46:F46"/>
    <mergeCell ref="A4:G4"/>
    <mergeCell ref="A41:G41"/>
  </mergeCells>
  <phoneticPr fontId="11" type="noConversion"/>
  <printOptions horizontalCentered="1"/>
  <pageMargins left="1" right="1" top="1" bottom="0.5" header="0.5" footer="0.5"/>
  <pageSetup fitToHeight="0" orientation="portrait" r:id="rId1"/>
  <headerFooter alignWithMargins="0"/>
  <rowBreaks count="1" manualBreakCount="1">
    <brk id="3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30</vt:i4>
      </vt:variant>
    </vt:vector>
  </HeadingPairs>
  <TitlesOfParts>
    <vt:vector size="50" baseType="lpstr">
      <vt:lpstr>COS 1</vt:lpstr>
      <vt:lpstr>F 1-2</vt:lpstr>
      <vt:lpstr>F 2 B</vt:lpstr>
      <vt:lpstr>F 3-4</vt:lpstr>
      <vt:lpstr>F 3B 4B</vt:lpstr>
      <vt:lpstr>F 5</vt:lpstr>
      <vt:lpstr>F 5B</vt:lpstr>
      <vt:lpstr>F6-7</vt:lpstr>
      <vt:lpstr>F8-10</vt:lpstr>
      <vt:lpstr>Meters &amp; Services</vt:lpstr>
      <vt:lpstr>F11-12</vt:lpstr>
      <vt:lpstr>F13-14</vt:lpstr>
      <vt:lpstr>F 15-20</vt:lpstr>
      <vt:lpstr>SCH-D</vt:lpstr>
      <vt:lpstr>Fire</vt:lpstr>
      <vt:lpstr>ServiceCharges</vt:lpstr>
      <vt:lpstr>SCH-A</vt:lpstr>
      <vt:lpstr>Rate base</vt:lpstr>
      <vt:lpstr>Pumps</vt:lpstr>
      <vt:lpstr>Sch G</vt:lpstr>
      <vt:lpstr>comp</vt:lpstr>
      <vt:lpstr>CUST</vt:lpstr>
      <vt:lpstr>'F 3-4'!FACT3</vt:lpstr>
      <vt:lpstr>'F 1-2'!FACT3A</vt:lpstr>
      <vt:lpstr>'F 2 B'!FACT3A</vt:lpstr>
      <vt:lpstr>'F 3-4'!FACT3A</vt:lpstr>
      <vt:lpstr>factor</vt:lpstr>
      <vt:lpstr>Factors</vt:lpstr>
      <vt:lpstr>'F 1-2'!FIRE</vt:lpstr>
      <vt:lpstr>'F 2 B'!FIRE</vt:lpstr>
      <vt:lpstr>'F 3-4'!FIRE</vt:lpstr>
      <vt:lpstr>func</vt:lpstr>
      <vt:lpstr>'COS 1'!Print_Area</vt:lpstr>
      <vt:lpstr>'F 1-2'!Print_Area</vt:lpstr>
      <vt:lpstr>'F 2 B'!Print_Area</vt:lpstr>
      <vt:lpstr>'F 3-4'!Print_Area</vt:lpstr>
      <vt:lpstr>'F 3B 4B'!Print_Area</vt:lpstr>
      <vt:lpstr>'F 5'!Print_Area</vt:lpstr>
      <vt:lpstr>'F 5B'!Print_Area</vt:lpstr>
      <vt:lpstr>'F11-12'!Print_Area</vt:lpstr>
      <vt:lpstr>'F13-14'!Print_Area</vt:lpstr>
      <vt:lpstr>'F6-7'!Print_Area</vt:lpstr>
      <vt:lpstr>'F8-10'!Print_Area</vt:lpstr>
      <vt:lpstr>Fire!Print_Area</vt:lpstr>
      <vt:lpstr>'Meters &amp; Services'!Print_Area</vt:lpstr>
      <vt:lpstr>'Sch G'!Print_Area</vt:lpstr>
      <vt:lpstr>'SCH-A'!Print_Area</vt:lpstr>
      <vt:lpstr>'SCH-D'!Print_Area</vt:lpstr>
      <vt:lpstr>ServiceCharges!Print_Area</vt:lpstr>
      <vt:lpstr>'COS 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Heppenstall, Constance E.</dc:creator>
  <cp:lastModifiedBy>PETRYDJ</cp:lastModifiedBy>
  <cp:lastPrinted>2012-12-17T19:30:28Z</cp:lastPrinted>
  <dcterms:created xsi:type="dcterms:W3CDTF">2000-03-27T20:18:41Z</dcterms:created>
  <dcterms:modified xsi:type="dcterms:W3CDTF">2013-01-04T21:19:17Z</dcterms:modified>
</cp:coreProperties>
</file>