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795" yWindow="1980" windowWidth="28305" windowHeight="15600" activeTab="2"/>
  </bookViews>
  <sheets>
    <sheet name="WKP SMR-5" sheetId="36" r:id="rId1"/>
    <sheet name="AG Pres Wrk" sheetId="37" r:id="rId2"/>
    <sheet name="COS 1" sheetId="19" r:id="rId3"/>
    <sheet name="F 1-2" sheetId="1" r:id="rId4"/>
    <sheet name="F 2 B" sheetId="2" r:id="rId5"/>
    <sheet name="F 3-4" sheetId="4" r:id="rId6"/>
    <sheet name="F 3B 4B" sheetId="5" r:id="rId7"/>
    <sheet name="F 5" sheetId="6" r:id="rId8"/>
    <sheet name="F 5B" sheetId="7" r:id="rId9"/>
    <sheet name="F6-7" sheetId="8" r:id="rId10"/>
    <sheet name="F8-10" sheetId="9" r:id="rId11"/>
    <sheet name="Meters &amp; Services" sheetId="31" r:id="rId12"/>
    <sheet name="F11-12" sheetId="11" r:id="rId13"/>
    <sheet name="F13-14" sheetId="10" r:id="rId14"/>
    <sheet name="F 15-20" sheetId="12" r:id="rId15"/>
    <sheet name="SCH-D" sheetId="28" r:id="rId16"/>
    <sheet name="Fire" sheetId="16" r:id="rId17"/>
    <sheet name="ServiceCharges" sheetId="35" r:id="rId18"/>
    <sheet name="SCH-A" sheetId="27" r:id="rId19"/>
    <sheet name="Rate base" sheetId="32" r:id="rId20"/>
    <sheet name="Pumps" sheetId="30" r:id="rId21"/>
    <sheet name="Sch G" sheetId="34" r:id="rId22"/>
  </sheets>
  <externalReferences>
    <externalReference r:id="rId23"/>
    <externalReference r:id="rId24"/>
  </externalReferences>
  <definedNames>
    <definedName name="comp" localSheetId="0">'[1]COS 1'!$Z$376:$AO$376</definedName>
    <definedName name="comp">'COS 1'!$Z$376:$AO$376</definedName>
    <definedName name="CUST" localSheetId="11">#REF!</definedName>
    <definedName name="CUST" localSheetId="20">#REF!</definedName>
    <definedName name="CUST" localSheetId="21">#REF!</definedName>
    <definedName name="CUST" localSheetId="17">#REF!</definedName>
    <definedName name="CUST" localSheetId="0">'[1]F 1-2'!$D$55:$M$72</definedName>
    <definedName name="CUST">'F 1-2'!$D$55:$M$72</definedName>
    <definedName name="fact">#REF!</definedName>
    <definedName name="FACT3" localSheetId="5">'F 3-4'!$A$1:$FL$1353</definedName>
    <definedName name="FACT3A" localSheetId="3">'F 1-2'!$Z$14:$BE$259</definedName>
    <definedName name="FACT3A" localSheetId="4">'F 2 B'!$W$14:$BB$265</definedName>
    <definedName name="FACT3A" localSheetId="5">'F 3-4'!$W$14:$BB$263</definedName>
    <definedName name="factor" localSheetId="0">'[1]COS 1'!$AA$376:$AO$381</definedName>
    <definedName name="factor">'COS 1'!$AA$376:$AO$381</definedName>
    <definedName name="Factors" localSheetId="0">'[1]COS 1'!$K$382:$Z$417</definedName>
    <definedName name="Factors">'COS 1'!$K$382:$Z$417</definedName>
    <definedName name="FIRE" localSheetId="3">'F 1-2'!$AC$72:$EU$906</definedName>
    <definedName name="FIRE" localSheetId="4">'F 2 B'!$Z$78:$ER$912</definedName>
    <definedName name="FIRE" localSheetId="5">'F 3-4'!$Z$78:$ER$910</definedName>
    <definedName name="func" localSheetId="0">'[1]COS 1'!$AH$386:$AY$406</definedName>
    <definedName name="func">'COS 1'!$AH$386:$AY$406</definedName>
    <definedName name="_xlnm.Print_Area" localSheetId="2">'COS 1'!$F$1:$X$356,'COS 1'!$AC$1:$AY$356</definedName>
    <definedName name="_xlnm.Print_Area" localSheetId="3">'F 1-2'!$B$1:$M$50</definedName>
    <definedName name="_xlnm.Print_Area" localSheetId="4">'F 2 B'!$A$1:$J$41</definedName>
    <definedName name="_xlnm.Print_Area" localSheetId="5">'F 3-4'!$A$1:$P$28,'F 3-4'!$A$31:$R$59</definedName>
    <definedName name="_xlnm.Print_Area" localSheetId="6">'F 3B 4B'!$A$1:$K$72</definedName>
    <definedName name="_xlnm.Print_Area" localSheetId="7">'F 5'!$A$1:$R$29</definedName>
    <definedName name="_xlnm.Print_Area" localSheetId="8">'F 5B'!$A$1:$J$46</definedName>
    <definedName name="_xlnm.Print_Area" localSheetId="12">'F11-12'!$A$1:$G$71</definedName>
    <definedName name="_xlnm.Print_Area" localSheetId="13">'F13-14'!$A$1:$G$44</definedName>
    <definedName name="_xlnm.Print_Area" localSheetId="9">'F6-7'!$A$1:$P$81</definedName>
    <definedName name="_xlnm.Print_Area" localSheetId="10">'F8-10'!$A$1:$G$60</definedName>
    <definedName name="_xlnm.Print_Area" localSheetId="16">Fire!$C$1:$O$39</definedName>
    <definedName name="_xlnm.Print_Area" localSheetId="11">'Meters &amp; Services'!$B$1:$AF$64</definedName>
    <definedName name="_xlnm.Print_Area" localSheetId="21">'Sch G'!$C$7:$L$55</definedName>
    <definedName name="_xlnm.Print_Area" localSheetId="18">'SCH-A'!$B$6:$R$38</definedName>
    <definedName name="_xlnm.Print_Area" localSheetId="15">'SCH-D'!$A$1:$P$55</definedName>
    <definedName name="_xlnm.Print_Area" localSheetId="17">ServiceCharges!$A$4:$K$47</definedName>
    <definedName name="_xlnm.Print_Titles" localSheetId="2">'COS 1'!$1:$9</definedName>
  </definedNames>
  <calcPr calcId="145621" iterate="1" iterateCount="1"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F15" i="37" l="1"/>
  <c r="F14" i="37"/>
  <c r="H11" i="37"/>
  <c r="H10" i="37"/>
  <c r="D7" i="37"/>
  <c r="L106" i="19"/>
  <c r="L313" i="19"/>
  <c r="L340" i="19"/>
  <c r="L207" i="19"/>
  <c r="J48" i="19"/>
  <c r="J47" i="19"/>
  <c r="J344" i="19"/>
  <c r="AG344" i="19" s="1"/>
  <c r="J342" i="19"/>
  <c r="AE219" i="19"/>
  <c r="AE318" i="19"/>
  <c r="AE203" i="19"/>
  <c r="AE202" i="19"/>
  <c r="AE201" i="19"/>
  <c r="AE264" i="19"/>
  <c r="AE265" i="19"/>
  <c r="AE266" i="19"/>
  <c r="AK266" i="19" s="1"/>
  <c r="AE267" i="19"/>
  <c r="AG267" i="19"/>
  <c r="AG266" i="19"/>
  <c r="AM266" i="19" s="1"/>
  <c r="AG265" i="19"/>
  <c r="AG264" i="19"/>
  <c r="AU266" i="19"/>
  <c r="AQ266" i="19"/>
  <c r="AI266" i="19"/>
  <c r="AO266" i="19"/>
  <c r="AE158" i="19"/>
  <c r="AE248" i="19"/>
  <c r="AE269" i="19"/>
  <c r="AE200" i="19"/>
  <c r="AE204" i="19"/>
  <c r="AE205" i="19"/>
  <c r="AE206" i="19"/>
  <c r="AE207" i="19"/>
  <c r="AE208" i="19"/>
  <c r="AE209" i="19"/>
  <c r="AE210" i="19"/>
  <c r="AE211" i="19"/>
  <c r="AE212" i="19"/>
  <c r="AE213" i="19"/>
  <c r="AE214" i="19"/>
  <c r="AE215" i="19"/>
  <c r="AE216" i="19"/>
  <c r="AE217" i="19"/>
  <c r="AE218" i="19"/>
  <c r="AE220" i="19"/>
  <c r="AE221" i="19"/>
  <c r="AE222" i="19"/>
  <c r="AE223" i="19"/>
  <c r="AE224" i="19"/>
  <c r="AE225" i="19"/>
  <c r="AE226" i="19"/>
  <c r="AE227" i="19"/>
  <c r="AE228" i="19"/>
  <c r="AE229" i="19"/>
  <c r="AE230" i="19"/>
  <c r="AE231" i="19"/>
  <c r="AE232" i="19"/>
  <c r="AE233" i="19"/>
  <c r="AE279" i="19"/>
  <c r="AE280" i="19"/>
  <c r="AE281" i="19"/>
  <c r="AE282" i="19"/>
  <c r="AE283" i="19"/>
  <c r="AE284" i="19"/>
  <c r="AE285" i="19"/>
  <c r="AE286" i="19"/>
  <c r="AE287" i="19"/>
  <c r="AU287" i="19" s="1"/>
  <c r="AE288" i="19"/>
  <c r="AE289" i="19"/>
  <c r="AE290" i="19"/>
  <c r="AE291" i="19"/>
  <c r="AE292" i="19"/>
  <c r="AE293" i="19"/>
  <c r="AE294" i="19"/>
  <c r="AE295" i="19"/>
  <c r="AE296" i="19"/>
  <c r="AE297" i="19"/>
  <c r="AE298" i="19"/>
  <c r="AE299" i="19"/>
  <c r="AE300" i="19"/>
  <c r="AE301" i="19"/>
  <c r="AE302" i="19"/>
  <c r="AE303" i="19"/>
  <c r="AE305" i="19"/>
  <c r="AE306" i="19"/>
  <c r="AE307" i="19"/>
  <c r="AE308" i="19"/>
  <c r="AS308" i="19" s="1"/>
  <c r="AE309" i="19"/>
  <c r="AE310" i="19"/>
  <c r="AE311" i="19"/>
  <c r="AQ311" i="19" s="1"/>
  <c r="AE312" i="19"/>
  <c r="AE313" i="19"/>
  <c r="AE314" i="19"/>
  <c r="AE315" i="19"/>
  <c r="AE316" i="19"/>
  <c r="AE317" i="19"/>
  <c r="AE319" i="19"/>
  <c r="AE320" i="19"/>
  <c r="AE321" i="19"/>
  <c r="AE322" i="19"/>
  <c r="AE323" i="19"/>
  <c r="AE324" i="19"/>
  <c r="AE343" i="19"/>
  <c r="AG345" i="19"/>
  <c r="AG346" i="19"/>
  <c r="AG343" i="19"/>
  <c r="AG342" i="19"/>
  <c r="AE337" i="19"/>
  <c r="AG334" i="19"/>
  <c r="AG339" i="19"/>
  <c r="AG340" i="19"/>
  <c r="AG337" i="19"/>
  <c r="AG335" i="19"/>
  <c r="AG297" i="19"/>
  <c r="AS297" i="19" s="1"/>
  <c r="AG294" i="19"/>
  <c r="AG281" i="19"/>
  <c r="AG336" i="19"/>
  <c r="AG341" i="19"/>
  <c r="AU294" i="19"/>
  <c r="AO281" i="19"/>
  <c r="AQ281" i="19"/>
  <c r="AS281" i="19"/>
  <c r="AU281" i="19"/>
  <c r="AM281" i="19"/>
  <c r="AU297" i="19"/>
  <c r="AM297" i="19"/>
  <c r="AO297" i="19"/>
  <c r="AQ337" i="19"/>
  <c r="AO337" i="19"/>
  <c r="AS337" i="19"/>
  <c r="AU337" i="19"/>
  <c r="AG338" i="19"/>
  <c r="AG333" i="19"/>
  <c r="AG302" i="19"/>
  <c r="AG287" i="19"/>
  <c r="AG293" i="19"/>
  <c r="AO293" i="19" s="1"/>
  <c r="AG309" i="19"/>
  <c r="AU309" i="19" s="1"/>
  <c r="AG308" i="19"/>
  <c r="AQ308" i="19"/>
  <c r="AU293" i="19"/>
  <c r="AQ293" i="19"/>
  <c r="AS287" i="19"/>
  <c r="AO287" i="19"/>
  <c r="AQ287" i="19"/>
  <c r="AM287" i="19"/>
  <c r="AO302" i="19"/>
  <c r="AQ302" i="19"/>
  <c r="AU302" i="19"/>
  <c r="AG316" i="19"/>
  <c r="AG315" i="19"/>
  <c r="AM308" i="19"/>
  <c r="AO308" i="19"/>
  <c r="AU308" i="19"/>
  <c r="AG318" i="19"/>
  <c r="AE196" i="19"/>
  <c r="AE182" i="19"/>
  <c r="AE190" i="19"/>
  <c r="AG178" i="19"/>
  <c r="AG183" i="19"/>
  <c r="AG187" i="19"/>
  <c r="AU187" i="19" s="1"/>
  <c r="AG317" i="19"/>
  <c r="AE80" i="19"/>
  <c r="AE81" i="19"/>
  <c r="AE82" i="19"/>
  <c r="AE83" i="19"/>
  <c r="AE84" i="19"/>
  <c r="AE85" i="19"/>
  <c r="AE86" i="19"/>
  <c r="AE87" i="19"/>
  <c r="AE88" i="19"/>
  <c r="AE89" i="19"/>
  <c r="AE90" i="19"/>
  <c r="AE91" i="19"/>
  <c r="AE92" i="19"/>
  <c r="AE93" i="19"/>
  <c r="AE94" i="19"/>
  <c r="AE247" i="19"/>
  <c r="AE249" i="19"/>
  <c r="AE250" i="19"/>
  <c r="AE240" i="19"/>
  <c r="AE166" i="19"/>
  <c r="AE165" i="19"/>
  <c r="AE164" i="19"/>
  <c r="AE163" i="19"/>
  <c r="AE162" i="19"/>
  <c r="AE161" i="19"/>
  <c r="AE160" i="19"/>
  <c r="AE159" i="19"/>
  <c r="AE157" i="19"/>
  <c r="AE156" i="19"/>
  <c r="AE155" i="19"/>
  <c r="AE154" i="19"/>
  <c r="AE153" i="19"/>
  <c r="AE152" i="19"/>
  <c r="AE151" i="19"/>
  <c r="AE150" i="19"/>
  <c r="AE149" i="19"/>
  <c r="AE148" i="19"/>
  <c r="AE147" i="19"/>
  <c r="AE146" i="19"/>
  <c r="AE145" i="19"/>
  <c r="AE144" i="19"/>
  <c r="AE143" i="19"/>
  <c r="AE142" i="19"/>
  <c r="AE141" i="19"/>
  <c r="AE140" i="19"/>
  <c r="AE138" i="19"/>
  <c r="AE137" i="19"/>
  <c r="AE130" i="19"/>
  <c r="AE129" i="19"/>
  <c r="AE128" i="19"/>
  <c r="AE127" i="19"/>
  <c r="AE126" i="19"/>
  <c r="AE125" i="19"/>
  <c r="AE124" i="19"/>
  <c r="AE123" i="19"/>
  <c r="AE122" i="19"/>
  <c r="AE121" i="19"/>
  <c r="AE120" i="19"/>
  <c r="AE119" i="19"/>
  <c r="AE118" i="19"/>
  <c r="AE117" i="19"/>
  <c r="AE100" i="19"/>
  <c r="AU100" i="19" s="1"/>
  <c r="AE101" i="19"/>
  <c r="AE102" i="19"/>
  <c r="AE103" i="19"/>
  <c r="AE104" i="19"/>
  <c r="AE105" i="19"/>
  <c r="AE106" i="19"/>
  <c r="AE107" i="19"/>
  <c r="AE108" i="19"/>
  <c r="AE109" i="19"/>
  <c r="AE110" i="19"/>
  <c r="AE68" i="19"/>
  <c r="AE69" i="19"/>
  <c r="AE70" i="19"/>
  <c r="AE71" i="19"/>
  <c r="AE46" i="19"/>
  <c r="AM46" i="19" s="1"/>
  <c r="AE47" i="19"/>
  <c r="AE48" i="19"/>
  <c r="AE49" i="19"/>
  <c r="AE50" i="19"/>
  <c r="AE51" i="19"/>
  <c r="AE52" i="19"/>
  <c r="AE53" i="19"/>
  <c r="AE54" i="19"/>
  <c r="AE55" i="19"/>
  <c r="AE56" i="19"/>
  <c r="AE57" i="19"/>
  <c r="AE58" i="19"/>
  <c r="AE59" i="19"/>
  <c r="AE60" i="19"/>
  <c r="AE61" i="19"/>
  <c r="AE62" i="19"/>
  <c r="AE25" i="19"/>
  <c r="AE24" i="19"/>
  <c r="AE14" i="19"/>
  <c r="AE15" i="19"/>
  <c r="AE16" i="19"/>
  <c r="AE17" i="19"/>
  <c r="AE18" i="19"/>
  <c r="AE19" i="19"/>
  <c r="AG250" i="19"/>
  <c r="X311" i="19"/>
  <c r="AG311" i="19"/>
  <c r="AM311" i="19"/>
  <c r="AU311" i="19"/>
  <c r="AK311" i="19"/>
  <c r="AI311" i="19"/>
  <c r="AY311" i="19"/>
  <c r="AS311" i="19"/>
  <c r="AG140" i="19"/>
  <c r="AG141" i="19"/>
  <c r="AG142" i="19"/>
  <c r="AG306" i="19"/>
  <c r="AS306" i="19" s="1"/>
  <c r="AG307" i="19"/>
  <c r="AM142" i="19"/>
  <c r="AU140" i="19"/>
  <c r="AI140" i="19"/>
  <c r="AM140" i="19"/>
  <c r="X84" i="19"/>
  <c r="AG84" i="19"/>
  <c r="AG305" i="19"/>
  <c r="AU307" i="19"/>
  <c r="AS307" i="19"/>
  <c r="AK307" i="19"/>
  <c r="AU306" i="19"/>
  <c r="AO306" i="19"/>
  <c r="AQ306" i="19"/>
  <c r="AG68" i="19"/>
  <c r="AG80" i="19"/>
  <c r="AU80" i="19"/>
  <c r="AG137" i="19"/>
  <c r="AG100" i="19"/>
  <c r="AO84" i="19"/>
  <c r="AI84" i="19"/>
  <c r="AY84" i="19"/>
  <c r="AU84" i="19"/>
  <c r="AK84" i="19"/>
  <c r="AG269" i="19"/>
  <c r="AQ305" i="19"/>
  <c r="AG83" i="19"/>
  <c r="AY83" i="19"/>
  <c r="X83" i="19"/>
  <c r="AG82" i="19"/>
  <c r="J361" i="19"/>
  <c r="AG24" i="19"/>
  <c r="AQ269" i="19"/>
  <c r="AM269" i="19"/>
  <c r="AO269" i="19"/>
  <c r="AI269" i="19"/>
  <c r="AK269" i="19"/>
  <c r="AU269" i="19"/>
  <c r="AQ68" i="19"/>
  <c r="AG46" i="19"/>
  <c r="AG110" i="19"/>
  <c r="AO110" i="19" s="1"/>
  <c r="AG109" i="19"/>
  <c r="AG71" i="19"/>
  <c r="AG166" i="19"/>
  <c r="AG157" i="19"/>
  <c r="AG129" i="19"/>
  <c r="AG93" i="19"/>
  <c r="AG62" i="19"/>
  <c r="AO62" i="19" s="1"/>
  <c r="AG156" i="19"/>
  <c r="AG122" i="19"/>
  <c r="AG61" i="19"/>
  <c r="AG155" i="19"/>
  <c r="AG60" i="19"/>
  <c r="AG19" i="19"/>
  <c r="AG165" i="19"/>
  <c r="AG92" i="19"/>
  <c r="AG59" i="19"/>
  <c r="AM59" i="19" s="1"/>
  <c r="AG18" i="19"/>
  <c r="AO18" i="19" s="1"/>
  <c r="AG154" i="19"/>
  <c r="AG153" i="19"/>
  <c r="AG58" i="19"/>
  <c r="AO58" i="19" s="1"/>
  <c r="AG17" i="19"/>
  <c r="AO17" i="19" s="1"/>
  <c r="AG152" i="19"/>
  <c r="AG91" i="19"/>
  <c r="AG151" i="19"/>
  <c r="AG90" i="19"/>
  <c r="AG57" i="19"/>
  <c r="AK83" i="19"/>
  <c r="AI83" i="19"/>
  <c r="AS83" i="19"/>
  <c r="AQ83" i="19"/>
  <c r="AU83" i="19"/>
  <c r="AM83" i="19"/>
  <c r="AU24" i="19"/>
  <c r="AG158" i="19"/>
  <c r="AG130" i="19"/>
  <c r="AK130" i="19" s="1"/>
  <c r="AO24" i="19"/>
  <c r="AG248" i="19"/>
  <c r="AS71" i="19"/>
  <c r="AM71" i="19"/>
  <c r="AU71" i="19"/>
  <c r="AQ71" i="19"/>
  <c r="AO71" i="19"/>
  <c r="AO46" i="19"/>
  <c r="AS46" i="19"/>
  <c r="AQ46" i="19"/>
  <c r="AU46" i="19"/>
  <c r="AS60" i="19"/>
  <c r="AQ61" i="19"/>
  <c r="AO61" i="19"/>
  <c r="AU61" i="19"/>
  <c r="AS61" i="19"/>
  <c r="AM61" i="19"/>
  <c r="AU92" i="19"/>
  <c r="AM62" i="19"/>
  <c r="AS62" i="19"/>
  <c r="AQ62" i="19"/>
  <c r="AU62" i="19"/>
  <c r="AU109" i="19"/>
  <c r="AU59" i="19"/>
  <c r="AO59" i="19"/>
  <c r="AQ59" i="19"/>
  <c r="AS59" i="19"/>
  <c r="AU93" i="19"/>
  <c r="AU110" i="19"/>
  <c r="AQ110" i="19"/>
  <c r="AS110" i="19"/>
  <c r="AI129" i="19"/>
  <c r="AU91" i="19"/>
  <c r="AU58" i="19"/>
  <c r="AM58" i="19"/>
  <c r="AS58" i="19"/>
  <c r="AQ58" i="19"/>
  <c r="AQ57" i="19"/>
  <c r="AU57" i="19"/>
  <c r="AM57" i="19"/>
  <c r="AO57" i="19"/>
  <c r="AS57" i="19"/>
  <c r="AM130" i="19"/>
  <c r="AU130" i="19"/>
  <c r="AO130" i="19"/>
  <c r="AI130" i="19"/>
  <c r="AQ130" i="19"/>
  <c r="AG88" i="19"/>
  <c r="AG55" i="19"/>
  <c r="AG125" i="19"/>
  <c r="AK125" i="19" s="1"/>
  <c r="AG128" i="19"/>
  <c r="AG56" i="19"/>
  <c r="AG163" i="19"/>
  <c r="AG162" i="19"/>
  <c r="AG127" i="19"/>
  <c r="AG126" i="19"/>
  <c r="AG124" i="19"/>
  <c r="AG123" i="19"/>
  <c r="AG87" i="19"/>
  <c r="AU87" i="19" s="1"/>
  <c r="AG146" i="19"/>
  <c r="AG145" i="19"/>
  <c r="AG53" i="19"/>
  <c r="AQ53" i="19" s="1"/>
  <c r="AG161" i="19"/>
  <c r="AG89" i="19"/>
  <c r="AG52" i="19"/>
  <c r="AG51" i="19"/>
  <c r="AO51" i="19" s="1"/>
  <c r="AG144" i="19"/>
  <c r="AG118" i="19"/>
  <c r="AG86" i="19"/>
  <c r="AG85" i="19"/>
  <c r="AU85" i="19" s="1"/>
  <c r="AG49" i="19"/>
  <c r="AG50" i="19"/>
  <c r="AG54" i="19"/>
  <c r="AG81" i="19"/>
  <c r="AU81" i="19" s="1"/>
  <c r="AG48" i="19"/>
  <c r="AG15" i="19"/>
  <c r="AM15" i="19" s="1"/>
  <c r="AU56" i="19"/>
  <c r="AO56" i="19"/>
  <c r="AQ56" i="19"/>
  <c r="AK123" i="19"/>
  <c r="AO123" i="19"/>
  <c r="AU123" i="19"/>
  <c r="AU53" i="19"/>
  <c r="AM53" i="19"/>
  <c r="AS53" i="19"/>
  <c r="AO53" i="19"/>
  <c r="AU51" i="19"/>
  <c r="AQ51" i="19"/>
  <c r="AM51" i="19"/>
  <c r="AS51" i="19"/>
  <c r="AG138" i="19"/>
  <c r="AQ126" i="19"/>
  <c r="AK126" i="19"/>
  <c r="AM126" i="19"/>
  <c r="AI126" i="19"/>
  <c r="AU126" i="19"/>
  <c r="AO126" i="19"/>
  <c r="AU89" i="19"/>
  <c r="AU54" i="19"/>
  <c r="AM54" i="19"/>
  <c r="AS54" i="19"/>
  <c r="L159" i="19"/>
  <c r="AG159" i="19"/>
  <c r="AK128" i="19"/>
  <c r="AU128" i="19"/>
  <c r="AM125" i="19"/>
  <c r="AI125" i="19"/>
  <c r="AQ125" i="19"/>
  <c r="AO125" i="19"/>
  <c r="AM50" i="19"/>
  <c r="AO50" i="19"/>
  <c r="AU50" i="19"/>
  <c r="AQ50" i="19"/>
  <c r="AS50" i="19"/>
  <c r="AU15" i="19"/>
  <c r="AK15" i="19"/>
  <c r="AS15" i="19"/>
  <c r="AO15" i="19"/>
  <c r="AQ15" i="19"/>
  <c r="AK127" i="19"/>
  <c r="AM127" i="19"/>
  <c r="AQ127" i="19"/>
  <c r="AS55" i="19"/>
  <c r="AM55" i="19"/>
  <c r="AM48" i="19"/>
  <c r="AO48" i="19"/>
  <c r="AU48" i="19"/>
  <c r="AQ48" i="19"/>
  <c r="X121" i="19"/>
  <c r="AG121" i="19"/>
  <c r="AQ118" i="19"/>
  <c r="AM118" i="19"/>
  <c r="AU118" i="19"/>
  <c r="AK118" i="19"/>
  <c r="AO118" i="19"/>
  <c r="AI118" i="19"/>
  <c r="AQ124" i="19"/>
  <c r="AO124" i="19"/>
  <c r="AU124" i="19"/>
  <c r="AS49" i="19"/>
  <c r="AU49" i="19"/>
  <c r="AO52" i="19"/>
  <c r="AU88" i="19"/>
  <c r="AY121" i="19"/>
  <c r="AK121" i="19"/>
  <c r="AS121" i="19"/>
  <c r="AS159" i="19"/>
  <c r="AT400" i="19"/>
  <c r="AG16" i="19"/>
  <c r="J38" i="19"/>
  <c r="AG69" i="19"/>
  <c r="AG103" i="19"/>
  <c r="AG104" i="19"/>
  <c r="AG105" i="19"/>
  <c r="AG107" i="19"/>
  <c r="AG94" i="19"/>
  <c r="AU94" i="19" s="1"/>
  <c r="AG119" i="19"/>
  <c r="AG148" i="19"/>
  <c r="AG149" i="19"/>
  <c r="AG160" i="19"/>
  <c r="AG164" i="19"/>
  <c r="AG288" i="19"/>
  <c r="AG289" i="19"/>
  <c r="AU289" i="19" s="1"/>
  <c r="AG290" i="19"/>
  <c r="AG291" i="19"/>
  <c r="AS291" i="19" s="1"/>
  <c r="AG292" i="19"/>
  <c r="AG295" i="19"/>
  <c r="AO295" i="19" s="1"/>
  <c r="AG332" i="19"/>
  <c r="AT402" i="19"/>
  <c r="AT403" i="19"/>
  <c r="AT404" i="19"/>
  <c r="AT405" i="19"/>
  <c r="AG241" i="19"/>
  <c r="AG246" i="19"/>
  <c r="AG268" i="19"/>
  <c r="AG348" i="19"/>
  <c r="AG349" i="19"/>
  <c r="AG270" i="19"/>
  <c r="AG263" i="19"/>
  <c r="N340" i="19"/>
  <c r="P340" i="19"/>
  <c r="R340" i="19"/>
  <c r="T340" i="19"/>
  <c r="V340" i="19"/>
  <c r="X338" i="19"/>
  <c r="X339" i="19"/>
  <c r="X340" i="19"/>
  <c r="BA393" i="19"/>
  <c r="AX396" i="19"/>
  <c r="AX397" i="19"/>
  <c r="BA399" i="19"/>
  <c r="AX400" i="19"/>
  <c r="AX402" i="19"/>
  <c r="BA406" i="19"/>
  <c r="AX405" i="19"/>
  <c r="AX404" i="19"/>
  <c r="AX403" i="19"/>
  <c r="AE36" i="19"/>
  <c r="AE45" i="19"/>
  <c r="AG70" i="19"/>
  <c r="AE79" i="19"/>
  <c r="AE67" i="19"/>
  <c r="AG106" i="19"/>
  <c r="AW106" i="19" s="1"/>
  <c r="AG108" i="19"/>
  <c r="AE32" i="19"/>
  <c r="AE278" i="19"/>
  <c r="AE325" i="19"/>
  <c r="AE326" i="19"/>
  <c r="AE333" i="19"/>
  <c r="AE334" i="19"/>
  <c r="AE335" i="19"/>
  <c r="AS335" i="19" s="1"/>
  <c r="AE336" i="19"/>
  <c r="AE338" i="19"/>
  <c r="AE339" i="19"/>
  <c r="AE340" i="19"/>
  <c r="AE341" i="19"/>
  <c r="AE346" i="19"/>
  <c r="AE348" i="19"/>
  <c r="AG150" i="19"/>
  <c r="AG247" i="19"/>
  <c r="AG240" i="19"/>
  <c r="AE270" i="19"/>
  <c r="AE342" i="19"/>
  <c r="AE177" i="19"/>
  <c r="AE178" i="19"/>
  <c r="AE179" i="19"/>
  <c r="AE180" i="19"/>
  <c r="AE181" i="19"/>
  <c r="AE183" i="19"/>
  <c r="AE184" i="19"/>
  <c r="AE185" i="19"/>
  <c r="AE186" i="19"/>
  <c r="AE187" i="19"/>
  <c r="AE188" i="19"/>
  <c r="AE189" i="19"/>
  <c r="AE191" i="19"/>
  <c r="AE192" i="19"/>
  <c r="AE193" i="19"/>
  <c r="AE194" i="19"/>
  <c r="AE195" i="19"/>
  <c r="AE197" i="19"/>
  <c r="AE199" i="19"/>
  <c r="AE234" i="19"/>
  <c r="AE239" i="19"/>
  <c r="AE241" i="19"/>
  <c r="AE246" i="19"/>
  <c r="AE256" i="19"/>
  <c r="AE259" i="19"/>
  <c r="AE263" i="19"/>
  <c r="AE268" i="19"/>
  <c r="AE332" i="19"/>
  <c r="AE344" i="19"/>
  <c r="AE345" i="19"/>
  <c r="AE349" i="19"/>
  <c r="Z393" i="19"/>
  <c r="AA393" i="19" s="1"/>
  <c r="AJ396" i="19"/>
  <c r="AL396" i="19"/>
  <c r="AN396" i="19"/>
  <c r="AP396" i="19"/>
  <c r="AR396" i="19"/>
  <c r="AV396" i="19"/>
  <c r="AJ397" i="19"/>
  <c r="AL397" i="19"/>
  <c r="AN397" i="19"/>
  <c r="AP397" i="19"/>
  <c r="AR397" i="19"/>
  <c r="AV397" i="19"/>
  <c r="M400" i="19"/>
  <c r="O400" i="19"/>
  <c r="Q400" i="19"/>
  <c r="S400" i="19"/>
  <c r="U400" i="19"/>
  <c r="W400" i="19"/>
  <c r="AJ400" i="19"/>
  <c r="AL400" i="19"/>
  <c r="AN400" i="19"/>
  <c r="AP400" i="19"/>
  <c r="AR400" i="19"/>
  <c r="AV400" i="19"/>
  <c r="M402" i="19"/>
  <c r="O402" i="19"/>
  <c r="Q402" i="19"/>
  <c r="S402" i="19"/>
  <c r="U402" i="19"/>
  <c r="W402" i="19"/>
  <c r="AJ402" i="19"/>
  <c r="AL402" i="19"/>
  <c r="AN402" i="19"/>
  <c r="AP402" i="19"/>
  <c r="AR402" i="19"/>
  <c r="AV402" i="19"/>
  <c r="M403" i="19"/>
  <c r="O403" i="19"/>
  <c r="Q403" i="19"/>
  <c r="S403" i="19"/>
  <c r="U403" i="19"/>
  <c r="W403" i="19"/>
  <c r="AJ403" i="19"/>
  <c r="AL403" i="19"/>
  <c r="AN403" i="19"/>
  <c r="AP403" i="19"/>
  <c r="AR403" i="19"/>
  <c r="AV403" i="19"/>
  <c r="AJ404" i="19"/>
  <c r="AL404" i="19"/>
  <c r="AN404" i="19"/>
  <c r="AP404" i="19"/>
  <c r="AR404" i="19"/>
  <c r="AV404" i="19"/>
  <c r="AJ405" i="19"/>
  <c r="AL405" i="19"/>
  <c r="AN405" i="19"/>
  <c r="AP405" i="19"/>
  <c r="AR405" i="19"/>
  <c r="AV405" i="19"/>
  <c r="AG239" i="19"/>
  <c r="AG243" i="19"/>
  <c r="J64" i="19"/>
  <c r="J75" i="19" s="1"/>
  <c r="J369" i="19"/>
  <c r="AY106" i="19"/>
  <c r="AO187" i="19"/>
  <c r="AS187" i="19"/>
  <c r="AQ187" i="19"/>
  <c r="AU291" i="19"/>
  <c r="AQ291" i="19"/>
  <c r="AO291" i="19"/>
  <c r="AS288" i="19"/>
  <c r="AO288" i="19"/>
  <c r="AQ288" i="19"/>
  <c r="AU288" i="19"/>
  <c r="AS295" i="19"/>
  <c r="AU295" i="19"/>
  <c r="AQ295" i="19"/>
  <c r="AM295" i="19"/>
  <c r="AO290" i="19"/>
  <c r="AM178" i="19"/>
  <c r="AS178" i="19"/>
  <c r="AU178" i="19"/>
  <c r="AO178" i="19"/>
  <c r="AQ178" i="19"/>
  <c r="AS292" i="19"/>
  <c r="AO292" i="19"/>
  <c r="AQ292" i="19"/>
  <c r="AU292" i="19"/>
  <c r="AS183" i="19"/>
  <c r="AQ183" i="19"/>
  <c r="AO183" i="19"/>
  <c r="AU183" i="19"/>
  <c r="AM183" i="19"/>
  <c r="AS289" i="19"/>
  <c r="AQ289" i="19"/>
  <c r="AO289" i="19"/>
  <c r="AS340" i="19"/>
  <c r="AU340" i="19"/>
  <c r="AW340" i="19"/>
  <c r="AY340" i="19"/>
  <c r="AK340" i="19"/>
  <c r="AM340" i="19"/>
  <c r="AQ340" i="19"/>
  <c r="AU339" i="19"/>
  <c r="AI339" i="19"/>
  <c r="AY339" i="19"/>
  <c r="AK339" i="19"/>
  <c r="AM339" i="19"/>
  <c r="AO339" i="19"/>
  <c r="AS339" i="19"/>
  <c r="AO336" i="19"/>
  <c r="AU336" i="19"/>
  <c r="AO335" i="19"/>
  <c r="AQ335" i="19"/>
  <c r="AU335" i="19"/>
  <c r="AK335" i="19"/>
  <c r="AI338" i="19"/>
  <c r="AK338" i="19"/>
  <c r="AM338" i="19"/>
  <c r="AQ338" i="19"/>
  <c r="AU338" i="19"/>
  <c r="AO334" i="19"/>
  <c r="AQ334" i="19"/>
  <c r="AS334" i="19"/>
  <c r="AU334" i="19"/>
  <c r="AM334" i="19"/>
  <c r="AQ333" i="19"/>
  <c r="AS333" i="19"/>
  <c r="AU333" i="19"/>
  <c r="AM333" i="19"/>
  <c r="AO333" i="19"/>
  <c r="AG102" i="19"/>
  <c r="AS102" i="19" s="1"/>
  <c r="J363" i="19"/>
  <c r="AG286" i="19"/>
  <c r="AG323" i="19"/>
  <c r="AG283" i="19"/>
  <c r="AG321" i="19"/>
  <c r="AG278" i="19"/>
  <c r="AU108" i="19"/>
  <c r="AM104" i="19"/>
  <c r="AU104" i="19"/>
  <c r="AI104" i="19"/>
  <c r="AG14" i="19"/>
  <c r="AG21" i="19"/>
  <c r="AG29" i="19" s="1"/>
  <c r="J21" i="19"/>
  <c r="AG101" i="19"/>
  <c r="J112" i="19"/>
  <c r="AU106" i="19"/>
  <c r="AM106" i="19"/>
  <c r="AO106" i="19"/>
  <c r="AQ106" i="19"/>
  <c r="AK106" i="19"/>
  <c r="AI106" i="19"/>
  <c r="AS106" i="19"/>
  <c r="AK119" i="19"/>
  <c r="AI119" i="19"/>
  <c r="AM119" i="19"/>
  <c r="AO119" i="19"/>
  <c r="AU119" i="19"/>
  <c r="AQ119" i="19"/>
  <c r="AU69" i="19"/>
  <c r="AO69" i="19"/>
  <c r="J96" i="19"/>
  <c r="AG32" i="19"/>
  <c r="AK32" i="19"/>
  <c r="AK34" i="19" s="1"/>
  <c r="J34" i="19"/>
  <c r="AU70" i="19"/>
  <c r="AO70" i="19"/>
  <c r="AS70" i="19"/>
  <c r="AG147" i="19"/>
  <c r="AU103" i="19"/>
  <c r="AQ103" i="19"/>
  <c r="AS103" i="19"/>
  <c r="AO103" i="19"/>
  <c r="AG67" i="19"/>
  <c r="J73" i="19"/>
  <c r="AG25" i="19"/>
  <c r="J27" i="19"/>
  <c r="J29" i="19" s="1"/>
  <c r="AU107" i="19"/>
  <c r="AG117" i="19"/>
  <c r="AY117" i="19" s="1"/>
  <c r="AU16" i="19"/>
  <c r="AO16" i="19"/>
  <c r="AG45" i="19"/>
  <c r="X105" i="19"/>
  <c r="X117" i="19"/>
  <c r="AK346" i="19"/>
  <c r="X104" i="19"/>
  <c r="J243" i="19"/>
  <c r="V106" i="19"/>
  <c r="AG296" i="19"/>
  <c r="AU241" i="19"/>
  <c r="AS241" i="19"/>
  <c r="AM241" i="19"/>
  <c r="AO241" i="19"/>
  <c r="AQ241" i="19"/>
  <c r="AU268" i="19"/>
  <c r="AS268" i="19"/>
  <c r="AO268" i="19"/>
  <c r="AQ268" i="19"/>
  <c r="AS348" i="19"/>
  <c r="AU346" i="19"/>
  <c r="AS346" i="19"/>
  <c r="AO348" i="19"/>
  <c r="AQ346" i="19"/>
  <c r="X106" i="19"/>
  <c r="T106" i="19"/>
  <c r="N106" i="19"/>
  <c r="R106" i="19"/>
  <c r="P106" i="19"/>
  <c r="AO346" i="19"/>
  <c r="AG310" i="19"/>
  <c r="AG320" i="19"/>
  <c r="AG298" i="19"/>
  <c r="AG36" i="19"/>
  <c r="AG79" i="19"/>
  <c r="AU286" i="19"/>
  <c r="AS286" i="19"/>
  <c r="AQ286" i="19"/>
  <c r="AO286" i="19"/>
  <c r="AM286" i="19"/>
  <c r="AU310" i="19"/>
  <c r="AY310" i="19"/>
  <c r="AK310" i="19"/>
  <c r="AM310" i="19"/>
  <c r="AS310" i="19"/>
  <c r="AO310" i="19"/>
  <c r="AI310" i="19"/>
  <c r="AS283" i="19"/>
  <c r="AU283" i="19"/>
  <c r="AO283" i="19"/>
  <c r="AM283" i="19"/>
  <c r="AQ283" i="19"/>
  <c r="AQ296" i="19"/>
  <c r="AS296" i="19"/>
  <c r="AU296" i="19"/>
  <c r="AM296" i="19"/>
  <c r="AO296" i="19"/>
  <c r="AM298" i="19"/>
  <c r="AO298" i="19"/>
  <c r="AQ298" i="19"/>
  <c r="AS298" i="19"/>
  <c r="AU298" i="19"/>
  <c r="AU102" i="19"/>
  <c r="X310" i="19"/>
  <c r="AG322" i="19"/>
  <c r="AG299" i="19"/>
  <c r="AG279" i="19"/>
  <c r="AG301" i="19"/>
  <c r="AG282" i="19"/>
  <c r="AG284" i="19"/>
  <c r="AG326" i="19"/>
  <c r="AG324" i="19"/>
  <c r="AG285" i="19"/>
  <c r="AG300" i="19"/>
  <c r="AG280" i="19"/>
  <c r="AO32" i="19"/>
  <c r="AO34" i="19"/>
  <c r="AO40" i="19" s="1"/>
  <c r="AU32" i="19"/>
  <c r="AU34" i="19"/>
  <c r="AM32" i="19"/>
  <c r="AG143" i="19"/>
  <c r="J169" i="19"/>
  <c r="AS67" i="19"/>
  <c r="AS32" i="19"/>
  <c r="AS34" i="19" s="1"/>
  <c r="AS45" i="19"/>
  <c r="AG34" i="19"/>
  <c r="AQ67" i="19"/>
  <c r="AQ32" i="19"/>
  <c r="AQ34" i="19" s="1"/>
  <c r="AM67" i="19"/>
  <c r="AU25" i="19"/>
  <c r="AK14" i="19"/>
  <c r="AM14" i="19"/>
  <c r="AQ14" i="19"/>
  <c r="AU14" i="19"/>
  <c r="AS14" i="19"/>
  <c r="AO14" i="19"/>
  <c r="AK117" i="19"/>
  <c r="AQ117" i="19"/>
  <c r="AQ25" i="19"/>
  <c r="AM25" i="19"/>
  <c r="J114" i="19"/>
  <c r="J351" i="19"/>
  <c r="AG27" i="19"/>
  <c r="J40" i="19"/>
  <c r="AG38" i="19"/>
  <c r="AS36" i="19"/>
  <c r="AO36" i="19"/>
  <c r="AO38" i="19" s="1"/>
  <c r="AU79" i="19"/>
  <c r="AG303" i="19"/>
  <c r="J272" i="19"/>
  <c r="AG319" i="19"/>
  <c r="AG313" i="19"/>
  <c r="AO303" i="19"/>
  <c r="AS303" i="19"/>
  <c r="AQ303" i="19"/>
  <c r="AK303" i="19"/>
  <c r="AU303" i="19"/>
  <c r="AU301" i="19"/>
  <c r="AO301" i="19"/>
  <c r="AQ301" i="19"/>
  <c r="AS301" i="19"/>
  <c r="AU284" i="19"/>
  <c r="AO284" i="19"/>
  <c r="AM284" i="19"/>
  <c r="AS284" i="19"/>
  <c r="AQ284" i="19"/>
  <c r="AK284" i="19"/>
  <c r="AI313" i="19"/>
  <c r="AY313" i="19"/>
  <c r="AK313" i="19"/>
  <c r="AQ313" i="19"/>
  <c r="AW313" i="19"/>
  <c r="AS313" i="19"/>
  <c r="AO313" i="19"/>
  <c r="AU313" i="19"/>
  <c r="AM313" i="19"/>
  <c r="AO300" i="19"/>
  <c r="AU300" i="19"/>
  <c r="AS300" i="19"/>
  <c r="AQ300" i="19"/>
  <c r="AQ299" i="19"/>
  <c r="AS299" i="19"/>
  <c r="AO299" i="19"/>
  <c r="AM299" i="19"/>
  <c r="AU299" i="19"/>
  <c r="R313" i="19"/>
  <c r="T313" i="19"/>
  <c r="N313" i="19"/>
  <c r="P313" i="19"/>
  <c r="V313" i="19"/>
  <c r="X313" i="19"/>
  <c r="AG314" i="19"/>
  <c r="AG325" i="19"/>
  <c r="AG272" i="19"/>
  <c r="AG40" i="19"/>
  <c r="AS38" i="19"/>
  <c r="AS40" i="19" s="1"/>
  <c r="J371" i="19"/>
  <c r="AG312" i="19"/>
  <c r="X312" i="19"/>
  <c r="AU312" i="19"/>
  <c r="AK312" i="19"/>
  <c r="AI312" i="19"/>
  <c r="AU317" i="19"/>
  <c r="AM34" i="19"/>
  <c r="J329" i="19"/>
  <c r="AK317" i="19"/>
  <c r="AM317" i="19"/>
  <c r="AO317" i="19"/>
  <c r="AQ317" i="19"/>
  <c r="AI317" i="19"/>
  <c r="Z369" i="19"/>
  <c r="AG195" i="19"/>
  <c r="AG199" i="19"/>
  <c r="AU199" i="19" s="1"/>
  <c r="AG224" i="19"/>
  <c r="AG212" i="19"/>
  <c r="AG217" i="19"/>
  <c r="AG188" i="19"/>
  <c r="AU188" i="19" s="1"/>
  <c r="AG202" i="19"/>
  <c r="AG225" i="19"/>
  <c r="AG229" i="19"/>
  <c r="AG210" i="19"/>
  <c r="AG228" i="19"/>
  <c r="AG193" i="19"/>
  <c r="AG221" i="19"/>
  <c r="AG227" i="19"/>
  <c r="AG197" i="19"/>
  <c r="AG215" i="19"/>
  <c r="AG200" i="19"/>
  <c r="AG207" i="19"/>
  <c r="AK207" i="19" s="1"/>
  <c r="P207" i="19"/>
  <c r="V207" i="19"/>
  <c r="X207" i="19"/>
  <c r="N207" i="19"/>
  <c r="R207" i="19"/>
  <c r="T207" i="19"/>
  <c r="AG230" i="19"/>
  <c r="AG196" i="19"/>
  <c r="AG222" i="19"/>
  <c r="AG181" i="19"/>
  <c r="AG179" i="19"/>
  <c r="AG232" i="19"/>
  <c r="AG233" i="19"/>
  <c r="AG203" i="19"/>
  <c r="AG190" i="19"/>
  <c r="AG231" i="19"/>
  <c r="AG223" i="19"/>
  <c r="AG201" i="19"/>
  <c r="AG184" i="19"/>
  <c r="AG186" i="19"/>
  <c r="AG192" i="19"/>
  <c r="AG182" i="19"/>
  <c r="AG209" i="19"/>
  <c r="AG191" i="19"/>
  <c r="AG234" i="19"/>
  <c r="AG213" i="19"/>
  <c r="AG226" i="19"/>
  <c r="AG194" i="19"/>
  <c r="AQ194" i="19" s="1"/>
  <c r="AG189" i="19"/>
  <c r="AG204" i="19"/>
  <c r="X204" i="19"/>
  <c r="AG216" i="19"/>
  <c r="AG208" i="19"/>
  <c r="AG180" i="19"/>
  <c r="AG214" i="19"/>
  <c r="AG211" i="19"/>
  <c r="AO199" i="19"/>
  <c r="AQ195" i="19"/>
  <c r="AS195" i="19"/>
  <c r="AO195" i="19"/>
  <c r="AU195" i="19"/>
  <c r="AG219" i="19"/>
  <c r="AS204" i="19"/>
  <c r="AO196" i="19"/>
  <c r="AU189" i="19"/>
  <c r="AQ189" i="19"/>
  <c r="AO186" i="19"/>
  <c r="AW207" i="19"/>
  <c r="AY207" i="19"/>
  <c r="AU193" i="19"/>
  <c r="AG218" i="19"/>
  <c r="AO192" i="19"/>
  <c r="AQ192" i="19"/>
  <c r="AS192" i="19"/>
  <c r="AM192" i="19"/>
  <c r="AU192" i="19"/>
  <c r="AS184" i="19"/>
  <c r="AO184" i="19"/>
  <c r="AQ184" i="19"/>
  <c r="AM184" i="19"/>
  <c r="AU184" i="19"/>
  <c r="AS201" i="19"/>
  <c r="X205" i="19"/>
  <c r="AG205" i="19"/>
  <c r="AG206" i="19"/>
  <c r="X206" i="19"/>
  <c r="AS228" i="19"/>
  <c r="AM228" i="19"/>
  <c r="AU228" i="19"/>
  <c r="AO228" i="19"/>
  <c r="AQ228" i="19"/>
  <c r="AG220" i="19"/>
  <c r="AU190" i="19"/>
  <c r="AO190" i="19"/>
  <c r="AS190" i="19"/>
  <c r="AQ190" i="19"/>
  <c r="AS194" i="19"/>
  <c r="AO179" i="19"/>
  <c r="AQ179" i="19"/>
  <c r="AM179" i="19"/>
  <c r="AU179" i="19"/>
  <c r="AS179" i="19"/>
  <c r="AG177" i="19"/>
  <c r="AQ200" i="19"/>
  <c r="AS200" i="19"/>
  <c r="AU200" i="19"/>
  <c r="AO200" i="19"/>
  <c r="AK200" i="19"/>
  <c r="AO197" i="19"/>
  <c r="AU197" i="19"/>
  <c r="AQ197" i="19"/>
  <c r="AK197" i="19"/>
  <c r="AS197" i="19"/>
  <c r="AS202" i="19"/>
  <c r="AQ202" i="19"/>
  <c r="AM202" i="19"/>
  <c r="AU202" i="19"/>
  <c r="AO202" i="19"/>
  <c r="AO188" i="19"/>
  <c r="AU191" i="19"/>
  <c r="AG185" i="19"/>
  <c r="J236" i="19"/>
  <c r="AQ218" i="19"/>
  <c r="AI218" i="19"/>
  <c r="AK218" i="19"/>
  <c r="AM218" i="19"/>
  <c r="AU218" i="19"/>
  <c r="AO218" i="19"/>
  <c r="AQ206" i="19"/>
  <c r="AI206" i="19"/>
  <c r="AS206" i="19"/>
  <c r="AY206" i="19"/>
  <c r="AU206" i="19"/>
  <c r="AM206" i="19"/>
  <c r="AK206" i="19"/>
  <c r="AU205" i="19"/>
  <c r="AM205" i="19"/>
  <c r="AY205" i="19"/>
  <c r="AI205" i="19"/>
  <c r="AU185" i="19"/>
  <c r="AS185" i="19"/>
  <c r="G22" i="1"/>
  <c r="G21" i="1"/>
  <c r="U24" i="1"/>
  <c r="P23" i="1"/>
  <c r="G18" i="1"/>
  <c r="G16" i="1"/>
  <c r="P20" i="1"/>
  <c r="G20" i="1" s="1"/>
  <c r="P19" i="1"/>
  <c r="G19" i="1" s="1"/>
  <c r="P18" i="1"/>
  <c r="P17" i="1"/>
  <c r="G17" i="1" s="1"/>
  <c r="P16" i="1"/>
  <c r="D162" i="12"/>
  <c r="F158" i="12"/>
  <c r="R406" i="19" s="1"/>
  <c r="F155" i="12"/>
  <c r="L406" i="19" s="1"/>
  <c r="F160" i="12"/>
  <c r="V406" i="19" s="1"/>
  <c r="F159" i="12"/>
  <c r="T406" i="19" s="1"/>
  <c r="F157" i="12"/>
  <c r="P406" i="19" s="1"/>
  <c r="F156" i="12"/>
  <c r="N406" i="19" s="1"/>
  <c r="D17" i="2"/>
  <c r="F37" i="2"/>
  <c r="H33" i="2"/>
  <c r="D19" i="2"/>
  <c r="H19" i="2"/>
  <c r="H35" i="2"/>
  <c r="D50" i="4"/>
  <c r="D51" i="4"/>
  <c r="D55" i="4"/>
  <c r="J17" i="4"/>
  <c r="E64" i="5"/>
  <c r="I64" i="5"/>
  <c r="E17" i="5"/>
  <c r="G17" i="5"/>
  <c r="G21" i="5"/>
  <c r="E19" i="5"/>
  <c r="E48" i="5"/>
  <c r="G19" i="5"/>
  <c r="G44" i="5"/>
  <c r="G46" i="5"/>
  <c r="G48" i="5"/>
  <c r="G52" i="5" s="1"/>
  <c r="G23" i="5"/>
  <c r="I15" i="5" s="1"/>
  <c r="F17" i="4" s="1"/>
  <c r="I17" i="5"/>
  <c r="I21" i="5"/>
  <c r="N17" i="4" s="1"/>
  <c r="I19" i="5"/>
  <c r="I23" i="5" s="1"/>
  <c r="N412" i="19" s="1"/>
  <c r="D21" i="6"/>
  <c r="D41" i="7" s="1"/>
  <c r="H41" i="7" s="1"/>
  <c r="D20" i="6"/>
  <c r="D24" i="6"/>
  <c r="D27" i="7"/>
  <c r="C12" i="7"/>
  <c r="F38" i="7"/>
  <c r="F39" i="7"/>
  <c r="F40" i="7"/>
  <c r="F41" i="7"/>
  <c r="F42" i="7"/>
  <c r="H12" i="7"/>
  <c r="P16" i="6" s="1"/>
  <c r="F15" i="7"/>
  <c r="H15" i="7" s="1"/>
  <c r="D40" i="7"/>
  <c r="H40" i="7" s="1"/>
  <c r="D50" i="11"/>
  <c r="F47" i="11" s="1"/>
  <c r="F45" i="11"/>
  <c r="F43" i="11"/>
  <c r="F44" i="11"/>
  <c r="D40" i="10"/>
  <c r="D17" i="10"/>
  <c r="S62" i="8"/>
  <c r="H81" i="8"/>
  <c r="H41" i="8"/>
  <c r="N77" i="8"/>
  <c r="N79" i="8"/>
  <c r="L59" i="8" s="1"/>
  <c r="V61" i="8"/>
  <c r="F17" i="9"/>
  <c r="AO74" i="9"/>
  <c r="P167" i="9"/>
  <c r="T167" i="9"/>
  <c r="X167" i="9"/>
  <c r="AB167" i="9"/>
  <c r="AF167" i="9"/>
  <c r="AF187" i="9" s="1"/>
  <c r="AF169" i="9"/>
  <c r="AF171" i="9"/>
  <c r="AF173" i="9"/>
  <c r="AF175" i="9"/>
  <c r="AF177" i="9"/>
  <c r="AF179" i="9"/>
  <c r="AF181" i="9"/>
  <c r="AF183" i="9"/>
  <c r="AF185" i="9"/>
  <c r="AJ167" i="9"/>
  <c r="AL167" i="9"/>
  <c r="AL187" i="9" s="1"/>
  <c r="AL169" i="9"/>
  <c r="AL171" i="9"/>
  <c r="AL173" i="9"/>
  <c r="AL175" i="9"/>
  <c r="AL177" i="9"/>
  <c r="AL179" i="9"/>
  <c r="AL181" i="9"/>
  <c r="AL183" i="9"/>
  <c r="AL185" i="9"/>
  <c r="P169" i="9"/>
  <c r="P187" i="9" s="1"/>
  <c r="T169" i="9"/>
  <c r="X169" i="9"/>
  <c r="AB169" i="9"/>
  <c r="AJ169" i="9"/>
  <c r="P171" i="9"/>
  <c r="T171" i="9"/>
  <c r="X171" i="9"/>
  <c r="AB171" i="9"/>
  <c r="AN171" i="9" s="1"/>
  <c r="AJ171" i="9"/>
  <c r="AJ173" i="9"/>
  <c r="AJ175" i="9"/>
  <c r="AJ177" i="9"/>
  <c r="AJ179" i="9"/>
  <c r="AJ181" i="9"/>
  <c r="AJ183" i="9"/>
  <c r="AJ185" i="9"/>
  <c r="P173" i="9"/>
  <c r="T173" i="9"/>
  <c r="X173" i="9"/>
  <c r="X175" i="9"/>
  <c r="X177" i="9"/>
  <c r="X179" i="9"/>
  <c r="X181" i="9"/>
  <c r="X183" i="9"/>
  <c r="X185" i="9"/>
  <c r="AB173" i="9"/>
  <c r="P175" i="9"/>
  <c r="T175" i="9"/>
  <c r="AB175" i="9"/>
  <c r="P177" i="9"/>
  <c r="T177" i="9"/>
  <c r="AB177" i="9"/>
  <c r="P179" i="9"/>
  <c r="AN179" i="9" s="1"/>
  <c r="T179" i="9"/>
  <c r="AB179" i="9"/>
  <c r="P181" i="9"/>
  <c r="T181" i="9"/>
  <c r="AB181" i="9"/>
  <c r="P183" i="9"/>
  <c r="AN183" i="9" s="1"/>
  <c r="T183" i="9"/>
  <c r="AB183" i="9"/>
  <c r="P185" i="9"/>
  <c r="T185" i="9"/>
  <c r="AB185" i="9"/>
  <c r="N187" i="9"/>
  <c r="R187" i="9"/>
  <c r="V187" i="9"/>
  <c r="Z187" i="9"/>
  <c r="AD187" i="9"/>
  <c r="AH187" i="9"/>
  <c r="AN175" i="9"/>
  <c r="K30" i="16"/>
  <c r="M24" i="16"/>
  <c r="M31" i="16"/>
  <c r="I15" i="16"/>
  <c r="M15" i="16" s="1"/>
  <c r="M26" i="16" s="1"/>
  <c r="I16" i="16"/>
  <c r="I17" i="16"/>
  <c r="M17" i="16" s="1"/>
  <c r="I18" i="16"/>
  <c r="I19" i="16"/>
  <c r="M19" i="16" s="1"/>
  <c r="I20" i="16"/>
  <c r="I21" i="16"/>
  <c r="M21" i="16" s="1"/>
  <c r="I22" i="16"/>
  <c r="I23" i="16"/>
  <c r="M16" i="16"/>
  <c r="M23" i="16"/>
  <c r="M18" i="16"/>
  <c r="M22" i="16"/>
  <c r="M20" i="16"/>
  <c r="K33" i="16"/>
  <c r="M30" i="16"/>
  <c r="M33" i="16" s="1"/>
  <c r="K26" i="16"/>
  <c r="D20" i="10" s="1"/>
  <c r="F49" i="31"/>
  <c r="F72" i="31"/>
  <c r="F74" i="31"/>
  <c r="X13" i="31"/>
  <c r="AB13" i="31"/>
  <c r="P13" i="31"/>
  <c r="T13" i="31"/>
  <c r="L13" i="31"/>
  <c r="H13" i="31"/>
  <c r="AF13" i="31" s="1"/>
  <c r="AD13" i="31"/>
  <c r="Z47" i="31"/>
  <c r="AB47" i="31"/>
  <c r="Z51" i="31"/>
  <c r="AB51" i="31"/>
  <c r="Z53" i="31"/>
  <c r="AB53" i="31"/>
  <c r="Z55" i="31"/>
  <c r="Z57" i="31"/>
  <c r="Z59" i="31"/>
  <c r="AD59" i="31"/>
  <c r="F41" i="31"/>
  <c r="F45" i="31"/>
  <c r="H45" i="31" s="1"/>
  <c r="AF45" i="31" s="1"/>
  <c r="F47" i="31"/>
  <c r="F51" i="31"/>
  <c r="H51" i="31" s="1"/>
  <c r="J41" i="31"/>
  <c r="L15" i="31"/>
  <c r="L17" i="31"/>
  <c r="L19" i="31"/>
  <c r="L29" i="31" s="1"/>
  <c r="D30" i="9" s="1"/>
  <c r="L27" i="31"/>
  <c r="N41" i="31"/>
  <c r="P41" i="31" s="1"/>
  <c r="N43" i="31"/>
  <c r="P17" i="31"/>
  <c r="P19" i="31"/>
  <c r="P23" i="31"/>
  <c r="N51" i="31"/>
  <c r="P51" i="31"/>
  <c r="R43" i="31"/>
  <c r="T43" i="31"/>
  <c r="T17" i="31"/>
  <c r="R47" i="31"/>
  <c r="T47" i="31" s="1"/>
  <c r="T21" i="31"/>
  <c r="T23" i="31"/>
  <c r="T25" i="31"/>
  <c r="R53" i="31"/>
  <c r="T53" i="31"/>
  <c r="X17" i="31"/>
  <c r="V47" i="31"/>
  <c r="X47" i="31" s="1"/>
  <c r="X23" i="31"/>
  <c r="X25" i="31"/>
  <c r="H49" i="31"/>
  <c r="H23" i="31"/>
  <c r="N53" i="31"/>
  <c r="P53" i="31" s="1"/>
  <c r="V41" i="31"/>
  <c r="X41" i="31" s="1"/>
  <c r="X15" i="31"/>
  <c r="X21" i="31"/>
  <c r="V53" i="31"/>
  <c r="X53" i="31" s="1"/>
  <c r="AB41" i="31"/>
  <c r="Z43" i="31"/>
  <c r="AB43" i="31" s="1"/>
  <c r="Z45" i="31"/>
  <c r="AB45" i="31" s="1"/>
  <c r="H21" i="31"/>
  <c r="P27" i="31"/>
  <c r="X27" i="31"/>
  <c r="AB15" i="31"/>
  <c r="AB17" i="31"/>
  <c r="AB19" i="31"/>
  <c r="AB21" i="31"/>
  <c r="AB23" i="31"/>
  <c r="AB25" i="31"/>
  <c r="AB27" i="31"/>
  <c r="F43" i="31"/>
  <c r="H43" i="31" s="1"/>
  <c r="P11" i="31"/>
  <c r="P15" i="31"/>
  <c r="J49" i="31"/>
  <c r="L49" i="31" s="1"/>
  <c r="J47" i="31"/>
  <c r="L47" i="31" s="1"/>
  <c r="AF47" i="31" s="1"/>
  <c r="L11" i="31"/>
  <c r="V51" i="31"/>
  <c r="X51" i="31"/>
  <c r="J45" i="31"/>
  <c r="L45" i="31"/>
  <c r="R45" i="31"/>
  <c r="T45" i="31"/>
  <c r="T15" i="31"/>
  <c r="X19" i="31"/>
  <c r="N45" i="31"/>
  <c r="P45" i="31"/>
  <c r="V49" i="31"/>
  <c r="X49" i="31"/>
  <c r="H25" i="31"/>
  <c r="J43" i="31"/>
  <c r="L43" i="31" s="1"/>
  <c r="AB59" i="31"/>
  <c r="AF59" i="31" s="1"/>
  <c r="Z49" i="31"/>
  <c r="T27" i="31"/>
  <c r="AD23" i="31"/>
  <c r="T19" i="31"/>
  <c r="N47" i="31"/>
  <c r="P47" i="31"/>
  <c r="AD17" i="31"/>
  <c r="AD15" i="31"/>
  <c r="L23" i="31"/>
  <c r="V45" i="31"/>
  <c r="X45" i="31" s="1"/>
  <c r="H17" i="31"/>
  <c r="AF17" i="31" s="1"/>
  <c r="R49" i="31"/>
  <c r="L21" i="31"/>
  <c r="R51" i="31"/>
  <c r="T51" i="31"/>
  <c r="P25" i="31"/>
  <c r="AD27" i="31"/>
  <c r="H15" i="31"/>
  <c r="H11" i="31"/>
  <c r="AB55" i="31"/>
  <c r="AF55" i="31" s="1"/>
  <c r="AD55" i="31"/>
  <c r="AD21" i="31"/>
  <c r="J53" i="31"/>
  <c r="L53" i="31" s="1"/>
  <c r="H47" i="31"/>
  <c r="R29" i="31"/>
  <c r="D18" i="10" s="1"/>
  <c r="D38" i="10" s="1"/>
  <c r="J51" i="31"/>
  <c r="L51" i="31" s="1"/>
  <c r="L25" i="31"/>
  <c r="AF25" i="31" s="1"/>
  <c r="H19" i="31"/>
  <c r="AD19" i="31"/>
  <c r="V29" i="31"/>
  <c r="D19" i="10" s="1"/>
  <c r="AD25" i="31"/>
  <c r="F53" i="31"/>
  <c r="H53" i="31" s="1"/>
  <c r="AF53" i="31" s="1"/>
  <c r="H27" i="31"/>
  <c r="X11" i="31"/>
  <c r="V43" i="31"/>
  <c r="N29" i="31"/>
  <c r="N49" i="31"/>
  <c r="P21" i="31"/>
  <c r="F29" i="31"/>
  <c r="D15" i="10" s="1"/>
  <c r="J29" i="31"/>
  <c r="D16" i="10" s="1"/>
  <c r="AF27" i="31"/>
  <c r="AB11" i="31"/>
  <c r="AB29" i="31" s="1"/>
  <c r="D34" i="9" s="1"/>
  <c r="AF21" i="31"/>
  <c r="H41" i="31"/>
  <c r="H61" i="31" s="1"/>
  <c r="D52" i="9" s="1"/>
  <c r="AD53" i="31"/>
  <c r="J61" i="31"/>
  <c r="T11" i="31"/>
  <c r="R41" i="31"/>
  <c r="P49" i="31"/>
  <c r="AD43" i="31"/>
  <c r="Z29" i="31"/>
  <c r="AD11" i="31"/>
  <c r="T41" i="31"/>
  <c r="I35" i="30"/>
  <c r="I62" i="30" s="1"/>
  <c r="I56" i="30"/>
  <c r="H9" i="32"/>
  <c r="H14" i="32"/>
  <c r="H29" i="32"/>
  <c r="H24" i="32"/>
  <c r="H22" i="32"/>
  <c r="H8" i="32"/>
  <c r="H77" i="32"/>
  <c r="H40" i="32"/>
  <c r="H78" i="32"/>
  <c r="H75" i="32"/>
  <c r="H7" i="32"/>
  <c r="H62" i="32"/>
  <c r="H63" i="32"/>
  <c r="H65" i="32"/>
  <c r="H58" i="32"/>
  <c r="H61" i="32"/>
  <c r="H47" i="32"/>
  <c r="H70" i="32"/>
  <c r="H60" i="32"/>
  <c r="H44" i="32"/>
  <c r="H67" i="32"/>
  <c r="H73" i="32"/>
  <c r="H59" i="32"/>
  <c r="H66" i="32"/>
  <c r="H76" i="32"/>
  <c r="H28" i="32"/>
  <c r="H49" i="32"/>
  <c r="H48" i="32"/>
  <c r="H69" i="32"/>
  <c r="H64" i="32"/>
  <c r="H71" i="32"/>
  <c r="H46" i="32"/>
  <c r="H72" i="32"/>
  <c r="H45" i="32"/>
  <c r="H55" i="32"/>
  <c r="H56" i="32"/>
  <c r="H41" i="32"/>
  <c r="H57" i="32"/>
  <c r="H68" i="32"/>
  <c r="H74" i="32"/>
  <c r="H36" i="32"/>
  <c r="H35" i="32"/>
  <c r="H34" i="32"/>
  <c r="H33" i="32"/>
  <c r="H30" i="32"/>
  <c r="H25" i="32"/>
  <c r="H23" i="32"/>
  <c r="H21" i="32"/>
  <c r="H20" i="32"/>
  <c r="H19" i="32"/>
  <c r="H18" i="32"/>
  <c r="H15" i="32"/>
  <c r="H13" i="32"/>
  <c r="H12" i="32"/>
  <c r="H54" i="32"/>
  <c r="H53" i="32"/>
  <c r="H52" i="32"/>
  <c r="H51" i="32"/>
  <c r="H32" i="32"/>
  <c r="H27" i="32"/>
  <c r="H17" i="32"/>
  <c r="H11" i="32"/>
  <c r="H31" i="32"/>
  <c r="H26" i="32"/>
  <c r="H16" i="32"/>
  <c r="H10" i="32"/>
  <c r="H6" i="32"/>
  <c r="H5" i="32"/>
  <c r="H50" i="32"/>
  <c r="H43" i="32"/>
  <c r="H42" i="32"/>
  <c r="H39" i="32"/>
  <c r="H38" i="32"/>
  <c r="H37" i="32"/>
  <c r="D79" i="32"/>
  <c r="E79" i="32"/>
  <c r="F79" i="32"/>
  <c r="G79" i="32"/>
  <c r="L18" i="27"/>
  <c r="H32" i="27"/>
  <c r="J18" i="27" s="1"/>
  <c r="J22" i="27"/>
  <c r="J26" i="27"/>
  <c r="J24" i="27"/>
  <c r="J28" i="27"/>
  <c r="J20" i="27"/>
  <c r="D34" i="27"/>
  <c r="P34" i="27"/>
  <c r="R34" i="27" s="1"/>
  <c r="P22" i="27"/>
  <c r="R22" i="27"/>
  <c r="P24" i="27"/>
  <c r="R24" i="27"/>
  <c r="P20" i="27"/>
  <c r="R20" i="27"/>
  <c r="P28" i="27"/>
  <c r="R28" i="27"/>
  <c r="P30" i="27"/>
  <c r="R30" i="27"/>
  <c r="P26" i="27"/>
  <c r="R26" i="27" s="1"/>
  <c r="F10" i="28"/>
  <c r="F14" i="28"/>
  <c r="P14" i="28"/>
  <c r="L14" i="28"/>
  <c r="F12" i="28"/>
  <c r="P12" i="28" s="1"/>
  <c r="L12" i="28"/>
  <c r="F16" i="28"/>
  <c r="P16" i="28"/>
  <c r="F18" i="28"/>
  <c r="P18" i="28"/>
  <c r="L18" i="28"/>
  <c r="F20" i="28"/>
  <c r="F22" i="28"/>
  <c r="P22" i="28"/>
  <c r="L22" i="28"/>
  <c r="F24" i="28"/>
  <c r="P24" i="28" s="1"/>
  <c r="F26" i="28"/>
  <c r="F28" i="28"/>
  <c r="L28" i="28" s="1"/>
  <c r="F30" i="28"/>
  <c r="P30" i="28"/>
  <c r="L30" i="28"/>
  <c r="F32" i="28"/>
  <c r="P32" i="28" s="1"/>
  <c r="F34" i="28"/>
  <c r="F36" i="28"/>
  <c r="L36" i="28"/>
  <c r="F38" i="28"/>
  <c r="L38" i="28"/>
  <c r="F40" i="28"/>
  <c r="L40" i="28"/>
  <c r="F42" i="28"/>
  <c r="L42" i="28"/>
  <c r="F44" i="28"/>
  <c r="L44" i="28"/>
  <c r="F46" i="28"/>
  <c r="L46" i="28"/>
  <c r="F48" i="28"/>
  <c r="L48" i="28"/>
  <c r="F50" i="28"/>
  <c r="L50" i="28"/>
  <c r="F52" i="28"/>
  <c r="L52" i="28"/>
  <c r="F54" i="28"/>
  <c r="L54" i="28"/>
  <c r="P20" i="28"/>
  <c r="L20" i="28"/>
  <c r="P28" i="28"/>
  <c r="L32" i="28"/>
  <c r="L24" i="28"/>
  <c r="L16" i="28"/>
  <c r="O28" i="36"/>
  <c r="O35" i="36" s="1"/>
  <c r="Q26" i="36"/>
  <c r="Q28" i="36" s="1"/>
  <c r="Q35" i="36" s="1"/>
  <c r="P16" i="36"/>
  <c r="N18" i="36"/>
  <c r="P18" i="36" s="1"/>
  <c r="P24" i="36" s="1"/>
  <c r="P20" i="36"/>
  <c r="P22" i="36"/>
  <c r="O30" i="36"/>
  <c r="O32" i="36" s="1"/>
  <c r="O37" i="36" s="1"/>
  <c r="O36" i="36"/>
  <c r="Q30" i="36"/>
  <c r="Q32" i="36"/>
  <c r="S43" i="36"/>
  <c r="S44" i="36"/>
  <c r="Q37" i="36"/>
  <c r="U43" i="36"/>
  <c r="U44" i="36"/>
  <c r="O54" i="36"/>
  <c r="O57" i="36"/>
  <c r="L16" i="36"/>
  <c r="U16" i="36"/>
  <c r="U24" i="36" s="1"/>
  <c r="L18" i="36"/>
  <c r="U18" i="36"/>
  <c r="L20" i="36"/>
  <c r="U20" i="36"/>
  <c r="L22" i="36"/>
  <c r="U22" i="36"/>
  <c r="S16" i="36"/>
  <c r="S18" i="36"/>
  <c r="S24" i="36" s="1"/>
  <c r="S20" i="36"/>
  <c r="S22" i="36"/>
  <c r="L24" i="36"/>
  <c r="P43" i="36" l="1"/>
  <c r="W43" i="36" s="1"/>
  <c r="P44" i="36"/>
  <c r="W44" i="36" s="1"/>
  <c r="D39" i="10"/>
  <c r="M35" i="16"/>
  <c r="O26" i="16" s="1"/>
  <c r="AB57" i="31"/>
  <c r="AF57" i="31" s="1"/>
  <c r="AD57" i="31"/>
  <c r="AK388" i="19"/>
  <c r="U19" i="8"/>
  <c r="S61" i="8"/>
  <c r="T61" i="8" s="1"/>
  <c r="Y61" i="8" s="1"/>
  <c r="AK392" i="19" s="1"/>
  <c r="O50" i="36"/>
  <c r="P18" i="27"/>
  <c r="L32" i="27"/>
  <c r="AD45" i="31"/>
  <c r="D35" i="10"/>
  <c r="E18" i="35"/>
  <c r="D23" i="10"/>
  <c r="F21" i="10" s="1"/>
  <c r="V61" i="31"/>
  <c r="X43" i="31"/>
  <c r="X61" i="31" s="1"/>
  <c r="D56" i="9" s="1"/>
  <c r="H29" i="31"/>
  <c r="D29" i="9" s="1"/>
  <c r="AF11" i="31"/>
  <c r="L41" i="31"/>
  <c r="L61" i="31" s="1"/>
  <c r="D53" i="9" s="1"/>
  <c r="AD41" i="31"/>
  <c r="O33" i="16"/>
  <c r="AN169" i="9"/>
  <c r="N37" i="8"/>
  <c r="J16" i="8" s="1"/>
  <c r="N35" i="8"/>
  <c r="N39" i="8"/>
  <c r="N16" i="8" s="1"/>
  <c r="AI388" i="19"/>
  <c r="AK387" i="19"/>
  <c r="K37" i="1"/>
  <c r="S19" i="8" s="1"/>
  <c r="H37" i="2"/>
  <c r="D19" i="6"/>
  <c r="D18" i="2"/>
  <c r="H18" i="2" s="1"/>
  <c r="G24" i="1"/>
  <c r="D49" i="4"/>
  <c r="P22" i="1"/>
  <c r="P24" i="1" s="1"/>
  <c r="D18" i="6"/>
  <c r="D23" i="6"/>
  <c r="D54" i="4"/>
  <c r="O48" i="36"/>
  <c r="P26" i="28"/>
  <c r="L26" i="28"/>
  <c r="K20" i="1"/>
  <c r="D21" i="2"/>
  <c r="H21" i="2" s="1"/>
  <c r="D53" i="4"/>
  <c r="D22" i="6"/>
  <c r="Q36" i="36"/>
  <c r="O49" i="36" s="1"/>
  <c r="P34" i="28"/>
  <c r="L34" i="28"/>
  <c r="AD29" i="31"/>
  <c r="AF51" i="31"/>
  <c r="AN185" i="9"/>
  <c r="AN177" i="9"/>
  <c r="X187" i="9"/>
  <c r="AN167" i="9"/>
  <c r="AB187" i="9"/>
  <c r="V58" i="8"/>
  <c r="D29" i="7"/>
  <c r="F24" i="7" s="1"/>
  <c r="I50" i="5"/>
  <c r="P47" i="4" s="1"/>
  <c r="I44" i="5"/>
  <c r="I46" i="5"/>
  <c r="L47" i="4" s="1"/>
  <c r="E63" i="5"/>
  <c r="I63" i="5" s="1"/>
  <c r="D36" i="10"/>
  <c r="F16" i="10"/>
  <c r="N398" i="19" s="1"/>
  <c r="T49" i="31"/>
  <c r="T61" i="31" s="1"/>
  <c r="D55" i="9" s="1"/>
  <c r="AD49" i="31"/>
  <c r="AF15" i="31"/>
  <c r="X29" i="31"/>
  <c r="D33" i="9" s="1"/>
  <c r="D23" i="2"/>
  <c r="H17" i="2"/>
  <c r="O38" i="36"/>
  <c r="H79" i="32"/>
  <c r="AF19" i="31"/>
  <c r="F18" i="10"/>
  <c r="R398" i="19" s="1"/>
  <c r="AF23" i="31"/>
  <c r="AB49" i="31"/>
  <c r="AB61" i="31" s="1"/>
  <c r="D57" i="9" s="1"/>
  <c r="Z61" i="31"/>
  <c r="P29" i="31"/>
  <c r="D31" i="9" s="1"/>
  <c r="P43" i="31"/>
  <c r="AF43" i="31" s="1"/>
  <c r="N61" i="31"/>
  <c r="AD47" i="31"/>
  <c r="T29" i="31"/>
  <c r="D32" i="9" s="1"/>
  <c r="AN181" i="9"/>
  <c r="T187" i="9"/>
  <c r="AN173" i="9"/>
  <c r="AJ187" i="9"/>
  <c r="H59" i="8"/>
  <c r="N81" i="8"/>
  <c r="F17" i="10"/>
  <c r="P398" i="19" s="1"/>
  <c r="D37" i="10"/>
  <c r="D20" i="2"/>
  <c r="H20" i="2" s="1"/>
  <c r="D52" i="4"/>
  <c r="H36" i="27"/>
  <c r="J30" i="27"/>
  <c r="J32" i="27" s="1"/>
  <c r="AF41" i="31"/>
  <c r="R61" i="31"/>
  <c r="AD51" i="31"/>
  <c r="F61" i="31"/>
  <c r="K35" i="16"/>
  <c r="F46" i="11"/>
  <c r="F42" i="11"/>
  <c r="F162" i="12"/>
  <c r="G37" i="1"/>
  <c r="Z406" i="19"/>
  <c r="AA406" i="19" s="1"/>
  <c r="F48" i="11"/>
  <c r="AU101" i="19"/>
  <c r="AG112" i="19"/>
  <c r="AM105" i="19"/>
  <c r="AU105" i="19"/>
  <c r="AU363" i="19" s="1"/>
  <c r="AU364" i="19" s="1"/>
  <c r="AQ105" i="19"/>
  <c r="AK105" i="19"/>
  <c r="AI105" i="19"/>
  <c r="AS105" i="19"/>
  <c r="AM285" i="19"/>
  <c r="AO285" i="19"/>
  <c r="AQ285" i="19"/>
  <c r="AU285" i="19"/>
  <c r="AK285" i="19"/>
  <c r="AS285" i="19"/>
  <c r="AQ282" i="19"/>
  <c r="AK282" i="19"/>
  <c r="AU282" i="19"/>
  <c r="AO282" i="19"/>
  <c r="AM282" i="19"/>
  <c r="AG371" i="19"/>
  <c r="AG329" i="19"/>
  <c r="AS282" i="19"/>
  <c r="AO322" i="19"/>
  <c r="AQ322" i="19"/>
  <c r="AM322" i="19"/>
  <c r="AK322" i="19"/>
  <c r="AU322" i="19"/>
  <c r="AS322" i="19"/>
  <c r="AG236" i="19"/>
  <c r="AQ180" i="19"/>
  <c r="AO180" i="19"/>
  <c r="AK204" i="19"/>
  <c r="AM204" i="19"/>
  <c r="AU204" i="19"/>
  <c r="AI204" i="19"/>
  <c r="AY204" i="19"/>
  <c r="AO204" i="19"/>
  <c r="AU182" i="19"/>
  <c r="AO182" i="19"/>
  <c r="AM182" i="19"/>
  <c r="AS182" i="19"/>
  <c r="AK201" i="19"/>
  <c r="AO201" i="19"/>
  <c r="AQ201" i="19"/>
  <c r="AU201" i="19"/>
  <c r="AS203" i="19"/>
  <c r="AU203" i="19"/>
  <c r="AQ203" i="19"/>
  <c r="AM203" i="19"/>
  <c r="AK203" i="19"/>
  <c r="AU181" i="19"/>
  <c r="AK181" i="19"/>
  <c r="AO181" i="19"/>
  <c r="AM181" i="19"/>
  <c r="AQ181" i="19"/>
  <c r="AM193" i="19"/>
  <c r="AQ193" i="19"/>
  <c r="AK193" i="19"/>
  <c r="AS193" i="19"/>
  <c r="AO193" i="19"/>
  <c r="AG369" i="19"/>
  <c r="AM45" i="19"/>
  <c r="AQ45" i="19"/>
  <c r="AO45" i="19"/>
  <c r="AU45" i="19"/>
  <c r="AK45" i="19"/>
  <c r="AS363" i="19"/>
  <c r="AS364" i="19" s="1"/>
  <c r="AS397" i="19" s="1"/>
  <c r="AS181" i="19"/>
  <c r="AQ182" i="19"/>
  <c r="AK180" i="19"/>
  <c r="AO203" i="19"/>
  <c r="AK194" i="19"/>
  <c r="AS205" i="19"/>
  <c r="AQ205" i="19"/>
  <c r="AK205" i="19"/>
  <c r="J353" i="19"/>
  <c r="J373" i="19" s="1"/>
  <c r="AU36" i="19"/>
  <c r="AU38" i="19" s="1"/>
  <c r="AU40" i="19" s="1"/>
  <c r="AQ36" i="19"/>
  <c r="AQ38" i="19" s="1"/>
  <c r="AQ40" i="19" s="1"/>
  <c r="AO25" i="19"/>
  <c r="AO27" i="19" s="1"/>
  <c r="AK25" i="19"/>
  <c r="AS25" i="19"/>
  <c r="AY104" i="19"/>
  <c r="AO104" i="19"/>
  <c r="AK104" i="19"/>
  <c r="AS104" i="19"/>
  <c r="AS16" i="19"/>
  <c r="AS21" i="19" s="1"/>
  <c r="AQ16" i="19"/>
  <c r="AM16" i="19"/>
  <c r="AQ49" i="19"/>
  <c r="AO49" i="19"/>
  <c r="AM49" i="19"/>
  <c r="AI127" i="19"/>
  <c r="AU127" i="19"/>
  <c r="AM128" i="19"/>
  <c r="AQ128" i="19"/>
  <c r="AI128" i="19"/>
  <c r="AO128" i="19"/>
  <c r="AU305" i="19"/>
  <c r="AK305" i="19"/>
  <c r="AO305" i="19"/>
  <c r="AS305" i="19"/>
  <c r="AS191" i="19"/>
  <c r="AO191" i="19"/>
  <c r="AQ186" i="19"/>
  <c r="AS186" i="19"/>
  <c r="AQ196" i="19"/>
  <c r="AS196" i="19"/>
  <c r="AO207" i="19"/>
  <c r="AM207" i="19"/>
  <c r="AS207" i="19"/>
  <c r="AQ207" i="19"/>
  <c r="AU207" i="19"/>
  <c r="AS188" i="19"/>
  <c r="AQ188" i="19"/>
  <c r="AK199" i="19"/>
  <c r="AS199" i="19"/>
  <c r="AQ199" i="19"/>
  <c r="AI117" i="19"/>
  <c r="AU117" i="19"/>
  <c r="AW117" i="19"/>
  <c r="AM117" i="19"/>
  <c r="AO117" i="19"/>
  <c r="AK102" i="19"/>
  <c r="AQ102" i="19"/>
  <c r="AO102" i="19"/>
  <c r="AS336" i="19"/>
  <c r="AQ336" i="19"/>
  <c r="AK336" i="19"/>
  <c r="AM70" i="19"/>
  <c r="AQ70" i="19"/>
  <c r="AK70" i="19"/>
  <c r="AU348" i="19"/>
  <c r="AQ348" i="19"/>
  <c r="AM348" i="19"/>
  <c r="AK348" i="19"/>
  <c r="AG351" i="19"/>
  <c r="AU290" i="19"/>
  <c r="AS290" i="19"/>
  <c r="AQ290" i="19"/>
  <c r="AI121" i="19"/>
  <c r="AQ121" i="19"/>
  <c r="AM121" i="19"/>
  <c r="AO121" i="19"/>
  <c r="AW121" i="19"/>
  <c r="AU121" i="19"/>
  <c r="AQ191" i="19"/>
  <c r="AI207" i="19"/>
  <c r="AU186" i="19"/>
  <c r="AU196" i="19"/>
  <c r="AQ312" i="19"/>
  <c r="AS312" i="19"/>
  <c r="AY312" i="19"/>
  <c r="AM312" i="19"/>
  <c r="AU96" i="19"/>
  <c r="AS117" i="19"/>
  <c r="AG363" i="19"/>
  <c r="AG73" i="19"/>
  <c r="AO67" i="19"/>
  <c r="AU67" i="19"/>
  <c r="AU73" i="19" s="1"/>
  <c r="AU194" i="19"/>
  <c r="AO194" i="19"/>
  <c r="AM194" i="19"/>
  <c r="AO189" i="19"/>
  <c r="AS189" i="19"/>
  <c r="AO185" i="19"/>
  <c r="AQ185" i="19"/>
  <c r="AU180" i="19"/>
  <c r="AM180" i="19"/>
  <c r="AS180" i="19"/>
  <c r="AQ69" i="19"/>
  <c r="AQ73" i="19" s="1"/>
  <c r="AS69" i="19"/>
  <c r="AM69" i="19"/>
  <c r="AO54" i="19"/>
  <c r="AQ54" i="19"/>
  <c r="AK54" i="19"/>
  <c r="AQ52" i="19"/>
  <c r="AM52" i="19"/>
  <c r="AK124" i="19"/>
  <c r="AM124" i="19"/>
  <c r="AI124" i="19"/>
  <c r="AQ55" i="19"/>
  <c r="AU55" i="19"/>
  <c r="AO55" i="19"/>
  <c r="AU27" i="19"/>
  <c r="AQ18" i="19"/>
  <c r="AS18" i="19"/>
  <c r="AU18" i="19"/>
  <c r="AM18" i="19"/>
  <c r="AK18" i="19"/>
  <c r="AO19" i="19"/>
  <c r="AO21" i="19" s="1"/>
  <c r="AO29" i="19" s="1"/>
  <c r="AU19" i="19"/>
  <c r="AQ19" i="19"/>
  <c r="AS19" i="19"/>
  <c r="AQ122" i="19"/>
  <c r="AO122" i="19"/>
  <c r="AK122" i="19"/>
  <c r="AI122" i="19"/>
  <c r="AM122" i="19"/>
  <c r="AU122" i="19"/>
  <c r="AM129" i="19"/>
  <c r="AU129" i="19"/>
  <c r="AK129" i="19"/>
  <c r="AQ129" i="19"/>
  <c r="AO129" i="19"/>
  <c r="AG361" i="19"/>
  <c r="AQ82" i="19"/>
  <c r="AG96" i="19"/>
  <c r="AG169" i="19"/>
  <c r="AI340" i="19"/>
  <c r="AO340" i="19"/>
  <c r="AO68" i="19"/>
  <c r="AU68" i="19"/>
  <c r="AK19" i="19"/>
  <c r="AM68" i="19"/>
  <c r="AM73" i="19" s="1"/>
  <c r="AO267" i="19"/>
  <c r="AU267" i="19"/>
  <c r="AK267" i="19"/>
  <c r="AI267" i="19"/>
  <c r="AQ267" i="19"/>
  <c r="AM267" i="19"/>
  <c r="AG47" i="19"/>
  <c r="AY338" i="19"/>
  <c r="AS338" i="19"/>
  <c r="AQ17" i="19"/>
  <c r="AM17" i="19"/>
  <c r="AS17" i="19"/>
  <c r="AU17" i="19"/>
  <c r="AM24" i="19"/>
  <c r="AQ24" i="19"/>
  <c r="AS24" i="19"/>
  <c r="AU60" i="19"/>
  <c r="AQ60" i="19"/>
  <c r="AM60" i="19"/>
  <c r="AO60" i="19"/>
  <c r="AM56" i="19"/>
  <c r="AS56" i="19"/>
  <c r="AU52" i="19"/>
  <c r="AS52" i="19"/>
  <c r="AK48" i="19"/>
  <c r="AS48" i="19"/>
  <c r="AY105" i="19"/>
  <c r="AM123" i="19"/>
  <c r="AQ123" i="19"/>
  <c r="AI123" i="19"/>
  <c r="AO127" i="19"/>
  <c r="AS142" i="19"/>
  <c r="AU142" i="19"/>
  <c r="AQ142" i="19"/>
  <c r="AO142" i="19"/>
  <c r="AK142" i="19"/>
  <c r="AU90" i="19"/>
  <c r="AU86" i="19"/>
  <c r="AO82" i="19"/>
  <c r="AS82" i="19"/>
  <c r="AU82" i="19"/>
  <c r="AU361" i="19" s="1"/>
  <c r="AU362" i="19" s="1"/>
  <c r="AQ309" i="19"/>
  <c r="AM309" i="19"/>
  <c r="AO309" i="19"/>
  <c r="D9" i="37"/>
  <c r="H9" i="37" s="1"/>
  <c r="J249" i="19" s="1"/>
  <c r="D8" i="37"/>
  <c r="H8" i="37" s="1"/>
  <c r="J120" i="19" s="1"/>
  <c r="AS309" i="19"/>
  <c r="AO140" i="19"/>
  <c r="AK140" i="19"/>
  <c r="AS84" i="19"/>
  <c r="AU125" i="19"/>
  <c r="AM19" i="19"/>
  <c r="AS68" i="19"/>
  <c r="AS73" i="19" s="1"/>
  <c r="AM84" i="19"/>
  <c r="AK306" i="19"/>
  <c r="AQ140" i="19"/>
  <c r="AS293" i="19"/>
  <c r="AO307" i="19"/>
  <c r="AQ307" i="19"/>
  <c r="AS302" i="19"/>
  <c r="AS294" i="19"/>
  <c r="AQ294" i="19"/>
  <c r="AO294" i="19"/>
  <c r="AQ297" i="19"/>
  <c r="O35" i="16" l="1"/>
  <c r="T22" i="1"/>
  <c r="N23" i="6"/>
  <c r="N54" i="4"/>
  <c r="L24" i="4"/>
  <c r="AQ27" i="19"/>
  <c r="AS107" i="19"/>
  <c r="AS100" i="19"/>
  <c r="AG114" i="19"/>
  <c r="E65" i="5"/>
  <c r="I65" i="5" s="1"/>
  <c r="T386" i="19"/>
  <c r="D23" i="4"/>
  <c r="F23" i="4" s="1"/>
  <c r="E43" i="1"/>
  <c r="G43" i="1" s="1"/>
  <c r="K22" i="1"/>
  <c r="K18" i="1"/>
  <c r="T23" i="1"/>
  <c r="N24" i="6"/>
  <c r="P24" i="6" s="1"/>
  <c r="N55" i="4"/>
  <c r="P55" i="4" s="1"/>
  <c r="L25" i="4"/>
  <c r="N25" i="4" s="1"/>
  <c r="AK302" i="19"/>
  <c r="AK82" i="19"/>
  <c r="AK361" i="19" s="1"/>
  <c r="AK362" i="19" s="1"/>
  <c r="AK396" i="19" s="1"/>
  <c r="AK195" i="19"/>
  <c r="AK196" i="19"/>
  <c r="AK110" i="19"/>
  <c r="AK268" i="19"/>
  <c r="AK103" i="19"/>
  <c r="AK301" i="19"/>
  <c r="AK300" i="19"/>
  <c r="J253" i="19"/>
  <c r="AG249" i="19"/>
  <c r="AM27" i="19"/>
  <c r="AU47" i="19"/>
  <c r="AO47" i="19"/>
  <c r="AO64" i="19" s="1"/>
  <c r="AS47" i="19"/>
  <c r="AS64" i="19" s="1"/>
  <c r="AS75" i="19" s="1"/>
  <c r="AM47" i="19"/>
  <c r="AK47" i="19"/>
  <c r="AK64" i="19" s="1"/>
  <c r="AQ47" i="19"/>
  <c r="AQ64" i="19" s="1"/>
  <c r="AQ75" i="19" s="1"/>
  <c r="AK363" i="19"/>
  <c r="AK364" i="19" s="1"/>
  <c r="AK397" i="19" s="1"/>
  <c r="AG353" i="19"/>
  <c r="AG373" i="19" s="1"/>
  <c r="AU112" i="19"/>
  <c r="AU114" i="19" s="1"/>
  <c r="N118" i="19"/>
  <c r="N125" i="19"/>
  <c r="N266" i="19"/>
  <c r="N269" i="19"/>
  <c r="N119" i="19"/>
  <c r="N122" i="19"/>
  <c r="N124" i="19"/>
  <c r="N267" i="19"/>
  <c r="N140" i="19"/>
  <c r="N126" i="19"/>
  <c r="N130" i="19"/>
  <c r="N218" i="19"/>
  <c r="N129" i="19"/>
  <c r="N123" i="19"/>
  <c r="N127" i="19"/>
  <c r="N317" i="19"/>
  <c r="N128" i="19"/>
  <c r="AM389" i="19"/>
  <c r="W20" i="8"/>
  <c r="X20" i="8" s="1"/>
  <c r="U62" i="8"/>
  <c r="V62" i="8" s="1"/>
  <c r="F27" i="7"/>
  <c r="H27" i="7" s="1"/>
  <c r="L16" i="6" s="1"/>
  <c r="AM390" i="19" s="1"/>
  <c r="F22" i="6"/>
  <c r="D42" i="7"/>
  <c r="H42" i="7" s="1"/>
  <c r="D26" i="6"/>
  <c r="F18" i="6"/>
  <c r="D38" i="7"/>
  <c r="K16" i="1"/>
  <c r="N41" i="8"/>
  <c r="F16" i="8"/>
  <c r="AD61" i="31"/>
  <c r="AF29" i="31"/>
  <c r="E14" i="35" s="1"/>
  <c r="AY398" i="19"/>
  <c r="X398" i="19"/>
  <c r="R18" i="27"/>
  <c r="P32" i="27"/>
  <c r="R32" i="27" s="1"/>
  <c r="L120" i="19"/>
  <c r="AG120" i="19"/>
  <c r="X120" i="19"/>
  <c r="J132" i="19"/>
  <c r="T120" i="19"/>
  <c r="P120" i="19"/>
  <c r="N120" i="19"/>
  <c r="V120" i="19"/>
  <c r="R120" i="19"/>
  <c r="AS101" i="19"/>
  <c r="X16" i="8"/>
  <c r="X19" i="8"/>
  <c r="AF49" i="31"/>
  <c r="AF61" i="31" s="1"/>
  <c r="E16" i="35" s="1"/>
  <c r="D42" i="10"/>
  <c r="N28" i="27"/>
  <c r="N24" i="27"/>
  <c r="N20" i="27"/>
  <c r="L36" i="27"/>
  <c r="P36" i="27" s="1"/>
  <c r="R36" i="27" s="1"/>
  <c r="N22" i="27"/>
  <c r="N30" i="27"/>
  <c r="N26" i="27"/>
  <c r="D13" i="37"/>
  <c r="AU21" i="19"/>
  <c r="AU29" i="19" s="1"/>
  <c r="AM21" i="19"/>
  <c r="AM29" i="19" s="1"/>
  <c r="AU64" i="19"/>
  <c r="AU75" i="19" s="1"/>
  <c r="AM64" i="19"/>
  <c r="AM75" i="19" s="1"/>
  <c r="K19" i="1"/>
  <c r="T58" i="8"/>
  <c r="T62" i="8"/>
  <c r="F36" i="10"/>
  <c r="N399" i="19" s="1"/>
  <c r="I48" i="5"/>
  <c r="I52" i="5" s="1"/>
  <c r="H47" i="4"/>
  <c r="F29" i="7"/>
  <c r="H24" i="7"/>
  <c r="E66" i="5"/>
  <c r="I66" i="5" s="1"/>
  <c r="P61" i="31"/>
  <c r="D54" i="9" s="1"/>
  <c r="AK333" i="19"/>
  <c r="AK283" i="19"/>
  <c r="AK286" i="19"/>
  <c r="AK62" i="19"/>
  <c r="AK46" i="19"/>
  <c r="AK59" i="19"/>
  <c r="AK56" i="19"/>
  <c r="AK228" i="19"/>
  <c r="AK281" i="19"/>
  <c r="AK178" i="19"/>
  <c r="AK295" i="19"/>
  <c r="AK297" i="19"/>
  <c r="AK58" i="19"/>
  <c r="AK53" i="19"/>
  <c r="AK50" i="19"/>
  <c r="AK192" i="19"/>
  <c r="AK179" i="19"/>
  <c r="AK287" i="19"/>
  <c r="AK57" i="19"/>
  <c r="AK51" i="19"/>
  <c r="AK24" i="19"/>
  <c r="AK16" i="19"/>
  <c r="AK71" i="19"/>
  <c r="AK296" i="19"/>
  <c r="AK68" i="19"/>
  <c r="AK60" i="19"/>
  <c r="AK55" i="19"/>
  <c r="AK184" i="19"/>
  <c r="AK69" i="19"/>
  <c r="AK183" i="19"/>
  <c r="AK17" i="19"/>
  <c r="AK49" i="19"/>
  <c r="AK241" i="19"/>
  <c r="AK67" i="19"/>
  <c r="AK299" i="19"/>
  <c r="AK61" i="19"/>
  <c r="AK182" i="19"/>
  <c r="AK52" i="19"/>
  <c r="AK298" i="19"/>
  <c r="AI309" i="19"/>
  <c r="AI308" i="19"/>
  <c r="AI334" i="19"/>
  <c r="AI202" i="19"/>
  <c r="AI203" i="19"/>
  <c r="V20" i="8"/>
  <c r="V16" i="8"/>
  <c r="D36" i="9"/>
  <c r="F33" i="9" s="1"/>
  <c r="T394" i="19" s="1"/>
  <c r="F29" i="9"/>
  <c r="V19" i="8"/>
  <c r="AK309" i="19"/>
  <c r="AK334" i="19"/>
  <c r="AK308" i="19"/>
  <c r="AK202" i="19"/>
  <c r="F39" i="10"/>
  <c r="T399" i="19" s="1"/>
  <c r="AS29" i="19"/>
  <c r="P266" i="19"/>
  <c r="P128" i="19"/>
  <c r="P119" i="19"/>
  <c r="P129" i="19"/>
  <c r="P140" i="19"/>
  <c r="P123" i="19"/>
  <c r="P118" i="19"/>
  <c r="P124" i="19"/>
  <c r="P125" i="19"/>
  <c r="P122" i="19"/>
  <c r="P127" i="19"/>
  <c r="P130" i="19"/>
  <c r="P317" i="19"/>
  <c r="P218" i="19"/>
  <c r="P267" i="19"/>
  <c r="P269" i="19"/>
  <c r="P126" i="19"/>
  <c r="K21" i="1"/>
  <c r="AS361" i="19"/>
  <c r="AS362" i="19" s="1"/>
  <c r="AS396" i="19" s="1"/>
  <c r="AS27" i="19"/>
  <c r="AS109" i="19"/>
  <c r="AO73" i="19"/>
  <c r="AS108" i="19"/>
  <c r="AQ21" i="19"/>
  <c r="AQ29" i="19" s="1"/>
  <c r="AG64" i="19"/>
  <c r="AG75" i="19" s="1"/>
  <c r="F50" i="11"/>
  <c r="K17" i="1"/>
  <c r="F37" i="10"/>
  <c r="P399" i="19" s="1"/>
  <c r="F32" i="9"/>
  <c r="R394" i="19" s="1"/>
  <c r="F31" i="9"/>
  <c r="P394" i="19" s="1"/>
  <c r="R269" i="19"/>
  <c r="R129" i="19"/>
  <c r="R119" i="19"/>
  <c r="R126" i="19"/>
  <c r="R130" i="19"/>
  <c r="R266" i="19"/>
  <c r="R128" i="19"/>
  <c r="R124" i="19"/>
  <c r="R127" i="19"/>
  <c r="R267" i="19"/>
  <c r="R140" i="19"/>
  <c r="R118" i="19"/>
  <c r="R122" i="19"/>
  <c r="R125" i="19"/>
  <c r="R218" i="19"/>
  <c r="R317" i="19"/>
  <c r="R123" i="19"/>
  <c r="J17" i="2"/>
  <c r="H23" i="2"/>
  <c r="J19" i="2" s="1"/>
  <c r="AN187" i="9"/>
  <c r="Q38" i="36"/>
  <c r="O51" i="36" s="1"/>
  <c r="O52" i="36" s="1"/>
  <c r="O59" i="36" s="1"/>
  <c r="J21" i="2"/>
  <c r="F23" i="6"/>
  <c r="E62" i="5"/>
  <c r="D57" i="4"/>
  <c r="F19" i="6"/>
  <c r="D39" i="7"/>
  <c r="H39" i="7" s="1"/>
  <c r="F15" i="10"/>
  <c r="N18" i="27"/>
  <c r="N32" i="27" s="1"/>
  <c r="F20" i="10"/>
  <c r="F19" i="10"/>
  <c r="T398" i="19" s="1"/>
  <c r="T83" i="19" l="1"/>
  <c r="T338" i="19"/>
  <c r="T311" i="19"/>
  <c r="T205" i="19"/>
  <c r="T105" i="19"/>
  <c r="T312" i="19"/>
  <c r="T206" i="19"/>
  <c r="AG173" i="19"/>
  <c r="F51" i="4"/>
  <c r="H51" i="4" s="1"/>
  <c r="F50" i="4"/>
  <c r="H50" i="4" s="1"/>
  <c r="F55" i="4"/>
  <c r="H55" i="4" s="1"/>
  <c r="R55" i="4" s="1"/>
  <c r="T121" i="19"/>
  <c r="T117" i="19"/>
  <c r="N117" i="19"/>
  <c r="N132" i="19" s="1"/>
  <c r="N121" i="19"/>
  <c r="L386" i="19"/>
  <c r="E39" i="1"/>
  <c r="D19" i="4"/>
  <c r="K24" i="1"/>
  <c r="AK80" i="19"/>
  <c r="AK87" i="19"/>
  <c r="AK93" i="19"/>
  <c r="AK88" i="19"/>
  <c r="AK91" i="19"/>
  <c r="AK89" i="19"/>
  <c r="AK81" i="19"/>
  <c r="AK86" i="19"/>
  <c r="AK85" i="19"/>
  <c r="AK79" i="19"/>
  <c r="AK90" i="19"/>
  <c r="AK94" i="19"/>
  <c r="AK92" i="19"/>
  <c r="L398" i="19"/>
  <c r="F23" i="10"/>
  <c r="E68" i="5"/>
  <c r="I62" i="5"/>
  <c r="N386" i="19"/>
  <c r="D20" i="4"/>
  <c r="F20" i="4" s="1"/>
  <c r="E40" i="1"/>
  <c r="G40" i="1" s="1"/>
  <c r="AK73" i="19"/>
  <c r="AK75" i="19" s="1"/>
  <c r="AK21" i="19"/>
  <c r="D59" i="9"/>
  <c r="Y62" i="8"/>
  <c r="AM392" i="19" s="1"/>
  <c r="AU120" i="19"/>
  <c r="AU132" i="19" s="1"/>
  <c r="AY120" i="19"/>
  <c r="AM120" i="19"/>
  <c r="AM132" i="19" s="1"/>
  <c r="AG132" i="19"/>
  <c r="AG365" i="19" s="1"/>
  <c r="AK120" i="19"/>
  <c r="AK132" i="19" s="1"/>
  <c r="AS120" i="19"/>
  <c r="AO120" i="19"/>
  <c r="AO132" i="19" s="1"/>
  <c r="AI120" i="19"/>
  <c r="AI132" i="19" s="1"/>
  <c r="AW120" i="19"/>
  <c r="AQ120" i="19"/>
  <c r="AQ132" i="19" s="1"/>
  <c r="X269" i="19"/>
  <c r="X125" i="19"/>
  <c r="X129" i="19"/>
  <c r="X267" i="19"/>
  <c r="X124" i="19"/>
  <c r="X127" i="19"/>
  <c r="X126" i="19"/>
  <c r="X119" i="19"/>
  <c r="X118" i="19"/>
  <c r="X218" i="19"/>
  <c r="X128" i="19"/>
  <c r="X130" i="19"/>
  <c r="X123" i="19"/>
  <c r="X266" i="19"/>
  <c r="X122" i="19"/>
  <c r="X140" i="19"/>
  <c r="X317" i="19"/>
  <c r="T16" i="8"/>
  <c r="T20" i="8"/>
  <c r="Y20" i="8" s="1"/>
  <c r="AM391" i="19" s="1"/>
  <c r="H38" i="7"/>
  <c r="D44" i="7"/>
  <c r="AG253" i="19"/>
  <c r="I43" i="1"/>
  <c r="K43" i="1" s="1"/>
  <c r="H23" i="4"/>
  <c r="J23" i="4" s="1"/>
  <c r="P23" i="4" s="1"/>
  <c r="AW386" i="19"/>
  <c r="V386" i="19"/>
  <c r="E44" i="1"/>
  <c r="G44" i="1" s="1"/>
  <c r="D24" i="4"/>
  <c r="F24" i="4" s="1"/>
  <c r="M43" i="1"/>
  <c r="F52" i="4"/>
  <c r="H52" i="4" s="1"/>
  <c r="P23" i="6"/>
  <c r="P26" i="6" s="1"/>
  <c r="N26" i="6"/>
  <c r="T140" i="19"/>
  <c r="T126" i="19"/>
  <c r="T127" i="19"/>
  <c r="T130" i="19"/>
  <c r="T267" i="19"/>
  <c r="T122" i="19"/>
  <c r="T124" i="19"/>
  <c r="T125" i="19"/>
  <c r="T269" i="19"/>
  <c r="T118" i="19"/>
  <c r="T317" i="19"/>
  <c r="T129" i="19"/>
  <c r="T123" i="19"/>
  <c r="T128" i="19"/>
  <c r="T218" i="19"/>
  <c r="T266" i="19"/>
  <c r="T119" i="19"/>
  <c r="F49" i="4"/>
  <c r="P311" i="19"/>
  <c r="P312" i="19"/>
  <c r="P83" i="19"/>
  <c r="P105" i="19"/>
  <c r="P338" i="19"/>
  <c r="P206" i="19"/>
  <c r="P205" i="19"/>
  <c r="AO75" i="19"/>
  <c r="AS88" i="19"/>
  <c r="AS85" i="19"/>
  <c r="AS81" i="19"/>
  <c r="AS93" i="19"/>
  <c r="AS89" i="19"/>
  <c r="AS79" i="19"/>
  <c r="AS91" i="19"/>
  <c r="AS87" i="19"/>
  <c r="AS80" i="19"/>
  <c r="AS94" i="19"/>
  <c r="AS86" i="19"/>
  <c r="AS92" i="19"/>
  <c r="AS90" i="19"/>
  <c r="L394" i="19"/>
  <c r="AK27" i="19"/>
  <c r="U60" i="8"/>
  <c r="AU365" i="19"/>
  <c r="AY266" i="19"/>
  <c r="AY269" i="19"/>
  <c r="AY140" i="19"/>
  <c r="AY125" i="19"/>
  <c r="AY130" i="19"/>
  <c r="AY118" i="19"/>
  <c r="AY317" i="19"/>
  <c r="AY267" i="19"/>
  <c r="AY126" i="19"/>
  <c r="AY123" i="19"/>
  <c r="AY218" i="19"/>
  <c r="AY119" i="19"/>
  <c r="AY127" i="19"/>
  <c r="AY122" i="19"/>
  <c r="AY128" i="19"/>
  <c r="AY129" i="19"/>
  <c r="AY124" i="19"/>
  <c r="AM307" i="19"/>
  <c r="AM336" i="19"/>
  <c r="AM306" i="19"/>
  <c r="AM199" i="19"/>
  <c r="AM200" i="19"/>
  <c r="AM305" i="19"/>
  <c r="AM201" i="19"/>
  <c r="J20" i="2"/>
  <c r="AK109" i="19"/>
  <c r="AK108" i="19"/>
  <c r="AK107" i="19"/>
  <c r="AK100" i="19"/>
  <c r="AK112" i="19" s="1"/>
  <c r="AK101" i="19"/>
  <c r="AY388" i="19"/>
  <c r="P386" i="19"/>
  <c r="D21" i="4"/>
  <c r="F21" i="4" s="1"/>
  <c r="E41" i="1"/>
  <c r="G41" i="1" s="1"/>
  <c r="T47" i="19"/>
  <c r="T19" i="19"/>
  <c r="T142" i="19"/>
  <c r="T284" i="19"/>
  <c r="T54" i="19"/>
  <c r="T15" i="19"/>
  <c r="T180" i="19"/>
  <c r="T48" i="19"/>
  <c r="T32" i="19"/>
  <c r="T34" i="19" s="1"/>
  <c r="T14" i="19"/>
  <c r="AS112" i="19"/>
  <c r="L27" i="4"/>
  <c r="N24" i="4"/>
  <c r="H19" i="4"/>
  <c r="I39" i="1"/>
  <c r="J23" i="2"/>
  <c r="N411" i="19" s="1"/>
  <c r="P121" i="19"/>
  <c r="P117" i="19"/>
  <c r="P132" i="19" s="1"/>
  <c r="F54" i="4"/>
  <c r="H54" i="4" s="1"/>
  <c r="AI389" i="19" s="1"/>
  <c r="H16" i="6"/>
  <c r="H22" i="6" s="1"/>
  <c r="H29" i="7"/>
  <c r="F40" i="10"/>
  <c r="V399" i="19" s="1"/>
  <c r="F38" i="10"/>
  <c r="R399" i="19" s="1"/>
  <c r="V398" i="19"/>
  <c r="AW398" i="19"/>
  <c r="H19" i="6"/>
  <c r="I41" i="1"/>
  <c r="K41" i="1" s="1"/>
  <c r="H21" i="4"/>
  <c r="J21" i="4" s="1"/>
  <c r="P21" i="4" s="1"/>
  <c r="R311" i="19"/>
  <c r="R338" i="19"/>
  <c r="R105" i="19"/>
  <c r="R206" i="19"/>
  <c r="R312" i="19"/>
  <c r="R205" i="19"/>
  <c r="R83" i="19"/>
  <c r="F34" i="9"/>
  <c r="F30" i="9"/>
  <c r="N394" i="19" s="1"/>
  <c r="J18" i="2"/>
  <c r="F53" i="4"/>
  <c r="H53" i="4" s="1"/>
  <c r="R386" i="19"/>
  <c r="E42" i="1"/>
  <c r="G42" i="1" s="1"/>
  <c r="D22" i="4"/>
  <c r="F22" i="4" s="1"/>
  <c r="D14" i="37"/>
  <c r="H14" i="37" s="1"/>
  <c r="F35" i="10"/>
  <c r="J365" i="19"/>
  <c r="J173" i="19"/>
  <c r="T19" i="8"/>
  <c r="Y19" i="8" s="1"/>
  <c r="AK391" i="19" s="1"/>
  <c r="F20" i="6"/>
  <c r="H20" i="6" s="1"/>
  <c r="F24" i="6"/>
  <c r="H24" i="6" s="1"/>
  <c r="R24" i="6" s="1"/>
  <c r="F21" i="6"/>
  <c r="H21" i="6" s="1"/>
  <c r="AM303" i="19"/>
  <c r="AM346" i="19"/>
  <c r="AM197" i="19"/>
  <c r="AM102" i="19"/>
  <c r="AM335" i="19"/>
  <c r="X386" i="19"/>
  <c r="AY386" i="19"/>
  <c r="E45" i="1"/>
  <c r="G45" i="1" s="1"/>
  <c r="M45" i="1" s="1"/>
  <c r="D25" i="4"/>
  <c r="F25" i="4" s="1"/>
  <c r="P25" i="4" s="1"/>
  <c r="N57" i="4"/>
  <c r="P54" i="4"/>
  <c r="P57" i="4" s="1"/>
  <c r="X388" i="19" l="1"/>
  <c r="S64" i="8"/>
  <c r="T64" i="8" s="1"/>
  <c r="F67" i="8"/>
  <c r="H67" i="8" s="1"/>
  <c r="H24" i="8"/>
  <c r="J24" i="8" s="1"/>
  <c r="U22" i="8"/>
  <c r="V22" i="8" s="1"/>
  <c r="AI305" i="19"/>
  <c r="AI199" i="19"/>
  <c r="AI307" i="19"/>
  <c r="AI336" i="19"/>
  <c r="AI200" i="19"/>
  <c r="AI306" i="19"/>
  <c r="AI201" i="19"/>
  <c r="V119" i="19"/>
  <c r="V122" i="19"/>
  <c r="V128" i="19"/>
  <c r="V266" i="19"/>
  <c r="V269" i="19"/>
  <c r="V126" i="19"/>
  <c r="V127" i="19"/>
  <c r="V129" i="19"/>
  <c r="V130" i="19"/>
  <c r="V123" i="19"/>
  <c r="V124" i="19"/>
  <c r="V267" i="19"/>
  <c r="V140" i="19"/>
  <c r="V118" i="19"/>
  <c r="V317" i="19"/>
  <c r="V125" i="19"/>
  <c r="V218" i="19"/>
  <c r="V121" i="19"/>
  <c r="V117" i="19"/>
  <c r="V132" i="19" s="1"/>
  <c r="J19" i="4"/>
  <c r="P19" i="19"/>
  <c r="P284" i="19"/>
  <c r="P180" i="19"/>
  <c r="P32" i="19"/>
  <c r="P34" i="19" s="1"/>
  <c r="P54" i="19"/>
  <c r="P15" i="19"/>
  <c r="P48" i="19"/>
  <c r="P142" i="19"/>
  <c r="P14" i="19"/>
  <c r="P47" i="19"/>
  <c r="V60" i="8"/>
  <c r="L312" i="19"/>
  <c r="L338" i="19"/>
  <c r="L105" i="19"/>
  <c r="L83" i="19"/>
  <c r="L205" i="19"/>
  <c r="L206" i="19"/>
  <c r="L311" i="19"/>
  <c r="AS96" i="19"/>
  <c r="AS114" i="19" s="1"/>
  <c r="T387" i="19"/>
  <c r="D22" i="8"/>
  <c r="F22" i="8" s="1"/>
  <c r="S60" i="8"/>
  <c r="U18" i="8"/>
  <c r="T388" i="19"/>
  <c r="H22" i="8"/>
  <c r="J22" i="8" s="1"/>
  <c r="F65" i="8"/>
  <c r="H65" i="8" s="1"/>
  <c r="AM337" i="19"/>
  <c r="AM292" i="19"/>
  <c r="AM291" i="19"/>
  <c r="AM293" i="19"/>
  <c r="AM288" i="19"/>
  <c r="AM289" i="19"/>
  <c r="AM294" i="19"/>
  <c r="AM189" i="19"/>
  <c r="AM186" i="19"/>
  <c r="AM187" i="19"/>
  <c r="AM36" i="19"/>
  <c r="AM38" i="19" s="1"/>
  <c r="AM40" i="19" s="1"/>
  <c r="AM188" i="19"/>
  <c r="AM190" i="19"/>
  <c r="AM191" i="19"/>
  <c r="AM185" i="19"/>
  <c r="AM290" i="19"/>
  <c r="X132" i="19"/>
  <c r="F52" i="9"/>
  <c r="F55" i="9"/>
  <c r="R395" i="19" s="1"/>
  <c r="F57" i="9"/>
  <c r="F56" i="9"/>
  <c r="T395" i="19" s="1"/>
  <c r="F53" i="9"/>
  <c r="N395" i="19" s="1"/>
  <c r="D27" i="4"/>
  <c r="F19" i="4"/>
  <c r="F27" i="4" s="1"/>
  <c r="AG367" i="19"/>
  <c r="AK291" i="19"/>
  <c r="AK187" i="19"/>
  <c r="AK293" i="19"/>
  <c r="AK292" i="19"/>
  <c r="AK337" i="19"/>
  <c r="AK288" i="19"/>
  <c r="AK186" i="19"/>
  <c r="AK188" i="19"/>
  <c r="AK290" i="19"/>
  <c r="AK289" i="19"/>
  <c r="AK36" i="19"/>
  <c r="AK38" i="19" s="1"/>
  <c r="AK40" i="19" s="1"/>
  <c r="AK190" i="19"/>
  <c r="AK191" i="19"/>
  <c r="AK185" i="19"/>
  <c r="AK294" i="19"/>
  <c r="AK189" i="19"/>
  <c r="L399" i="19"/>
  <c r="F42" i="10"/>
  <c r="H20" i="4"/>
  <c r="J20" i="4" s="1"/>
  <c r="P20" i="4" s="1"/>
  <c r="I40" i="1"/>
  <c r="K40" i="1" s="1"/>
  <c r="M40" i="1" s="1"/>
  <c r="H23" i="6"/>
  <c r="R23" i="6" s="1"/>
  <c r="AW388" i="19"/>
  <c r="N27" i="4"/>
  <c r="P24" i="4"/>
  <c r="I42" i="1"/>
  <c r="K42" i="1" s="1"/>
  <c r="H22" i="4"/>
  <c r="J22" i="4" s="1"/>
  <c r="P22" i="4" s="1"/>
  <c r="W18" i="8"/>
  <c r="AW387" i="19"/>
  <c r="M44" i="1"/>
  <c r="S18" i="8"/>
  <c r="F54" i="9"/>
  <c r="P395" i="19" s="1"/>
  <c r="N142" i="19"/>
  <c r="N32" i="19"/>
  <c r="N34" i="19" s="1"/>
  <c r="N54" i="19"/>
  <c r="N19" i="19"/>
  <c r="N47" i="19"/>
  <c r="N48" i="19"/>
  <c r="N284" i="19"/>
  <c r="N15" i="19"/>
  <c r="N180" i="19"/>
  <c r="N14" i="19"/>
  <c r="L119" i="19"/>
  <c r="L123" i="19"/>
  <c r="L127" i="19"/>
  <c r="L124" i="19"/>
  <c r="L128" i="19"/>
  <c r="L317" i="19"/>
  <c r="L125" i="19"/>
  <c r="L129" i="19"/>
  <c r="L140" i="19"/>
  <c r="L118" i="19"/>
  <c r="L122" i="19"/>
  <c r="L126" i="19"/>
  <c r="L267" i="19"/>
  <c r="L269" i="19"/>
  <c r="Z398" i="19"/>
  <c r="AA398" i="19" s="1"/>
  <c r="L130" i="19"/>
  <c r="L218" i="19"/>
  <c r="L266" i="19"/>
  <c r="AK96" i="19"/>
  <c r="AK114" i="19" s="1"/>
  <c r="E47" i="1"/>
  <c r="G39" i="1"/>
  <c r="T132" i="19"/>
  <c r="X19" i="19"/>
  <c r="X54" i="19"/>
  <c r="X142" i="19"/>
  <c r="X32" i="19"/>
  <c r="X34" i="19" s="1"/>
  <c r="X15" i="19"/>
  <c r="X48" i="19"/>
  <c r="X284" i="19"/>
  <c r="X14" i="19"/>
  <c r="X180" i="19"/>
  <c r="X47" i="19"/>
  <c r="AY387" i="19"/>
  <c r="X387" i="19"/>
  <c r="S22" i="8"/>
  <c r="T22" i="8" s="1"/>
  <c r="D24" i="8"/>
  <c r="F24" i="8" s="1"/>
  <c r="J367" i="19"/>
  <c r="M42" i="1"/>
  <c r="N311" i="19"/>
  <c r="N338" i="19"/>
  <c r="N312" i="19"/>
  <c r="N83" i="19"/>
  <c r="N206" i="19"/>
  <c r="N105" i="19"/>
  <c r="N205" i="19"/>
  <c r="AI390" i="19"/>
  <c r="M41" i="1"/>
  <c r="AY334" i="19"/>
  <c r="AY309" i="19"/>
  <c r="AY308" i="19"/>
  <c r="AY202" i="19"/>
  <c r="AY203" i="19"/>
  <c r="H18" i="6"/>
  <c r="H49" i="4"/>
  <c r="F57" i="4"/>
  <c r="V142" i="19"/>
  <c r="V54" i="19"/>
  <c r="V284" i="19"/>
  <c r="V48" i="19"/>
  <c r="V180" i="19"/>
  <c r="V19" i="19"/>
  <c r="V32" i="19"/>
  <c r="V34" i="19" s="1"/>
  <c r="V15" i="19"/>
  <c r="V14" i="19"/>
  <c r="V47" i="19"/>
  <c r="H44" i="7"/>
  <c r="J38" i="7"/>
  <c r="AM302" i="19"/>
  <c r="AM110" i="19"/>
  <c r="AM363" i="19" s="1"/>
  <c r="AM364" i="19" s="1"/>
  <c r="AM397" i="19" s="1"/>
  <c r="AM268" i="19"/>
  <c r="AM300" i="19"/>
  <c r="AM103" i="19"/>
  <c r="AM82" i="19"/>
  <c r="AM361" i="19" s="1"/>
  <c r="AM362" i="19" s="1"/>
  <c r="AM396" i="19" s="1"/>
  <c r="AM195" i="19"/>
  <c r="AM196" i="19"/>
  <c r="AM301" i="19"/>
  <c r="AK29" i="19"/>
  <c r="I68" i="5"/>
  <c r="K62" i="5"/>
  <c r="L14" i="19"/>
  <c r="L15" i="19"/>
  <c r="L19" i="19"/>
  <c r="L32" i="19"/>
  <c r="L34" i="19" s="1"/>
  <c r="L54" i="19"/>
  <c r="L284" i="19"/>
  <c r="L180" i="19"/>
  <c r="L48" i="19"/>
  <c r="L142" i="19"/>
  <c r="Z386" i="19"/>
  <c r="AA386" i="19" s="1"/>
  <c r="L47" i="19"/>
  <c r="AY19" i="19"/>
  <c r="AY142" i="19"/>
  <c r="AY15" i="19"/>
  <c r="AY284" i="19"/>
  <c r="AY54" i="19"/>
  <c r="AY180" i="19"/>
  <c r="AY32" i="19"/>
  <c r="AY34" i="19" s="1"/>
  <c r="AY48" i="19"/>
  <c r="AY14" i="19"/>
  <c r="AY47" i="19"/>
  <c r="AY390" i="19"/>
  <c r="X390" i="19"/>
  <c r="D15" i="37"/>
  <c r="R19" i="19"/>
  <c r="R142" i="19"/>
  <c r="R54" i="19"/>
  <c r="R32" i="19"/>
  <c r="R34" i="19" s="1"/>
  <c r="R48" i="19"/>
  <c r="R284" i="19"/>
  <c r="R47" i="19"/>
  <c r="R180" i="19"/>
  <c r="R15" i="19"/>
  <c r="R14" i="19"/>
  <c r="V394" i="19"/>
  <c r="Z394" i="19" s="1"/>
  <c r="AA394" i="19" s="1"/>
  <c r="AW394" i="19"/>
  <c r="P388" i="19"/>
  <c r="H20" i="8"/>
  <c r="J20" i="8" s="1"/>
  <c r="F63" i="8"/>
  <c r="H63" i="8" s="1"/>
  <c r="AW126" i="19"/>
  <c r="AS398" i="19"/>
  <c r="AW123" i="19"/>
  <c r="AW266" i="19"/>
  <c r="AW122" i="19"/>
  <c r="AW218" i="19"/>
  <c r="AW269" i="19"/>
  <c r="AW124" i="19"/>
  <c r="AW118" i="19"/>
  <c r="AW125" i="19"/>
  <c r="AW130" i="19"/>
  <c r="AW140" i="19"/>
  <c r="AW317" i="19"/>
  <c r="AW119" i="19"/>
  <c r="AW267" i="19"/>
  <c r="AW127" i="19"/>
  <c r="AW128" i="19"/>
  <c r="AW129" i="19"/>
  <c r="R121" i="19"/>
  <c r="R117" i="19"/>
  <c r="R54" i="4"/>
  <c r="K39" i="1"/>
  <c r="K47" i="1" s="1"/>
  <c r="F26" i="6"/>
  <c r="AY132" i="19"/>
  <c r="AU366" i="19"/>
  <c r="AU400" i="19" s="1"/>
  <c r="F36" i="9"/>
  <c r="AW284" i="19"/>
  <c r="AW32" i="19"/>
  <c r="AW34" i="19" s="1"/>
  <c r="AW48" i="19"/>
  <c r="AW142" i="19"/>
  <c r="AW19" i="19"/>
  <c r="AW15" i="19"/>
  <c r="AW14" i="19"/>
  <c r="AI386" i="19"/>
  <c r="AW54" i="19"/>
  <c r="AW180" i="19"/>
  <c r="AW47" i="19"/>
  <c r="X389" i="19"/>
  <c r="AY389" i="19"/>
  <c r="J67" i="8"/>
  <c r="L67" i="8" s="1"/>
  <c r="L24" i="8"/>
  <c r="N24" i="8" s="1"/>
  <c r="W22" i="8"/>
  <c r="X22" i="8" s="1"/>
  <c r="U64" i="8"/>
  <c r="V64" i="8" s="1"/>
  <c r="N387" i="19" l="1"/>
  <c r="D19" i="8"/>
  <c r="F19" i="8" s="1"/>
  <c r="AM109" i="19"/>
  <c r="AM108" i="19"/>
  <c r="AM107" i="19"/>
  <c r="AM100" i="19"/>
  <c r="AM101" i="19"/>
  <c r="AY305" i="19"/>
  <c r="AY201" i="19"/>
  <c r="AY306" i="19"/>
  <c r="AY307" i="19"/>
  <c r="AY200" i="19"/>
  <c r="AY336" i="19"/>
  <c r="AY199" i="19"/>
  <c r="AM86" i="19"/>
  <c r="AM93" i="19"/>
  <c r="AM85" i="19"/>
  <c r="AM88" i="19"/>
  <c r="AM92" i="19"/>
  <c r="AM94" i="19"/>
  <c r="AM79" i="19"/>
  <c r="AM81" i="19"/>
  <c r="AM90" i="19"/>
  <c r="AM80" i="19"/>
  <c r="AM87" i="19"/>
  <c r="AM91" i="19"/>
  <c r="AM89" i="19"/>
  <c r="AW395" i="19"/>
  <c r="V395" i="19"/>
  <c r="T60" i="8"/>
  <c r="X201" i="19"/>
  <c r="X306" i="19"/>
  <c r="X307" i="19"/>
  <c r="X336" i="19"/>
  <c r="X199" i="19"/>
  <c r="X200" i="19"/>
  <c r="X305" i="19"/>
  <c r="I47" i="1"/>
  <c r="AS267" i="19"/>
  <c r="AS129" i="19"/>
  <c r="AS123" i="19"/>
  <c r="AS118" i="19"/>
  <c r="AS266" i="19"/>
  <c r="AS122" i="19"/>
  <c r="AS124" i="19"/>
  <c r="BA398" i="19"/>
  <c r="AS140" i="19"/>
  <c r="AS127" i="19"/>
  <c r="AS128" i="19"/>
  <c r="AS317" i="19"/>
  <c r="AS119" i="19"/>
  <c r="AS130" i="19"/>
  <c r="AS269" i="19"/>
  <c r="AS125" i="19"/>
  <c r="AS126" i="19"/>
  <c r="AS218" i="19"/>
  <c r="P308" i="19"/>
  <c r="P334" i="19"/>
  <c r="P203" i="19"/>
  <c r="P309" i="19"/>
  <c r="P202" i="19"/>
  <c r="AY102" i="19"/>
  <c r="AY346" i="19"/>
  <c r="AY303" i="19"/>
  <c r="AY335" i="19"/>
  <c r="AY197" i="19"/>
  <c r="P387" i="19"/>
  <c r="D20" i="8"/>
  <c r="F20" i="8" s="1"/>
  <c r="M39" i="1"/>
  <c r="G47" i="1"/>
  <c r="T18" i="8"/>
  <c r="X18" i="8"/>
  <c r="N388" i="19"/>
  <c r="F62" i="8"/>
  <c r="H62" i="8" s="1"/>
  <c r="H19" i="8"/>
  <c r="J19" i="8" s="1"/>
  <c r="R310" i="19"/>
  <c r="R339" i="19"/>
  <c r="R84" i="19"/>
  <c r="R204" i="19"/>
  <c r="R104" i="19"/>
  <c r="N67" i="8"/>
  <c r="X392" i="19" s="1"/>
  <c r="AU318" i="19"/>
  <c r="AU319" i="19"/>
  <c r="AU315" i="19"/>
  <c r="AU164" i="19"/>
  <c r="AU154" i="19"/>
  <c r="AU144" i="19"/>
  <c r="AU145" i="19"/>
  <c r="AU326" i="19"/>
  <c r="AU158" i="19"/>
  <c r="AU316" i="19"/>
  <c r="AU143" i="19"/>
  <c r="AU146" i="19"/>
  <c r="AU157" i="19"/>
  <c r="AU165" i="19"/>
  <c r="AU231" i="19"/>
  <c r="AU227" i="19"/>
  <c r="AU213" i="19"/>
  <c r="AU210" i="19"/>
  <c r="AU216" i="19"/>
  <c r="AU220" i="19"/>
  <c r="AU341" i="19"/>
  <c r="AU320" i="19"/>
  <c r="AU138" i="19"/>
  <c r="AU163" i="19"/>
  <c r="AU151" i="19"/>
  <c r="AU325" i="19"/>
  <c r="AU314" i="19"/>
  <c r="AU221" i="19"/>
  <c r="AU222" i="19"/>
  <c r="AU230" i="19"/>
  <c r="AU234" i="19"/>
  <c r="AU212" i="19"/>
  <c r="AU223" i="19"/>
  <c r="AU219" i="19"/>
  <c r="AU321" i="19"/>
  <c r="AU324" i="19"/>
  <c r="AU156" i="19"/>
  <c r="AU160" i="19"/>
  <c r="AU155" i="19"/>
  <c r="AU137" i="19"/>
  <c r="AU214" i="19"/>
  <c r="AU215" i="19"/>
  <c r="AU211" i="19"/>
  <c r="AU217" i="19"/>
  <c r="AU233" i="19"/>
  <c r="AU229" i="19"/>
  <c r="AU153" i="19"/>
  <c r="AU225" i="19"/>
  <c r="AU224" i="19"/>
  <c r="AU152" i="19"/>
  <c r="AU226" i="19"/>
  <c r="AU323" i="19"/>
  <c r="AU147" i="19"/>
  <c r="AU208" i="19"/>
  <c r="AU166" i="19"/>
  <c r="AU209" i="19"/>
  <c r="AU232" i="19"/>
  <c r="AK365" i="19"/>
  <c r="AK366" i="19" s="1"/>
  <c r="AK400" i="19" s="1"/>
  <c r="AY69" i="19"/>
  <c r="AY71" i="19"/>
  <c r="AY295" i="19"/>
  <c r="AY299" i="19"/>
  <c r="AY17" i="19"/>
  <c r="AY21" i="19" s="1"/>
  <c r="AY57" i="19"/>
  <c r="AY51" i="19"/>
  <c r="AY52" i="19"/>
  <c r="AY62" i="19"/>
  <c r="AY183" i="19"/>
  <c r="AY286" i="19"/>
  <c r="AY18" i="19"/>
  <c r="AY58" i="19"/>
  <c r="AY53" i="19"/>
  <c r="AY45" i="19"/>
  <c r="AY192" i="19"/>
  <c r="AY184" i="19"/>
  <c r="AY228" i="19"/>
  <c r="AY16" i="19"/>
  <c r="AY70" i="19"/>
  <c r="AY241" i="19"/>
  <c r="AY283" i="19"/>
  <c r="AY296" i="19"/>
  <c r="AY46" i="19"/>
  <c r="AY50" i="19"/>
  <c r="AY56" i="19"/>
  <c r="AY348" i="19"/>
  <c r="AY24" i="19"/>
  <c r="AY182" i="19"/>
  <c r="AY181" i="19"/>
  <c r="AY68" i="19"/>
  <c r="AY287" i="19"/>
  <c r="AY59" i="19"/>
  <c r="AY49" i="19"/>
  <c r="AY178" i="19"/>
  <c r="AY55" i="19"/>
  <c r="AY67" i="19"/>
  <c r="AY73" i="19" s="1"/>
  <c r="AY194" i="19"/>
  <c r="AY333" i="19"/>
  <c r="AY193" i="19"/>
  <c r="AY179" i="19"/>
  <c r="AY298" i="19"/>
  <c r="AY60" i="19"/>
  <c r="AY25" i="19"/>
  <c r="AY281" i="19"/>
  <c r="AY297" i="19"/>
  <c r="AY61" i="19"/>
  <c r="AY322" i="19"/>
  <c r="AY285" i="19"/>
  <c r="AY282" i="19"/>
  <c r="P104" i="19"/>
  <c r="P204" i="19"/>
  <c r="P84" i="19"/>
  <c r="P310" i="19"/>
  <c r="P339" i="19"/>
  <c r="V388" i="19"/>
  <c r="F66" i="8"/>
  <c r="H66" i="8" s="1"/>
  <c r="N66" i="8" s="1"/>
  <c r="V392" i="19" s="1"/>
  <c r="H23" i="8"/>
  <c r="J23" i="8" s="1"/>
  <c r="U21" i="8"/>
  <c r="V21" i="8" s="1"/>
  <c r="S63" i="8"/>
  <c r="T63" i="8" s="1"/>
  <c r="P24" i="8"/>
  <c r="X391" i="19" s="1"/>
  <c r="AI284" i="19"/>
  <c r="AI15" i="19"/>
  <c r="AI32" i="19"/>
  <c r="AI34" i="19" s="1"/>
  <c r="AI142" i="19"/>
  <c r="AI54" i="19"/>
  <c r="AI19" i="19"/>
  <c r="BA386" i="19"/>
  <c r="AI180" i="19"/>
  <c r="AI14" i="19"/>
  <c r="AI48" i="19"/>
  <c r="AI47" i="19"/>
  <c r="AW389" i="19"/>
  <c r="V389" i="19"/>
  <c r="W21" i="8"/>
  <c r="X21" i="8" s="1"/>
  <c r="U63" i="8"/>
  <c r="L23" i="8"/>
  <c r="N23" i="8" s="1"/>
  <c r="P23" i="8" s="1"/>
  <c r="V391" i="19" s="1"/>
  <c r="J66" i="8"/>
  <c r="L66" i="8" s="1"/>
  <c r="AW132" i="19"/>
  <c r="AW312" i="19"/>
  <c r="AW205" i="19"/>
  <c r="AW83" i="19"/>
  <c r="AO394" i="19"/>
  <c r="AW338" i="19"/>
  <c r="AW311" i="19"/>
  <c r="AW206" i="19"/>
  <c r="AW105" i="19"/>
  <c r="H15" i="37"/>
  <c r="J256" i="19" s="1"/>
  <c r="D17" i="37"/>
  <c r="H17" i="37" s="1"/>
  <c r="J259" i="19" s="1"/>
  <c r="J49" i="4"/>
  <c r="J18" i="6"/>
  <c r="AI303" i="19"/>
  <c r="AI346" i="19"/>
  <c r="AI335" i="19"/>
  <c r="AI102" i="19"/>
  <c r="AI197" i="19"/>
  <c r="Y22" i="8"/>
  <c r="AY391" i="19" s="1"/>
  <c r="L411" i="19"/>
  <c r="V387" i="19"/>
  <c r="D23" i="8"/>
  <c r="F23" i="8" s="1"/>
  <c r="S21" i="8"/>
  <c r="T21" i="8" s="1"/>
  <c r="Y21" i="8" s="1"/>
  <c r="AW391" i="19" s="1"/>
  <c r="R388" i="19"/>
  <c r="H21" i="8"/>
  <c r="J21" i="8" s="1"/>
  <c r="F64" i="8"/>
  <c r="H64" i="8" s="1"/>
  <c r="AW308" i="19"/>
  <c r="AW334" i="19"/>
  <c r="AW309" i="19"/>
  <c r="AW202" i="19"/>
  <c r="AW203" i="19"/>
  <c r="BA388" i="19"/>
  <c r="N104" i="19"/>
  <c r="N84" i="19"/>
  <c r="N339" i="19"/>
  <c r="N310" i="19"/>
  <c r="N204" i="19"/>
  <c r="L395" i="19"/>
  <c r="F59" i="9"/>
  <c r="T308" i="19"/>
  <c r="T334" i="19"/>
  <c r="T202" i="19"/>
  <c r="T309" i="19"/>
  <c r="T203" i="19"/>
  <c r="T297" i="19"/>
  <c r="T296" i="19"/>
  <c r="T282" i="19"/>
  <c r="T58" i="19"/>
  <c r="T59" i="19"/>
  <c r="T53" i="19"/>
  <c r="T183" i="19"/>
  <c r="T283" i="19"/>
  <c r="T285" i="19"/>
  <c r="T60" i="19"/>
  <c r="T25" i="19"/>
  <c r="T49" i="19"/>
  <c r="T241" i="19"/>
  <c r="T178" i="19"/>
  <c r="T298" i="19"/>
  <c r="T299" i="19"/>
  <c r="T55" i="19"/>
  <c r="T56" i="19"/>
  <c r="T18" i="19"/>
  <c r="T50" i="19"/>
  <c r="T333" i="19"/>
  <c r="T70" i="19"/>
  <c r="T71" i="19"/>
  <c r="T287" i="19"/>
  <c r="T286" i="19"/>
  <c r="T62" i="19"/>
  <c r="T57" i="19"/>
  <c r="T52" i="19"/>
  <c r="T69" i="19"/>
  <c r="T67" i="19"/>
  <c r="T73" i="19" s="1"/>
  <c r="T45" i="19"/>
  <c r="T181" i="19"/>
  <c r="T184" i="19"/>
  <c r="T182" i="19"/>
  <c r="T194" i="19"/>
  <c r="T61" i="19"/>
  <c r="T24" i="19"/>
  <c r="T281" i="19"/>
  <c r="T46" i="19"/>
  <c r="T17" i="19"/>
  <c r="T51" i="19"/>
  <c r="T295" i="19"/>
  <c r="T68" i="19"/>
  <c r="T348" i="19"/>
  <c r="T193" i="19"/>
  <c r="T179" i="19"/>
  <c r="T192" i="19"/>
  <c r="T322" i="19"/>
  <c r="T228" i="19"/>
  <c r="T16" i="19"/>
  <c r="T21" i="19" s="1"/>
  <c r="J27" i="4"/>
  <c r="P19" i="4"/>
  <c r="Y64" i="8"/>
  <c r="AY392" i="19" s="1"/>
  <c r="X102" i="19"/>
  <c r="X335" i="19"/>
  <c r="X197" i="19"/>
  <c r="X346" i="19"/>
  <c r="X303" i="19"/>
  <c r="AW21" i="19"/>
  <c r="R132" i="19"/>
  <c r="V338" i="19"/>
  <c r="V311" i="19"/>
  <c r="V312" i="19"/>
  <c r="V83" i="19"/>
  <c r="V206" i="19"/>
  <c r="V105" i="19"/>
  <c r="V205" i="19"/>
  <c r="K64" i="5"/>
  <c r="J51" i="4" s="1"/>
  <c r="L51" i="4" s="1"/>
  <c r="R51" i="4" s="1"/>
  <c r="K63" i="5"/>
  <c r="J50" i="4" s="1"/>
  <c r="L50" i="4" s="1"/>
  <c r="R50" i="4" s="1"/>
  <c r="K66" i="5"/>
  <c r="J53" i="4" s="1"/>
  <c r="L53" i="4" s="1"/>
  <c r="R53" i="4" s="1"/>
  <c r="K65" i="5"/>
  <c r="J52" i="4" s="1"/>
  <c r="L52" i="4" s="1"/>
  <c r="R52" i="4" s="1"/>
  <c r="J40" i="7"/>
  <c r="J20" i="6" s="1"/>
  <c r="L20" i="6" s="1"/>
  <c r="R20" i="6" s="1"/>
  <c r="P390" i="19" s="1"/>
  <c r="J41" i="7"/>
  <c r="J21" i="6" s="1"/>
  <c r="L21" i="6" s="1"/>
  <c r="R21" i="6" s="1"/>
  <c r="R390" i="19" s="1"/>
  <c r="J39" i="7"/>
  <c r="J19" i="6" s="1"/>
  <c r="L19" i="6" s="1"/>
  <c r="R19" i="6" s="1"/>
  <c r="N390" i="19" s="1"/>
  <c r="J42" i="7"/>
  <c r="J22" i="6" s="1"/>
  <c r="L22" i="6" s="1"/>
  <c r="R22" i="6" s="1"/>
  <c r="T390" i="19" s="1"/>
  <c r="H57" i="4"/>
  <c r="H26" i="6"/>
  <c r="R387" i="19"/>
  <c r="D21" i="8"/>
  <c r="F21" i="8" s="1"/>
  <c r="X46" i="19"/>
  <c r="X287" i="19"/>
  <c r="X298" i="19"/>
  <c r="X299" i="19"/>
  <c r="X61" i="19"/>
  <c r="X58" i="19"/>
  <c r="X17" i="19"/>
  <c r="X52" i="19"/>
  <c r="X71" i="19"/>
  <c r="X295" i="19"/>
  <c r="X322" i="19"/>
  <c r="X57" i="19"/>
  <c r="X25" i="19"/>
  <c r="X53" i="19"/>
  <c r="X241" i="19"/>
  <c r="X70" i="19"/>
  <c r="X182" i="19"/>
  <c r="X178" i="19"/>
  <c r="X296" i="19"/>
  <c r="X282" i="19"/>
  <c r="X59" i="19"/>
  <c r="X18" i="19"/>
  <c r="X51" i="19"/>
  <c r="X348" i="19"/>
  <c r="X67" i="19"/>
  <c r="X45" i="19"/>
  <c r="X228" i="19"/>
  <c r="X181" i="19"/>
  <c r="X184" i="19"/>
  <c r="X183" i="19"/>
  <c r="X283" i="19"/>
  <c r="X285" i="19"/>
  <c r="X62" i="19"/>
  <c r="X56" i="19"/>
  <c r="X49" i="19"/>
  <c r="X333" i="19"/>
  <c r="X16" i="19"/>
  <c r="X21" i="19" s="1"/>
  <c r="X193" i="19"/>
  <c r="X192" i="19"/>
  <c r="X297" i="19"/>
  <c r="X55" i="19"/>
  <c r="X69" i="19"/>
  <c r="X179" i="19"/>
  <c r="X286" i="19"/>
  <c r="X68" i="19"/>
  <c r="X24" i="19"/>
  <c r="X281" i="19"/>
  <c r="X60" i="19"/>
  <c r="X50" i="19"/>
  <c r="X194" i="19"/>
  <c r="AW71" i="19"/>
  <c r="AW183" i="19"/>
  <c r="AW286" i="19"/>
  <c r="AW60" i="19"/>
  <c r="AW58" i="19"/>
  <c r="AW50" i="19"/>
  <c r="AW51" i="19"/>
  <c r="AW25" i="19"/>
  <c r="AW70" i="19"/>
  <c r="AW295" i="19"/>
  <c r="AW298" i="19"/>
  <c r="AW18" i="19"/>
  <c r="AW61" i="19"/>
  <c r="AW56" i="19"/>
  <c r="AW179" i="19"/>
  <c r="AW68" i="19"/>
  <c r="AW241" i="19"/>
  <c r="AW283" i="19"/>
  <c r="AW46" i="19"/>
  <c r="AW17" i="19"/>
  <c r="AW55" i="19"/>
  <c r="AW348" i="19"/>
  <c r="AW67" i="19"/>
  <c r="AW228" i="19"/>
  <c r="AW194" i="19"/>
  <c r="AW281" i="19"/>
  <c r="AW69" i="19"/>
  <c r="AW178" i="19"/>
  <c r="AW297" i="19"/>
  <c r="AW299" i="19"/>
  <c r="AW59" i="19"/>
  <c r="AW53" i="19"/>
  <c r="AW49" i="19"/>
  <c r="AW24" i="19"/>
  <c r="AW193" i="19"/>
  <c r="AW192" i="19"/>
  <c r="AW181" i="19"/>
  <c r="AW296" i="19"/>
  <c r="AW52" i="19"/>
  <c r="AW62" i="19"/>
  <c r="AW287" i="19"/>
  <c r="AW184" i="19"/>
  <c r="AW182" i="19"/>
  <c r="AW16" i="19"/>
  <c r="AW333" i="19"/>
  <c r="AW57" i="19"/>
  <c r="AW322" i="19"/>
  <c r="AW282" i="19"/>
  <c r="AW285" i="19"/>
  <c r="AW45" i="19"/>
  <c r="AI387" i="19"/>
  <c r="V390" i="19"/>
  <c r="AW390" i="19"/>
  <c r="L117" i="19"/>
  <c r="L121" i="19"/>
  <c r="Z399" i="19"/>
  <c r="AA399" i="19" s="1"/>
  <c r="T84" i="19"/>
  <c r="T310" i="19"/>
  <c r="T104" i="19"/>
  <c r="T339" i="19"/>
  <c r="T204" i="19"/>
  <c r="V18" i="8"/>
  <c r="V24" i="8" s="1"/>
  <c r="U24" i="8"/>
  <c r="H27" i="4"/>
  <c r="L412" i="19" s="1"/>
  <c r="X334" i="19"/>
  <c r="X202" i="19"/>
  <c r="X203" i="19"/>
  <c r="X308" i="19"/>
  <c r="X309" i="19"/>
  <c r="R335" i="19" l="1"/>
  <c r="R102" i="19"/>
  <c r="R303" i="19"/>
  <c r="R346" i="19"/>
  <c r="R197" i="19"/>
  <c r="N389" i="19"/>
  <c r="L19" i="8"/>
  <c r="N19" i="8" s="1"/>
  <c r="P19" i="8" s="1"/>
  <c r="N391" i="19" s="1"/>
  <c r="J62" i="8"/>
  <c r="L62" i="8" s="1"/>
  <c r="L104" i="19"/>
  <c r="L339" i="19"/>
  <c r="L204" i="19"/>
  <c r="L310" i="19"/>
  <c r="L84" i="19"/>
  <c r="Z395" i="19"/>
  <c r="AA395" i="19" s="1"/>
  <c r="AW289" i="19"/>
  <c r="AW293" i="19"/>
  <c r="AW36" i="19"/>
  <c r="AW38" i="19" s="1"/>
  <c r="AW40" i="19" s="1"/>
  <c r="AW185" i="19"/>
  <c r="AW189" i="19"/>
  <c r="AW290" i="19"/>
  <c r="AW294" i="19"/>
  <c r="AW186" i="19"/>
  <c r="AW190" i="19"/>
  <c r="AW291" i="19"/>
  <c r="AW187" i="19"/>
  <c r="AW191" i="19"/>
  <c r="AW292" i="19"/>
  <c r="AW337" i="19"/>
  <c r="AW188" i="19"/>
  <c r="AW288" i="19"/>
  <c r="K68" i="5"/>
  <c r="N413" i="19" s="1"/>
  <c r="AO311" i="19"/>
  <c r="AO338" i="19"/>
  <c r="AO206" i="19"/>
  <c r="BA394" i="19"/>
  <c r="AO83" i="19"/>
  <c r="AO361" i="19" s="1"/>
  <c r="AO362" i="19" s="1"/>
  <c r="AO396" i="19" s="1"/>
  <c r="AO312" i="19"/>
  <c r="AO205" i="19"/>
  <c r="AO105" i="19"/>
  <c r="AO363" i="19" s="1"/>
  <c r="AO364" i="19" s="1"/>
  <c r="AO397" i="19" s="1"/>
  <c r="V103" i="19"/>
  <c r="V82" i="19"/>
  <c r="V361" i="19" s="1"/>
  <c r="V268" i="19"/>
  <c r="V300" i="19"/>
  <c r="V110" i="19"/>
  <c r="V301" i="19"/>
  <c r="V195" i="19"/>
  <c r="V196" i="19"/>
  <c r="V302" i="19"/>
  <c r="N308" i="19"/>
  <c r="N334" i="19"/>
  <c r="N202" i="19"/>
  <c r="N309" i="19"/>
  <c r="N203" i="19"/>
  <c r="S24" i="8"/>
  <c r="P46" i="19"/>
  <c r="P287" i="19"/>
  <c r="P298" i="19"/>
  <c r="P322" i="19"/>
  <c r="P55" i="19"/>
  <c r="P57" i="19"/>
  <c r="P17" i="19"/>
  <c r="P51" i="19"/>
  <c r="P295" i="19"/>
  <c r="P285" i="19"/>
  <c r="P62" i="19"/>
  <c r="P60" i="19"/>
  <c r="P18" i="19"/>
  <c r="P52" i="19"/>
  <c r="P241" i="19"/>
  <c r="P67" i="19"/>
  <c r="P45" i="19"/>
  <c r="P71" i="19"/>
  <c r="P178" i="19"/>
  <c r="P286" i="19"/>
  <c r="P299" i="19"/>
  <c r="P59" i="19"/>
  <c r="P49" i="19"/>
  <c r="P333" i="19"/>
  <c r="P70" i="19"/>
  <c r="P24" i="19"/>
  <c r="P183" i="19"/>
  <c r="P296" i="19"/>
  <c r="P282" i="19"/>
  <c r="P56" i="19"/>
  <c r="P58" i="19"/>
  <c r="P50" i="19"/>
  <c r="P69" i="19"/>
  <c r="P283" i="19"/>
  <c r="P25" i="19"/>
  <c r="P181" i="19"/>
  <c r="P184" i="19"/>
  <c r="P194" i="19"/>
  <c r="P68" i="19"/>
  <c r="P61" i="19"/>
  <c r="P348" i="19"/>
  <c r="P228" i="19"/>
  <c r="P193" i="19"/>
  <c r="P16" i="19"/>
  <c r="P53" i="19"/>
  <c r="P182" i="19"/>
  <c r="P297" i="19"/>
  <c r="P179" i="19"/>
  <c r="P192" i="19"/>
  <c r="P281" i="19"/>
  <c r="V84" i="19"/>
  <c r="V104" i="19"/>
  <c r="V310" i="19"/>
  <c r="V339" i="19"/>
  <c r="V204" i="19"/>
  <c r="AM96" i="19"/>
  <c r="V303" i="19"/>
  <c r="V197" i="19"/>
  <c r="V102" i="19"/>
  <c r="V363" i="19" s="1"/>
  <c r="V335" i="19"/>
  <c r="V346" i="19"/>
  <c r="R183" i="19"/>
  <c r="R295" i="19"/>
  <c r="R283" i="19"/>
  <c r="R282" i="19"/>
  <c r="R62" i="19"/>
  <c r="R56" i="19"/>
  <c r="R25" i="19"/>
  <c r="R51" i="19"/>
  <c r="R71" i="19"/>
  <c r="R178" i="19"/>
  <c r="R298" i="19"/>
  <c r="R322" i="19"/>
  <c r="R55" i="19"/>
  <c r="R59" i="19"/>
  <c r="R348" i="19"/>
  <c r="R297" i="19"/>
  <c r="R286" i="19"/>
  <c r="R57" i="19"/>
  <c r="R18" i="19"/>
  <c r="R52" i="19"/>
  <c r="R241" i="19"/>
  <c r="R287" i="19"/>
  <c r="R285" i="19"/>
  <c r="R68" i="19"/>
  <c r="R61" i="19"/>
  <c r="R17" i="19"/>
  <c r="R53" i="19"/>
  <c r="R50" i="19"/>
  <c r="R333" i="19"/>
  <c r="R70" i="19"/>
  <c r="R67" i="19"/>
  <c r="R193" i="19"/>
  <c r="R192" i="19"/>
  <c r="R281" i="19"/>
  <c r="R299" i="19"/>
  <c r="R179" i="19"/>
  <c r="R45" i="19"/>
  <c r="R181" i="19"/>
  <c r="R184" i="19"/>
  <c r="R182" i="19"/>
  <c r="R46" i="19"/>
  <c r="R58" i="19"/>
  <c r="R228" i="19"/>
  <c r="R16" i="19"/>
  <c r="R69" i="19"/>
  <c r="R296" i="19"/>
  <c r="R60" i="19"/>
  <c r="R24" i="19"/>
  <c r="R49" i="19"/>
  <c r="R194" i="19"/>
  <c r="P335" i="19"/>
  <c r="P102" i="19"/>
  <c r="P303" i="19"/>
  <c r="P197" i="19"/>
  <c r="P346" i="19"/>
  <c r="P389" i="19"/>
  <c r="J63" i="8"/>
  <c r="L63" i="8" s="1"/>
  <c r="N63" i="8" s="1"/>
  <c r="P392" i="19" s="1"/>
  <c r="L20" i="8"/>
  <c r="N20" i="8" s="1"/>
  <c r="P20" i="8" s="1"/>
  <c r="P391" i="19" s="1"/>
  <c r="AY302" i="19"/>
  <c r="AY195" i="19"/>
  <c r="AY82" i="19"/>
  <c r="AY361" i="19" s="1"/>
  <c r="AY362" i="19" s="1"/>
  <c r="AY268" i="19"/>
  <c r="AY300" i="19"/>
  <c r="AY301" i="19"/>
  <c r="AY196" i="19"/>
  <c r="AY103" i="19"/>
  <c r="AY110" i="19"/>
  <c r="T27" i="19"/>
  <c r="T29" i="19" s="1"/>
  <c r="AY290" i="19"/>
  <c r="AY294" i="19"/>
  <c r="AY188" i="19"/>
  <c r="AY291" i="19"/>
  <c r="AY288" i="19"/>
  <c r="AY292" i="19"/>
  <c r="AY185" i="19"/>
  <c r="AY190" i="19"/>
  <c r="AY337" i="19"/>
  <c r="AY289" i="19"/>
  <c r="AY36" i="19"/>
  <c r="AY38" i="19" s="1"/>
  <c r="AY40" i="19" s="1"/>
  <c r="AY191" i="19"/>
  <c r="AY186" i="19"/>
  <c r="AY187" i="19"/>
  <c r="AY189" i="19"/>
  <c r="AY293" i="19"/>
  <c r="J57" i="4"/>
  <c r="L49" i="4"/>
  <c r="V306" i="19"/>
  <c r="V336" i="19"/>
  <c r="V199" i="19"/>
  <c r="V200" i="19"/>
  <c r="V305" i="19"/>
  <c r="V201" i="19"/>
  <c r="V307" i="19"/>
  <c r="Y63" i="8"/>
  <c r="AW392" i="19" s="1"/>
  <c r="V309" i="19"/>
  <c r="V203" i="19"/>
  <c r="V308" i="19"/>
  <c r="V334" i="19"/>
  <c r="V202" i="19"/>
  <c r="AY27" i="19"/>
  <c r="AY29" i="19" s="1"/>
  <c r="AK319" i="19"/>
  <c r="AK315" i="19"/>
  <c r="AK341" i="19"/>
  <c r="AK154" i="19"/>
  <c r="AK144" i="19"/>
  <c r="AK147" i="19"/>
  <c r="AK153" i="19"/>
  <c r="AK137" i="19"/>
  <c r="AK221" i="19"/>
  <c r="AK226" i="19"/>
  <c r="AK213" i="19"/>
  <c r="AK234" i="19"/>
  <c r="AK217" i="19"/>
  <c r="AK212" i="19"/>
  <c r="AK232" i="19"/>
  <c r="AK224" i="19"/>
  <c r="AK219" i="19"/>
  <c r="AK323" i="19"/>
  <c r="AK321" i="19"/>
  <c r="AK326" i="19"/>
  <c r="AK163" i="19"/>
  <c r="AK325" i="19"/>
  <c r="AK152" i="19"/>
  <c r="AK138" i="19"/>
  <c r="AK230" i="19"/>
  <c r="AK211" i="19"/>
  <c r="AK233" i="19"/>
  <c r="AK216" i="19"/>
  <c r="AK229" i="19"/>
  <c r="AK158" i="19"/>
  <c r="AK320" i="19"/>
  <c r="AK316" i="19"/>
  <c r="AK151" i="19"/>
  <c r="AK143" i="19"/>
  <c r="AK157" i="19"/>
  <c r="AK160" i="19"/>
  <c r="AK165" i="19"/>
  <c r="AK314" i="19"/>
  <c r="AK231" i="19"/>
  <c r="AK222" i="19"/>
  <c r="AK225" i="19"/>
  <c r="AK210" i="19"/>
  <c r="AK318" i="19"/>
  <c r="AK164" i="19"/>
  <c r="AK209" i="19"/>
  <c r="AK215" i="19"/>
  <c r="AK324" i="19"/>
  <c r="AK166" i="19"/>
  <c r="AK155" i="19"/>
  <c r="AK145" i="19"/>
  <c r="AK146" i="19"/>
  <c r="AK220" i="19"/>
  <c r="AK214" i="19"/>
  <c r="AK208" i="19"/>
  <c r="AK156" i="19"/>
  <c r="AK227" i="19"/>
  <c r="AK223" i="19"/>
  <c r="AU369" i="19"/>
  <c r="AU370" i="19" s="1"/>
  <c r="AU402" i="19" s="1"/>
  <c r="X301" i="19"/>
  <c r="X82" i="19"/>
  <c r="X361" i="19" s="1"/>
  <c r="X196" i="19"/>
  <c r="X300" i="19"/>
  <c r="X195" i="19"/>
  <c r="X302" i="19"/>
  <c r="X103" i="19"/>
  <c r="X268" i="19"/>
  <c r="X110" i="19"/>
  <c r="W24" i="8"/>
  <c r="AW310" i="19"/>
  <c r="AW84" i="19"/>
  <c r="AQ395" i="19"/>
  <c r="AW104" i="19"/>
  <c r="AW339" i="19"/>
  <c r="AW204" i="19"/>
  <c r="AI295" i="19"/>
  <c r="AI183" i="19"/>
  <c r="AI299" i="19"/>
  <c r="AI62" i="19"/>
  <c r="AI61" i="19"/>
  <c r="AI50" i="19"/>
  <c r="AI56" i="19"/>
  <c r="AI70" i="19"/>
  <c r="AI25" i="19"/>
  <c r="AI45" i="19"/>
  <c r="AI194" i="19"/>
  <c r="AI182" i="19"/>
  <c r="AI181" i="19"/>
  <c r="AI281" i="19"/>
  <c r="AI286" i="19"/>
  <c r="AI178" i="19"/>
  <c r="AI68" i="19"/>
  <c r="AI57" i="19"/>
  <c r="AI46" i="19"/>
  <c r="AI55" i="19"/>
  <c r="AI51" i="19"/>
  <c r="AI348" i="19"/>
  <c r="AI67" i="19"/>
  <c r="AI16" i="19"/>
  <c r="AI193" i="19"/>
  <c r="AI192" i="19"/>
  <c r="AI184" i="19"/>
  <c r="AI298" i="19"/>
  <c r="AI296" i="19"/>
  <c r="AI283" i="19"/>
  <c r="AI59" i="19"/>
  <c r="AI60" i="19"/>
  <c r="AI18" i="19"/>
  <c r="AI52" i="19"/>
  <c r="AI49" i="19"/>
  <c r="AI241" i="19"/>
  <c r="AI24" i="19"/>
  <c r="AI179" i="19"/>
  <c r="AI333" i="19"/>
  <c r="AI71" i="19"/>
  <c r="AI69" i="19"/>
  <c r="AI297" i="19"/>
  <c r="AI17" i="19"/>
  <c r="AI287" i="19"/>
  <c r="AI58" i="19"/>
  <c r="AI53" i="19"/>
  <c r="AI228" i="19"/>
  <c r="BA387" i="19"/>
  <c r="AI322" i="19"/>
  <c r="AI285" i="19"/>
  <c r="AI282" i="19"/>
  <c r="AW73" i="19"/>
  <c r="X27" i="19"/>
  <c r="X29" i="19" s="1"/>
  <c r="X64" i="19"/>
  <c r="T303" i="19"/>
  <c r="T102" i="19"/>
  <c r="T346" i="19"/>
  <c r="T335" i="19"/>
  <c r="T197" i="19"/>
  <c r="R389" i="19"/>
  <c r="J64" i="8"/>
  <c r="L64" i="8" s="1"/>
  <c r="N64" i="8" s="1"/>
  <c r="R392" i="19" s="1"/>
  <c r="L21" i="8"/>
  <c r="N21" i="8" s="1"/>
  <c r="P21" i="8" s="1"/>
  <c r="R391" i="19" s="1"/>
  <c r="L388" i="19"/>
  <c r="H18" i="8"/>
  <c r="P27" i="4"/>
  <c r="F61" i="8"/>
  <c r="V183" i="19"/>
  <c r="V283" i="19"/>
  <c r="V299" i="19"/>
  <c r="V68" i="19"/>
  <c r="V56" i="19"/>
  <c r="V18" i="19"/>
  <c r="V51" i="19"/>
  <c r="V297" i="19"/>
  <c r="V298" i="19"/>
  <c r="V285" i="19"/>
  <c r="V62" i="19"/>
  <c r="V55" i="19"/>
  <c r="V49" i="19"/>
  <c r="V348" i="19"/>
  <c r="V70" i="19"/>
  <c r="V228" i="19"/>
  <c r="V181" i="19"/>
  <c r="V184" i="19"/>
  <c r="V287" i="19"/>
  <c r="V286" i="19"/>
  <c r="V59" i="19"/>
  <c r="V61" i="19"/>
  <c r="V53" i="19"/>
  <c r="V333" i="19"/>
  <c r="V24" i="19"/>
  <c r="V182" i="19"/>
  <c r="V46" i="19"/>
  <c r="V295" i="19"/>
  <c r="V282" i="19"/>
  <c r="V57" i="19"/>
  <c r="V60" i="19"/>
  <c r="V25" i="19"/>
  <c r="V52" i="19"/>
  <c r="V69" i="19"/>
  <c r="V45" i="19"/>
  <c r="V64" i="19" s="1"/>
  <c r="V179" i="19"/>
  <c r="V194" i="19"/>
  <c r="V281" i="19"/>
  <c r="V178" i="19"/>
  <c r="V17" i="19"/>
  <c r="V67" i="19"/>
  <c r="V16" i="19"/>
  <c r="V71" i="19"/>
  <c r="V296" i="19"/>
  <c r="V58" i="19"/>
  <c r="V50" i="19"/>
  <c r="V241" i="19"/>
  <c r="V192" i="19"/>
  <c r="V322" i="19"/>
  <c r="V193" i="19"/>
  <c r="L18" i="6"/>
  <c r="J26" i="6"/>
  <c r="AG259" i="19"/>
  <c r="V291" i="19"/>
  <c r="V187" i="19"/>
  <c r="V191" i="19"/>
  <c r="V289" i="19"/>
  <c r="V294" i="19"/>
  <c r="V337" i="19"/>
  <c r="V189" i="19"/>
  <c r="V290" i="19"/>
  <c r="V185" i="19"/>
  <c r="V190" i="19"/>
  <c r="V292" i="19"/>
  <c r="V36" i="19"/>
  <c r="V38" i="19" s="1"/>
  <c r="V40" i="19" s="1"/>
  <c r="V186" i="19"/>
  <c r="V288" i="19"/>
  <c r="V188" i="19"/>
  <c r="V293" i="19"/>
  <c r="AW201" i="19"/>
  <c r="AW305" i="19"/>
  <c r="AW306" i="19"/>
  <c r="AW336" i="19"/>
  <c r="AW199" i="19"/>
  <c r="AW200" i="19"/>
  <c r="AW307" i="19"/>
  <c r="BA389" i="19"/>
  <c r="AI21" i="19"/>
  <c r="AY64" i="19"/>
  <c r="AY75" i="19" s="1"/>
  <c r="AU371" i="19"/>
  <c r="AU372" i="19" s="1"/>
  <c r="AU403" i="19" s="1"/>
  <c r="X24" i="8"/>
  <c r="L387" i="19"/>
  <c r="M47" i="1"/>
  <c r="D18" i="8"/>
  <c r="S66" i="8"/>
  <c r="AW102" i="19"/>
  <c r="AW335" i="19"/>
  <c r="AW197" i="19"/>
  <c r="AW303" i="19"/>
  <c r="AW346" i="19"/>
  <c r="L132" i="19"/>
  <c r="AW64" i="19"/>
  <c r="AW27" i="19"/>
  <c r="AW29" i="19" s="1"/>
  <c r="X73" i="19"/>
  <c r="N303" i="19"/>
  <c r="N346" i="19"/>
  <c r="N102" i="19"/>
  <c r="N335" i="19"/>
  <c r="N197" i="19"/>
  <c r="T389" i="19"/>
  <c r="L22" i="8"/>
  <c r="N22" i="8" s="1"/>
  <c r="P22" i="8" s="1"/>
  <c r="T391" i="19" s="1"/>
  <c r="J65" i="8"/>
  <c r="L65" i="8" s="1"/>
  <c r="N65" i="8" s="1"/>
  <c r="T392" i="19" s="1"/>
  <c r="X363" i="19"/>
  <c r="T64" i="19"/>
  <c r="T75" i="19" s="1"/>
  <c r="R309" i="19"/>
  <c r="R308" i="19"/>
  <c r="R334" i="19"/>
  <c r="R203" i="19"/>
  <c r="R202" i="19"/>
  <c r="BA390" i="19"/>
  <c r="J44" i="7"/>
  <c r="N414" i="19" s="1"/>
  <c r="AG256" i="19"/>
  <c r="J375" i="19"/>
  <c r="J261" i="19"/>
  <c r="J275" i="19" s="1"/>
  <c r="V63" i="8"/>
  <c r="V66" i="8" s="1"/>
  <c r="U66" i="8"/>
  <c r="X289" i="19"/>
  <c r="X293" i="19"/>
  <c r="X185" i="19"/>
  <c r="X189" i="19"/>
  <c r="X290" i="19"/>
  <c r="X291" i="19"/>
  <c r="X36" i="19"/>
  <c r="X38" i="19" s="1"/>
  <c r="X40" i="19" s="1"/>
  <c r="X187" i="19"/>
  <c r="X288" i="19"/>
  <c r="X188" i="19"/>
  <c r="X292" i="19"/>
  <c r="X337" i="19"/>
  <c r="X190" i="19"/>
  <c r="X294" i="19"/>
  <c r="X186" i="19"/>
  <c r="X191" i="19"/>
  <c r="N62" i="8"/>
  <c r="N392" i="19" s="1"/>
  <c r="Y18" i="8"/>
  <c r="T24" i="8"/>
  <c r="AY363" i="19"/>
  <c r="AY364" i="19" s="1"/>
  <c r="AS132" i="19"/>
  <c r="Y60" i="8"/>
  <c r="T66" i="8"/>
  <c r="AM112" i="19"/>
  <c r="AM114" i="19" s="1"/>
  <c r="N183" i="19"/>
  <c r="N295" i="19"/>
  <c r="N296" i="19"/>
  <c r="N299" i="19"/>
  <c r="N62" i="19"/>
  <c r="N55" i="19"/>
  <c r="N58" i="19"/>
  <c r="N18" i="19"/>
  <c r="N51" i="19"/>
  <c r="N287" i="19"/>
  <c r="N282" i="19"/>
  <c r="N61" i="19"/>
  <c r="N56" i="19"/>
  <c r="N53" i="19"/>
  <c r="N49" i="19"/>
  <c r="N333" i="19"/>
  <c r="N70" i="19"/>
  <c r="N46" i="19"/>
  <c r="N286" i="19"/>
  <c r="N285" i="19"/>
  <c r="N68" i="19"/>
  <c r="N60" i="19"/>
  <c r="N25" i="19"/>
  <c r="N50" i="19"/>
  <c r="N69" i="19"/>
  <c r="N67" i="19"/>
  <c r="N24" i="19"/>
  <c r="N45" i="19"/>
  <c r="N178" i="19"/>
  <c r="N283" i="19"/>
  <c r="N322" i="19"/>
  <c r="N59" i="19"/>
  <c r="N17" i="19"/>
  <c r="N348" i="19"/>
  <c r="N228" i="19"/>
  <c r="N179" i="19"/>
  <c r="N71" i="19"/>
  <c r="N298" i="19"/>
  <c r="N52" i="19"/>
  <c r="N193" i="19"/>
  <c r="N182" i="19"/>
  <c r="N16" i="19"/>
  <c r="N241" i="19"/>
  <c r="N192" i="19"/>
  <c r="N281" i="19"/>
  <c r="N194" i="19"/>
  <c r="N181" i="19"/>
  <c r="N57" i="19"/>
  <c r="N184" i="19"/>
  <c r="N297" i="19"/>
  <c r="R268" i="19" l="1"/>
  <c r="R301" i="19"/>
  <c r="R110" i="19"/>
  <c r="R82" i="19"/>
  <c r="R361" i="19" s="1"/>
  <c r="R302" i="19"/>
  <c r="R195" i="19"/>
  <c r="R300" i="19"/>
  <c r="R103" i="19"/>
  <c r="R363" i="19" s="1"/>
  <c r="R196" i="19"/>
  <c r="AS365" i="19"/>
  <c r="AS366" i="19" s="1"/>
  <c r="AS400" i="19" s="1"/>
  <c r="AI64" i="19"/>
  <c r="X362" i="19"/>
  <c r="D24" i="11"/>
  <c r="AW301" i="19"/>
  <c r="AW110" i="19"/>
  <c r="AW196" i="19"/>
  <c r="AW268" i="19"/>
  <c r="AW302" i="19"/>
  <c r="AW82" i="19"/>
  <c r="AW361" i="19" s="1"/>
  <c r="AW362" i="19" s="1"/>
  <c r="AW396" i="19" s="1"/>
  <c r="AW103" i="19"/>
  <c r="AW300" i="19"/>
  <c r="AW195" i="19"/>
  <c r="L57" i="4"/>
  <c r="L413" i="19" s="1"/>
  <c r="R49" i="4"/>
  <c r="P268" i="19"/>
  <c r="P300" i="19"/>
  <c r="P103" i="19"/>
  <c r="P301" i="19"/>
  <c r="P82" i="19"/>
  <c r="P361" i="19" s="1"/>
  <c r="P110" i="19"/>
  <c r="P196" i="19"/>
  <c r="P195" i="19"/>
  <c r="P302" i="19"/>
  <c r="R64" i="19"/>
  <c r="V364" i="19"/>
  <c r="D68" i="11"/>
  <c r="P64" i="19"/>
  <c r="V362" i="19"/>
  <c r="D23" i="11"/>
  <c r="N64" i="19"/>
  <c r="N75" i="19" s="1"/>
  <c r="AM365" i="19"/>
  <c r="AM366" i="19" s="1"/>
  <c r="AM400" i="19" s="1"/>
  <c r="AG261" i="19"/>
  <c r="AG275" i="19" s="1"/>
  <c r="AG375" i="19"/>
  <c r="X364" i="19"/>
  <c r="D69" i="11"/>
  <c r="AW363" i="19"/>
  <c r="AW364" i="19" s="1"/>
  <c r="AW397" i="19" s="1"/>
  <c r="V21" i="19"/>
  <c r="H26" i="8"/>
  <c r="J18" i="8"/>
  <c r="J26" i="8" s="1"/>
  <c r="R307" i="19"/>
  <c r="R305" i="19"/>
  <c r="R336" i="19"/>
  <c r="R201" i="19"/>
  <c r="R199" i="19"/>
  <c r="R306" i="19"/>
  <c r="R200" i="19"/>
  <c r="AI27" i="19"/>
  <c r="AQ104" i="19"/>
  <c r="AQ363" i="19" s="1"/>
  <c r="AQ364" i="19" s="1"/>
  <c r="AQ397" i="19" s="1"/>
  <c r="AQ310" i="19"/>
  <c r="AQ339" i="19"/>
  <c r="AQ84" i="19"/>
  <c r="AQ361" i="19" s="1"/>
  <c r="AQ362" i="19" s="1"/>
  <c r="AQ396" i="19" s="1"/>
  <c r="AQ204" i="19"/>
  <c r="BA395" i="19"/>
  <c r="AK369" i="19"/>
  <c r="AK370" i="19" s="1"/>
  <c r="AK402" i="19" s="1"/>
  <c r="P336" i="19"/>
  <c r="P306" i="19"/>
  <c r="P305" i="19"/>
  <c r="P199" i="19"/>
  <c r="P200" i="19"/>
  <c r="P307" i="19"/>
  <c r="P201" i="19"/>
  <c r="P363" i="19"/>
  <c r="R27" i="19"/>
  <c r="R21" i="19"/>
  <c r="P21" i="19"/>
  <c r="P73" i="19"/>
  <c r="AO88" i="19"/>
  <c r="AO87" i="19"/>
  <c r="AO89" i="19"/>
  <c r="AO81" i="19"/>
  <c r="AO86" i="19"/>
  <c r="AO85" i="19"/>
  <c r="AO91" i="19"/>
  <c r="AO94" i="19"/>
  <c r="AO79" i="19"/>
  <c r="AO93" i="19"/>
  <c r="AO92" i="19"/>
  <c r="AO80" i="19"/>
  <c r="AO90" i="19"/>
  <c r="N288" i="19"/>
  <c r="N187" i="19"/>
  <c r="N36" i="19"/>
  <c r="N38" i="19" s="1"/>
  <c r="N40" i="19" s="1"/>
  <c r="N293" i="19"/>
  <c r="N292" i="19"/>
  <c r="N294" i="19"/>
  <c r="N337" i="19"/>
  <c r="N186" i="19"/>
  <c r="N191" i="19"/>
  <c r="N290" i="19"/>
  <c r="N185" i="19"/>
  <c r="N190" i="19"/>
  <c r="N291" i="19"/>
  <c r="N188" i="19"/>
  <c r="N189" i="19"/>
  <c r="N289" i="19"/>
  <c r="AU349" i="19"/>
  <c r="AU279" i="19"/>
  <c r="AU345" i="19"/>
  <c r="AU280" i="19"/>
  <c r="AU343" i="19"/>
  <c r="AU177" i="19"/>
  <c r="AU236" i="19" s="1"/>
  <c r="AU278" i="19"/>
  <c r="AU344" i="19"/>
  <c r="AU332" i="19"/>
  <c r="L26" i="6"/>
  <c r="L414" i="19" s="1"/>
  <c r="R18" i="6"/>
  <c r="N27" i="19"/>
  <c r="T300" i="19"/>
  <c r="T82" i="19"/>
  <c r="T361" i="19" s="1"/>
  <c r="T110" i="19"/>
  <c r="T103" i="19"/>
  <c r="T363" i="19" s="1"/>
  <c r="T302" i="19"/>
  <c r="T196" i="19"/>
  <c r="T268" i="19"/>
  <c r="T195" i="19"/>
  <c r="T301" i="19"/>
  <c r="L18" i="19"/>
  <c r="L25" i="19"/>
  <c r="L45" i="19"/>
  <c r="L49" i="19"/>
  <c r="L53" i="19"/>
  <c r="L57" i="19"/>
  <c r="L61" i="19"/>
  <c r="L68" i="19"/>
  <c r="L283" i="19"/>
  <c r="L287" i="19"/>
  <c r="L295" i="19"/>
  <c r="L299" i="19"/>
  <c r="L178" i="19"/>
  <c r="L182" i="19"/>
  <c r="L194" i="19"/>
  <c r="L46" i="19"/>
  <c r="L50" i="19"/>
  <c r="L58" i="19"/>
  <c r="L62" i="19"/>
  <c r="L69" i="19"/>
  <c r="L296" i="19"/>
  <c r="L179" i="19"/>
  <c r="L183" i="19"/>
  <c r="L228" i="19"/>
  <c r="L16" i="19"/>
  <c r="L51" i="19"/>
  <c r="L55" i="19"/>
  <c r="L59" i="19"/>
  <c r="L70" i="19"/>
  <c r="L281" i="19"/>
  <c r="L285" i="19"/>
  <c r="L297" i="19"/>
  <c r="L322" i="19"/>
  <c r="L184" i="19"/>
  <c r="L192" i="19"/>
  <c r="L17" i="19"/>
  <c r="L67" i="19"/>
  <c r="L282" i="19"/>
  <c r="L298" i="19"/>
  <c r="L333" i="19"/>
  <c r="L193" i="19"/>
  <c r="L24" i="19"/>
  <c r="L52" i="19"/>
  <c r="L71" i="19"/>
  <c r="L286" i="19"/>
  <c r="L181" i="19"/>
  <c r="L56" i="19"/>
  <c r="L60" i="19"/>
  <c r="L241" i="19"/>
  <c r="L348" i="19"/>
  <c r="Z387" i="19"/>
  <c r="AA387" i="19" s="1"/>
  <c r="AI29" i="19"/>
  <c r="V73" i="19"/>
  <c r="V27" i="19"/>
  <c r="L308" i="19"/>
  <c r="L334" i="19"/>
  <c r="L203" i="19"/>
  <c r="L309" i="19"/>
  <c r="L202" i="19"/>
  <c r="Z388" i="19"/>
  <c r="AA388" i="19" s="1"/>
  <c r="AW75" i="19"/>
  <c r="AU148" i="19"/>
  <c r="AU149" i="19"/>
  <c r="AU162" i="19"/>
  <c r="AU141" i="19"/>
  <c r="AU161" i="19"/>
  <c r="AU246" i="19"/>
  <c r="R73" i="19"/>
  <c r="AO108" i="19"/>
  <c r="AO107" i="19"/>
  <c r="AO100" i="19"/>
  <c r="AO109" i="19"/>
  <c r="AO101" i="19"/>
  <c r="N306" i="19"/>
  <c r="N305" i="19"/>
  <c r="N336" i="19"/>
  <c r="N199" i="19"/>
  <c r="N201" i="19"/>
  <c r="N307" i="19"/>
  <c r="N200" i="19"/>
  <c r="N301" i="19"/>
  <c r="N110" i="19"/>
  <c r="N82" i="19"/>
  <c r="N361" i="19" s="1"/>
  <c r="N302" i="19"/>
  <c r="N103" i="19"/>
  <c r="N196" i="19"/>
  <c r="N195" i="19"/>
  <c r="N268" i="19"/>
  <c r="N300" i="19"/>
  <c r="T307" i="19"/>
  <c r="T336" i="19"/>
  <c r="T199" i="19"/>
  <c r="T306" i="19"/>
  <c r="T305" i="19"/>
  <c r="T201" i="19"/>
  <c r="T200" i="19"/>
  <c r="D26" i="8"/>
  <c r="F18" i="8"/>
  <c r="F26" i="8" s="1"/>
  <c r="V75" i="19"/>
  <c r="N21" i="19"/>
  <c r="N29" i="19" s="1"/>
  <c r="N73" i="19"/>
  <c r="AI392" i="19"/>
  <c r="Y66" i="8"/>
  <c r="AI391" i="19"/>
  <c r="Y24" i="8"/>
  <c r="T293" i="19"/>
  <c r="T288" i="19"/>
  <c r="T187" i="19"/>
  <c r="T290" i="19"/>
  <c r="T292" i="19"/>
  <c r="T36" i="19"/>
  <c r="T38" i="19" s="1"/>
  <c r="T40" i="19" s="1"/>
  <c r="T337" i="19"/>
  <c r="T289" i="19"/>
  <c r="T188" i="19"/>
  <c r="T294" i="19"/>
  <c r="T191" i="19"/>
  <c r="T291" i="19"/>
  <c r="T190" i="19"/>
  <c r="T186" i="19"/>
  <c r="T189" i="19"/>
  <c r="T185" i="19"/>
  <c r="N363" i="19"/>
  <c r="F69" i="8"/>
  <c r="H61" i="8"/>
  <c r="R187" i="19"/>
  <c r="R289" i="19"/>
  <c r="R288" i="19"/>
  <c r="R188" i="19"/>
  <c r="R36" i="19"/>
  <c r="R38" i="19" s="1"/>
  <c r="R40" i="19" s="1"/>
  <c r="R294" i="19"/>
  <c r="R290" i="19"/>
  <c r="R337" i="19"/>
  <c r="R291" i="19"/>
  <c r="R190" i="19"/>
  <c r="R185" i="19"/>
  <c r="R186" i="19"/>
  <c r="R293" i="19"/>
  <c r="R189" i="19"/>
  <c r="R292" i="19"/>
  <c r="R191" i="19"/>
  <c r="X75" i="19"/>
  <c r="AI73" i="19"/>
  <c r="AI75" i="19" s="1"/>
  <c r="AK371" i="19"/>
  <c r="AK372" i="19" s="1"/>
  <c r="AK403" i="19" s="1"/>
  <c r="P293" i="19"/>
  <c r="P290" i="19"/>
  <c r="P187" i="19"/>
  <c r="P291" i="19"/>
  <c r="P289" i="19"/>
  <c r="P36" i="19"/>
  <c r="P38" i="19" s="1"/>
  <c r="P40" i="19" s="1"/>
  <c r="P294" i="19"/>
  <c r="P292" i="19"/>
  <c r="P189" i="19"/>
  <c r="P337" i="19"/>
  <c r="P191" i="19"/>
  <c r="P185" i="19"/>
  <c r="P288" i="19"/>
  <c r="P188" i="19"/>
  <c r="P186" i="19"/>
  <c r="P190" i="19"/>
  <c r="P27" i="19"/>
  <c r="T364" i="19" l="1"/>
  <c r="D67" i="11"/>
  <c r="R364" i="19"/>
  <c r="D66" i="11"/>
  <c r="AQ107" i="19"/>
  <c r="AQ108" i="19"/>
  <c r="AQ109" i="19"/>
  <c r="AQ100" i="19"/>
  <c r="AQ112" i="19" s="1"/>
  <c r="AQ101" i="19"/>
  <c r="N364" i="19"/>
  <c r="D64" i="11"/>
  <c r="AI302" i="19"/>
  <c r="AI110" i="19"/>
  <c r="AI268" i="19"/>
  <c r="AI301" i="19"/>
  <c r="AI103" i="19"/>
  <c r="AI363" i="19" s="1"/>
  <c r="AI195" i="19"/>
  <c r="AI196" i="19"/>
  <c r="AI300" i="19"/>
  <c r="AI82" i="19"/>
  <c r="AI361" i="19" s="1"/>
  <c r="BA392" i="19"/>
  <c r="N362" i="19"/>
  <c r="D19" i="11"/>
  <c r="L64" i="19"/>
  <c r="P29" i="19"/>
  <c r="P364" i="19"/>
  <c r="D65" i="11"/>
  <c r="AK162" i="19"/>
  <c r="AK161" i="19"/>
  <c r="AK149" i="19"/>
  <c r="AK141" i="19"/>
  <c r="AK148" i="19"/>
  <c r="AK246" i="19"/>
  <c r="AQ81" i="19"/>
  <c r="AQ90" i="19"/>
  <c r="AQ89" i="19"/>
  <c r="AQ88" i="19"/>
  <c r="AQ87" i="19"/>
  <c r="AQ94" i="19"/>
  <c r="AQ79" i="19"/>
  <c r="AQ93" i="19"/>
  <c r="AQ92" i="19"/>
  <c r="AQ80" i="19"/>
  <c r="AQ86" i="19"/>
  <c r="AQ85" i="19"/>
  <c r="AQ91" i="19"/>
  <c r="X397" i="19"/>
  <c r="F69" i="11"/>
  <c r="AY397" i="19" s="1"/>
  <c r="L389" i="19"/>
  <c r="R57" i="4"/>
  <c r="J61" i="8"/>
  <c r="L18" i="8"/>
  <c r="X396" i="19"/>
  <c r="F24" i="11"/>
  <c r="AY396" i="19" s="1"/>
  <c r="AK349" i="19"/>
  <c r="AK343" i="19"/>
  <c r="AK279" i="19"/>
  <c r="AK344" i="19"/>
  <c r="AK177" i="19"/>
  <c r="AK236" i="19" s="1"/>
  <c r="AK278" i="19"/>
  <c r="AK280" i="19"/>
  <c r="AK345" i="19"/>
  <c r="AK332" i="19"/>
  <c r="P362" i="19"/>
  <c r="D20" i="11"/>
  <c r="L27" i="19"/>
  <c r="R29" i="19"/>
  <c r="V29" i="19"/>
  <c r="AM320" i="19"/>
  <c r="AM324" i="19"/>
  <c r="AM145" i="19"/>
  <c r="AM153" i="19"/>
  <c r="AM163" i="19"/>
  <c r="AM326" i="19"/>
  <c r="AM144" i="19"/>
  <c r="AM214" i="19"/>
  <c r="AM209" i="19"/>
  <c r="AM215" i="19"/>
  <c r="AM227" i="19"/>
  <c r="AM223" i="19"/>
  <c r="AM219" i="19"/>
  <c r="AM158" i="19"/>
  <c r="AM341" i="19"/>
  <c r="AM323" i="19"/>
  <c r="AM325" i="19"/>
  <c r="AM160" i="19"/>
  <c r="AM155" i="19"/>
  <c r="AM146" i="19"/>
  <c r="AM143" i="19"/>
  <c r="AM137" i="19"/>
  <c r="AM314" i="19"/>
  <c r="AM231" i="19"/>
  <c r="AM211" i="19"/>
  <c r="AM213" i="19"/>
  <c r="AM234" i="19"/>
  <c r="AM217" i="19"/>
  <c r="AM212" i="19"/>
  <c r="AM232" i="19"/>
  <c r="AM318" i="19"/>
  <c r="AM319" i="19"/>
  <c r="AM321" i="19"/>
  <c r="AM152" i="19"/>
  <c r="AM147" i="19"/>
  <c r="AM151" i="19"/>
  <c r="AM154" i="19"/>
  <c r="AM156" i="19"/>
  <c r="AM225" i="19"/>
  <c r="AM226" i="19"/>
  <c r="AM208" i="19"/>
  <c r="AM216" i="19"/>
  <c r="AM229" i="19"/>
  <c r="AM224" i="19"/>
  <c r="AM220" i="19"/>
  <c r="AM315" i="19"/>
  <c r="AM164" i="19"/>
  <c r="AM230" i="19"/>
  <c r="AM165" i="19"/>
  <c r="AM166" i="19"/>
  <c r="AM210" i="19"/>
  <c r="AM138" i="19"/>
  <c r="AM221" i="19"/>
  <c r="AM316" i="19"/>
  <c r="AM157" i="19"/>
  <c r="AM222" i="19"/>
  <c r="AM233" i="19"/>
  <c r="V397" i="19"/>
  <c r="F68" i="11"/>
  <c r="AW86" i="19"/>
  <c r="AW90" i="19"/>
  <c r="AW94" i="19"/>
  <c r="AW80" i="19"/>
  <c r="AW87" i="19"/>
  <c r="AW91" i="19"/>
  <c r="AW79" i="19"/>
  <c r="AW81" i="19"/>
  <c r="AW88" i="19"/>
  <c r="AW92" i="19"/>
  <c r="AW85" i="19"/>
  <c r="AW89" i="19"/>
  <c r="AW93" i="19"/>
  <c r="AS318" i="19"/>
  <c r="AS320" i="19"/>
  <c r="AS324" i="19"/>
  <c r="AS164" i="19"/>
  <c r="AS152" i="19"/>
  <c r="AS156" i="19"/>
  <c r="AS143" i="19"/>
  <c r="AS326" i="19"/>
  <c r="AS211" i="19"/>
  <c r="AS210" i="19"/>
  <c r="AS229" i="19"/>
  <c r="AS220" i="19"/>
  <c r="AS341" i="19"/>
  <c r="AS321" i="19"/>
  <c r="AS153" i="19"/>
  <c r="AS155" i="19"/>
  <c r="AS165" i="19"/>
  <c r="AS145" i="19"/>
  <c r="AS166" i="19"/>
  <c r="AS221" i="19"/>
  <c r="AS214" i="19"/>
  <c r="AS222" i="19"/>
  <c r="AS225" i="19"/>
  <c r="AS217" i="19"/>
  <c r="AS223" i="19"/>
  <c r="AS224" i="19"/>
  <c r="AS323" i="19"/>
  <c r="AS316" i="19"/>
  <c r="AS160" i="19"/>
  <c r="AS138" i="19"/>
  <c r="AS163" i="19"/>
  <c r="AS157" i="19"/>
  <c r="AS147" i="19"/>
  <c r="AS209" i="19"/>
  <c r="AS215" i="19"/>
  <c r="AS227" i="19"/>
  <c r="AS230" i="19"/>
  <c r="AS226" i="19"/>
  <c r="AS234" i="19"/>
  <c r="AS208" i="19"/>
  <c r="AS233" i="19"/>
  <c r="AS232" i="19"/>
  <c r="AS319" i="19"/>
  <c r="AS144" i="19"/>
  <c r="AS219" i="19"/>
  <c r="AS315" i="19"/>
  <c r="AS146" i="19"/>
  <c r="AS314" i="19"/>
  <c r="AS216" i="19"/>
  <c r="AS154" i="19"/>
  <c r="AS325" i="19"/>
  <c r="AS137" i="19"/>
  <c r="AS231" i="19"/>
  <c r="AS212" i="19"/>
  <c r="AS158" i="19"/>
  <c r="AS213" i="19"/>
  <c r="AS151" i="19"/>
  <c r="P75" i="19"/>
  <c r="R362" i="19"/>
  <c r="D21" i="11"/>
  <c r="H69" i="8"/>
  <c r="AI293" i="19"/>
  <c r="AI289" i="19"/>
  <c r="AI36" i="19"/>
  <c r="AI38" i="19" s="1"/>
  <c r="AI40" i="19" s="1"/>
  <c r="AI186" i="19"/>
  <c r="AI290" i="19"/>
  <c r="AI292" i="19"/>
  <c r="AI291" i="19"/>
  <c r="AI294" i="19"/>
  <c r="AI190" i="19"/>
  <c r="AI188" i="19"/>
  <c r="AI187" i="19"/>
  <c r="AI189" i="19"/>
  <c r="AI185" i="19"/>
  <c r="BA391" i="19"/>
  <c r="AI337" i="19"/>
  <c r="AI191" i="19"/>
  <c r="AI288" i="19"/>
  <c r="AO112" i="19"/>
  <c r="L73" i="19"/>
  <c r="L21" i="19"/>
  <c r="L29" i="19" s="1"/>
  <c r="T362" i="19"/>
  <c r="D22" i="11"/>
  <c r="L390" i="19"/>
  <c r="R26" i="6"/>
  <c r="AU329" i="19"/>
  <c r="AO96" i="19"/>
  <c r="AW109" i="19"/>
  <c r="AW107" i="19"/>
  <c r="AW108" i="19"/>
  <c r="AW100" i="19"/>
  <c r="AW101" i="19"/>
  <c r="V396" i="19"/>
  <c r="F23" i="11"/>
  <c r="R75" i="19"/>
  <c r="AI362" i="19" l="1"/>
  <c r="BA361" i="19"/>
  <c r="T396" i="19"/>
  <c r="F22" i="11"/>
  <c r="AO114" i="19"/>
  <c r="AS369" i="19"/>
  <c r="AS370" i="19" s="1"/>
  <c r="AS402" i="19" s="1"/>
  <c r="AS371" i="19"/>
  <c r="AS372" i="19" s="1"/>
  <c r="AS403" i="19" s="1"/>
  <c r="X80" i="19"/>
  <c r="X87" i="19"/>
  <c r="X91" i="19"/>
  <c r="X79" i="19"/>
  <c r="X88" i="19"/>
  <c r="X93" i="19"/>
  <c r="X81" i="19"/>
  <c r="X89" i="19"/>
  <c r="X94" i="19"/>
  <c r="X85" i="19"/>
  <c r="X90" i="19"/>
  <c r="X86" i="19"/>
  <c r="X92" i="19"/>
  <c r="L199" i="19"/>
  <c r="L305" i="19"/>
  <c r="L200" i="19"/>
  <c r="L306" i="19"/>
  <c r="L336" i="19"/>
  <c r="L201" i="19"/>
  <c r="L307" i="19"/>
  <c r="Z389" i="19"/>
  <c r="AA389" i="19" s="1"/>
  <c r="P396" i="19"/>
  <c r="F20" i="11"/>
  <c r="AY81" i="19"/>
  <c r="AY88" i="19"/>
  <c r="AY92" i="19"/>
  <c r="AY85" i="19"/>
  <c r="AY89" i="19"/>
  <c r="AY93" i="19"/>
  <c r="AY86" i="19"/>
  <c r="AY90" i="19"/>
  <c r="AY94" i="19"/>
  <c r="AY79" i="19"/>
  <c r="AY80" i="19"/>
  <c r="AY87" i="19"/>
  <c r="AY91" i="19"/>
  <c r="P397" i="19"/>
  <c r="F65" i="11"/>
  <c r="AI364" i="19"/>
  <c r="BA363" i="19"/>
  <c r="AW112" i="19"/>
  <c r="AW114" i="19" s="1"/>
  <c r="R396" i="19"/>
  <c r="F21" i="11"/>
  <c r="AM371" i="19"/>
  <c r="AM372" i="19" s="1"/>
  <c r="AM403" i="19" s="1"/>
  <c r="L26" i="8"/>
  <c r="N18" i="8"/>
  <c r="AY108" i="19"/>
  <c r="AY109" i="19"/>
  <c r="AY100" i="19"/>
  <c r="AY112" i="19" s="1"/>
  <c r="AY101" i="19"/>
  <c r="AY107" i="19"/>
  <c r="AQ96" i="19"/>
  <c r="AQ114" i="19" s="1"/>
  <c r="N396" i="19"/>
  <c r="F19" i="11"/>
  <c r="N397" i="19"/>
  <c r="F64" i="11"/>
  <c r="V85" i="19"/>
  <c r="V89" i="19"/>
  <c r="V93" i="19"/>
  <c r="V81" i="19"/>
  <c r="V90" i="19"/>
  <c r="V79" i="19"/>
  <c r="V86" i="19"/>
  <c r="V91" i="19"/>
  <c r="V87" i="19"/>
  <c r="V92" i="19"/>
  <c r="V80" i="19"/>
  <c r="V88" i="19"/>
  <c r="V94" i="19"/>
  <c r="R397" i="19"/>
  <c r="F66" i="11"/>
  <c r="L303" i="19"/>
  <c r="L335" i="19"/>
  <c r="L102" i="19"/>
  <c r="L197" i="19"/>
  <c r="L346" i="19"/>
  <c r="Z390" i="19"/>
  <c r="AA390" i="19" s="1"/>
  <c r="AW96" i="19"/>
  <c r="V108" i="19"/>
  <c r="V100" i="19"/>
  <c r="V112" i="19" s="1"/>
  <c r="V101" i="19"/>
  <c r="V107" i="19"/>
  <c r="V109" i="19"/>
  <c r="AM369" i="19"/>
  <c r="AM370" i="19" s="1"/>
  <c r="AM402" i="19" s="1"/>
  <c r="AK329" i="19"/>
  <c r="J69" i="8"/>
  <c r="L61" i="8"/>
  <c r="X101" i="19"/>
  <c r="X108" i="19"/>
  <c r="X109" i="19"/>
  <c r="X107" i="19"/>
  <c r="X100" i="19"/>
  <c r="X112" i="19" s="1"/>
  <c r="L75" i="19"/>
  <c r="T397" i="19"/>
  <c r="F67" i="11"/>
  <c r="AQ365" i="19" l="1"/>
  <c r="AQ366" i="19" s="1"/>
  <c r="AQ400" i="19" s="1"/>
  <c r="L416" i="19"/>
  <c r="AS149" i="19"/>
  <c r="AS141" i="19"/>
  <c r="AS161" i="19"/>
  <c r="AS148" i="19"/>
  <c r="AS246" i="19"/>
  <c r="AS162" i="19"/>
  <c r="T93" i="19"/>
  <c r="T86" i="19"/>
  <c r="T90" i="19"/>
  <c r="T80" i="19"/>
  <c r="T87" i="19"/>
  <c r="T92" i="19"/>
  <c r="T79" i="19"/>
  <c r="T81" i="19"/>
  <c r="T88" i="19"/>
  <c r="T94" i="19"/>
  <c r="T85" i="19"/>
  <c r="T89" i="19"/>
  <c r="T91" i="19"/>
  <c r="AI396" i="19"/>
  <c r="BA362" i="19"/>
  <c r="T109" i="19"/>
  <c r="T107" i="19"/>
  <c r="T101" i="19"/>
  <c r="T100" i="19"/>
  <c r="T112" i="19" s="1"/>
  <c r="T108" i="19"/>
  <c r="L69" i="8"/>
  <c r="N61" i="8"/>
  <c r="R107" i="19"/>
  <c r="R109" i="19"/>
  <c r="R108" i="19"/>
  <c r="R100" i="19"/>
  <c r="R101" i="19"/>
  <c r="N108" i="19"/>
  <c r="N101" i="19"/>
  <c r="N100" i="19"/>
  <c r="N109" i="19"/>
  <c r="N107" i="19"/>
  <c r="AM343" i="19"/>
  <c r="AM279" i="19"/>
  <c r="AM345" i="19"/>
  <c r="AM280" i="19"/>
  <c r="AM349" i="19"/>
  <c r="AM278" i="19"/>
  <c r="AM329" i="19" s="1"/>
  <c r="AM344" i="19"/>
  <c r="AM177" i="19"/>
  <c r="AM236" i="19" s="1"/>
  <c r="AM332" i="19"/>
  <c r="P109" i="19"/>
  <c r="P100" i="19"/>
  <c r="P112" i="19" s="1"/>
  <c r="P107" i="19"/>
  <c r="P108" i="19"/>
  <c r="P101" i="19"/>
  <c r="AY96" i="19"/>
  <c r="AY114" i="19" s="1"/>
  <c r="AW365" i="19"/>
  <c r="AW366" i="19" s="1"/>
  <c r="AW400" i="19" s="1"/>
  <c r="P90" i="19"/>
  <c r="P94" i="19"/>
  <c r="P89" i="19"/>
  <c r="P80" i="19"/>
  <c r="P91" i="19"/>
  <c r="P86" i="19"/>
  <c r="P81" i="19"/>
  <c r="P92" i="19"/>
  <c r="P88" i="19"/>
  <c r="P79" i="19"/>
  <c r="P87" i="19"/>
  <c r="P85" i="19"/>
  <c r="P93" i="19"/>
  <c r="V96" i="19"/>
  <c r="V114" i="19" s="1"/>
  <c r="X96" i="19"/>
  <c r="X114" i="19" s="1"/>
  <c r="AO365" i="19"/>
  <c r="AO366" i="19" s="1"/>
  <c r="AO400" i="19" s="1"/>
  <c r="AM162" i="19"/>
  <c r="AM148" i="19"/>
  <c r="AM141" i="19"/>
  <c r="AM161" i="19"/>
  <c r="AM149" i="19"/>
  <c r="AM246" i="19"/>
  <c r="N80" i="19"/>
  <c r="N87" i="19"/>
  <c r="N92" i="19"/>
  <c r="N81" i="19"/>
  <c r="N88" i="19"/>
  <c r="N94" i="19"/>
  <c r="N85" i="19"/>
  <c r="N89" i="19"/>
  <c r="N91" i="19"/>
  <c r="N86" i="19"/>
  <c r="N90" i="19"/>
  <c r="N93" i="19"/>
  <c r="N79" i="19"/>
  <c r="P18" i="8"/>
  <c r="N26" i="8"/>
  <c r="L415" i="19" s="1"/>
  <c r="R89" i="19"/>
  <c r="R93" i="19"/>
  <c r="R85" i="19"/>
  <c r="R79" i="19"/>
  <c r="R86" i="19"/>
  <c r="R90" i="19"/>
  <c r="R94" i="19"/>
  <c r="R87" i="19"/>
  <c r="R91" i="19"/>
  <c r="R81" i="19"/>
  <c r="R80" i="19"/>
  <c r="R88" i="19"/>
  <c r="R92" i="19"/>
  <c r="AI397" i="19"/>
  <c r="BA364" i="19"/>
  <c r="AS280" i="19"/>
  <c r="AS344" i="19"/>
  <c r="AS349" i="19"/>
  <c r="AS345" i="19"/>
  <c r="AS177" i="19"/>
  <c r="AS236" i="19" s="1"/>
  <c r="AS343" i="19"/>
  <c r="AS278" i="19"/>
  <c r="AS279" i="19"/>
  <c r="AS332" i="19"/>
  <c r="X365" i="19" l="1"/>
  <c r="V365" i="19"/>
  <c r="AY365" i="19"/>
  <c r="AY366" i="19" s="1"/>
  <c r="AY400" i="19" s="1"/>
  <c r="AS329" i="19"/>
  <c r="AI109" i="19"/>
  <c r="AI107" i="19"/>
  <c r="AI100" i="19"/>
  <c r="AI108" i="19"/>
  <c r="BA397" i="19"/>
  <c r="AI101" i="19"/>
  <c r="N96" i="19"/>
  <c r="P96" i="19"/>
  <c r="N112" i="19"/>
  <c r="N114" i="19" s="1"/>
  <c r="R112" i="19"/>
  <c r="L392" i="19"/>
  <c r="N69" i="8"/>
  <c r="AI88" i="19"/>
  <c r="AI93" i="19"/>
  <c r="AI89" i="19"/>
  <c r="AI79" i="19"/>
  <c r="AI81" i="19"/>
  <c r="AI87" i="19"/>
  <c r="AI85" i="19"/>
  <c r="AI80" i="19"/>
  <c r="AI86" i="19"/>
  <c r="AI94" i="19"/>
  <c r="AI92" i="19"/>
  <c r="AI91" i="19"/>
  <c r="AI90" i="19"/>
  <c r="BA396" i="19"/>
  <c r="L391" i="19"/>
  <c r="P26" i="8"/>
  <c r="T96" i="19"/>
  <c r="T114" i="19" s="1"/>
  <c r="P114" i="19"/>
  <c r="R96" i="19"/>
  <c r="AO318" i="19"/>
  <c r="AO316" i="19"/>
  <c r="AO315" i="19"/>
  <c r="AO157" i="19"/>
  <c r="AO163" i="19"/>
  <c r="AO166" i="19"/>
  <c r="AO154" i="19"/>
  <c r="AO138" i="19"/>
  <c r="AO221" i="19"/>
  <c r="AO222" i="19"/>
  <c r="AO225" i="19"/>
  <c r="AO230" i="19"/>
  <c r="AO208" i="19"/>
  <c r="AO216" i="19"/>
  <c r="AO319" i="19"/>
  <c r="AO321" i="19"/>
  <c r="AO152" i="19"/>
  <c r="AO146" i="19"/>
  <c r="AO325" i="19"/>
  <c r="AO326" i="19"/>
  <c r="AO155" i="19"/>
  <c r="AO209" i="19"/>
  <c r="AO215" i="19"/>
  <c r="AO210" i="19"/>
  <c r="AO233" i="19"/>
  <c r="AO219" i="19"/>
  <c r="AO323" i="19"/>
  <c r="AO320" i="19"/>
  <c r="AO153" i="19"/>
  <c r="AO143" i="19"/>
  <c r="AO151" i="19"/>
  <c r="AO144" i="19"/>
  <c r="AO147" i="19"/>
  <c r="AO314" i="19"/>
  <c r="AO371" i="19" s="1"/>
  <c r="AO372" i="19" s="1"/>
  <c r="AO403" i="19" s="1"/>
  <c r="AO137" i="19"/>
  <c r="AO214" i="19"/>
  <c r="AO211" i="19"/>
  <c r="AO217" i="19"/>
  <c r="AO212" i="19"/>
  <c r="AO223" i="19"/>
  <c r="AO224" i="19"/>
  <c r="AO158" i="19"/>
  <c r="AO160" i="19"/>
  <c r="AO213" i="19"/>
  <c r="AO232" i="19"/>
  <c r="AO229" i="19"/>
  <c r="AO145" i="19"/>
  <c r="AO231" i="19"/>
  <c r="AO234" i="19"/>
  <c r="AO341" i="19"/>
  <c r="AO164" i="19"/>
  <c r="AO156" i="19"/>
  <c r="AO227" i="19"/>
  <c r="AO226" i="19"/>
  <c r="AO220" i="19"/>
  <c r="AO324" i="19"/>
  <c r="AO165" i="19"/>
  <c r="AW315" i="19"/>
  <c r="AW320" i="19"/>
  <c r="AW325" i="19"/>
  <c r="AW137" i="19"/>
  <c r="AW146" i="19"/>
  <c r="AW151" i="19"/>
  <c r="AW155" i="19"/>
  <c r="AW160" i="19"/>
  <c r="AW164" i="19"/>
  <c r="AW209" i="19"/>
  <c r="AW213" i="19"/>
  <c r="AW217" i="19"/>
  <c r="AW222" i="19"/>
  <c r="AW226" i="19"/>
  <c r="AW231" i="19"/>
  <c r="AW314" i="19"/>
  <c r="AW316" i="19"/>
  <c r="AW321" i="19"/>
  <c r="AW326" i="19"/>
  <c r="AW143" i="19"/>
  <c r="AW147" i="19"/>
  <c r="AW152" i="19"/>
  <c r="AW156" i="19"/>
  <c r="AW165" i="19"/>
  <c r="AW210" i="19"/>
  <c r="AW214" i="19"/>
  <c r="AW219" i="19"/>
  <c r="AW223" i="19"/>
  <c r="AW227" i="19"/>
  <c r="AW232" i="19"/>
  <c r="AW318" i="19"/>
  <c r="AW323" i="19"/>
  <c r="AW341" i="19"/>
  <c r="AW144" i="19"/>
  <c r="AW153" i="19"/>
  <c r="AW157" i="19"/>
  <c r="AW166" i="19"/>
  <c r="AW211" i="19"/>
  <c r="AW215" i="19"/>
  <c r="AW220" i="19"/>
  <c r="AW224" i="19"/>
  <c r="AW229" i="19"/>
  <c r="AW233" i="19"/>
  <c r="AW324" i="19"/>
  <c r="AW208" i="19"/>
  <c r="AW225" i="19"/>
  <c r="AW138" i="19"/>
  <c r="AW154" i="19"/>
  <c r="AW212" i="19"/>
  <c r="AW230" i="19"/>
  <c r="AW158" i="19"/>
  <c r="AW216" i="19"/>
  <c r="AW234" i="19"/>
  <c r="AW145" i="19"/>
  <c r="AW163" i="19"/>
  <c r="AW221" i="19"/>
  <c r="AW319" i="19"/>
  <c r="AQ158" i="19"/>
  <c r="AQ323" i="19"/>
  <c r="AQ316" i="19"/>
  <c r="AQ164" i="19"/>
  <c r="AQ157" i="19"/>
  <c r="AQ325" i="19"/>
  <c r="AQ155" i="19"/>
  <c r="AQ156" i="19"/>
  <c r="AQ231" i="19"/>
  <c r="AQ222" i="19"/>
  <c r="AQ230" i="19"/>
  <c r="AQ234" i="19"/>
  <c r="AQ212" i="19"/>
  <c r="AQ233" i="19"/>
  <c r="AQ223" i="19"/>
  <c r="AQ318" i="19"/>
  <c r="AQ324" i="19"/>
  <c r="AQ315" i="19"/>
  <c r="AQ326" i="19"/>
  <c r="AQ151" i="19"/>
  <c r="AQ160" i="19"/>
  <c r="AQ165" i="19"/>
  <c r="AQ143" i="19"/>
  <c r="AQ137" i="19"/>
  <c r="AQ214" i="19"/>
  <c r="AQ215" i="19"/>
  <c r="AQ227" i="19"/>
  <c r="AQ226" i="19"/>
  <c r="AQ208" i="19"/>
  <c r="AQ229" i="19"/>
  <c r="AQ220" i="19"/>
  <c r="AQ341" i="19"/>
  <c r="AQ320" i="19"/>
  <c r="AQ166" i="19"/>
  <c r="AQ146" i="19"/>
  <c r="AQ145" i="19"/>
  <c r="AQ138" i="19"/>
  <c r="AQ153" i="19"/>
  <c r="AQ314" i="19"/>
  <c r="AQ221" i="19"/>
  <c r="AQ209" i="19"/>
  <c r="AQ213" i="19"/>
  <c r="AQ232" i="19"/>
  <c r="AQ219" i="19"/>
  <c r="AQ154" i="19"/>
  <c r="AQ210" i="19"/>
  <c r="AQ319" i="19"/>
  <c r="AQ152" i="19"/>
  <c r="AQ225" i="19"/>
  <c r="AQ211" i="19"/>
  <c r="AQ224" i="19"/>
  <c r="AQ321" i="19"/>
  <c r="AQ144" i="19"/>
  <c r="AQ217" i="19"/>
  <c r="AQ216" i="19"/>
  <c r="AQ147" i="19"/>
  <c r="AQ163" i="19"/>
  <c r="T365" i="19" l="1"/>
  <c r="AW369" i="19"/>
  <c r="AW370" i="19" s="1"/>
  <c r="AW402" i="19" s="1"/>
  <c r="N365" i="19"/>
  <c r="AY316" i="19"/>
  <c r="AY321" i="19"/>
  <c r="AY326" i="19"/>
  <c r="AY143" i="19"/>
  <c r="AY147" i="19"/>
  <c r="AY152" i="19"/>
  <c r="AY156" i="19"/>
  <c r="AY165" i="19"/>
  <c r="AY210" i="19"/>
  <c r="AY214" i="19"/>
  <c r="AY219" i="19"/>
  <c r="AY223" i="19"/>
  <c r="AY227" i="19"/>
  <c r="AY232" i="19"/>
  <c r="AY318" i="19"/>
  <c r="AY323" i="19"/>
  <c r="AY341" i="19"/>
  <c r="AY144" i="19"/>
  <c r="AY153" i="19"/>
  <c r="AY157" i="19"/>
  <c r="AY166" i="19"/>
  <c r="AY211" i="19"/>
  <c r="AY215" i="19"/>
  <c r="AY220" i="19"/>
  <c r="AY224" i="19"/>
  <c r="AY229" i="19"/>
  <c r="AY233" i="19"/>
  <c r="AY319" i="19"/>
  <c r="AY324" i="19"/>
  <c r="AY138" i="19"/>
  <c r="AY145" i="19"/>
  <c r="AY154" i="19"/>
  <c r="AY158" i="19"/>
  <c r="AY163" i="19"/>
  <c r="AY208" i="19"/>
  <c r="AY212" i="19"/>
  <c r="AY216" i="19"/>
  <c r="AY221" i="19"/>
  <c r="AY225" i="19"/>
  <c r="AY230" i="19"/>
  <c r="AY234" i="19"/>
  <c r="AY325" i="19"/>
  <c r="AY151" i="19"/>
  <c r="AY209" i="19"/>
  <c r="AY226" i="19"/>
  <c r="AY137" i="19"/>
  <c r="AY155" i="19"/>
  <c r="AY213" i="19"/>
  <c r="AY231" i="19"/>
  <c r="AY315" i="19"/>
  <c r="AY160" i="19"/>
  <c r="AY217" i="19"/>
  <c r="AY314" i="19"/>
  <c r="AY320" i="19"/>
  <c r="AY222" i="19"/>
  <c r="AY146" i="19"/>
  <c r="AY164" i="19"/>
  <c r="AO343" i="19"/>
  <c r="AO349" i="19"/>
  <c r="AO177" i="19"/>
  <c r="AO236" i="19" s="1"/>
  <c r="AO279" i="19"/>
  <c r="AO345" i="19"/>
  <c r="AO344" i="19"/>
  <c r="AO280" i="19"/>
  <c r="AO332" i="19"/>
  <c r="AO278" i="19"/>
  <c r="AO329" i="19" s="1"/>
  <c r="P365" i="19"/>
  <c r="R114" i="19"/>
  <c r="AQ369" i="19"/>
  <c r="AQ370" i="19" s="1"/>
  <c r="AQ402" i="19" s="1"/>
  <c r="AW371" i="19"/>
  <c r="AW372" i="19" s="1"/>
  <c r="AW403" i="19" s="1"/>
  <c r="AI96" i="19"/>
  <c r="AI112" i="19"/>
  <c r="V366" i="19"/>
  <c r="D23" i="12"/>
  <c r="X366" i="19"/>
  <c r="D24" i="12"/>
  <c r="AQ371" i="19"/>
  <c r="AQ372" i="19" s="1"/>
  <c r="AQ403" i="19" s="1"/>
  <c r="AO369" i="19"/>
  <c r="AO370" i="19" s="1"/>
  <c r="AO402" i="19" s="1"/>
  <c r="L291" i="19"/>
  <c r="L186" i="19"/>
  <c r="L190" i="19"/>
  <c r="L288" i="19"/>
  <c r="L292" i="19"/>
  <c r="L187" i="19"/>
  <c r="L191" i="19"/>
  <c r="L289" i="19"/>
  <c r="L293" i="19"/>
  <c r="L188" i="19"/>
  <c r="L337" i="19"/>
  <c r="L36" i="19"/>
  <c r="L38" i="19" s="1"/>
  <c r="L40" i="19" s="1"/>
  <c r="L290" i="19"/>
  <c r="L185" i="19"/>
  <c r="L294" i="19"/>
  <c r="L189" i="19"/>
  <c r="Z391" i="19"/>
  <c r="AA391" i="19" s="1"/>
  <c r="L82" i="19"/>
  <c r="L361" i="19" s="1"/>
  <c r="L300" i="19"/>
  <c r="L195" i="19"/>
  <c r="L301" i="19"/>
  <c r="L196" i="19"/>
  <c r="L110" i="19"/>
  <c r="L302" i="19"/>
  <c r="L103" i="19"/>
  <c r="L363" i="19" s="1"/>
  <c r="Z392" i="19"/>
  <c r="AA392" i="19" s="1"/>
  <c r="L268" i="19"/>
  <c r="L362" i="19" l="1"/>
  <c r="Z361" i="19"/>
  <c r="D18" i="11"/>
  <c r="D26" i="11" s="1"/>
  <c r="AY369" i="19"/>
  <c r="AY370" i="19" s="1"/>
  <c r="AY402" i="19" s="1"/>
  <c r="N366" i="19"/>
  <c r="D19" i="12"/>
  <c r="L364" i="19"/>
  <c r="Z363" i="19"/>
  <c r="D63" i="11"/>
  <c r="D71" i="11" s="1"/>
  <c r="V400" i="19"/>
  <c r="F23" i="12"/>
  <c r="AW177" i="19"/>
  <c r="AW236" i="19" s="1"/>
  <c r="AW279" i="19"/>
  <c r="AW343" i="19"/>
  <c r="AW280" i="19"/>
  <c r="AW345" i="19"/>
  <c r="AW344" i="19"/>
  <c r="AW332" i="19"/>
  <c r="AW349" i="19"/>
  <c r="AW278" i="19"/>
  <c r="AY371" i="19"/>
  <c r="AY372" i="19" s="1"/>
  <c r="AY403" i="19" s="1"/>
  <c r="AO162" i="19"/>
  <c r="AO141" i="19"/>
  <c r="AO161" i="19"/>
  <c r="AO148" i="19"/>
  <c r="AO246" i="19"/>
  <c r="AO149" i="19"/>
  <c r="AI114" i="19"/>
  <c r="AQ141" i="19"/>
  <c r="AQ149" i="19"/>
  <c r="AQ162" i="19"/>
  <c r="AQ161" i="19"/>
  <c r="AQ148" i="19"/>
  <c r="AQ246" i="19"/>
  <c r="AW141" i="19"/>
  <c r="AW161" i="19"/>
  <c r="AW148" i="19"/>
  <c r="AW162" i="19"/>
  <c r="AW149" i="19"/>
  <c r="AW246" i="19"/>
  <c r="AQ349" i="19"/>
  <c r="AQ345" i="19"/>
  <c r="AQ343" i="19"/>
  <c r="AQ177" i="19"/>
  <c r="AQ236" i="19" s="1"/>
  <c r="AQ280" i="19"/>
  <c r="AQ344" i="19"/>
  <c r="AQ332" i="19"/>
  <c r="AQ278" i="19"/>
  <c r="AQ329" i="19" s="1"/>
  <c r="AQ279" i="19"/>
  <c r="R365" i="19"/>
  <c r="X400" i="19"/>
  <c r="F24" i="12"/>
  <c r="P366" i="19"/>
  <c r="D20" i="12"/>
  <c r="T366" i="19"/>
  <c r="D22" i="12"/>
  <c r="L397" i="19" l="1"/>
  <c r="Z364" i="19"/>
  <c r="F63" i="11"/>
  <c r="F71" i="11" s="1"/>
  <c r="F20" i="12"/>
  <c r="P400" i="19"/>
  <c r="R366" i="19"/>
  <c r="D21" i="12"/>
  <c r="AI365" i="19"/>
  <c r="AY344" i="19"/>
  <c r="AY349" i="19"/>
  <c r="AY332" i="19"/>
  <c r="AY279" i="19"/>
  <c r="AY280" i="19"/>
  <c r="AY345" i="19"/>
  <c r="AY177" i="19"/>
  <c r="AY236" i="19" s="1"/>
  <c r="AY343" i="19"/>
  <c r="AY278" i="19"/>
  <c r="AY329" i="19" s="1"/>
  <c r="V315" i="19"/>
  <c r="V320" i="19"/>
  <c r="V325" i="19"/>
  <c r="V137" i="19"/>
  <c r="V146" i="19"/>
  <c r="V151" i="19"/>
  <c r="V155" i="19"/>
  <c r="V160" i="19"/>
  <c r="V164" i="19"/>
  <c r="V209" i="19"/>
  <c r="V213" i="19"/>
  <c r="V217" i="19"/>
  <c r="V222" i="19"/>
  <c r="V226" i="19"/>
  <c r="V231" i="19"/>
  <c r="V314" i="19"/>
  <c r="V318" i="19"/>
  <c r="V324" i="19"/>
  <c r="V144" i="19"/>
  <c r="V156" i="19"/>
  <c r="V208" i="19"/>
  <c r="V214" i="19"/>
  <c r="V220" i="19"/>
  <c r="V225" i="19"/>
  <c r="V232" i="19"/>
  <c r="V319" i="19"/>
  <c r="V326" i="19"/>
  <c r="V145" i="19"/>
  <c r="V152" i="19"/>
  <c r="V157" i="19"/>
  <c r="V163" i="19"/>
  <c r="V210" i="19"/>
  <c r="V215" i="19"/>
  <c r="V221" i="19"/>
  <c r="V227" i="19"/>
  <c r="V233" i="19"/>
  <c r="V321" i="19"/>
  <c r="V341" i="19"/>
  <c r="V147" i="19"/>
  <c r="V153" i="19"/>
  <c r="V158" i="19"/>
  <c r="V165" i="19"/>
  <c r="V211" i="19"/>
  <c r="V216" i="19"/>
  <c r="V223" i="19"/>
  <c r="V229" i="19"/>
  <c r="V234" i="19"/>
  <c r="V138" i="19"/>
  <c r="V224" i="19"/>
  <c r="V143" i="19"/>
  <c r="V166" i="19"/>
  <c r="V230" i="19"/>
  <c r="V316" i="19"/>
  <c r="V212" i="19"/>
  <c r="V219" i="19"/>
  <c r="V154" i="19"/>
  <c r="V323" i="19"/>
  <c r="N400" i="19"/>
  <c r="F19" i="12"/>
  <c r="T400" i="19"/>
  <c r="F22" i="12"/>
  <c r="X319" i="19"/>
  <c r="X324" i="19"/>
  <c r="X138" i="19"/>
  <c r="X145" i="19"/>
  <c r="X154" i="19"/>
  <c r="X158" i="19"/>
  <c r="X163" i="19"/>
  <c r="X208" i="19"/>
  <c r="X212" i="19"/>
  <c r="X216" i="19"/>
  <c r="X221" i="19"/>
  <c r="X225" i="19"/>
  <c r="X230" i="19"/>
  <c r="X234" i="19"/>
  <c r="X315" i="19"/>
  <c r="X320" i="19"/>
  <c r="X325" i="19"/>
  <c r="X137" i="19"/>
  <c r="X146" i="19"/>
  <c r="X151" i="19"/>
  <c r="X155" i="19"/>
  <c r="X160" i="19"/>
  <c r="X164" i="19"/>
  <c r="X209" i="19"/>
  <c r="X213" i="19"/>
  <c r="X217" i="19"/>
  <c r="X222" i="19"/>
  <c r="X226" i="19"/>
  <c r="X316" i="19"/>
  <c r="X321" i="19"/>
  <c r="X326" i="19"/>
  <c r="X143" i="19"/>
  <c r="X147" i="19"/>
  <c r="X152" i="19"/>
  <c r="X156" i="19"/>
  <c r="X165" i="19"/>
  <c r="X210" i="19"/>
  <c r="X214" i="19"/>
  <c r="X219" i="19"/>
  <c r="X223" i="19"/>
  <c r="X227" i="19"/>
  <c r="X232" i="19"/>
  <c r="X341" i="19"/>
  <c r="X153" i="19"/>
  <c r="X211" i="19"/>
  <c r="X229" i="19"/>
  <c r="X157" i="19"/>
  <c r="X215" i="19"/>
  <c r="X231" i="19"/>
  <c r="X318" i="19"/>
  <c r="X144" i="19"/>
  <c r="X220" i="19"/>
  <c r="X233" i="19"/>
  <c r="X323" i="19"/>
  <c r="X314" i="19"/>
  <c r="X371" i="19" s="1"/>
  <c r="X166" i="19"/>
  <c r="X224" i="19"/>
  <c r="AW329" i="19"/>
  <c r="AY161" i="19"/>
  <c r="AY148" i="19"/>
  <c r="AY162" i="19"/>
  <c r="AY149" i="19"/>
  <c r="AY246" i="19"/>
  <c r="AY141" i="19"/>
  <c r="L396" i="19"/>
  <c r="Z362" i="19"/>
  <c r="F18" i="11"/>
  <c r="F26" i="11" s="1"/>
  <c r="X372" i="19" l="1"/>
  <c r="D92" i="12"/>
  <c r="X369" i="19"/>
  <c r="V371" i="19"/>
  <c r="V369" i="19"/>
  <c r="AI366" i="19"/>
  <c r="BA365" i="19"/>
  <c r="R400" i="19"/>
  <c r="F21" i="12"/>
  <c r="N146" i="19"/>
  <c r="N320" i="19"/>
  <c r="N143" i="19"/>
  <c r="N145" i="19"/>
  <c r="N341" i="19"/>
  <c r="N138" i="19"/>
  <c r="N153" i="19"/>
  <c r="N137" i="19"/>
  <c r="N212" i="19"/>
  <c r="N221" i="19"/>
  <c r="N230" i="19"/>
  <c r="N232" i="19"/>
  <c r="N223" i="19"/>
  <c r="N158" i="19"/>
  <c r="N319" i="19"/>
  <c r="N165" i="19"/>
  <c r="N163" i="19"/>
  <c r="N157" i="19"/>
  <c r="N160" i="19"/>
  <c r="N229" i="19"/>
  <c r="N226" i="19"/>
  <c r="N220" i="19"/>
  <c r="N318" i="19"/>
  <c r="N321" i="19"/>
  <c r="N166" i="19"/>
  <c r="N164" i="19"/>
  <c r="N152" i="19"/>
  <c r="N325" i="19"/>
  <c r="N314" i="19"/>
  <c r="N210" i="19"/>
  <c r="N227" i="19"/>
  <c r="N231" i="19"/>
  <c r="N234" i="19"/>
  <c r="N213" i="19"/>
  <c r="N216" i="19"/>
  <c r="N211" i="19"/>
  <c r="N219" i="19"/>
  <c r="N315" i="19"/>
  <c r="N324" i="19"/>
  <c r="N144" i="19"/>
  <c r="N151" i="19"/>
  <c r="N156" i="19"/>
  <c r="N154" i="19"/>
  <c r="N224" i="19"/>
  <c r="N215" i="19"/>
  <c r="N233" i="19"/>
  <c r="N214" i="19"/>
  <c r="N323" i="19"/>
  <c r="N217" i="19"/>
  <c r="N147" i="19"/>
  <c r="N225" i="19"/>
  <c r="N155" i="19"/>
  <c r="N222" i="19"/>
  <c r="N209" i="19"/>
  <c r="N326" i="19"/>
  <c r="N208" i="19"/>
  <c r="N316" i="19"/>
  <c r="P318" i="19"/>
  <c r="P319" i="19"/>
  <c r="P324" i="19"/>
  <c r="P165" i="19"/>
  <c r="P153" i="19"/>
  <c r="P147" i="19"/>
  <c r="P156" i="19"/>
  <c r="P154" i="19"/>
  <c r="P314" i="19"/>
  <c r="P224" i="19"/>
  <c r="P217" i="19"/>
  <c r="P225" i="19"/>
  <c r="P227" i="19"/>
  <c r="P215" i="19"/>
  <c r="P222" i="19"/>
  <c r="P233" i="19"/>
  <c r="P158" i="19"/>
  <c r="P320" i="19"/>
  <c r="P143" i="19"/>
  <c r="P155" i="19"/>
  <c r="P138" i="19"/>
  <c r="P160" i="19"/>
  <c r="P137" i="19"/>
  <c r="P212" i="19"/>
  <c r="P221" i="19"/>
  <c r="P146" i="19"/>
  <c r="P321" i="19"/>
  <c r="P166" i="19"/>
  <c r="P157" i="19"/>
  <c r="P152" i="19"/>
  <c r="P229" i="19"/>
  <c r="P209" i="19"/>
  <c r="P214" i="19"/>
  <c r="P315" i="19"/>
  <c r="P323" i="19"/>
  <c r="P163" i="19"/>
  <c r="P145" i="19"/>
  <c r="P144" i="19"/>
  <c r="P326" i="19"/>
  <c r="P226" i="19"/>
  <c r="P208" i="19"/>
  <c r="P211" i="19"/>
  <c r="P219" i="19"/>
  <c r="P220" i="19"/>
  <c r="P341" i="19"/>
  <c r="P231" i="19"/>
  <c r="P213" i="19"/>
  <c r="P316" i="19"/>
  <c r="P325" i="19"/>
  <c r="P230" i="19"/>
  <c r="P223" i="19"/>
  <c r="P164" i="19"/>
  <c r="P210" i="19"/>
  <c r="P216" i="19"/>
  <c r="P151" i="19"/>
  <c r="P234" i="19"/>
  <c r="P232" i="19"/>
  <c r="T316" i="19"/>
  <c r="T324" i="19"/>
  <c r="T153" i="19"/>
  <c r="T157" i="19"/>
  <c r="T166" i="19"/>
  <c r="T325" i="19"/>
  <c r="T341" i="19"/>
  <c r="T321" i="19"/>
  <c r="T154" i="19"/>
  <c r="T143" i="19"/>
  <c r="T147" i="19"/>
  <c r="T210" i="19"/>
  <c r="T215" i="19"/>
  <c r="T230" i="19"/>
  <c r="T233" i="19"/>
  <c r="T231" i="19"/>
  <c r="T223" i="19"/>
  <c r="T234" i="19"/>
  <c r="T213" i="19"/>
  <c r="T216" i="19"/>
  <c r="T208" i="19"/>
  <c r="T219" i="19"/>
  <c r="T158" i="19"/>
  <c r="T146" i="19"/>
  <c r="T315" i="19"/>
  <c r="T138" i="19"/>
  <c r="T155" i="19"/>
  <c r="T165" i="19"/>
  <c r="T326" i="19"/>
  <c r="T137" i="19"/>
  <c r="T224" i="19"/>
  <c r="T212" i="19"/>
  <c r="T318" i="19"/>
  <c r="T319" i="19"/>
  <c r="T320" i="19"/>
  <c r="T151" i="19"/>
  <c r="T156" i="19"/>
  <c r="T144" i="19"/>
  <c r="T163" i="19"/>
  <c r="T314" i="19"/>
  <c r="T217" i="19"/>
  <c r="T225" i="19"/>
  <c r="T229" i="19"/>
  <c r="T227" i="19"/>
  <c r="T222" i="19"/>
  <c r="T232" i="19"/>
  <c r="T209" i="19"/>
  <c r="T145" i="19"/>
  <c r="T214" i="19"/>
  <c r="T164" i="19"/>
  <c r="T226" i="19"/>
  <c r="T211" i="19"/>
  <c r="T323" i="19"/>
  <c r="T152" i="19"/>
  <c r="T221" i="19"/>
  <c r="T220" i="19"/>
  <c r="T160" i="19"/>
  <c r="L80" i="19"/>
  <c r="L87" i="19"/>
  <c r="L91" i="19"/>
  <c r="L81" i="19"/>
  <c r="L88" i="19"/>
  <c r="L92" i="19"/>
  <c r="L85" i="19"/>
  <c r="L89" i="19"/>
  <c r="L93" i="19"/>
  <c r="L79" i="19"/>
  <c r="L86" i="19"/>
  <c r="L90" i="19"/>
  <c r="L94" i="19"/>
  <c r="Z396" i="19"/>
  <c r="AA396" i="19" s="1"/>
  <c r="L101" i="19"/>
  <c r="L107" i="19"/>
  <c r="L108" i="19"/>
  <c r="L100" i="19"/>
  <c r="L112" i="19" s="1"/>
  <c r="L109" i="19"/>
  <c r="Z397" i="19"/>
  <c r="AA397" i="19" s="1"/>
  <c r="V370" i="19" l="1"/>
  <c r="D69" i="12"/>
  <c r="L96" i="19"/>
  <c r="L114" i="19" s="1"/>
  <c r="T369" i="19"/>
  <c r="P369" i="19"/>
  <c r="N371" i="19"/>
  <c r="R158" i="19"/>
  <c r="R315" i="19"/>
  <c r="R323" i="19"/>
  <c r="R153" i="19"/>
  <c r="R157" i="19"/>
  <c r="R144" i="19"/>
  <c r="R165" i="19"/>
  <c r="R325" i="19"/>
  <c r="R137" i="19"/>
  <c r="R229" i="19"/>
  <c r="R210" i="19"/>
  <c r="R231" i="19"/>
  <c r="R321" i="19"/>
  <c r="R319" i="19"/>
  <c r="R151" i="19"/>
  <c r="R156" i="19"/>
  <c r="R145" i="19"/>
  <c r="R166" i="19"/>
  <c r="R224" i="19"/>
  <c r="R217" i="19"/>
  <c r="R222" i="19"/>
  <c r="R209" i="19"/>
  <c r="R214" i="19"/>
  <c r="R211" i="19"/>
  <c r="R316" i="19"/>
  <c r="R152" i="19"/>
  <c r="R160" i="19"/>
  <c r="R147" i="19"/>
  <c r="R341" i="19"/>
  <c r="R225" i="19"/>
  <c r="R215" i="19"/>
  <c r="R230" i="19"/>
  <c r="R232" i="19"/>
  <c r="R233" i="19"/>
  <c r="R226" i="19"/>
  <c r="R208" i="19"/>
  <c r="R220" i="19"/>
  <c r="R320" i="19"/>
  <c r="R154" i="19"/>
  <c r="R163" i="19"/>
  <c r="R143" i="19"/>
  <c r="R314" i="19"/>
  <c r="R371" i="19" s="1"/>
  <c r="R221" i="19"/>
  <c r="R223" i="19"/>
  <c r="R234" i="19"/>
  <c r="R213" i="19"/>
  <c r="R216" i="19"/>
  <c r="R318" i="19"/>
  <c r="R324" i="19"/>
  <c r="R164" i="19"/>
  <c r="R227" i="19"/>
  <c r="R326" i="19"/>
  <c r="R138" i="19"/>
  <c r="R219" i="19"/>
  <c r="R155" i="19"/>
  <c r="R212" i="19"/>
  <c r="R146" i="19"/>
  <c r="N369" i="19"/>
  <c r="V372" i="19"/>
  <c r="D91" i="12"/>
  <c r="T371" i="19"/>
  <c r="P371" i="19"/>
  <c r="AI400" i="19"/>
  <c r="BA366" i="19"/>
  <c r="X370" i="19"/>
  <c r="D70" i="12"/>
  <c r="X403" i="19"/>
  <c r="F92" i="12"/>
  <c r="L365" i="19" l="1"/>
  <c r="X280" i="19"/>
  <c r="X345" i="19"/>
  <c r="X344" i="19"/>
  <c r="X177" i="19"/>
  <c r="X236" i="19" s="1"/>
  <c r="X343" i="19"/>
  <c r="X332" i="19"/>
  <c r="X279" i="19"/>
  <c r="X349" i="19"/>
  <c r="X278" i="19"/>
  <c r="X329" i="19" s="1"/>
  <c r="AI318" i="19"/>
  <c r="AI320" i="19"/>
  <c r="AI315" i="19"/>
  <c r="AI144" i="19"/>
  <c r="AI151" i="19"/>
  <c r="AI152" i="19"/>
  <c r="AI160" i="19"/>
  <c r="AI325" i="19"/>
  <c r="AI137" i="19"/>
  <c r="AI221" i="19"/>
  <c r="AI222" i="19"/>
  <c r="AI230" i="19"/>
  <c r="AI234" i="19"/>
  <c r="AI212" i="19"/>
  <c r="AI223" i="19"/>
  <c r="AI219" i="19"/>
  <c r="AI341" i="19"/>
  <c r="AI321" i="19"/>
  <c r="AI138" i="19"/>
  <c r="AI155" i="19"/>
  <c r="AI164" i="19"/>
  <c r="AI157" i="19"/>
  <c r="AI147" i="19"/>
  <c r="AI314" i="19"/>
  <c r="AI371" i="19" s="1"/>
  <c r="AI214" i="19"/>
  <c r="AI215" i="19"/>
  <c r="AI211" i="19"/>
  <c r="AI217" i="19"/>
  <c r="AI233" i="19"/>
  <c r="AI229" i="19"/>
  <c r="AI319" i="19"/>
  <c r="AI316" i="19"/>
  <c r="AI156" i="19"/>
  <c r="AI146" i="19"/>
  <c r="AI143" i="19"/>
  <c r="AI163" i="19"/>
  <c r="AI165" i="19"/>
  <c r="AI209" i="19"/>
  <c r="AI225" i="19"/>
  <c r="AI226" i="19"/>
  <c r="AI208" i="19"/>
  <c r="AI232" i="19"/>
  <c r="AI224" i="19"/>
  <c r="AI324" i="19"/>
  <c r="AI153" i="19"/>
  <c r="AI227" i="19"/>
  <c r="AI220" i="19"/>
  <c r="AI145" i="19"/>
  <c r="AI326" i="19"/>
  <c r="AI213" i="19"/>
  <c r="AI158" i="19"/>
  <c r="AI166" i="19"/>
  <c r="AI210" i="19"/>
  <c r="AI231" i="19"/>
  <c r="AI323" i="19"/>
  <c r="AI216" i="19"/>
  <c r="AI154" i="19"/>
  <c r="BA400" i="19"/>
  <c r="R369" i="19"/>
  <c r="T370" i="19"/>
  <c r="D68" i="12"/>
  <c r="P372" i="19"/>
  <c r="D88" i="12"/>
  <c r="V403" i="19"/>
  <c r="F91" i="12"/>
  <c r="D87" i="12"/>
  <c r="N372" i="19"/>
  <c r="V402" i="19"/>
  <c r="F69" i="12"/>
  <c r="R372" i="19"/>
  <c r="D89" i="12"/>
  <c r="X402" i="19"/>
  <c r="F70" i="12"/>
  <c r="T372" i="19"/>
  <c r="D90" i="12"/>
  <c r="N370" i="19"/>
  <c r="D65" i="12"/>
  <c r="P370" i="19"/>
  <c r="D66" i="12"/>
  <c r="N402" i="19" l="1"/>
  <c r="F65" i="12"/>
  <c r="V141" i="19"/>
  <c r="V149" i="19"/>
  <c r="V162" i="19"/>
  <c r="V161" i="19"/>
  <c r="V246" i="19"/>
  <c r="V148" i="19"/>
  <c r="V177" i="19"/>
  <c r="V236" i="19" s="1"/>
  <c r="V349" i="19"/>
  <c r="V280" i="19"/>
  <c r="V278" i="19"/>
  <c r="V329" i="19" s="1"/>
  <c r="V344" i="19"/>
  <c r="V345" i="19"/>
  <c r="V343" i="19"/>
  <c r="V332" i="19"/>
  <c r="V279" i="19"/>
  <c r="R370" i="19"/>
  <c r="D67" i="12"/>
  <c r="AI372" i="19"/>
  <c r="BA371" i="19"/>
  <c r="N403" i="19"/>
  <c r="F87" i="12"/>
  <c r="X149" i="19"/>
  <c r="X141" i="19"/>
  <c r="X161" i="19"/>
  <c r="X246" i="19"/>
  <c r="X162" i="19"/>
  <c r="X148" i="19"/>
  <c r="P402" i="19"/>
  <c r="F66" i="12"/>
  <c r="T403" i="19"/>
  <c r="F90" i="12"/>
  <c r="R403" i="19"/>
  <c r="F89" i="12"/>
  <c r="P403" i="19"/>
  <c r="F88" i="12"/>
  <c r="T402" i="19"/>
  <c r="F68" i="12"/>
  <c r="AI369" i="19"/>
  <c r="L366" i="19"/>
  <c r="D18" i="12"/>
  <c r="D26" i="12" s="1"/>
  <c r="Z365" i="19"/>
  <c r="AI370" i="19" l="1"/>
  <c r="BA369" i="19"/>
  <c r="P343" i="19"/>
  <c r="P280" i="19"/>
  <c r="P349" i="19"/>
  <c r="P344" i="19"/>
  <c r="P279" i="19"/>
  <c r="P332" i="19"/>
  <c r="P177" i="19"/>
  <c r="P236" i="19" s="1"/>
  <c r="P345" i="19"/>
  <c r="P278" i="19"/>
  <c r="P329" i="19" s="1"/>
  <c r="T279" i="19"/>
  <c r="T345" i="19"/>
  <c r="T343" i="19"/>
  <c r="T278" i="19"/>
  <c r="T344" i="19"/>
  <c r="T349" i="19"/>
  <c r="T332" i="19"/>
  <c r="T177" i="19"/>
  <c r="T236" i="19" s="1"/>
  <c r="T280" i="19"/>
  <c r="R402" i="19"/>
  <c r="F67" i="12"/>
  <c r="L400" i="19"/>
  <c r="Z366" i="19"/>
  <c r="F18" i="12"/>
  <c r="F26" i="12" s="1"/>
  <c r="N343" i="19"/>
  <c r="N278" i="19"/>
  <c r="N279" i="19"/>
  <c r="N349" i="19"/>
  <c r="N177" i="19"/>
  <c r="N236" i="19" s="1"/>
  <c r="N280" i="19"/>
  <c r="N345" i="19"/>
  <c r="N332" i="19"/>
  <c r="N344" i="19"/>
  <c r="T149" i="19"/>
  <c r="T162" i="19"/>
  <c r="T148" i="19"/>
  <c r="T141" i="19"/>
  <c r="T246" i="19"/>
  <c r="T161" i="19"/>
  <c r="R279" i="19"/>
  <c r="R344" i="19"/>
  <c r="R332" i="19"/>
  <c r="R343" i="19"/>
  <c r="R345" i="19"/>
  <c r="R177" i="19"/>
  <c r="R236" i="19" s="1"/>
  <c r="R280" i="19"/>
  <c r="R349" i="19"/>
  <c r="R278" i="19"/>
  <c r="R329" i="19" s="1"/>
  <c r="P161" i="19"/>
  <c r="P162" i="19"/>
  <c r="P246" i="19"/>
  <c r="P148" i="19"/>
  <c r="P149" i="19"/>
  <c r="P141" i="19"/>
  <c r="AI403" i="19"/>
  <c r="BA372" i="19"/>
  <c r="N149" i="19"/>
  <c r="N162" i="19"/>
  <c r="N161" i="19"/>
  <c r="N148" i="19"/>
  <c r="N246" i="19"/>
  <c r="N141" i="19"/>
  <c r="AI343" i="19" l="1"/>
  <c r="AI345" i="19"/>
  <c r="AI177" i="19"/>
  <c r="AI236" i="19" s="1"/>
  <c r="AI279" i="19"/>
  <c r="AI349" i="19"/>
  <c r="AI332" i="19"/>
  <c r="AI344" i="19"/>
  <c r="AI278" i="19"/>
  <c r="AI280" i="19"/>
  <c r="BA403" i="19"/>
  <c r="R141" i="19"/>
  <c r="R149" i="19"/>
  <c r="R148" i="19"/>
  <c r="R246" i="19"/>
  <c r="R161" i="19"/>
  <c r="R162" i="19"/>
  <c r="L137" i="19"/>
  <c r="L143" i="19"/>
  <c r="L147" i="19"/>
  <c r="L152" i="19"/>
  <c r="L156" i="19"/>
  <c r="L165" i="19"/>
  <c r="L316" i="19"/>
  <c r="L320" i="19"/>
  <c r="L324" i="19"/>
  <c r="L211" i="19"/>
  <c r="L215" i="19"/>
  <c r="L219" i="19"/>
  <c r="L223" i="19"/>
  <c r="L227" i="19"/>
  <c r="L231" i="19"/>
  <c r="L138" i="19"/>
  <c r="L144" i="19"/>
  <c r="L153" i="19"/>
  <c r="L157" i="19"/>
  <c r="L166" i="19"/>
  <c r="L321" i="19"/>
  <c r="L325" i="19"/>
  <c r="L208" i="19"/>
  <c r="L212" i="19"/>
  <c r="L216" i="19"/>
  <c r="L220" i="19"/>
  <c r="L224" i="19"/>
  <c r="L232" i="19"/>
  <c r="L145" i="19"/>
  <c r="L154" i="19"/>
  <c r="L158" i="19"/>
  <c r="L163" i="19"/>
  <c r="L314" i="19"/>
  <c r="L318" i="19"/>
  <c r="L326" i="19"/>
  <c r="L209" i="19"/>
  <c r="L213" i="19"/>
  <c r="L217" i="19"/>
  <c r="L221" i="19"/>
  <c r="L225" i="19"/>
  <c r="L229" i="19"/>
  <c r="L233" i="19"/>
  <c r="L151" i="19"/>
  <c r="L222" i="19"/>
  <c r="L155" i="19"/>
  <c r="L315" i="19"/>
  <c r="L210" i="19"/>
  <c r="L226" i="19"/>
  <c r="L160" i="19"/>
  <c r="L319" i="19"/>
  <c r="L214" i="19"/>
  <c r="L230" i="19"/>
  <c r="L164" i="19"/>
  <c r="L323" i="19"/>
  <c r="L341" i="19"/>
  <c r="L146" i="19"/>
  <c r="L234" i="19"/>
  <c r="Z400" i="19"/>
  <c r="AA400" i="19" s="1"/>
  <c r="N329" i="19"/>
  <c r="T329" i="19"/>
  <c r="AI402" i="19"/>
  <c r="BA370" i="19"/>
  <c r="AI148" i="19" l="1"/>
  <c r="AI149" i="19"/>
  <c r="AI141" i="19"/>
  <c r="AI161" i="19"/>
  <c r="AI162" i="19"/>
  <c r="AI246" i="19"/>
  <c r="BA402" i="19"/>
  <c r="L371" i="19"/>
  <c r="L369" i="19"/>
  <c r="AI329" i="19"/>
  <c r="L372" i="19" l="1"/>
  <c r="Z371" i="19"/>
  <c r="D86" i="12"/>
  <c r="D94" i="12" s="1"/>
  <c r="L370" i="19"/>
  <c r="D64" i="12"/>
  <c r="D72" i="12" s="1"/>
  <c r="L402" i="19" l="1"/>
  <c r="F64" i="12"/>
  <c r="F72" i="12" s="1"/>
  <c r="Z370" i="19"/>
  <c r="L403" i="19"/>
  <c r="Z372" i="19"/>
  <c r="F86" i="12"/>
  <c r="F94" i="12" s="1"/>
  <c r="L278" i="19" l="1"/>
  <c r="L332" i="19"/>
  <c r="L279" i="19"/>
  <c r="L177" i="19"/>
  <c r="L236" i="19" s="1"/>
  <c r="L280" i="19"/>
  <c r="L344" i="19"/>
  <c r="L343" i="19"/>
  <c r="Z403" i="19"/>
  <c r="AA403" i="19" s="1"/>
  <c r="L349" i="19"/>
  <c r="L345" i="19"/>
  <c r="L161" i="19"/>
  <c r="L148" i="19"/>
  <c r="L162" i="19"/>
  <c r="L141" i="19"/>
  <c r="L149" i="19"/>
  <c r="L246" i="19"/>
  <c r="Z402" i="19"/>
  <c r="AA402" i="19" s="1"/>
  <c r="L329" i="19" l="1"/>
  <c r="L150" i="19" l="1"/>
  <c r="N150" i="19"/>
  <c r="P150" i="19"/>
  <c r="R150" i="19"/>
  <c r="T150" i="19"/>
  <c r="V150" i="19"/>
  <c r="X150" i="19"/>
  <c r="AI150" i="19"/>
  <c r="AK150" i="19"/>
  <c r="AM150" i="19"/>
  <c r="AO150" i="19"/>
  <c r="AQ150" i="19"/>
  <c r="AS150" i="19"/>
  <c r="AU150" i="19"/>
  <c r="AW150" i="19"/>
  <c r="AY150" i="19"/>
  <c r="L169" i="19"/>
  <c r="N169" i="19"/>
  <c r="P169" i="19"/>
  <c r="R169" i="19"/>
  <c r="T169" i="19"/>
  <c r="V169" i="19"/>
  <c r="X169" i="19"/>
  <c r="AI169" i="19"/>
  <c r="AK169" i="19"/>
  <c r="AM169" i="19"/>
  <c r="AO169" i="19"/>
  <c r="AQ169" i="19"/>
  <c r="AS169" i="19"/>
  <c r="AU169" i="19"/>
  <c r="AW169" i="19"/>
  <c r="AY169" i="19"/>
  <c r="L173" i="19"/>
  <c r="N173" i="19"/>
  <c r="P173" i="19"/>
  <c r="R173" i="19"/>
  <c r="T173" i="19"/>
  <c r="V173" i="19"/>
  <c r="X173" i="19"/>
  <c r="AI173" i="19"/>
  <c r="AK173" i="19"/>
  <c r="AM173" i="19"/>
  <c r="AO173" i="19"/>
  <c r="AQ173" i="19"/>
  <c r="AS173" i="19"/>
  <c r="AU173" i="19"/>
  <c r="AW173" i="19"/>
  <c r="AY173" i="19"/>
  <c r="L239" i="19"/>
  <c r="N239" i="19"/>
  <c r="P239" i="19"/>
  <c r="R239" i="19"/>
  <c r="T239" i="19"/>
  <c r="V239" i="19"/>
  <c r="X239" i="19"/>
  <c r="AI239" i="19"/>
  <c r="AK239" i="19"/>
  <c r="AM239" i="19"/>
  <c r="AO239" i="19"/>
  <c r="AQ239" i="19"/>
  <c r="AS239" i="19"/>
  <c r="AU239" i="19"/>
  <c r="AW239" i="19"/>
  <c r="AY239" i="19"/>
  <c r="L240" i="19"/>
  <c r="N240" i="19"/>
  <c r="P240" i="19"/>
  <c r="R240" i="19"/>
  <c r="T240" i="19"/>
  <c r="V240" i="19"/>
  <c r="X240" i="19"/>
  <c r="AI240" i="19"/>
  <c r="AK240" i="19"/>
  <c r="AM240" i="19"/>
  <c r="AO240" i="19"/>
  <c r="AQ240" i="19"/>
  <c r="AS240" i="19"/>
  <c r="AU240" i="19"/>
  <c r="AW240" i="19"/>
  <c r="AY240" i="19"/>
  <c r="L243" i="19"/>
  <c r="N243" i="19"/>
  <c r="P243" i="19"/>
  <c r="R243" i="19"/>
  <c r="T243" i="19"/>
  <c r="V243" i="19"/>
  <c r="X243" i="19"/>
  <c r="AI243" i="19"/>
  <c r="AK243" i="19"/>
  <c r="AM243" i="19"/>
  <c r="AO243" i="19"/>
  <c r="AQ243" i="19"/>
  <c r="AS243" i="19"/>
  <c r="AU243" i="19"/>
  <c r="AW243" i="19"/>
  <c r="AY243" i="19"/>
  <c r="L247" i="19"/>
  <c r="N247" i="19"/>
  <c r="P247" i="19"/>
  <c r="R247" i="19"/>
  <c r="T247" i="19"/>
  <c r="V247" i="19"/>
  <c r="X247" i="19"/>
  <c r="AI247" i="19"/>
  <c r="AK247" i="19"/>
  <c r="AM247" i="19"/>
  <c r="AO247" i="19"/>
  <c r="AQ247" i="19"/>
  <c r="AS247" i="19"/>
  <c r="AU247" i="19"/>
  <c r="AW247" i="19"/>
  <c r="AY247" i="19"/>
  <c r="L248" i="19"/>
  <c r="N248" i="19"/>
  <c r="P248" i="19"/>
  <c r="R248" i="19"/>
  <c r="T248" i="19"/>
  <c r="V248" i="19"/>
  <c r="X248" i="19"/>
  <c r="AI248" i="19"/>
  <c r="AK248" i="19"/>
  <c r="AM248" i="19"/>
  <c r="AO248" i="19"/>
  <c r="AQ248" i="19"/>
  <c r="AS248" i="19"/>
  <c r="AU248" i="19"/>
  <c r="AW248" i="19"/>
  <c r="AY248" i="19"/>
  <c r="L249" i="19"/>
  <c r="N249" i="19"/>
  <c r="P249" i="19"/>
  <c r="R249" i="19"/>
  <c r="T249" i="19"/>
  <c r="V249" i="19"/>
  <c r="X249" i="19"/>
  <c r="AI249" i="19"/>
  <c r="AK249" i="19"/>
  <c r="AM249" i="19"/>
  <c r="AO249" i="19"/>
  <c r="AQ249" i="19"/>
  <c r="AS249" i="19"/>
  <c r="AU249" i="19"/>
  <c r="AW249" i="19"/>
  <c r="AY249" i="19"/>
  <c r="L250" i="19"/>
  <c r="N250" i="19"/>
  <c r="P250" i="19"/>
  <c r="R250" i="19"/>
  <c r="T250" i="19"/>
  <c r="V250" i="19"/>
  <c r="X250" i="19"/>
  <c r="AI250" i="19"/>
  <c r="AK250" i="19"/>
  <c r="AM250" i="19"/>
  <c r="AO250" i="19"/>
  <c r="AQ250" i="19"/>
  <c r="AS250" i="19"/>
  <c r="AU250" i="19"/>
  <c r="AW250" i="19"/>
  <c r="AY250" i="19"/>
  <c r="L253" i="19"/>
  <c r="N253" i="19"/>
  <c r="P253" i="19"/>
  <c r="R253" i="19"/>
  <c r="T253" i="19"/>
  <c r="V253" i="19"/>
  <c r="X253" i="19"/>
  <c r="AI253" i="19"/>
  <c r="AK253" i="19"/>
  <c r="AM253" i="19"/>
  <c r="AO253" i="19"/>
  <c r="AQ253" i="19"/>
  <c r="AS253" i="19"/>
  <c r="AU253" i="19"/>
  <c r="AW253" i="19"/>
  <c r="AY253" i="19"/>
  <c r="L256" i="19"/>
  <c r="N256" i="19"/>
  <c r="P256" i="19"/>
  <c r="R256" i="19"/>
  <c r="T256" i="19"/>
  <c r="V256" i="19"/>
  <c r="X256" i="19"/>
  <c r="AI256" i="19"/>
  <c r="AK256" i="19"/>
  <c r="AM256" i="19"/>
  <c r="AO256" i="19"/>
  <c r="AQ256" i="19"/>
  <c r="AS256" i="19"/>
  <c r="AU256" i="19"/>
  <c r="AW256" i="19"/>
  <c r="AY256" i="19"/>
  <c r="L259" i="19"/>
  <c r="N259" i="19"/>
  <c r="P259" i="19"/>
  <c r="R259" i="19"/>
  <c r="T259" i="19"/>
  <c r="V259" i="19"/>
  <c r="X259" i="19"/>
  <c r="AI259" i="19"/>
  <c r="AK259" i="19"/>
  <c r="AM259" i="19"/>
  <c r="AO259" i="19"/>
  <c r="AQ259" i="19"/>
  <c r="AS259" i="19"/>
  <c r="AU259" i="19"/>
  <c r="AW259" i="19"/>
  <c r="AY259" i="19"/>
  <c r="L261" i="19"/>
  <c r="N261" i="19"/>
  <c r="P261" i="19"/>
  <c r="R261" i="19"/>
  <c r="T261" i="19"/>
  <c r="V261" i="19"/>
  <c r="X261" i="19"/>
  <c r="AA261" i="19"/>
  <c r="AI261" i="19"/>
  <c r="AK261" i="19"/>
  <c r="AM261" i="19"/>
  <c r="AO261" i="19"/>
  <c r="AQ261" i="19"/>
  <c r="AS261" i="19"/>
  <c r="AU261" i="19"/>
  <c r="AW261" i="19"/>
  <c r="AY261" i="19"/>
  <c r="L263" i="19"/>
  <c r="N263" i="19"/>
  <c r="P263" i="19"/>
  <c r="R263" i="19"/>
  <c r="T263" i="19"/>
  <c r="V263" i="19"/>
  <c r="X263" i="19"/>
  <c r="AI263" i="19"/>
  <c r="AK263" i="19"/>
  <c r="AM263" i="19"/>
  <c r="AO263" i="19"/>
  <c r="AQ263" i="19"/>
  <c r="AS263" i="19"/>
  <c r="AU263" i="19"/>
  <c r="AW263" i="19"/>
  <c r="AY263" i="19"/>
  <c r="L264" i="19"/>
  <c r="N264" i="19"/>
  <c r="P264" i="19"/>
  <c r="R264" i="19"/>
  <c r="T264" i="19"/>
  <c r="V264" i="19"/>
  <c r="X264" i="19"/>
  <c r="AI264" i="19"/>
  <c r="AK264" i="19"/>
  <c r="AM264" i="19"/>
  <c r="AO264" i="19"/>
  <c r="AQ264" i="19"/>
  <c r="AS264" i="19"/>
  <c r="AU264" i="19"/>
  <c r="AW264" i="19"/>
  <c r="AY264" i="19"/>
  <c r="L265" i="19"/>
  <c r="N265" i="19"/>
  <c r="P265" i="19"/>
  <c r="R265" i="19"/>
  <c r="T265" i="19"/>
  <c r="V265" i="19"/>
  <c r="X265" i="19"/>
  <c r="AI265" i="19"/>
  <c r="AK265" i="19"/>
  <c r="AM265" i="19"/>
  <c r="AO265" i="19"/>
  <c r="AQ265" i="19"/>
  <c r="AS265" i="19"/>
  <c r="AU265" i="19"/>
  <c r="AW265" i="19"/>
  <c r="AY265" i="19"/>
  <c r="L270" i="19"/>
  <c r="N270" i="19"/>
  <c r="P270" i="19"/>
  <c r="R270" i="19"/>
  <c r="T270" i="19"/>
  <c r="V270" i="19"/>
  <c r="X270" i="19"/>
  <c r="AI270" i="19"/>
  <c r="AK270" i="19"/>
  <c r="AM270" i="19"/>
  <c r="AO270" i="19"/>
  <c r="AQ270" i="19"/>
  <c r="AS270" i="19"/>
  <c r="AU270" i="19"/>
  <c r="AW270" i="19"/>
  <c r="AY270" i="19"/>
  <c r="L272" i="19"/>
  <c r="N272" i="19"/>
  <c r="P272" i="19"/>
  <c r="R272" i="19"/>
  <c r="T272" i="19"/>
  <c r="V272" i="19"/>
  <c r="X272" i="19"/>
  <c r="AI272" i="19"/>
  <c r="AK272" i="19"/>
  <c r="AM272" i="19"/>
  <c r="AO272" i="19"/>
  <c r="AQ272" i="19"/>
  <c r="AS272" i="19"/>
  <c r="AU272" i="19"/>
  <c r="AW272" i="19"/>
  <c r="AY272" i="19"/>
  <c r="L275" i="19"/>
  <c r="N275" i="19"/>
  <c r="P275" i="19"/>
  <c r="R275" i="19"/>
  <c r="T275" i="19"/>
  <c r="V275" i="19"/>
  <c r="X275" i="19"/>
  <c r="AI275" i="19"/>
  <c r="AK275" i="19"/>
  <c r="AM275" i="19"/>
  <c r="AO275" i="19"/>
  <c r="AQ275" i="19"/>
  <c r="AS275" i="19"/>
  <c r="AU275" i="19"/>
  <c r="AW275" i="19"/>
  <c r="AY275" i="19"/>
  <c r="L342" i="19"/>
  <c r="N342" i="19"/>
  <c r="P342" i="19"/>
  <c r="R342" i="19"/>
  <c r="T342" i="19"/>
  <c r="V342" i="19"/>
  <c r="X342" i="19"/>
  <c r="AI342" i="19"/>
  <c r="AK342" i="19"/>
  <c r="AM342" i="19"/>
  <c r="AO342" i="19"/>
  <c r="AQ342" i="19"/>
  <c r="AS342" i="19"/>
  <c r="AU342" i="19"/>
  <c r="AW342" i="19"/>
  <c r="AY342" i="19"/>
  <c r="L351" i="19"/>
  <c r="N351" i="19"/>
  <c r="P351" i="19"/>
  <c r="R351" i="19"/>
  <c r="T351" i="19"/>
  <c r="V351" i="19"/>
  <c r="X351" i="19"/>
  <c r="AI351" i="19"/>
  <c r="AK351" i="19"/>
  <c r="AM351" i="19"/>
  <c r="AO351" i="19"/>
  <c r="AQ351" i="19"/>
  <c r="AS351" i="19"/>
  <c r="AU351" i="19"/>
  <c r="AW351" i="19"/>
  <c r="AY351" i="19"/>
  <c r="L353" i="19"/>
  <c r="N353" i="19"/>
  <c r="P353" i="19"/>
  <c r="R353" i="19"/>
  <c r="T353" i="19"/>
  <c r="V353" i="19"/>
  <c r="X353" i="19"/>
  <c r="AI353" i="19"/>
  <c r="AK353" i="19"/>
  <c r="AM353" i="19"/>
  <c r="AO353" i="19"/>
  <c r="AQ353" i="19"/>
  <c r="AS353" i="19"/>
  <c r="AU353" i="19"/>
  <c r="AW353" i="19"/>
  <c r="AY353" i="19"/>
  <c r="AQ358" i="19"/>
  <c r="AS358" i="19"/>
  <c r="L367" i="19"/>
  <c r="N367" i="19"/>
  <c r="P367" i="19"/>
  <c r="R367" i="19"/>
  <c r="T367" i="19"/>
  <c r="V367" i="19"/>
  <c r="X367" i="19"/>
  <c r="Z367" i="19"/>
  <c r="AI367" i="19"/>
  <c r="AK367" i="19"/>
  <c r="AM367" i="19"/>
  <c r="AO367" i="19"/>
  <c r="AQ367" i="19"/>
  <c r="AS367" i="19"/>
  <c r="AU367" i="19"/>
  <c r="AW367" i="19"/>
  <c r="AY367" i="19"/>
  <c r="BA367" i="19"/>
  <c r="L368" i="19"/>
  <c r="N368" i="19"/>
  <c r="P368" i="19"/>
  <c r="R368" i="19"/>
  <c r="T368" i="19"/>
  <c r="V368" i="19"/>
  <c r="X368" i="19"/>
  <c r="Z368" i="19"/>
  <c r="AI368" i="19"/>
  <c r="AK368" i="19"/>
  <c r="AM368" i="19"/>
  <c r="AO368" i="19"/>
  <c r="AQ368" i="19"/>
  <c r="AS368" i="19"/>
  <c r="AU368" i="19"/>
  <c r="AW368" i="19"/>
  <c r="AY368" i="19"/>
  <c r="BA368" i="19"/>
  <c r="L373" i="19"/>
  <c r="N373" i="19"/>
  <c r="P373" i="19"/>
  <c r="R373" i="19"/>
  <c r="T373" i="19"/>
  <c r="V373" i="19"/>
  <c r="X373" i="19"/>
  <c r="Z373" i="19"/>
  <c r="AI373" i="19"/>
  <c r="AK373" i="19"/>
  <c r="AM373" i="19"/>
  <c r="AO373" i="19"/>
  <c r="AQ373" i="19"/>
  <c r="AS373" i="19"/>
  <c r="AU373" i="19"/>
  <c r="AW373" i="19"/>
  <c r="AY373" i="19"/>
  <c r="BA373" i="19"/>
  <c r="L374" i="19"/>
  <c r="N374" i="19"/>
  <c r="P374" i="19"/>
  <c r="R374" i="19"/>
  <c r="T374" i="19"/>
  <c r="V374" i="19"/>
  <c r="X374" i="19"/>
  <c r="Z374" i="19"/>
  <c r="AI374" i="19"/>
  <c r="AK374" i="19"/>
  <c r="AM374" i="19"/>
  <c r="AO374" i="19"/>
  <c r="AQ374" i="19"/>
  <c r="AS374" i="19"/>
  <c r="AU374" i="19"/>
  <c r="AW374" i="19"/>
  <c r="AY374" i="19"/>
  <c r="BA374" i="19"/>
  <c r="L375" i="19"/>
  <c r="N375" i="19"/>
  <c r="P375" i="19"/>
  <c r="R375" i="19"/>
  <c r="T375" i="19"/>
  <c r="V375" i="19"/>
  <c r="X375" i="19"/>
  <c r="Z375" i="19"/>
  <c r="AI375" i="19"/>
  <c r="AK375" i="19"/>
  <c r="AM375" i="19"/>
  <c r="AO375" i="19"/>
  <c r="AQ375" i="19"/>
  <c r="AS375" i="19"/>
  <c r="AU375" i="19"/>
  <c r="AW375" i="19"/>
  <c r="AY375" i="19"/>
  <c r="BA375" i="19"/>
  <c r="L376" i="19"/>
  <c r="N376" i="19"/>
  <c r="P376" i="19"/>
  <c r="R376" i="19"/>
  <c r="T376" i="19"/>
  <c r="V376" i="19"/>
  <c r="X376" i="19"/>
  <c r="Z376" i="19"/>
  <c r="AI376" i="19"/>
  <c r="AK376" i="19"/>
  <c r="AM376" i="19"/>
  <c r="AO376" i="19"/>
  <c r="AQ376" i="19"/>
  <c r="AS376" i="19"/>
  <c r="AU376" i="19"/>
  <c r="AW376" i="19"/>
  <c r="AY376" i="19"/>
  <c r="BA376" i="19"/>
  <c r="L401" i="19"/>
  <c r="N401" i="19"/>
  <c r="P401" i="19"/>
  <c r="R401" i="19"/>
  <c r="T401" i="19"/>
  <c r="V401" i="19"/>
  <c r="X401" i="19"/>
  <c r="Z401" i="19"/>
  <c r="AA401" i="19"/>
  <c r="AI401" i="19"/>
  <c r="AK401" i="19"/>
  <c r="AM401" i="19"/>
  <c r="AO401" i="19"/>
  <c r="AQ401" i="19"/>
  <c r="AS401" i="19"/>
  <c r="AU401" i="19"/>
  <c r="AW401" i="19"/>
  <c r="AY401" i="19"/>
  <c r="BA401" i="19"/>
  <c r="L404" i="19"/>
  <c r="N404" i="19"/>
  <c r="P404" i="19"/>
  <c r="R404" i="19"/>
  <c r="T404" i="19"/>
  <c r="V404" i="19"/>
  <c r="X404" i="19"/>
  <c r="Z404" i="19"/>
  <c r="AA404" i="19"/>
  <c r="AI404" i="19"/>
  <c r="AK404" i="19"/>
  <c r="AM404" i="19"/>
  <c r="AO404" i="19"/>
  <c r="AQ404" i="19"/>
  <c r="AS404" i="19"/>
  <c r="AU404" i="19"/>
  <c r="AW404" i="19"/>
  <c r="AY404" i="19"/>
  <c r="BA404" i="19"/>
  <c r="L405" i="19"/>
  <c r="N405" i="19"/>
  <c r="P405" i="19"/>
  <c r="R405" i="19"/>
  <c r="T405" i="19"/>
  <c r="V405" i="19"/>
  <c r="X405" i="19"/>
  <c r="Z405" i="19"/>
  <c r="AA405" i="19"/>
  <c r="AI405" i="19"/>
  <c r="AK405" i="19"/>
  <c r="AM405" i="19"/>
  <c r="AO405" i="19"/>
  <c r="AQ405" i="19"/>
  <c r="AS405" i="19"/>
  <c r="AU405" i="19"/>
  <c r="AW405" i="19"/>
  <c r="AY405" i="19"/>
  <c r="BA405" i="19"/>
  <c r="L417" i="19"/>
  <c r="D39" i="12"/>
  <c r="F39" i="12"/>
  <c r="D40" i="12"/>
  <c r="F40" i="12"/>
  <c r="D41" i="12"/>
  <c r="F41" i="12"/>
  <c r="D42" i="12"/>
  <c r="F42" i="12"/>
  <c r="D43" i="12"/>
  <c r="F43" i="12"/>
  <c r="D44" i="12"/>
  <c r="F44" i="12"/>
  <c r="D45" i="12"/>
  <c r="F45" i="12"/>
  <c r="D47" i="12"/>
  <c r="F47" i="12"/>
  <c r="D111" i="12"/>
  <c r="F111" i="12"/>
  <c r="D112" i="12"/>
  <c r="F112" i="12"/>
  <c r="D113" i="12"/>
  <c r="F113" i="12"/>
  <c r="D114" i="12"/>
  <c r="F114" i="12"/>
  <c r="D115" i="12"/>
  <c r="F115" i="12"/>
  <c r="D116" i="12"/>
  <c r="F116" i="12"/>
  <c r="D117" i="12"/>
  <c r="F117" i="12"/>
  <c r="D119" i="12"/>
  <c r="F119" i="12"/>
  <c r="D131" i="12"/>
  <c r="F131" i="12"/>
  <c r="D132" i="12"/>
  <c r="F132" i="12"/>
  <c r="D133" i="12"/>
  <c r="F133" i="12"/>
  <c r="D134" i="12"/>
  <c r="F134" i="12"/>
  <c r="D135" i="12"/>
  <c r="F135" i="12"/>
  <c r="D136" i="12"/>
  <c r="F136" i="12"/>
  <c r="D137" i="12"/>
  <c r="F137" i="12"/>
  <c r="D139" i="12"/>
  <c r="F139" i="12"/>
  <c r="D18" i="27"/>
  <c r="F18" i="27"/>
  <c r="D20" i="27"/>
  <c r="F20" i="27"/>
  <c r="D22" i="27"/>
  <c r="F22" i="27"/>
  <c r="D24" i="27"/>
  <c r="F24" i="27"/>
  <c r="D26" i="27"/>
  <c r="F26" i="27"/>
  <c r="D28" i="27"/>
  <c r="F28" i="27"/>
  <c r="D30" i="27"/>
  <c r="F30" i="27"/>
  <c r="D32" i="27"/>
  <c r="F32" i="27"/>
  <c r="D36" i="27"/>
  <c r="C14" i="35"/>
  <c r="K14" i="35"/>
  <c r="C16" i="35"/>
  <c r="K16" i="35"/>
  <c r="C18" i="35"/>
  <c r="K18" i="35"/>
  <c r="C21" i="35"/>
  <c r="K21" i="35"/>
</calcChain>
</file>

<file path=xl/sharedStrings.xml><?xml version="1.0" encoding="utf-8"?>
<sst xmlns="http://schemas.openxmlformats.org/spreadsheetml/2006/main" count="2095" uniqueCount="871">
  <si>
    <t>Add'l PSC Assessment</t>
    <phoneticPr fontId="12" type="noConversion"/>
  </si>
  <si>
    <t>Add'l Chemical Expense</t>
    <phoneticPr fontId="12" type="noConversion"/>
  </si>
  <si>
    <t>Add'l Electricity Expense</t>
    <phoneticPr fontId="12" type="noConversion"/>
  </si>
  <si>
    <t>Add'l Operating Income</t>
    <phoneticPr fontId="12" type="noConversion"/>
  </si>
  <si>
    <t>Add'l State Taxes</t>
    <phoneticPr fontId="12" type="noConversion"/>
  </si>
  <si>
    <t>Add'l Federal Taxes</t>
    <phoneticPr fontId="12" type="noConversion"/>
  </si>
  <si>
    <t>Add'l Net Operating Income</t>
    <phoneticPr fontId="12" type="noConversion"/>
  </si>
  <si>
    <t>Company</t>
    <phoneticPr fontId="12" type="noConversion"/>
  </si>
  <si>
    <t>At Present</t>
    <phoneticPr fontId="12" type="noConversion"/>
  </si>
  <si>
    <t>COSS</t>
    <phoneticPr fontId="12" type="noConversion"/>
  </si>
  <si>
    <t>Inputs</t>
    <phoneticPr fontId="12" type="noConversion"/>
  </si>
  <si>
    <t xml:space="preserve">  -OPERATION-                            </t>
  </si>
  <si>
    <t xml:space="preserve">          Total Operation                </t>
  </si>
  <si>
    <t xml:space="preserve">  -MAINTENANCE-                          </t>
  </si>
  <si>
    <t xml:space="preserve">          Total Maintenance              </t>
  </si>
  <si>
    <t xml:space="preserve">        Total Source of Supply</t>
  </si>
  <si>
    <t xml:space="preserve">  Total Power and Pumping                </t>
  </si>
  <si>
    <t>Short-Term Debt</t>
  </si>
  <si>
    <t>Long-Term Debt</t>
  </si>
  <si>
    <t>Preferred Stock</t>
  </si>
  <si>
    <t>Common Equity</t>
  </si>
  <si>
    <t xml:space="preserve">    Total Capital</t>
  </si>
  <si>
    <t>Rate Base</t>
  </si>
  <si>
    <t xml:space="preserve">  Revenue Requirement</t>
  </si>
  <si>
    <t>Conversion Factor</t>
  </si>
  <si>
    <t>W/P SMR-6</t>
  </si>
  <si>
    <t xml:space="preserve">  Gross Revenue Requirement</t>
  </si>
  <si>
    <t>From</t>
    <phoneticPr fontId="12" type="noConversion"/>
  </si>
  <si>
    <t>SMR-6</t>
    <phoneticPr fontId="12" type="noConversion"/>
  </si>
  <si>
    <t>Return</t>
    <phoneticPr fontId="12" type="noConversion"/>
  </si>
  <si>
    <t>Bad Debt</t>
    <phoneticPr fontId="12" type="noConversion"/>
  </si>
  <si>
    <t>PSC Assess.</t>
    <phoneticPr fontId="12" type="noConversion"/>
  </si>
  <si>
    <t>Taxes</t>
    <phoneticPr fontId="12" type="noConversion"/>
  </si>
  <si>
    <t>Bad</t>
    <phoneticPr fontId="12" type="noConversion"/>
  </si>
  <si>
    <t>PSC</t>
    <phoneticPr fontId="12" type="noConversion"/>
  </si>
  <si>
    <t xml:space="preserve">503  DEPRECIATION EXPENSE                </t>
  </si>
  <si>
    <t>CWIP - Meters and Meter Installations</t>
  </si>
  <si>
    <t>CWIP - Services</t>
  </si>
  <si>
    <t>CWIP - Hydrants</t>
  </si>
  <si>
    <t>CWIP - Other</t>
  </si>
  <si>
    <t>Working Capital Allowance</t>
  </si>
  <si>
    <t>Consumption w/ Fire</t>
  </si>
  <si>
    <t>The maximum hour extra capacity factors in column 5 are determined on the next page.</t>
  </si>
  <si>
    <t>FACTOR 15A.  ALLOCATION OF CASH WORKING CAPITAL</t>
  </si>
  <si>
    <t>FACTOR 15.  ALLOCATION OF ADMINISTRATIVE AND GENERAL EXPENSES</t>
  </si>
  <si>
    <t>15A</t>
  </si>
  <si>
    <t xml:space="preserve">TRANSMISSION AND DISTRIBUTION EXPENSES   </t>
  </si>
  <si>
    <t xml:space="preserve">WATER TREATMENT                          </t>
  </si>
  <si>
    <t xml:space="preserve">POWER AND PUMPING EXPENSES               </t>
  </si>
  <si>
    <t xml:space="preserve">SOURCE OF SUPPLY EXPENSES                </t>
  </si>
  <si>
    <t xml:space="preserve">OPERATION AND MAINTENANCE EXPENSES       </t>
  </si>
  <si>
    <t>Ref.</t>
  </si>
  <si>
    <t>Cost of</t>
  </si>
  <si>
    <t>Account</t>
  </si>
  <si>
    <t>Private</t>
  </si>
  <si>
    <t>6/13</t>
  </si>
  <si>
    <t>8/11</t>
  </si>
  <si>
    <t>9/14</t>
  </si>
  <si>
    <t>7/18</t>
  </si>
  <si>
    <t>6/30</t>
  </si>
  <si>
    <t>7/14</t>
  </si>
  <si>
    <t>6/16</t>
  </si>
  <si>
    <t>7/13</t>
  </si>
  <si>
    <t>7/9</t>
  </si>
  <si>
    <t>GPM X 60 Min. X 10 Hrs.</t>
  </si>
  <si>
    <t>DEVELOPMENT OF PUMP STATION EQUIPMENT TOTAL HORSEPOWER BY DESIGNATION</t>
  </si>
  <si>
    <t>Pump Station Name</t>
  </si>
  <si>
    <t>Type of Pump</t>
  </si>
  <si>
    <t>Designation</t>
  </si>
  <si>
    <t>Kentucky River Station</t>
  </si>
  <si>
    <t>Kentucky River Intake</t>
  </si>
  <si>
    <t>Pump No. 1</t>
  </si>
  <si>
    <t>Intake - Low Service</t>
  </si>
  <si>
    <t>Pump No. 2</t>
  </si>
  <si>
    <t>Pump No. 3</t>
  </si>
  <si>
    <t>CASH WORKING CAPITAL FOR FACTOR 15A</t>
  </si>
  <si>
    <t>FACTOR 15A</t>
  </si>
  <si>
    <t xml:space="preserve"> KENTUCKY AMERICAN WATER COMPANY</t>
  </si>
  <si>
    <t>KENTUCKY AMERICAN WATER COMPANY</t>
  </si>
  <si>
    <t>Annual</t>
  </si>
  <si>
    <t>Sendout</t>
  </si>
  <si>
    <t>Peak Day</t>
  </si>
  <si>
    <t>(MG)</t>
  </si>
  <si>
    <t>Date</t>
  </si>
  <si>
    <t>8/21</t>
  </si>
  <si>
    <t>6/15</t>
  </si>
  <si>
    <t>8/7</t>
  </si>
  <si>
    <t>8/2</t>
  </si>
  <si>
    <t>6/29</t>
  </si>
  <si>
    <t>7/8</t>
  </si>
  <si>
    <t>8/5</t>
  </si>
  <si>
    <t>6/19</t>
  </si>
  <si>
    <t>Rate Base Adj.</t>
    <phoneticPr fontId="12" type="noConversion"/>
  </si>
  <si>
    <t>Return Comp.</t>
    <phoneticPr fontId="12" type="noConversion"/>
  </si>
  <si>
    <t>Debt</t>
    <phoneticPr fontId="12" type="noConversion"/>
  </si>
  <si>
    <t>Assessment</t>
    <phoneticPr fontId="12" type="noConversion"/>
  </si>
  <si>
    <t>Tax Comp.</t>
    <phoneticPr fontId="12" type="noConversion"/>
  </si>
  <si>
    <t>Total RR Adjustment</t>
    <phoneticPr fontId="12" type="noConversion"/>
  </si>
  <si>
    <t>ADIT</t>
    <phoneticPr fontId="12" type="noConversion"/>
  </si>
  <si>
    <t>Working Capital</t>
    <phoneticPr fontId="12" type="noConversion"/>
  </si>
  <si>
    <t>RR Adjustments</t>
    <phoneticPr fontId="12" type="noConversion"/>
  </si>
  <si>
    <t>Total Return</t>
    <phoneticPr fontId="12" type="noConversion"/>
  </si>
  <si>
    <t>Bad Debt</t>
    <phoneticPr fontId="12" type="noConversion"/>
  </si>
  <si>
    <t>PSC Assess.</t>
    <phoneticPr fontId="12" type="noConversion"/>
  </si>
  <si>
    <t>Total Taxes</t>
    <phoneticPr fontId="12" type="noConversion"/>
  </si>
  <si>
    <t xml:space="preserve">  Total</t>
    <phoneticPr fontId="12" type="noConversion"/>
  </si>
  <si>
    <t>Chemicals</t>
    <phoneticPr fontId="12" type="noConversion"/>
  </si>
  <si>
    <t>Electricty</t>
    <phoneticPr fontId="12" type="noConversion"/>
  </si>
  <si>
    <t>Revenues</t>
    <phoneticPr fontId="12" type="noConversion"/>
  </si>
  <si>
    <t>Total AG</t>
    <phoneticPr fontId="12" type="noConversion"/>
  </si>
  <si>
    <t>checks</t>
    <phoneticPr fontId="12" type="noConversion"/>
  </si>
  <si>
    <t>Cost of Service</t>
  </si>
  <si>
    <t>AG Present</t>
    <phoneticPr fontId="12" type="noConversion"/>
  </si>
  <si>
    <t>Changes from Company</t>
    <phoneticPr fontId="12" type="noConversion"/>
  </si>
  <si>
    <t>position at Present Rates</t>
    <phoneticPr fontId="12" type="noConversion"/>
  </si>
  <si>
    <t>Additional Revenues</t>
    <phoneticPr fontId="12" type="noConversion"/>
  </si>
  <si>
    <t>Add'l Bad Debt</t>
    <phoneticPr fontId="12" type="noConversion"/>
  </si>
  <si>
    <t>Factors are based on the weighting of the maximum daily consumption with fire, Factor 3, and the maximum hour consumption, Factor 5, for each customer classification, as follows:</t>
  </si>
  <si>
    <t>Demand*</t>
  </si>
  <si>
    <t>*  Relative Demand for Private Fire lines and hydrants are calculated at 1.5 times the Public Fire Relative</t>
  </si>
  <si>
    <t xml:space="preserve">   Demand.</t>
  </si>
  <si>
    <t>4 -1/4 inch w/ 2-2 1/2, 1-4 1/2</t>
  </si>
  <si>
    <t>5 -1/4 inch w/ 2-2 1/2, 1-4 1/2</t>
  </si>
  <si>
    <t>Factors are based on the allocation of direct labor expense.</t>
  </si>
  <si>
    <t>AND FIRE PROTECTION FUNCTIONS.</t>
  </si>
  <si>
    <t xml:space="preserve">FACTOR 3.  ALLOCATION OF COSTS ASSOCIATED WITH FACILITIES SERVING BASE, MAXIMUM DAY EXTRA CAPACITY </t>
  </si>
  <si>
    <t>The public and private fire protection allocation factors in column 7 on the previous page are based on the relative potential demands (see Schedule E).</t>
  </si>
  <si>
    <t xml:space="preserve">  Total Water Treatment Expenses</t>
  </si>
  <si>
    <t xml:space="preserve">  Total Transmission and Distribution    </t>
  </si>
  <si>
    <t xml:space="preserve">  Total Customers' Accounting and        </t>
  </si>
  <si>
    <t xml:space="preserve">   Collecting Expenses                   </t>
  </si>
  <si>
    <t xml:space="preserve">              Customer Related</t>
  </si>
  <si>
    <t xml:space="preserve">              Water Quality</t>
  </si>
  <si>
    <t xml:space="preserve">              Other</t>
  </si>
  <si>
    <t xml:space="preserve">  Total Administrative and General       </t>
  </si>
  <si>
    <t xml:space="preserve">           Total Depreciation Expense</t>
  </si>
  <si>
    <t>H.S. Pump No. 6,</t>
  </si>
  <si>
    <t>H. S. with Standby Diesel Equipment</t>
  </si>
  <si>
    <t>H.S. Diesel Driven No. 9</t>
  </si>
  <si>
    <t>High Service with Standby</t>
  </si>
  <si>
    <t>H.S. Diesel Driven No. 11</t>
  </si>
  <si>
    <t>H.S. Diesel Driven No. 10</t>
  </si>
  <si>
    <t>Total Maximum Day and Fire</t>
  </si>
  <si>
    <t>Total Horsepower</t>
  </si>
  <si>
    <t>*</t>
  </si>
  <si>
    <t>&gt;12</t>
  </si>
  <si>
    <t>Kentucky American Water Company</t>
  </si>
  <si>
    <t>Case No. 2012-00520</t>
  </si>
  <si>
    <t>Computation of Cost of Capital Adjustments</t>
  </si>
  <si>
    <t>Workpaper SMR-5</t>
  </si>
  <si>
    <t>Exhibit 37, Schedule J-1.1/J-1.2</t>
  </si>
  <si>
    <t>Exhibits\Capital Structure\[Capital Structure 2012.xls]Sch J</t>
  </si>
  <si>
    <t>13 Month</t>
  </si>
  <si>
    <t>Woolridge</t>
  </si>
  <si>
    <t>Company</t>
  </si>
  <si>
    <t>Line</t>
  </si>
  <si>
    <t>Class of</t>
  </si>
  <si>
    <t>Adjusted</t>
  </si>
  <si>
    <t xml:space="preserve"> Debt</t>
  </si>
  <si>
    <t>Difference</t>
  </si>
  <si>
    <t>ROE</t>
  </si>
  <si>
    <t>Pre-tax</t>
  </si>
  <si>
    <t>No.</t>
  </si>
  <si>
    <t>Capital</t>
  </si>
  <si>
    <t>% of Total</t>
  </si>
  <si>
    <t>JDITC</t>
  </si>
  <si>
    <t>Cost Rate</t>
  </si>
  <si>
    <t>WACC</t>
  </si>
  <si>
    <t>Revenues, AG Proposed Rates</t>
    <phoneticPr fontId="12" type="noConversion"/>
  </si>
  <si>
    <t>AG Proposed Increase</t>
    <phoneticPr fontId="12" type="noConversion"/>
  </si>
  <si>
    <t>AG Revenues, Present Rates</t>
    <phoneticPr fontId="12" type="noConversion"/>
  </si>
  <si>
    <t>CWIP - Distribution Mains</t>
  </si>
  <si>
    <t xml:space="preserve"> MAXIMUM DAY EXTRA CAPACITY FUNCTIONS.</t>
  </si>
  <si>
    <t>Factors are based on the weighting of the factors for average daily consumption (Factor 1) and the factors derived from maximum day extra capacity demand for each customer classification, as follows:</t>
  </si>
  <si>
    <t>Deferred Income Taxes</t>
  </si>
  <si>
    <t xml:space="preserve">Deferred Investment Tax Credits </t>
  </si>
  <si>
    <t>Deferred Debits</t>
  </si>
  <si>
    <t xml:space="preserve">     Source of Supply</t>
  </si>
  <si>
    <t>Other Rate Base Elements</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</si>
  <si>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</si>
  <si>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</si>
  <si>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</si>
  <si>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</si>
  <si>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</si>
  <si>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</si>
  <si>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</si>
  <si>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</si>
  <si>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</si>
  <si>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</si>
  <si>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</si>
  <si>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FACTOR 6. ALLOCATION OF COSTS ASSOCIATED WITH POWER AND PUMPING FACILITIES.</t>
  </si>
  <si>
    <t>FACTOR 8. ALLOCATION OF COSTS ASSOCIATED WITH FIRE HYDRANTS.</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</si>
  <si>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</si>
  <si>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</si>
  <si>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</si>
  <si>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</si>
  <si>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</si>
  <si>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</si>
  <si>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</si>
  <si>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</si>
  <si>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</si>
  <si>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</si>
  <si>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</si>
  <si>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</si>
  <si>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</si>
  <si>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</si>
  <si>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</si>
  <si>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</si>
  <si>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</si>
  <si>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</si>
  <si>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</si>
  <si>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</si>
  <si>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</si>
  <si>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</si>
  <si>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</si>
  <si>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</si>
  <si>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</si>
  <si>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</si>
  <si>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</si>
  <si>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</si>
  <si>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</si>
  <si>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</si>
  <si>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</si>
  <si>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</si>
  <si>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</si>
  <si>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</si>
  <si>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TOTAL COS BASIS FOR FACTOR 19</t>
  </si>
  <si>
    <t>FACTOR 19</t>
  </si>
  <si>
    <t>FACTOR 5.  ALLOCATION OF COSTS ASSOCIATED WITH STORAGE FACILITIES.</t>
  </si>
  <si>
    <t>Factors are based on the weighting of the average hourly consumption, the maximum hour extra capacity demand, and the fire protection demand for each customer classification.</t>
  </si>
  <si>
    <t>Costs are assigned directly to Public Fire Protection.</t>
  </si>
  <si>
    <t xml:space="preserve">   Extra Capacity</t>
  </si>
  <si>
    <t>The public and private fire protection allocation factors in column 6 on the previous page are based on the relative potential demands (see Schedule E).</t>
  </si>
  <si>
    <t>AND ENGINEERING AND MISCELLANEOUS EXPENSES.</t>
  </si>
  <si>
    <t>AND ENGINEERING, STRUCTURES AND IMPROVEMENTS, AND OTHER EXPENSES.</t>
  </si>
  <si>
    <t xml:space="preserve"> MISCELLANEOUS INTANGIBLE PLANT AND OTHER RATE BASE ELEMENTS.</t>
  </si>
  <si>
    <t xml:space="preserve">             Total Public Fire Prorection</t>
  </si>
  <si>
    <t>Private Hydrants</t>
  </si>
  <si>
    <t>The weighting of the factors is based on the horsepower of pumps associated with maximum day facilities, maximum day and fire facilities, and maximum hour facilities, as follows:</t>
  </si>
  <si>
    <t>Horsepower</t>
  </si>
  <si>
    <t>of Pumps</t>
  </si>
  <si>
    <t>TO PRIVATE AND PUBLIC FIRE PROTECTION CUSTOMER CLASSIFICATIONS</t>
  </si>
  <si>
    <t xml:space="preserve">   Expenses                              </t>
  </si>
  <si>
    <t xml:space="preserve">  Total Operation and Maintenance        </t>
  </si>
  <si>
    <t>Factors are based on the net charge-offs by customer classification.</t>
  </si>
  <si>
    <t>Net</t>
  </si>
  <si>
    <t>Charge-Offs</t>
  </si>
  <si>
    <t>FACTOR 20. ALLOCATION OF UNCOLLECTIBLE ACCOUNTS</t>
  </si>
  <si>
    <t xml:space="preserve">              AFUDC</t>
  </si>
  <si>
    <t xml:space="preserve">              Acquisition Adjustment</t>
  </si>
  <si>
    <t xml:space="preserve">              Property Losses</t>
  </si>
  <si>
    <t xml:space="preserve">         Total Amortizations</t>
  </si>
  <si>
    <t xml:space="preserve">       Federal and State Payroll Taxes   </t>
  </si>
  <si>
    <t xml:space="preserve">       Property Taxes                    </t>
  </si>
  <si>
    <t xml:space="preserve">Utility Operating Income Available       </t>
  </si>
  <si>
    <t xml:space="preserve"> for Return                              </t>
  </si>
  <si>
    <t xml:space="preserve">     Total Other Water Revenues</t>
  </si>
  <si>
    <t xml:space="preserve">     Total Depreciable Plant Net of Accumulated Depreciation,</t>
  </si>
  <si>
    <t xml:space="preserve">          Contributions and Advances</t>
  </si>
  <si>
    <t>OTHER RATE BASE ELEMENTS</t>
  </si>
  <si>
    <t>Utility Plant Acquisition Adjustments</t>
  </si>
  <si>
    <t>CWIP - Water Treatment Plant and Supply Mains</t>
  </si>
  <si>
    <t>CWIP - Transmission Mains</t>
  </si>
  <si>
    <t>CWIP - Reservoirs and Standpipes</t>
  </si>
  <si>
    <t>Factors are based on the relative cost of services by size and customer classification, as developed on the following page and summarized below.</t>
  </si>
  <si>
    <t>3/4" Dollar</t>
  </si>
  <si>
    <t>old 1997 study</t>
  </si>
  <si>
    <t>Maximum Day</t>
  </si>
  <si>
    <t>Consumption</t>
  </si>
  <si>
    <t>Extra Capacity</t>
  </si>
  <si>
    <t>Weighted</t>
  </si>
  <si>
    <t>Factor 1</t>
  </si>
  <si>
    <t>(2)</t>
  </si>
  <si>
    <t>(3)=(2)x</t>
  </si>
  <si>
    <t>(4)</t>
  </si>
  <si>
    <t>(5)=(4)x</t>
  </si>
  <si>
    <t>(6)=(3)+(5)</t>
  </si>
  <si>
    <t>Factors are based on the weighting of the average daily consumption, the maximum day extra capacity demand, and the fire protection demand for each customer classification.</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</si>
  <si>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</si>
  <si>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</si>
  <si>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</si>
  <si>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</si>
  <si>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</si>
  <si>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</si>
  <si>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</si>
  <si>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</si>
  <si>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Fire Protection</t>
  </si>
  <si>
    <t>Customer</t>
  </si>
  <si>
    <t>(3)=(2) X</t>
  </si>
  <si>
    <t>(5)=(4) X</t>
  </si>
  <si>
    <t>(6)</t>
  </si>
  <si>
    <t>(7)=(6) X</t>
  </si>
  <si>
    <t>(8)=(3)+(5)+(7)</t>
  </si>
  <si>
    <t>Maximum Hour</t>
  </si>
  <si>
    <t>Average Hourly Consumption</t>
  </si>
  <si>
    <t>(4)=(3) X</t>
  </si>
  <si>
    <t>(6)=(5) X</t>
  </si>
  <si>
    <t>(7)</t>
  </si>
  <si>
    <t>(8)=(7) X</t>
  </si>
  <si>
    <t>(9)=(4)+(6)+(8)</t>
  </si>
  <si>
    <t>FACTOR 7. ALLOCATION OF COSTS ASSOCIATED WITH TRANSMISSION AND DISTRIBUTION MAINS.</t>
  </si>
  <si>
    <t>FACTOR 11.  ALLOCATION OF TRANSMISSION AND DISTRIBUTION OPERATION SUPERVISION</t>
  </si>
  <si>
    <t>FACTOR 12.  ALLOCATION OF TRANSMISSION AND DISTRIBUTION MAINTENANCE SUPERVISION</t>
  </si>
  <si>
    <t>FACTOR 13.  ALLOCATION OF BILLING AND COLLECTING COSTS.</t>
  </si>
  <si>
    <t>FACTOR 14.  ALLOCATION OF METER READING COSTS.</t>
  </si>
  <si>
    <t xml:space="preserve">FACTOR 17.  ALLOCATION OF ORGANIZATION, FRANCHISES AND CONSENTS, </t>
  </si>
  <si>
    <t>FACTOR 18.  ALLOCATION OF INCOME TAXES AND INCOME AVAILABLE FOR RETURN.</t>
  </si>
  <si>
    <t>FACTOR 19.  ALLOCATION OF REGULATORY COMMISSION EXPENSES, ASSESSMENTS AND</t>
  </si>
  <si>
    <t>FACTOR 11</t>
  </si>
  <si>
    <t>FACTOR 12</t>
  </si>
  <si>
    <t>FACTOR 15</t>
  </si>
  <si>
    <t>T&amp;D OP BASIS FOR FACTOR 11</t>
  </si>
  <si>
    <t>T&amp;D Mnt BASIS FOR FACTOR 12</t>
  </si>
  <si>
    <t>A&amp;G BASIS FOR FACTOR 15</t>
  </si>
  <si>
    <t>LABOR BASIS FOR FACTOR 16</t>
  </si>
  <si>
    <t>FACTOR 16</t>
  </si>
  <si>
    <t>UPIS BASIS FOR FACTOR 17</t>
  </si>
  <si>
    <t>FACTOR 17</t>
  </si>
  <si>
    <t>FACTOR 18</t>
  </si>
  <si>
    <t>RATE BASE BASIS FOR FACTOR 18</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</si>
  <si>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</si>
  <si>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</si>
  <si>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</si>
  <si>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</si>
  <si>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</si>
  <si>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</si>
  <si>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</si>
  <si>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</si>
  <si>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</si>
  <si>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(5)=(4)X</t>
  </si>
  <si>
    <t>(7)=(6)X</t>
  </si>
  <si>
    <t>(8)=(3)+</t>
  </si>
  <si>
    <t>(5)+(7)</t>
  </si>
  <si>
    <t>Func.</t>
  </si>
  <si>
    <t>base</t>
  </si>
  <si>
    <t>max day</t>
  </si>
  <si>
    <t>max hour</t>
  </si>
  <si>
    <t>private fire</t>
  </si>
  <si>
    <t>public fire</t>
  </si>
  <si>
    <t xml:space="preserve">CUSTOMER ACCOUNTS                        </t>
  </si>
  <si>
    <t>Amount</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</si>
  <si>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</si>
  <si>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</si>
  <si>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</si>
  <si>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</si>
  <si>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</si>
  <si>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</si>
  <si>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</si>
  <si>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</si>
  <si>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</si>
  <si>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</si>
  <si>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</si>
  <si>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</si>
  <si>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</si>
  <si>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</si>
  <si>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</si>
  <si>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</si>
  <si>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</si>
  <si>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</si>
  <si>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</si>
  <si>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</si>
  <si>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</si>
  <si>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</si>
  <si>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</si>
  <si>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</si>
  <si>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</si>
  <si>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Table of Factors - Table Name "FACTORS"</t>
  </si>
  <si>
    <t>factor 3</t>
  </si>
  <si>
    <t>factor 4</t>
  </si>
  <si>
    <t>factor 2</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</si>
  <si>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</si>
  <si>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</si>
  <si>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</si>
  <si>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</si>
  <si>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</si>
  <si>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</si>
  <si>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</si>
  <si>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</si>
  <si>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</si>
  <si>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</si>
  <si>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</si>
  <si>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</si>
  <si>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</si>
  <si>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</si>
  <si>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</si>
  <si>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</si>
  <si>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</si>
  <si>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</si>
  <si>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7/17</t>
  </si>
  <si>
    <t>Other Public Authority</t>
  </si>
  <si>
    <t>Other Water Utilities</t>
  </si>
  <si>
    <t>Private Fire Protection</t>
  </si>
  <si>
    <t>Public Fire Protection</t>
  </si>
  <si>
    <t xml:space="preserve">   Total</t>
  </si>
  <si>
    <t>FACTOR 2.  ALLOCATION OF COSTS ASSOCIATED WITH FACILITIES SERVING BASE AND</t>
  </si>
  <si>
    <t>Service</t>
  </si>
  <si>
    <t>Dollar</t>
  </si>
  <si>
    <t>Size</t>
  </si>
  <si>
    <t>Equivalent</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</si>
  <si>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</si>
  <si>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</si>
  <si>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</si>
  <si>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</si>
  <si>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</si>
  <si>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</si>
  <si>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</si>
  <si>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</si>
  <si>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</si>
  <si>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</si>
  <si>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</si>
  <si>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</si>
  <si>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</si>
  <si>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Total Metered</t>
  </si>
  <si>
    <t>OFFICE STRUCTURES</t>
  </si>
  <si>
    <t>STORES, SHOP &amp; GAR STRUCT</t>
  </si>
  <si>
    <t>MISC STRUCTURES</t>
  </si>
  <si>
    <t>OFFICE FURNITURE &amp; EQUIP</t>
  </si>
  <si>
    <t>MAINFRAME COMP &amp; PERIPH EQPT</t>
  </si>
  <si>
    <t>PERSONAL COMP &amp; PERIPH EQPT</t>
  </si>
  <si>
    <t>COMP &amp; PERIPH OTHER</t>
  </si>
  <si>
    <t>PERSONAL COMP SOFTWARE</t>
  </si>
  <si>
    <t>OTHER SOFTWARE</t>
  </si>
  <si>
    <t>OTHER OFFICE EQUIPMENT</t>
  </si>
  <si>
    <t>TRANS EQUIP - LIGHT TRUCKS</t>
  </si>
  <si>
    <t>TRANS EQUIP - HEAVY TRUCKS</t>
  </si>
  <si>
    <t>TRANS EQUIP - CARS</t>
  </si>
  <si>
    <t>OTHER TRANS EQUIP</t>
  </si>
  <si>
    <t>STORES EQUIPMENT</t>
  </si>
  <si>
    <t>TOOLS, SHOP, &amp; GARAGE EQUIP</t>
  </si>
  <si>
    <t>LABORATORY EQUIPMENT</t>
  </si>
  <si>
    <t>POWER OPERATED EQUIPMENT</t>
  </si>
  <si>
    <t>COMMUNICATION EQUIPMENT-non telephone</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</si>
  <si>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</si>
  <si>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</si>
  <si>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</si>
  <si>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</si>
  <si>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</si>
  <si>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</si>
  <si>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</si>
  <si>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</si>
  <si>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</si>
  <si>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</si>
  <si>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</si>
  <si>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</si>
  <si>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</si>
  <si>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</si>
  <si>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</si>
  <si>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</si>
  <si>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</si>
  <si>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</si>
  <si>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</si>
  <si>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</si>
  <si>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</si>
  <si>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</si>
  <si>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Factors are based on the allocation of the original cost measure of value rate base as shown on the following pages and summarized below.</t>
  </si>
  <si>
    <t>Cost Measure</t>
  </si>
  <si>
    <t>of Value</t>
  </si>
  <si>
    <t xml:space="preserve">     Total Other Rate Base Elements</t>
  </si>
  <si>
    <t>Factors are based on the weighting of the maximum daily consumption, Factor 2, the maximum daily consumption with fire, Factor 3, and the maximum hour consumption, Factor 4, for each customer classification, as follows:</t>
  </si>
  <si>
    <t>Maximum Daily</t>
  </si>
  <si>
    <t>Maximum Hourly</t>
  </si>
  <si>
    <t>Factor 2</t>
  </si>
  <si>
    <t>Factor 3</t>
  </si>
  <si>
    <t>Factor 4</t>
  </si>
  <si>
    <t>(3)=(2)X</t>
  </si>
  <si>
    <t xml:space="preserve">ADMINISTRATIVE AND GENERAL EXPENSES      </t>
  </si>
  <si>
    <t>6/8</t>
  </si>
  <si>
    <t>Thousand Gallons</t>
  </si>
  <si>
    <t>Thousand</t>
  </si>
  <si>
    <t>(a) Includes Other Water Revenue.</t>
  </si>
  <si>
    <t xml:space="preserve">Purchased Water                    </t>
  </si>
  <si>
    <t>Purchased Power</t>
  </si>
  <si>
    <t xml:space="preserve">Miscellaneous Expenses             </t>
  </si>
  <si>
    <t xml:space="preserve">Rents                              </t>
  </si>
  <si>
    <t>Rents</t>
  </si>
  <si>
    <t xml:space="preserve">Supervision and Engineering        </t>
  </si>
  <si>
    <t xml:space="preserve">Chemicals                          </t>
  </si>
  <si>
    <t xml:space="preserve">Uncollectible Accounts             </t>
  </si>
  <si>
    <t xml:space="preserve"> Administrative &amp; General Salaries  </t>
  </si>
  <si>
    <t xml:space="preserve">Outside Services   </t>
  </si>
  <si>
    <t xml:space="preserve">Workers Compensation               </t>
  </si>
  <si>
    <t xml:space="preserve">Employee Pensions and Benefits     </t>
  </si>
  <si>
    <t xml:space="preserve">Regulatory Expenses                </t>
  </si>
  <si>
    <t>Factor 6</t>
  </si>
  <si>
    <t>1,000 Gallons</t>
  </si>
  <si>
    <t>&amp; Distribution</t>
  </si>
  <si>
    <t>Factors are based on the allocation of all other operation and maintenance expenses excluding purchased water, power, chemicals and waste disposal.</t>
  </si>
  <si>
    <t>(Schedule B)</t>
  </si>
  <si>
    <t>Year</t>
  </si>
  <si>
    <t>(MGD)</t>
  </si>
  <si>
    <t>Check</t>
  </si>
  <si>
    <t>Sch A</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</si>
  <si>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</si>
  <si>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</si>
  <si>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</si>
  <si>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</si>
  <si>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</si>
  <si>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</si>
  <si>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OTHE P/E INTANGIBLES</t>
  </si>
  <si>
    <t>OTHER P/E COMPREHENSIVE STUDIES</t>
  </si>
  <si>
    <t>|...+....1....+....2....+....3....+....4....+....5....+....6....+....7....+....8....+....9....+...10....+...11....+...12....+...13....+...14....+...15....+...16....+...17....+...18....+...19....+...20....+...21....+...22....+...23....+...</t>
  </si>
  <si>
    <t>BASIS FOR ALLOCATING SERVICE COSTS TO CUSTOMER CLASSIFICATIONS</t>
  </si>
  <si>
    <t>3/4"</t>
  </si>
  <si>
    <t>Sales for Resale</t>
  </si>
  <si>
    <t>Sales for</t>
  </si>
  <si>
    <t>Resale</t>
  </si>
  <si>
    <t xml:space="preserve">Other Water Utilities      </t>
  </si>
  <si>
    <t>Total</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</si>
  <si>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</si>
  <si>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</si>
  <si>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</si>
  <si>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</si>
  <si>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</si>
  <si>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</si>
  <si>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</si>
  <si>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</si>
  <si>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</si>
  <si>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</si>
  <si>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</si>
  <si>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</si>
  <si>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</si>
  <si>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</si>
  <si>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</si>
  <si>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</si>
  <si>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</si>
  <si>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</si>
  <si>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</si>
  <si>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</si>
  <si>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</si>
  <si>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METER INSTALLATIONS</t>
  </si>
  <si>
    <t>METER VAULTS</t>
  </si>
  <si>
    <t>HYDRANTS</t>
  </si>
  <si>
    <t>OFFICE STRUCTURES AG</t>
  </si>
  <si>
    <t xml:space="preserve">Transportation Equip-Cars         </t>
  </si>
  <si>
    <t xml:space="preserve">Transportation Equip-Other        </t>
  </si>
  <si>
    <t xml:space="preserve">Stores Equipment                  </t>
  </si>
  <si>
    <t xml:space="preserve">Tools, Shop &amp; Garage Equipment    </t>
  </si>
  <si>
    <t xml:space="preserve">Laboratory Equipment              </t>
  </si>
  <si>
    <t xml:space="preserve">Power Operated Equipment          </t>
  </si>
  <si>
    <t xml:space="preserve">Communication Equipment           </t>
  </si>
  <si>
    <t xml:space="preserve">Miscellaneous Equipment           </t>
  </si>
  <si>
    <t xml:space="preserve">Other Tangible Property           </t>
  </si>
  <si>
    <t>AMORTIZATION EXPENSE</t>
  </si>
  <si>
    <t xml:space="preserve">TAXES, OTHER THAN INCOME           </t>
  </si>
  <si>
    <t xml:space="preserve">INCOME TAXES                       </t>
  </si>
  <si>
    <t>Contracted Services</t>
  </si>
  <si>
    <t>666.8-667.8</t>
  </si>
  <si>
    <t>COMMUNICATION EQUIPMENT-instrumentation</t>
  </si>
  <si>
    <t>COMMUNICATION EQUIPMENT</t>
  </si>
  <si>
    <t>MISC EQUIPMENT</t>
  </si>
  <si>
    <t>OTHER TANGIBLE PROPERTY</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</si>
  <si>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</si>
  <si>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</si>
  <si>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</si>
  <si>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</si>
  <si>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</si>
  <si>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</si>
  <si>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</si>
  <si>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</si>
  <si>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</si>
  <si>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</si>
  <si>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</si>
  <si>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</si>
  <si>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</si>
  <si>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</si>
  <si>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</si>
  <si>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</si>
  <si>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</si>
  <si>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</si>
  <si>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</si>
  <si>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</si>
  <si>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</si>
  <si>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</si>
  <si>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</si>
  <si>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</si>
  <si>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</si>
  <si>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</si>
  <si>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</si>
  <si>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</si>
  <si>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</si>
  <si>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</si>
  <si>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</si>
  <si>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CALCULATION OF MONTHLY SERVICE CHARGES</t>
  </si>
  <si>
    <t>Number</t>
  </si>
  <si>
    <t>Cost Per Unit</t>
  </si>
  <si>
    <t>Cost Function</t>
  </si>
  <si>
    <t>of Units</t>
  </si>
  <si>
    <t>Per Month</t>
  </si>
  <si>
    <t>5/8-inch meter equivalents</t>
  </si>
  <si>
    <t>3/4-inch service equivalents</t>
  </si>
  <si>
    <t>Billing &amp; Collecting</t>
  </si>
  <si>
    <t>-inch</t>
  </si>
  <si>
    <t>Total Private Fire Protection</t>
  </si>
  <si>
    <t>PUBLIC FIRE PROTECTION</t>
  </si>
  <si>
    <t xml:space="preserve"> Total Fire Protection</t>
  </si>
  <si>
    <t xml:space="preserve"> Sales of Water                          </t>
  </si>
  <si>
    <t xml:space="preserve">Total Cost of Service Related to         </t>
  </si>
  <si>
    <t xml:space="preserve">    Total Cost of Service                </t>
  </si>
  <si>
    <t xml:space="preserve">         Total Taxes, Other Than Income  </t>
  </si>
  <si>
    <t xml:space="preserve">                                         </t>
  </si>
  <si>
    <t>Uncollectible</t>
  </si>
  <si>
    <t>Accounts</t>
  </si>
  <si>
    <t>Ratio to Ave Day</t>
  </si>
  <si>
    <t>SUMMARY OF AVERAGE DAY AND PEAK DAY DELIVERY FOR THE YEARS 1990-2011</t>
  </si>
  <si>
    <t xml:space="preserve">Labor - Structures and Improvements                      </t>
  </si>
  <si>
    <t>Labor - Reservoirs and Standpipes</t>
  </si>
  <si>
    <t>Labor - Mains</t>
  </si>
  <si>
    <t>Labor - Meters</t>
  </si>
  <si>
    <t>Labor - Hydrants</t>
  </si>
  <si>
    <t>Labor - Meter Reading</t>
  </si>
  <si>
    <t>Labor - Customer Accounts</t>
  </si>
  <si>
    <t xml:space="preserve">       ITC</t>
  </si>
  <si>
    <t>Misc. Operatiing</t>
  </si>
  <si>
    <t>DA</t>
  </si>
  <si>
    <t>Power Generation Equipment</t>
  </si>
  <si>
    <t xml:space="preserve">Hydraulic Pumping Equipment          </t>
  </si>
  <si>
    <t>SOS and Pumping Equipment</t>
  </si>
  <si>
    <t>T &amp; D Pumping Equipment</t>
  </si>
  <si>
    <t>Communication Equipment - Non-Telephone</t>
  </si>
  <si>
    <t>Remote Control and Instrument</t>
  </si>
  <si>
    <t xml:space="preserve">Miscellaneous General Expense      </t>
  </si>
  <si>
    <t xml:space="preserve">Other P/E Intangibles             </t>
  </si>
  <si>
    <t>Kentucky-American Water Company</t>
  </si>
  <si>
    <t>Cost of Service Study Data - UPIS</t>
  </si>
  <si>
    <t>KAWC</t>
  </si>
  <si>
    <t>UPIS</t>
  </si>
  <si>
    <t>ACCUM DEPREC</t>
  </si>
  <si>
    <t>CIAC AND ADV</t>
  </si>
  <si>
    <t>TOTAL</t>
  </si>
  <si>
    <t xml:space="preserve">              Employee Related</t>
  </si>
  <si>
    <t>ORGANIZATION</t>
  </si>
  <si>
    <t>FRANCHISE/CONSENTS</t>
  </si>
  <si>
    <t>SS STRUCTURES &amp; IMPROVEMENTS</t>
  </si>
  <si>
    <t>COLL &amp; IMPOUNDING RESERV</t>
  </si>
  <si>
    <t>LAKE, RIVER, &amp; OTHER INTAKES</t>
  </si>
  <si>
    <t>WELLS &amp; SPRINGS</t>
  </si>
  <si>
    <t>SUPPLY MAINS</t>
  </si>
  <si>
    <t>PUMPING LAND &amp; LAND RIGHTS</t>
  </si>
  <si>
    <t>PUMPING STRUCTURES &amp; IMPROVEMENTS</t>
  </si>
  <si>
    <t>ELECTRIC PUMPING EQUIPMENT</t>
  </si>
  <si>
    <t>DIESEL PUMPING EQUIPMENT</t>
  </si>
  <si>
    <t>Pump Equip Hydraulic</t>
  </si>
  <si>
    <t>OTHER PUMPING EQUIPMENT</t>
  </si>
  <si>
    <t>PUMPING EQUIPMENT SS</t>
  </si>
  <si>
    <t>PUMPING EQUIPMENT TD</t>
  </si>
  <si>
    <t>LAND AND LAND RIGHTS</t>
  </si>
  <si>
    <t>WT STRUCTURES &amp; IMPROVMNT</t>
  </si>
  <si>
    <t>WATER TREATMENT EQUIPMENT</t>
  </si>
  <si>
    <t>WATER TREATMENT EQUIPMENT-STR</t>
  </si>
  <si>
    <t xml:space="preserve">Services                          </t>
  </si>
  <si>
    <t xml:space="preserve">Meters                            </t>
  </si>
  <si>
    <t xml:space="preserve">Meter Installations               </t>
  </si>
  <si>
    <t>Hydrants</t>
  </si>
  <si>
    <t xml:space="preserve">General Structures &amp; Improvements </t>
  </si>
  <si>
    <t xml:space="preserve"> Office Structures                 </t>
  </si>
  <si>
    <t>Stores Shop and Gar. Structures</t>
  </si>
  <si>
    <t>WATER TREATMENT EQUIPMENT-FILTER MEDIA</t>
  </si>
  <si>
    <t>T &amp; D LAND &amp; RIGHTS OF WAY</t>
  </si>
  <si>
    <t>T &amp; D STRUCTURES &amp; IMP</t>
  </si>
  <si>
    <t>DIST RES &amp; STANDPIPES</t>
  </si>
  <si>
    <t>Elevated Tanks &amp; Standpipes</t>
  </si>
  <si>
    <t>GROUND LEVEL FACILITIES</t>
  </si>
  <si>
    <t>Clearwell</t>
  </si>
  <si>
    <t>SERVICES</t>
  </si>
  <si>
    <t>METERS</t>
  </si>
  <si>
    <t>METERS - BRONZE CASE</t>
  </si>
  <si>
    <t>METERS - PLASTIC CASE</t>
  </si>
  <si>
    <t>METERS - OTHER</t>
  </si>
  <si>
    <t xml:space="preserve">Other Office Equipment            </t>
  </si>
  <si>
    <t xml:space="preserve">Transportation Equip-Light Trucks </t>
  </si>
  <si>
    <t xml:space="preserve">Transportation Equip-Heavy Trucks </t>
  </si>
  <si>
    <t>The weighting of the factors is based on the ratio of the capacity required for a 10 hour demand of fire flow, as related to total storage capacity.</t>
  </si>
  <si>
    <t>Materials and Supplies</t>
  </si>
  <si>
    <t>Deferred Maintenance - Tank Painting</t>
  </si>
  <si>
    <t xml:space="preserve">       Other Taxes and Licenses     </t>
  </si>
  <si>
    <t>Shipping and Postage</t>
  </si>
  <si>
    <t>ADVANCES</t>
  </si>
  <si>
    <t xml:space="preserve">Less:  Misc. Service      </t>
  </si>
  <si>
    <t xml:space="preserve">           Rent</t>
  </si>
  <si>
    <t xml:space="preserve">           Rent I/C</t>
  </si>
  <si>
    <t xml:space="preserve">           NSF Return Check Charge</t>
  </si>
  <si>
    <t xml:space="preserve">           Late Payment Fee</t>
  </si>
  <si>
    <t>Water Treat Filter Media</t>
  </si>
  <si>
    <t>Computer Software - Special - CIS</t>
  </si>
  <si>
    <t>Insurance - Liability, Vehicle and Other</t>
  </si>
  <si>
    <t>Factors are based on the allocation of operation and maintenance expenses including purchased water, power, chemicals, waste disposal, and administrative and general expenses.</t>
  </si>
  <si>
    <t xml:space="preserve">     Total Plant in Service, Net of Accumulated</t>
  </si>
  <si>
    <t xml:space="preserve">        Depreciation, Contributions and Advances</t>
  </si>
  <si>
    <t xml:space="preserve">           AFUDC</t>
  </si>
  <si>
    <t xml:space="preserve">           Reconnection/Activation - T&amp;D Related</t>
  </si>
  <si>
    <t>(a)</t>
  </si>
  <si>
    <t xml:space="preserve"> OTHER WATER REVENUES.</t>
  </si>
  <si>
    <t>Software Licenses</t>
  </si>
  <si>
    <t>COMPARISON OF PRESENT AND PROPOSED RATES</t>
  </si>
  <si>
    <t>Meter Charges, Per Month:</t>
  </si>
  <si>
    <t>Present</t>
  </si>
  <si>
    <t>Proposed</t>
  </si>
  <si>
    <t>Rate</t>
  </si>
  <si>
    <t>3/4</t>
  </si>
  <si>
    <t>Per Thousand Gallons</t>
  </si>
  <si>
    <t>Per CCF</t>
  </si>
  <si>
    <t>Consumption Charges:</t>
  </si>
  <si>
    <t>Fire Protection:</t>
  </si>
  <si>
    <t>Line Size</t>
  </si>
  <si>
    <t>PrivateFire Hydrant</t>
  </si>
  <si>
    <t>Public Fire Hydrant</t>
  </si>
  <si>
    <t>Electricity WT</t>
  </si>
  <si>
    <t>Electricity TD</t>
  </si>
  <si>
    <t>Electricity AG</t>
  </si>
  <si>
    <t>Heating Oil/Gas TD</t>
  </si>
  <si>
    <t>Heating Oil/Gas AG</t>
  </si>
  <si>
    <t>Janitorial P</t>
  </si>
  <si>
    <t>Janitorial WT</t>
  </si>
  <si>
    <t>Janitorial AG</t>
  </si>
  <si>
    <t>Add'l Security Costs</t>
  </si>
  <si>
    <t>Trash Removal SS</t>
  </si>
  <si>
    <t>Trash Removal WT</t>
  </si>
  <si>
    <t>Trash Removal TD</t>
  </si>
  <si>
    <t>Trash Removal AG</t>
  </si>
  <si>
    <t>Number of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</si>
  <si>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</si>
  <si>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</si>
  <si>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</si>
  <si>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</si>
  <si>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</si>
  <si>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</si>
  <si>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</si>
  <si>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</si>
  <si>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</si>
  <si>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</si>
  <si>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</si>
  <si>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</si>
  <si>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Public fire</t>
  </si>
  <si>
    <t>private Fire</t>
  </si>
  <si>
    <t>Telephone CA</t>
  </si>
  <si>
    <t>Telephone AG</t>
  </si>
  <si>
    <t>Cell Phone WT</t>
  </si>
  <si>
    <t>Cell Phone TD</t>
  </si>
  <si>
    <t>Cell Phone CA</t>
  </si>
  <si>
    <t>Cell Phone AG</t>
  </si>
  <si>
    <t xml:space="preserve">           Application/Initiation Fee</t>
  </si>
  <si>
    <t>Labor Expense</t>
  </si>
  <si>
    <t>Labor</t>
  </si>
  <si>
    <t xml:space="preserve">Labor - Lines                        </t>
  </si>
  <si>
    <t xml:space="preserve">Labor - Meters                     </t>
  </si>
  <si>
    <t>Labor - Services</t>
  </si>
  <si>
    <t xml:space="preserve">The weighting of the factors is based on the potential demand of general and fire protection service.  The bases for the potential demand of general service are the maximum day ratio of 1.65 and the average daily system sendout for year ending 9/30/2012 of 39.283 MGD.  The system demand for fire protection is 10,000 Gallons per minute for 10 hours.    </t>
  </si>
  <si>
    <t>Communication Equipment - Telephone</t>
  </si>
  <si>
    <t xml:space="preserve">Land and Land Rights              </t>
  </si>
  <si>
    <t xml:space="preserve">Source of Supply Struct &amp; Improv  </t>
  </si>
  <si>
    <t xml:space="preserve">Collecting &amp; Impounding Reservoirs </t>
  </si>
  <si>
    <t xml:space="preserve">Lake, River and Other Intakes     </t>
  </si>
  <si>
    <t xml:space="preserve">Wells and Springs                 </t>
  </si>
  <si>
    <t xml:space="preserve">Supply Mains                      </t>
  </si>
  <si>
    <t xml:space="preserve">Pumping Structures &amp; Improvements </t>
  </si>
  <si>
    <t xml:space="preserve">Other Power Production Equipment  </t>
  </si>
  <si>
    <t xml:space="preserve">Electric Pumping Equipment        </t>
  </si>
  <si>
    <t xml:space="preserve">Diesel Pumping Equipment          </t>
  </si>
  <si>
    <t>LAND AND LAND RIGHTS SS</t>
  </si>
  <si>
    <t xml:space="preserve">Franchise and Consents            </t>
  </si>
  <si>
    <t xml:space="preserve">Other Pumping Equipment           </t>
  </si>
  <si>
    <t xml:space="preserve">Water Treat Structures &amp; Improv   </t>
  </si>
  <si>
    <t xml:space="preserve">Water Treat and Equipment         </t>
  </si>
  <si>
    <t>GAC</t>
  </si>
  <si>
    <t xml:space="preserve">T &amp; D Structures &amp; Improvements   </t>
  </si>
  <si>
    <t xml:space="preserve">Distrib. Reservoirs &amp; Standpipes  </t>
  </si>
  <si>
    <t xml:space="preserve">Transmission &amp; Distribution Mains </t>
  </si>
  <si>
    <t>Land and Land Rights - T&amp;D</t>
  </si>
  <si>
    <t>Pumping Equipment - WT</t>
  </si>
  <si>
    <t xml:space="preserve">  Not Classified</t>
  </si>
  <si>
    <t xml:space="preserve">  6 inch to 8 inch</t>
  </si>
  <si>
    <t xml:space="preserve">  10 inch to 16 inch</t>
  </si>
  <si>
    <t xml:space="preserve">  4 inch or less</t>
  </si>
  <si>
    <t xml:space="preserve">  18 inch or Greater</t>
  </si>
  <si>
    <t xml:space="preserve">Fire Hydrants                     </t>
  </si>
  <si>
    <t xml:space="preserve">Office Structures                 </t>
  </si>
  <si>
    <t xml:space="preserve"> Miscellaneous Structures &amp; Improv </t>
  </si>
  <si>
    <t xml:space="preserve">Office Furniture and Equipment    </t>
  </si>
  <si>
    <t xml:space="preserve">Computers &amp; Peripheral Equipment  </t>
  </si>
  <si>
    <t>Personal Comp and Periph</t>
  </si>
  <si>
    <t>Computers and Periph Other</t>
  </si>
  <si>
    <t xml:space="preserve">Computer Mainframe Software                 </t>
  </si>
  <si>
    <t xml:space="preserve">Personal software    </t>
  </si>
  <si>
    <t>Other Software</t>
  </si>
  <si>
    <t>The weighting of the factors is based on the potential demand of general and fire protection service.  The bases for the potential demand of general service are the maximum hour ratio of 2.5 and the average daily system sendout for the  year ending 9/30/2012 of 39.283 MGD.  The system demand for fire protection is 10,000 gallons per minute.</t>
  </si>
  <si>
    <t>COST OF SERVICE FOR THE TWELVE MONTHS ENDED JULY 31, 2014, ALLOCATED TO FUNCTIONAL CLASSIFICATIONS</t>
  </si>
  <si>
    <t>The weighting of the factors is based on the maximum day ratio of 1.65, based on a review of maximum day ratios experienced during the period 1990 through 2011 (see Schedule D).</t>
  </si>
  <si>
    <t>DEVELOPER</t>
  </si>
  <si>
    <t>Total Maximum Hour - Boosters</t>
  </si>
  <si>
    <t>Other P/E Treatment</t>
  </si>
  <si>
    <t>656.8-659.8</t>
  </si>
  <si>
    <t xml:space="preserve">       Utility Reg Assessment         </t>
  </si>
  <si>
    <t>M&amp;S Operation</t>
  </si>
  <si>
    <t xml:space="preserve">M&amp;S Maint           </t>
  </si>
  <si>
    <t>M&amp;S Maint.</t>
  </si>
  <si>
    <t>632.8-636.8</t>
  </si>
  <si>
    <t>Contracted Services - Lab Testing</t>
  </si>
  <si>
    <t>Misc. Operating Expense</t>
  </si>
  <si>
    <t>Misc Operating Expense</t>
  </si>
  <si>
    <t>Injuries and Damages</t>
  </si>
  <si>
    <t>Low Income Pay Program</t>
  </si>
  <si>
    <t>Lab Supplies</t>
  </si>
  <si>
    <t>Transportation</t>
  </si>
  <si>
    <t>Bank Svc Charges-CA</t>
  </si>
  <si>
    <t>Cust Edu-Bill Insert</t>
  </si>
  <si>
    <t>Collection Agencies</t>
  </si>
  <si>
    <t>Forms CA</t>
  </si>
  <si>
    <t>Postage</t>
  </si>
  <si>
    <t>Employee Related Expense</t>
  </si>
  <si>
    <t>Office Supplies</t>
  </si>
  <si>
    <t>Office Supplies and Uniforms</t>
  </si>
  <si>
    <t>Overnight Shipping</t>
  </si>
  <si>
    <t>Office Supplies, Uniforms and Shipping</t>
  </si>
  <si>
    <t>M&amp;S Maint WT</t>
  </si>
  <si>
    <t>Misc Maint TD</t>
  </si>
  <si>
    <t>Misc Maint AG</t>
  </si>
  <si>
    <t>Amort Def Maint WT</t>
  </si>
  <si>
    <t>Amort Def Maint TD</t>
  </si>
  <si>
    <t>Misc Main Pvg/Bckfll</t>
  </si>
  <si>
    <t xml:space="preserve">Land and Land Rights - SS         </t>
  </si>
  <si>
    <t>COMPARISON OF AG COST OF SERVICE WITH REVENUES UNDER PRESENT AND AG PROPOSED RATES</t>
    <phoneticPr fontId="12" type="noConversion"/>
  </si>
  <si>
    <t>Computer Software - Special - Other</t>
  </si>
  <si>
    <t xml:space="preserve">     Deferred Debits Source of Supply</t>
  </si>
  <si>
    <t>9/23</t>
  </si>
  <si>
    <t>updated 2010 for number of 1" service lines serving two customers - see Linda Bridwell email of 12/2/2012.</t>
  </si>
  <si>
    <t>*Adjusted to reflect that approximately 34,570 residential customers are served by 1-inch service lines each serving two residences.</t>
  </si>
  <si>
    <t>Year Ending 9/30/2012</t>
  </si>
  <si>
    <t>COST OF SERVICE FOR THE TWELVE MONTHS ENDED JULY 31, 2014, ALLOCATED TO CUSTOMER CLASSIFICATIONS</t>
  </si>
  <si>
    <t>FOR THE TEST YEAR ENDED JULY 31, 2014</t>
  </si>
  <si>
    <t>Waste Disposal</t>
  </si>
  <si>
    <t>Computer Equipment and Software</t>
  </si>
  <si>
    <t>Transportation Equip</t>
  </si>
  <si>
    <t>Pumping Equipment  - T&amp;D</t>
  </si>
  <si>
    <t>NET ACCUM DEPR</t>
  </si>
  <si>
    <t>The weighting of the factors is based on the ratio of the capacity required for a 10 hour demand of fire flow, as related to total storage capacity.  The calculation is shown on the following page.</t>
  </si>
  <si>
    <t>Add'l</t>
    <phoneticPr fontId="12" type="noConversion"/>
  </si>
  <si>
    <t>Hydrants</t>
    <phoneticPr fontId="12" type="noConversion"/>
  </si>
  <si>
    <t>Usage</t>
    <phoneticPr fontId="12" type="noConversion"/>
  </si>
  <si>
    <t>Subtotal</t>
    <phoneticPr fontId="12" type="noConversion"/>
  </si>
  <si>
    <t>Fire % per Company Study</t>
    <phoneticPr fontId="12" type="noConversion"/>
  </si>
  <si>
    <t>Fire Usage per AG</t>
    <phoneticPr fontId="12" type="noConversion"/>
  </si>
  <si>
    <t>Split Private &amp; Public</t>
  </si>
  <si>
    <t>Water &amp; WW SS</t>
  </si>
  <si>
    <t>Water &amp; WW WT</t>
  </si>
  <si>
    <t>Water &amp; WW AG</t>
  </si>
  <si>
    <t>Telephone WT</t>
  </si>
  <si>
    <t>POWER GENERATION EQUIPMENT</t>
  </si>
  <si>
    <t>T &amp; D MAINS - 4IN OR LESS</t>
  </si>
  <si>
    <t>T &amp; D MAINS - NOT CLASSIFIED</t>
  </si>
  <si>
    <t>T &amp; D MAINS - 6IN TO 8IN</t>
  </si>
  <si>
    <t>T &amp; D MAINS - 10IN TO 16 IN</t>
  </si>
  <si>
    <t>T &amp; D MAINS - 18IN OR GREATER</t>
  </si>
  <si>
    <t>METER READING UNITS</t>
  </si>
  <si>
    <t>COMPUTER SOFTWARE</t>
  </si>
  <si>
    <t>COMPUTER SOFTWARE - CUSTOMIZED</t>
  </si>
  <si>
    <t>COMPUTER SOFTWARE - SPECIAL</t>
  </si>
  <si>
    <t>OTHE P/E TREATMENT</t>
  </si>
  <si>
    <t>AND COR</t>
  </si>
  <si>
    <t>PUMPING EQUIPMENT WT</t>
  </si>
  <si>
    <t>WW STRUCTURE AND IMPROV</t>
  </si>
  <si>
    <t xml:space="preserve">Support Services   </t>
  </si>
  <si>
    <t>CWIP - Pumping</t>
  </si>
  <si>
    <t xml:space="preserve">Organization                      </t>
  </si>
  <si>
    <t xml:space="preserve">Collecting &amp;Impounding Reservoirs </t>
  </si>
  <si>
    <t>Pumping Land &amp; Land Rights</t>
  </si>
  <si>
    <t>Hydraulic Pumping Equipement</t>
  </si>
  <si>
    <t>Other Pumping Equipment</t>
  </si>
  <si>
    <t>Pumping Equipment - SS</t>
  </si>
  <si>
    <t>Land and Land Rights</t>
  </si>
  <si>
    <t xml:space="preserve">Water Treat Equipment         </t>
  </si>
  <si>
    <t>WT Filter Media</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</si>
</sst>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quot;$&quot;#,##0"/>
    <numFmt numFmtId="172" formatCode="_(* #,##0.0000_);_(* \(#,##0.0000\);_(* &quot;-&quot;????_);_(@_)"/>
    <numFmt numFmtId="173" formatCode="0.0%"/>
    <numFmt numFmtId="174" formatCode="_(* #,##0_);_(* \(#,##0\);_(* &quot;-&quot;??_);_(@_)"/>
    <numFmt numFmtId="175" formatCode="_(* #,##0.0_);_(* \(#,##0.0\);_(* &quot;-&quot;??_);_(@_)"/>
    <numFmt numFmtId="176" formatCode="#,##0;[Red]\-#,##0"/>
    <numFmt numFmtId="177" formatCode="_(&quot;$&quot;* #,##0_);_(&quot;$&quot;* \(#,##0\);_(&quot;$&quot;* &quot;-&quot;??_);_(@_)"/>
    <numFmt numFmtId="178" formatCode="_(* #,##0.000_);_(* \(#,##0.000\);_(* &quot;-&quot;??_);_(@_)"/>
    <numFmt numFmtId="179" formatCode="_(&quot;$&quot;* #,##0.00_);_(&quot;$&quot;* \(#,##0.00\);_(&quot;$&quot;* &quot;-&quot;_);_(@_)"/>
    <numFmt numFmtId="180" formatCode="_(* #,##0.0000_);_(* \(#,##0.0000\);_(* &quot;-&quot;??_);_(@_)"/>
    <numFmt numFmtId="181" formatCode="_(* #,##0.0_);_(* \(#,##0.0\);_(* &quot;-&quot;?_);_(@_)"/>
    <numFmt numFmtId="182" formatCode="_(&quot;$&quot;* #,##0.000_);_(&quot;$&quot;* \(#,##0.000\);_(&quot;$&quot;* &quot;-&quot;??_);_(@_)"/>
    <numFmt numFmtId="183" formatCode="_(* #,##0.00000_);_(* \(#,##0.00000\);_(* &quot;-&quot;??_);_(@_)"/>
    <numFmt numFmtId="184" formatCode="_(&quot;$&quot;* #,##0.0000_);_(&quot;$&quot;* \(#,##0.0000\);_(&quot;$&quot;* &quot;-&quot;??_);_(@_)"/>
    <numFmt numFmtId="185" formatCode="_(&quot;$&quot;* #,##0.00000_);_(&quot;$&quot;* \(#,##0.00000\);_(&quot;$&quot;* &quot;-&quot;??_);_(@_)"/>
    <numFmt numFmtId="186" formatCode="#,##0.000000"/>
    <numFmt numFmtId="187" formatCode="#,##0.000000_);\(#,##0.000000\)"/>
    <numFmt numFmtId="188" formatCode="#,##0.0000000_);\(#,##0.0000000\)"/>
    <numFmt numFmtId="189" formatCode="#,##0.000_);\(#,##0.000\)"/>
    <numFmt numFmtId="190" formatCode="0.000%"/>
    <numFmt numFmtId="191" formatCode="0.0000%"/>
  </numFmts>
  <fonts count="29" x14ac:knownFonts="1">
    <font>
      <sz val="12"/>
      <name val="Arial"/>
    </font>
    <font>
      <sz val="12"/>
      <name val="Arial"/>
    </font>
    <font>
      <b/>
      <sz val="10"/>
      <name val="Arial"/>
      <family val="2"/>
    </font>
    <font>
      <sz val="10"/>
      <name val="Arial"/>
      <family val="2"/>
    </font>
    <font>
      <sz val="10"/>
      <color indexed="8"/>
      <name val="Arial"/>
      <family val="2"/>
    </font>
    <font>
      <sz val="12"/>
      <name val="Arial"/>
    </font>
    <font>
      <sz val="12"/>
      <color indexed="8"/>
      <name val="Arial"/>
      <family val="2"/>
    </font>
    <font>
      <sz val="10"/>
      <color indexed="10"/>
      <name val="Arial"/>
      <family val="2"/>
    </font>
    <font>
      <sz val="10"/>
      <name val="Arial"/>
      <family val="2"/>
    </font>
    <font>
      <u/>
      <sz val="10"/>
      <name val="Arial"/>
      <family val="2"/>
    </font>
    <font>
      <sz val="12"/>
      <name val="Arial"/>
    </font>
    <font>
      <sz val="9"/>
      <name val="Arial"/>
      <family val="2"/>
    </font>
    <font>
      <sz val="8"/>
      <name val="Arial"/>
    </font>
    <font>
      <sz val="11"/>
      <name val="Arial"/>
      <family val="2"/>
    </font>
    <font>
      <u/>
      <sz val="12"/>
      <name val="Arial"/>
      <family val="2"/>
    </font>
    <font>
      <sz val="10"/>
      <color indexed="10"/>
      <name val="Arial"/>
      <family val="2"/>
    </font>
    <font>
      <sz val="12"/>
      <name val="Arial"/>
    </font>
    <font>
      <sz val="12"/>
      <color indexed="10"/>
      <name val="Arial"/>
      <family val="2"/>
    </font>
    <font>
      <b/>
      <sz val="12"/>
      <color indexed="10"/>
      <name val="Arial"/>
      <family val="2"/>
    </font>
    <font>
      <sz val="10"/>
      <color indexed="20"/>
      <name val="Arial"/>
      <family val="2"/>
    </font>
    <font>
      <sz val="10"/>
      <color indexed="17"/>
      <name val="Arial"/>
      <family val="2"/>
    </font>
    <font>
      <b/>
      <u/>
      <sz val="10"/>
      <name val="Arial"/>
      <family val="2"/>
    </font>
    <font>
      <u val="singleAccounting"/>
      <sz val="10"/>
      <name val="Arial"/>
      <family val="2"/>
    </font>
    <font>
      <u/>
      <sz val="12"/>
      <name val="Arial"/>
      <family val="2"/>
    </font>
    <font>
      <sz val="12"/>
      <color indexed="10"/>
      <name val="Arial"/>
      <family val="2"/>
    </font>
    <font>
      <sz val="10"/>
      <color indexed="10"/>
      <name val="Arial"/>
      <family val="2"/>
    </font>
    <font>
      <sz val="11"/>
      <color theme="1"/>
      <name val="Calibri"/>
      <family val="2"/>
      <scheme val="minor"/>
    </font>
    <font>
      <sz val="10"/>
      <name val="Calibri"/>
      <family val="2"/>
      <scheme val="minor"/>
    </font>
    <font>
      <b/>
      <sz val="11"/>
      <color indexed="8"/>
      <name val="Arial"/>
      <family val="2"/>
    </font>
  </fonts>
  <fills count="5">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52"/>
        <bgColor indexed="64"/>
      </patternFill>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19">
    <xf numFmtId="164" fontId="0" fillId="0" borderId="0"/>
    <xf numFmtId="43" fontId="1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9" fontId="3" fillId="0" borderId="0" applyFont="0" applyFill="0" applyBorder="0" applyAlignment="0" applyProtection="0"/>
    <xf numFmtId="0" fontId="26" fillId="0" borderId="0"/>
    <xf numFmtId="44" fontId="26" fillId="0" borderId="0" applyFont="0" applyFill="0" applyBorder="0" applyAlignment="0" applyProtection="0"/>
    <xf numFmtId="43" fontId="26" fillId="0" borderId="0" applyFont="0" applyFill="0" applyBorder="0" applyAlignment="0" applyProtection="0"/>
    <xf numFmtId="0" fontId="3" fillId="0" borderId="0"/>
    <xf numFmtId="0" fontId="3" fillId="0" borderId="0"/>
  </cellStyleXfs>
  <cellXfs count="684">
    <xf numFmtId="0" fontId="3" fillId="0" borderId="0" xfId="0" applyNumberFormat="1" applyFont="1" applyAlignment="1" applyProtection="1">
      <protection locked="0"/>
    </xf>
    <xf numFmtId="0" fontId="3" fillId="0" borderId="0" xfId="0" applyNumberFormat="1" applyFont="1" applyAlignment="1">
      <alignment horizontal="centerContinuous"/>
    </xf>
    <xf numFmtId="0" fontId="3" fillId="0" borderId="0" xfId="0" applyNumberFormat="1" applyFont="1" applyAlignment="1"/>
    <xf numFmtId="0" fontId="3" fillId="0" borderId="1" xfId="0" applyNumberFormat="1" applyFont="1" applyBorder="1" applyAlignment="1">
      <alignment horizontal="centerContinuous"/>
    </xf>
    <xf numFmtId="164" fontId="4" fillId="0" borderId="0" xfId="0" applyFont="1" applyAlignment="1"/>
    <xf numFmtId="164" fontId="3" fillId="0" borderId="0" xfId="0" applyFont="1" applyAlignment="1"/>
    <xf numFmtId="3" fontId="3" fillId="0" borderId="1" xfId="0" applyNumberFormat="1" applyFont="1" applyBorder="1" applyAlignment="1"/>
    <xf numFmtId="165" fontId="3" fillId="0" borderId="1" xfId="0" applyNumberFormat="1" applyFont="1" applyBorder="1" applyAlignment="1"/>
    <xf numFmtId="3" fontId="3" fillId="0" borderId="2" xfId="0" applyNumberFormat="1" applyFont="1" applyBorder="1" applyAlignment="1"/>
    <xf numFmtId="165" fontId="3" fillId="0" borderId="2" xfId="0" applyNumberFormat="1" applyFont="1" applyBorder="1" applyAlignment="1"/>
    <xf numFmtId="3" fontId="3" fillId="0" borderId="0" xfId="0" applyNumberFormat="1" applyFont="1" applyAlignment="1"/>
    <xf numFmtId="0" fontId="3" fillId="0" borderId="1" xfId="0" applyNumberFormat="1" applyFont="1" applyBorder="1" applyAlignment="1">
      <alignment horizontal="center"/>
    </xf>
    <xf numFmtId="0" fontId="3" fillId="0" borderId="0" xfId="0" applyNumberFormat="1" applyFont="1" applyAlignment="1">
      <alignment horizontal="center"/>
    </xf>
    <xf numFmtId="0" fontId="3" fillId="0" borderId="1" xfId="0" applyNumberFormat="1" applyFont="1" applyBorder="1" applyAlignment="1"/>
    <xf numFmtId="165" fontId="3" fillId="0" borderId="0" xfId="0" applyNumberFormat="1" applyFont="1" applyAlignment="1"/>
    <xf numFmtId="0" fontId="0" fillId="0" borderId="2" xfId="0" applyNumberFormat="1" applyBorder="1"/>
    <xf numFmtId="0" fontId="0" fillId="0" borderId="0" xfId="0" applyNumberFormat="1" applyProtection="1">
      <protection locked="0"/>
    </xf>
    <xf numFmtId="0" fontId="5" fillId="0" borderId="0" xfId="6" applyNumberFormat="1" applyFont="1" applyAlignment="1">
      <alignment horizontal="centerContinuous"/>
    </xf>
    <xf numFmtId="0" fontId="3" fillId="0" borderId="0" xfId="6" applyNumberFormat="1" applyFont="1" applyAlignment="1">
      <alignment horizontal="centerContinuous"/>
    </xf>
    <xf numFmtId="0" fontId="5" fillId="0" borderId="0" xfId="6" applyAlignment="1"/>
    <xf numFmtId="0" fontId="3" fillId="0" borderId="0" xfId="6" applyNumberFormat="1" applyFont="1" applyAlignment="1"/>
    <xf numFmtId="0" fontId="3" fillId="0" borderId="0" xfId="6" applyNumberFormat="1" applyFont="1" applyAlignment="1">
      <alignment horizontal="center"/>
    </xf>
    <xf numFmtId="0" fontId="3" fillId="0" borderId="1" xfId="6" applyNumberFormat="1" applyFont="1" applyBorder="1" applyAlignment="1">
      <alignment horizontal="center"/>
    </xf>
    <xf numFmtId="0" fontId="5" fillId="0" borderId="1" xfId="6" applyNumberFormat="1" applyFont="1" applyBorder="1" applyAlignment="1">
      <alignment horizontal="center"/>
    </xf>
    <xf numFmtId="0" fontId="5" fillId="0" borderId="0" xfId="6" applyNumberFormat="1" applyFont="1" applyAlignment="1">
      <alignment horizontal="center"/>
    </xf>
    <xf numFmtId="0" fontId="3" fillId="0" borderId="1" xfId="6" applyNumberFormat="1" applyFont="1" applyBorder="1" applyAlignment="1">
      <alignment horizontal="centerContinuous"/>
    </xf>
    <xf numFmtId="2" fontId="3" fillId="0" borderId="0" xfId="6" applyNumberFormat="1" applyFont="1" applyAlignment="1"/>
    <xf numFmtId="164" fontId="4" fillId="0" borderId="0" xfId="6" applyNumberFormat="1" applyFont="1" applyAlignment="1"/>
    <xf numFmtId="164" fontId="3" fillId="0" borderId="0" xfId="6" applyNumberFormat="1" applyFont="1" applyAlignment="1"/>
    <xf numFmtId="166" fontId="3" fillId="0" borderId="0" xfId="6" applyNumberFormat="1" applyFont="1" applyAlignment="1"/>
    <xf numFmtId="164" fontId="3" fillId="0" borderId="1" xfId="6" applyNumberFormat="1" applyFont="1" applyBorder="1" applyAlignment="1"/>
    <xf numFmtId="3" fontId="3" fillId="0" borderId="2" xfId="6" applyNumberFormat="1" applyFont="1" applyBorder="1" applyAlignment="1"/>
    <xf numFmtId="164" fontId="3" fillId="0" borderId="2" xfId="6" applyNumberFormat="1" applyFont="1" applyBorder="1" applyAlignment="1"/>
    <xf numFmtId="3" fontId="3" fillId="0" borderId="0" xfId="6" applyNumberFormat="1" applyFont="1" applyAlignment="1"/>
    <xf numFmtId="0" fontId="3" fillId="0" borderId="1" xfId="6" applyNumberFormat="1" applyFont="1" applyBorder="1" applyAlignment="1"/>
    <xf numFmtId="2" fontId="3" fillId="0" borderId="1" xfId="6" applyNumberFormat="1" applyFont="1" applyBorder="1" applyAlignment="1"/>
    <xf numFmtId="0" fontId="3" fillId="0" borderId="2" xfId="6" applyNumberFormat="1" applyFont="1" applyBorder="1" applyAlignment="1"/>
    <xf numFmtId="0" fontId="5" fillId="0" borderId="0" xfId="0" applyNumberFormat="1" applyFont="1" applyAlignment="1">
      <alignment horizontal="centerContinuous"/>
    </xf>
    <xf numFmtId="0" fontId="5" fillId="0" borderId="0" xfId="0" applyNumberFormat="1" applyFont="1" applyAlignment="1" applyProtection="1">
      <protection locked="0"/>
    </xf>
    <xf numFmtId="167" fontId="3" fillId="0" borderId="0" xfId="0" applyNumberFormat="1" applyFont="1" applyAlignment="1"/>
    <xf numFmtId="167" fontId="3" fillId="0" borderId="1" xfId="0" applyNumberFormat="1" applyFont="1" applyBorder="1" applyAlignment="1"/>
    <xf numFmtId="167" fontId="3" fillId="0" borderId="2" xfId="0" applyNumberFormat="1" applyFont="1" applyBorder="1" applyAlignment="1"/>
    <xf numFmtId="0" fontId="3" fillId="0" borderId="0" xfId="0" applyNumberFormat="1" applyFont="1" applyAlignment="1">
      <alignment horizontal="right"/>
    </xf>
    <xf numFmtId="164" fontId="3" fillId="0" borderId="1" xfId="0" applyFont="1" applyBorder="1" applyAlignment="1"/>
    <xf numFmtId="164" fontId="3" fillId="0" borderId="2" xfId="0" applyFont="1" applyBorder="1" applyAlignment="1"/>
    <xf numFmtId="0" fontId="5" fillId="0" borderId="0" xfId="7" applyNumberFormat="1" applyFont="1" applyAlignment="1">
      <alignment horizontal="centerContinuous"/>
    </xf>
    <xf numFmtId="0" fontId="3" fillId="0" borderId="0" xfId="7" applyNumberFormat="1" applyFont="1" applyAlignment="1">
      <alignment horizontal="centerContinuous"/>
    </xf>
    <xf numFmtId="0" fontId="3" fillId="0" borderId="0" xfId="7" applyFont="1" applyAlignment="1"/>
    <xf numFmtId="0" fontId="3" fillId="0" borderId="0" xfId="7" applyNumberFormat="1" applyFont="1" applyAlignment="1"/>
    <xf numFmtId="0" fontId="3" fillId="0" borderId="0" xfId="7" applyNumberFormat="1" applyFont="1" applyAlignment="1">
      <alignment horizontal="center"/>
    </xf>
    <xf numFmtId="0" fontId="3" fillId="0" borderId="1" xfId="7" applyNumberFormat="1" applyFont="1" applyBorder="1" applyAlignment="1"/>
    <xf numFmtId="2" fontId="3" fillId="0" borderId="0" xfId="7" applyNumberFormat="1" applyFont="1" applyAlignment="1"/>
    <xf numFmtId="3" fontId="3" fillId="0" borderId="0" xfId="7" applyNumberFormat="1" applyFont="1" applyAlignment="1"/>
    <xf numFmtId="164" fontId="3" fillId="0" borderId="0" xfId="7" applyNumberFormat="1" applyFont="1" applyAlignment="1"/>
    <xf numFmtId="2" fontId="3" fillId="0" borderId="1" xfId="7" applyNumberFormat="1" applyFont="1" applyBorder="1" applyAlignment="1"/>
    <xf numFmtId="3" fontId="3" fillId="0" borderId="1" xfId="7" applyNumberFormat="1" applyFont="1" applyBorder="1" applyAlignment="1"/>
    <xf numFmtId="164" fontId="3" fillId="0" borderId="1" xfId="7" applyNumberFormat="1" applyFont="1" applyBorder="1" applyAlignment="1"/>
    <xf numFmtId="0" fontId="3" fillId="0" borderId="2" xfId="7" applyNumberFormat="1" applyFont="1" applyBorder="1" applyAlignment="1"/>
    <xf numFmtId="165" fontId="3" fillId="0" borderId="0" xfId="7" applyNumberFormat="1" applyFont="1" applyAlignment="1"/>
    <xf numFmtId="164" fontId="3" fillId="0" borderId="2" xfId="7" applyNumberFormat="1" applyFont="1" applyBorder="1" applyAlignment="1"/>
    <xf numFmtId="0" fontId="3" fillId="0" borderId="1" xfId="7" applyNumberFormat="1" applyFont="1" applyBorder="1" applyAlignment="1">
      <alignment horizontal="center"/>
    </xf>
    <xf numFmtId="0" fontId="3" fillId="0" borderId="1" xfId="7" applyNumberFormat="1" applyFont="1" applyBorder="1" applyAlignment="1">
      <alignment horizontal="centerContinuous"/>
    </xf>
    <xf numFmtId="165" fontId="3" fillId="0" borderId="1" xfId="7" applyNumberFormat="1" applyFont="1" applyBorder="1" applyAlignment="1"/>
    <xf numFmtId="165" fontId="3" fillId="0" borderId="2" xfId="7" applyNumberFormat="1" applyFont="1" applyBorder="1" applyAlignment="1"/>
    <xf numFmtId="0" fontId="5" fillId="0" borderId="0" xfId="3" applyNumberFormat="1" applyFont="1" applyAlignment="1">
      <alignment horizontal="centerContinuous"/>
    </xf>
    <xf numFmtId="0" fontId="3" fillId="0" borderId="0" xfId="3" applyNumberFormat="1" applyFont="1" applyAlignment="1">
      <alignment horizontal="centerContinuous"/>
    </xf>
    <xf numFmtId="0" fontId="3" fillId="0" borderId="0" xfId="3" applyNumberFormat="1" applyFont="1" applyAlignment="1"/>
    <xf numFmtId="0" fontId="5" fillId="0" borderId="0" xfId="3" applyAlignment="1"/>
    <xf numFmtId="0" fontId="3" fillId="0" borderId="1" xfId="3" applyNumberFormat="1" applyFont="1" applyBorder="1" applyAlignment="1">
      <alignment horizontal="center"/>
    </xf>
    <xf numFmtId="0" fontId="3" fillId="0" borderId="0" xfId="3" applyNumberFormat="1" applyFont="1" applyAlignment="1">
      <alignment horizontal="center"/>
    </xf>
    <xf numFmtId="0" fontId="3" fillId="0" borderId="1" xfId="3" applyNumberFormat="1" applyFont="1" applyBorder="1" applyAlignment="1">
      <alignment horizontal="centerContinuous"/>
    </xf>
    <xf numFmtId="0" fontId="3" fillId="0" borderId="1" xfId="3" applyNumberFormat="1" applyFont="1" applyBorder="1" applyAlignment="1"/>
    <xf numFmtId="164" fontId="3" fillId="0" borderId="0" xfId="3" applyNumberFormat="1" applyFont="1" applyAlignment="1"/>
    <xf numFmtId="164" fontId="4" fillId="0" borderId="0" xfId="3" applyNumberFormat="1" applyFont="1" applyAlignment="1"/>
    <xf numFmtId="164" fontId="4" fillId="0" borderId="0" xfId="3" applyNumberFormat="1" applyFont="1" applyAlignment="1" applyProtection="1">
      <protection locked="0"/>
    </xf>
    <xf numFmtId="164" fontId="3" fillId="0" borderId="1" xfId="3" applyNumberFormat="1" applyFont="1" applyBorder="1" applyAlignment="1"/>
    <xf numFmtId="164" fontId="3" fillId="0" borderId="2" xfId="3" applyNumberFormat="1" applyFont="1" applyBorder="1" applyAlignment="1"/>
    <xf numFmtId="0" fontId="5" fillId="0" borderId="0" xfId="3" applyNumberFormat="1" applyFont="1" applyAlignment="1"/>
    <xf numFmtId="0" fontId="3" fillId="0" borderId="0" xfId="8" applyNumberFormat="1" applyFont="1" applyAlignment="1">
      <alignment horizontal="centerContinuous"/>
    </xf>
    <xf numFmtId="0" fontId="3" fillId="0" borderId="0" xfId="8" applyNumberFormat="1" applyFont="1" applyAlignment="1"/>
    <xf numFmtId="0" fontId="3" fillId="0" borderId="0" xfId="8" applyNumberFormat="1" applyFont="1" applyAlignment="1">
      <alignment horizontal="center"/>
    </xf>
    <xf numFmtId="164" fontId="3" fillId="0" borderId="0" xfId="8" applyNumberFormat="1" applyFont="1" applyAlignment="1"/>
    <xf numFmtId="164" fontId="3" fillId="0" borderId="0" xfId="8" applyNumberFormat="1" applyFont="1" applyAlignment="1">
      <alignment horizontal="center"/>
    </xf>
    <xf numFmtId="0" fontId="3" fillId="0" borderId="1" xfId="8" applyNumberFormat="1" applyFont="1" applyBorder="1" applyAlignment="1"/>
    <xf numFmtId="2" fontId="3" fillId="0" borderId="0" xfId="8" applyNumberFormat="1" applyFont="1" applyAlignment="1"/>
    <xf numFmtId="2" fontId="3" fillId="0" borderId="1" xfId="8" applyNumberFormat="1" applyFont="1" applyBorder="1" applyAlignment="1"/>
    <xf numFmtId="0" fontId="3" fillId="0" borderId="2" xfId="8" applyNumberFormat="1" applyFont="1" applyBorder="1" applyAlignment="1"/>
    <xf numFmtId="0" fontId="5" fillId="0" borderId="0" xfId="4" applyNumberFormat="1" applyFont="1" applyAlignment="1">
      <alignment horizontal="centerContinuous"/>
    </xf>
    <xf numFmtId="0" fontId="3" fillId="0" borderId="0" xfId="4" applyNumberFormat="1" applyFont="1" applyAlignment="1">
      <alignment horizontal="centerContinuous"/>
    </xf>
    <xf numFmtId="0" fontId="3" fillId="0" borderId="0" xfId="4" applyNumberFormat="1" applyFont="1" applyAlignment="1"/>
    <xf numFmtId="0" fontId="3" fillId="0" borderId="1" xfId="4" applyNumberFormat="1" applyFont="1" applyBorder="1" applyAlignment="1">
      <alignment horizontal="center"/>
    </xf>
    <xf numFmtId="0" fontId="3" fillId="0" borderId="0" xfId="4" applyNumberFormat="1" applyFont="1" applyAlignment="1">
      <alignment horizontal="center"/>
    </xf>
    <xf numFmtId="0" fontId="3" fillId="0" borderId="1" xfId="4" applyNumberFormat="1" applyFont="1" applyBorder="1" applyAlignment="1">
      <alignment horizontal="centerContinuous"/>
    </xf>
    <xf numFmtId="0" fontId="3" fillId="0" borderId="1" xfId="4" applyNumberFormat="1" applyFont="1" applyBorder="1" applyAlignment="1">
      <alignment horizontal="left"/>
    </xf>
    <xf numFmtId="167" fontId="3" fillId="0" borderId="0" xfId="4" applyNumberFormat="1" applyFont="1" applyAlignment="1"/>
    <xf numFmtId="0" fontId="3" fillId="0" borderId="0" xfId="4" applyNumberFormat="1" applyFont="1" applyAlignment="1">
      <alignment horizontal="right"/>
    </xf>
    <xf numFmtId="167" fontId="3" fillId="0" borderId="1" xfId="4" applyNumberFormat="1" applyFont="1" applyBorder="1" applyAlignment="1"/>
    <xf numFmtId="0" fontId="3" fillId="0" borderId="2" xfId="4" applyNumberFormat="1" applyFont="1" applyBorder="1" applyAlignment="1"/>
    <xf numFmtId="0" fontId="3" fillId="0" borderId="1" xfId="4" applyNumberFormat="1" applyFont="1" applyBorder="1" applyAlignment="1"/>
    <xf numFmtId="0" fontId="5" fillId="0" borderId="1" xfId="4" applyNumberFormat="1" applyFont="1" applyBorder="1" applyAlignment="1">
      <alignment horizontal="centerContinuous"/>
    </xf>
    <xf numFmtId="0" fontId="5" fillId="0" borderId="0" xfId="5" applyNumberFormat="1" applyFont="1" applyAlignment="1">
      <alignment horizontal="centerContinuous"/>
    </xf>
    <xf numFmtId="0" fontId="3" fillId="0" borderId="0" xfId="5" applyNumberFormat="1" applyFont="1" applyAlignment="1">
      <alignment horizontal="centerContinuous"/>
    </xf>
    <xf numFmtId="0" fontId="5" fillId="0" borderId="0" xfId="5" applyAlignment="1"/>
    <xf numFmtId="0" fontId="3" fillId="0" borderId="0" xfId="5" applyNumberFormat="1" applyFont="1" applyAlignment="1"/>
    <xf numFmtId="0" fontId="3" fillId="0" borderId="0" xfId="5" applyNumberFormat="1" applyFont="1" applyAlignment="1">
      <alignment horizontal="center"/>
    </xf>
    <xf numFmtId="0" fontId="3" fillId="0" borderId="1" xfId="5" applyNumberFormat="1" applyFont="1" applyBorder="1" applyAlignment="1">
      <alignment horizontal="centerContinuous"/>
    </xf>
    <xf numFmtId="0" fontId="5" fillId="0" borderId="1" xfId="5" applyNumberFormat="1" applyFont="1" applyBorder="1" applyAlignment="1">
      <alignment horizontal="centerContinuous"/>
    </xf>
    <xf numFmtId="0" fontId="3" fillId="0" borderId="1" xfId="5" applyNumberFormat="1" applyFont="1" applyBorder="1" applyAlignment="1">
      <alignment horizontal="center"/>
    </xf>
    <xf numFmtId="0" fontId="4" fillId="0" borderId="0" xfId="5" applyNumberFormat="1" applyFont="1" applyAlignment="1"/>
    <xf numFmtId="3" fontId="3" fillId="0" borderId="0" xfId="5" applyNumberFormat="1" applyFont="1" applyAlignment="1"/>
    <xf numFmtId="164" fontId="3" fillId="0" borderId="0" xfId="5" applyNumberFormat="1" applyFont="1" applyAlignment="1"/>
    <xf numFmtId="3" fontId="3" fillId="0" borderId="1" xfId="5" applyNumberFormat="1" applyFont="1" applyBorder="1" applyAlignment="1"/>
    <xf numFmtId="164" fontId="3" fillId="0" borderId="1" xfId="5" applyNumberFormat="1" applyFont="1" applyBorder="1" applyAlignment="1"/>
    <xf numFmtId="0" fontId="3" fillId="0" borderId="2" xfId="5" applyNumberFormat="1" applyFont="1" applyBorder="1" applyAlignment="1"/>
    <xf numFmtId="164" fontId="4" fillId="0" borderId="0" xfId="5" applyNumberFormat="1" applyFont="1" applyAlignment="1"/>
    <xf numFmtId="165" fontId="3" fillId="0" borderId="1" xfId="5" applyNumberFormat="1" applyFont="1" applyBorder="1" applyAlignment="1"/>
    <xf numFmtId="3" fontId="3" fillId="0" borderId="2" xfId="5" applyNumberFormat="1" applyFont="1" applyBorder="1" applyAlignment="1"/>
    <xf numFmtId="165" fontId="3" fillId="0" borderId="0" xfId="5" applyNumberFormat="1" applyFont="1" applyAlignment="1"/>
    <xf numFmtId="165" fontId="3" fillId="0" borderId="2" xfId="5" applyNumberFormat="1" applyFont="1" applyBorder="1" applyAlignment="1"/>
    <xf numFmtId="0" fontId="5" fillId="0" borderId="0" xfId="5"/>
    <xf numFmtId="3" fontId="3" fillId="0" borderId="0" xfId="5" applyNumberFormat="1" applyFont="1" applyAlignment="1">
      <alignment horizontal="center"/>
    </xf>
    <xf numFmtId="4" fontId="3" fillId="0" borderId="0" xfId="5" applyNumberFormat="1" applyFont="1" applyAlignment="1"/>
    <xf numFmtId="10" fontId="3" fillId="0" borderId="0" xfId="5" applyNumberFormat="1" applyFont="1" applyAlignment="1"/>
    <xf numFmtId="10" fontId="3" fillId="0" borderId="0" xfId="5" applyNumberFormat="1" applyFont="1" applyAlignment="1" applyProtection="1">
      <protection locked="0"/>
    </xf>
    <xf numFmtId="0" fontId="5" fillId="0" borderId="0" xfId="5" applyNumberFormat="1" applyFont="1" applyAlignment="1"/>
    <xf numFmtId="3" fontId="3" fillId="0" borderId="1" xfId="5" applyNumberFormat="1" applyFont="1" applyBorder="1" applyAlignment="1">
      <alignment horizontal="center"/>
    </xf>
    <xf numFmtId="0" fontId="5" fillId="0" borderId="0" xfId="5" applyNumberFormat="1" applyProtection="1">
      <protection locked="0"/>
    </xf>
    <xf numFmtId="0" fontId="3" fillId="0" borderId="1" xfId="5" applyNumberFormat="1" applyFont="1" applyBorder="1" applyAlignment="1"/>
    <xf numFmtId="0" fontId="5" fillId="0" borderId="0" xfId="0" applyNumberFormat="1" applyFont="1" applyAlignment="1">
      <alignment horizontal="centerContinuous" vertical="top" wrapText="1"/>
    </xf>
    <xf numFmtId="3" fontId="3" fillId="0" borderId="0" xfId="0" applyNumberFormat="1" applyFont="1" applyAlignment="1">
      <alignment horizontal="center"/>
    </xf>
    <xf numFmtId="3" fontId="4" fillId="0" borderId="0" xfId="0" applyNumberFormat="1" applyFont="1" applyAlignment="1"/>
    <xf numFmtId="0" fontId="6" fillId="0" borderId="0" xfId="0" applyNumberFormat="1" applyFont="1" applyAlignment="1"/>
    <xf numFmtId="0" fontId="4" fillId="0" borderId="0" xfId="0" applyNumberFormat="1" applyFont="1" applyAlignment="1"/>
    <xf numFmtId="0" fontId="3" fillId="0" borderId="0" xfId="0" applyNumberFormat="1" applyFont="1" applyAlignment="1">
      <alignment horizontal="left"/>
    </xf>
    <xf numFmtId="0" fontId="5" fillId="0" borderId="1" xfId="0" applyNumberFormat="1" applyFont="1" applyBorder="1" applyAlignment="1">
      <alignment horizontal="centerContinuous"/>
    </xf>
    <xf numFmtId="164" fontId="3" fillId="0" borderId="0" xfId="0" applyNumberFormat="1" applyFont="1" applyAlignment="1"/>
    <xf numFmtId="0" fontId="7" fillId="0" borderId="0" xfId="0" applyNumberFormat="1" applyFont="1" applyAlignment="1"/>
    <xf numFmtId="0" fontId="8" fillId="0" borderId="0" xfId="0" applyNumberFormat="1" applyFont="1" applyAlignment="1" applyProtection="1">
      <protection locked="0"/>
    </xf>
    <xf numFmtId="3" fontId="3" fillId="0" borderId="1" xfId="0" quotePrefix="1" applyNumberFormat="1" applyFont="1" applyBorder="1" applyAlignment="1">
      <alignment horizontal="center"/>
    </xf>
    <xf numFmtId="164" fontId="11" fillId="0" borderId="0" xfId="0" applyFont="1"/>
    <xf numFmtId="0" fontId="11" fillId="0" borderId="0" xfId="0" applyNumberFormat="1" applyFont="1" applyAlignment="1" applyProtection="1">
      <protection locked="0"/>
    </xf>
    <xf numFmtId="164" fontId="11" fillId="0" borderId="0" xfId="0" applyFont="1" applyAlignment="1">
      <alignment horizontal="center"/>
    </xf>
    <xf numFmtId="0" fontId="3" fillId="0" borderId="0" xfId="0" applyNumberFormat="1" applyFont="1" applyAlignment="1" applyProtection="1">
      <alignment horizontal="center"/>
      <protection locked="0"/>
    </xf>
    <xf numFmtId="168" fontId="11" fillId="0" borderId="0" xfId="0" applyNumberFormat="1" applyFont="1" applyAlignment="1">
      <alignment horizontal="center"/>
    </xf>
    <xf numFmtId="168" fontId="3" fillId="0" borderId="0" xfId="0" applyNumberFormat="1" applyFont="1" applyAlignment="1" applyProtection="1">
      <alignment horizontal="center"/>
      <protection locked="0"/>
    </xf>
    <xf numFmtId="37" fontId="3" fillId="0" borderId="0" xfId="0" applyNumberFormat="1" applyFont="1" applyAlignment="1" applyProtection="1">
      <protection locked="0"/>
    </xf>
    <xf numFmtId="0" fontId="3" fillId="0" borderId="0" xfId="0" applyNumberFormat="1" applyFont="1" applyBorder="1" applyAlignment="1" applyProtection="1">
      <protection locked="0"/>
    </xf>
    <xf numFmtId="37" fontId="3" fillId="0" borderId="0" xfId="0" applyNumberFormat="1" applyFont="1" applyAlignment="1" applyProtection="1">
      <alignment horizontal="center"/>
      <protection locked="0"/>
    </xf>
    <xf numFmtId="165" fontId="3" fillId="0" borderId="0" xfId="0" applyNumberFormat="1" applyFont="1" applyBorder="1" applyAlignment="1"/>
    <xf numFmtId="164" fontId="3" fillId="0" borderId="4" xfId="0" applyFont="1" applyBorder="1" applyAlignment="1"/>
    <xf numFmtId="3" fontId="3" fillId="0" borderId="4" xfId="0" applyNumberFormat="1" applyFont="1" applyBorder="1" applyAlignment="1"/>
    <xf numFmtId="164" fontId="3" fillId="0" borderId="4" xfId="0" applyNumberFormat="1" applyFont="1" applyBorder="1" applyAlignment="1"/>
    <xf numFmtId="0" fontId="3" fillId="0" borderId="0" xfId="0" applyNumberFormat="1" applyFont="1" applyAlignment="1" applyProtection="1">
      <alignment horizontal="right"/>
      <protection locked="0"/>
    </xf>
    <xf numFmtId="3" fontId="3" fillId="0" borderId="0" xfId="0" applyNumberFormat="1" applyFont="1" applyBorder="1" applyAlignment="1"/>
    <xf numFmtId="164" fontId="3" fillId="0" borderId="0" xfId="0" applyNumberFormat="1" applyFont="1" applyAlignment="1" applyProtection="1">
      <alignment horizontal="right"/>
      <protection locked="0"/>
    </xf>
    <xf numFmtId="37" fontId="3" fillId="0" borderId="0" xfId="0" applyNumberFormat="1" applyFont="1" applyAlignment="1" applyProtection="1">
      <alignment horizontal="right"/>
      <protection locked="0"/>
    </xf>
    <xf numFmtId="37" fontId="3" fillId="0" borderId="1" xfId="0" applyNumberFormat="1" applyFont="1" applyBorder="1" applyAlignment="1"/>
    <xf numFmtId="37" fontId="3" fillId="0" borderId="0" xfId="6" applyNumberFormat="1" applyFont="1" applyAlignment="1"/>
    <xf numFmtId="37" fontId="3" fillId="0" borderId="1" xfId="6" applyNumberFormat="1" applyFont="1" applyBorder="1" applyAlignment="1"/>
    <xf numFmtId="164" fontId="3" fillId="0" borderId="0" xfId="0" applyFont="1" applyBorder="1" applyAlignment="1"/>
    <xf numFmtId="164" fontId="8" fillId="0" borderId="0" xfId="0" applyFont="1" applyAlignment="1"/>
    <xf numFmtId="37" fontId="3" fillId="0" borderId="1" xfId="7" applyNumberFormat="1" applyFont="1" applyBorder="1" applyAlignment="1"/>
    <xf numFmtId="0" fontId="3" fillId="0" borderId="0" xfId="7" applyNumberFormat="1" applyFont="1" applyBorder="1" applyAlignment="1"/>
    <xf numFmtId="164" fontId="3" fillId="0" borderId="4" xfId="7" applyNumberFormat="1" applyFont="1" applyBorder="1" applyAlignment="1"/>
    <xf numFmtId="166" fontId="3" fillId="0" borderId="0" xfId="7" applyNumberFormat="1" applyFont="1" applyAlignment="1"/>
    <xf numFmtId="165" fontId="8" fillId="0" borderId="0" xfId="12" applyNumberFormat="1" applyFont="1" applyAlignment="1"/>
    <xf numFmtId="37" fontId="3" fillId="0" borderId="4" xfId="0" applyNumberFormat="1" applyFont="1" applyBorder="1" applyAlignment="1"/>
    <xf numFmtId="0" fontId="5" fillId="0" borderId="0" xfId="4" applyFont="1" applyAlignment="1"/>
    <xf numFmtId="0" fontId="3" fillId="0" borderId="0" xfId="4" applyNumberFormat="1" applyFont="1" applyBorder="1" applyAlignment="1"/>
    <xf numFmtId="167" fontId="3" fillId="0" borderId="4" xfId="4" applyNumberFormat="1" applyFont="1" applyBorder="1" applyAlignment="1"/>
    <xf numFmtId="165" fontId="3" fillId="0" borderId="0" xfId="5" applyNumberFormat="1" applyFont="1" applyBorder="1" applyAlignment="1"/>
    <xf numFmtId="164" fontId="3" fillId="0" borderId="4" xfId="5" applyNumberFormat="1" applyFont="1" applyBorder="1" applyAlignment="1"/>
    <xf numFmtId="0" fontId="0" fillId="0" borderId="0" xfId="0" applyNumberFormat="1" applyBorder="1"/>
    <xf numFmtId="170" fontId="3" fillId="0" borderId="0" xfId="0" applyNumberFormat="1" applyFont="1" applyAlignment="1"/>
    <xf numFmtId="170" fontId="3" fillId="0" borderId="0" xfId="7" applyNumberFormat="1" applyFont="1" applyAlignment="1"/>
    <xf numFmtId="170" fontId="3" fillId="0" borderId="0" xfId="0" applyNumberFormat="1" applyFont="1" applyAlignment="1" applyProtection="1">
      <protection locked="0"/>
    </xf>
    <xf numFmtId="0" fontId="3" fillId="0" borderId="3" xfId="7" applyNumberFormat="1" applyFont="1" applyBorder="1" applyAlignment="1"/>
    <xf numFmtId="3" fontId="3" fillId="0" borderId="4" xfId="7" applyNumberFormat="1" applyFont="1" applyBorder="1" applyAlignment="1"/>
    <xf numFmtId="0" fontId="0" fillId="0" borderId="0" xfId="0" applyNumberFormat="1" applyAlignment="1">
      <alignment horizontal="centerContinuous"/>
    </xf>
    <xf numFmtId="0" fontId="8" fillId="0" borderId="0" xfId="12" applyNumberFormat="1" applyFont="1" applyAlignment="1">
      <alignment horizontal="centerContinuous"/>
    </xf>
    <xf numFmtId="0" fontId="8" fillId="0" borderId="0" xfId="12" applyFont="1" applyAlignment="1"/>
    <xf numFmtId="0" fontId="8" fillId="0" borderId="0" xfId="12" applyNumberFormat="1" applyFont="1" applyAlignment="1"/>
    <xf numFmtId="0" fontId="8" fillId="0" borderId="0" xfId="12" applyNumberFormat="1" applyFont="1" applyAlignment="1">
      <alignment horizontal="center"/>
    </xf>
    <xf numFmtId="0" fontId="8" fillId="0" borderId="1" xfId="12" applyNumberFormat="1" applyFont="1" applyBorder="1" applyAlignment="1">
      <alignment horizontal="centerContinuous"/>
    </xf>
    <xf numFmtId="0" fontId="8" fillId="0" borderId="1" xfId="12" applyNumberFormat="1" applyFont="1" applyBorder="1" applyAlignment="1">
      <alignment horizontal="center"/>
    </xf>
    <xf numFmtId="0" fontId="9" fillId="0" borderId="0" xfId="12" applyNumberFormat="1" applyFont="1" applyAlignment="1"/>
    <xf numFmtId="0" fontId="8" fillId="0" borderId="1" xfId="12" applyNumberFormat="1" applyFont="1" applyBorder="1" applyAlignment="1"/>
    <xf numFmtId="3" fontId="8" fillId="0" borderId="0" xfId="12" applyNumberFormat="1" applyFont="1" applyAlignment="1"/>
    <xf numFmtId="0" fontId="8" fillId="0" borderId="1" xfId="12" applyNumberFormat="1" applyFont="1" applyBorder="1" applyAlignment="1">
      <alignment horizontal="right"/>
    </xf>
    <xf numFmtId="0" fontId="8" fillId="0" borderId="0" xfId="12" applyNumberFormat="1" applyFont="1" applyAlignment="1">
      <alignment horizontal="right"/>
    </xf>
    <xf numFmtId="3" fontId="8" fillId="0" borderId="1" xfId="12" applyNumberFormat="1" applyFont="1" applyBorder="1" applyAlignment="1"/>
    <xf numFmtId="164" fontId="8" fillId="0" borderId="0" xfId="12" applyNumberFormat="1" applyFont="1" applyAlignment="1"/>
    <xf numFmtId="0" fontId="8" fillId="0" borderId="3" xfId="12" applyNumberFormat="1" applyFont="1" applyBorder="1" applyAlignment="1">
      <alignment horizontal="center"/>
    </xf>
    <xf numFmtId="37" fontId="3" fillId="0" borderId="0" xfId="6" applyNumberFormat="1" applyFont="1" applyBorder="1" applyAlignment="1"/>
    <xf numFmtId="37" fontId="3" fillId="0" borderId="4" xfId="6" applyNumberFormat="1" applyFont="1" applyBorder="1" applyAlignment="1"/>
    <xf numFmtId="0" fontId="3" fillId="0" borderId="0" xfId="8" applyNumberFormat="1" applyFont="1" applyBorder="1" applyAlignment="1"/>
    <xf numFmtId="164" fontId="3" fillId="0" borderId="4" xfId="8" applyNumberFormat="1" applyFont="1" applyBorder="1" applyAlignment="1"/>
    <xf numFmtId="2" fontId="3" fillId="0" borderId="4" xfId="7" applyNumberFormat="1" applyFont="1" applyBorder="1" applyAlignment="1"/>
    <xf numFmtId="2" fontId="3" fillId="0" borderId="0" xfId="6" applyNumberFormat="1" applyFont="1" applyBorder="1" applyAlignment="1"/>
    <xf numFmtId="2" fontId="3" fillId="0" borderId="4" xfId="6" applyNumberFormat="1" applyFont="1" applyBorder="1" applyAlignment="1"/>
    <xf numFmtId="164" fontId="11" fillId="0" borderId="0" xfId="0" applyFont="1" applyBorder="1"/>
    <xf numFmtId="170" fontId="3" fillId="0" borderId="0" xfId="3" applyNumberFormat="1" applyFont="1" applyAlignment="1"/>
    <xf numFmtId="170" fontId="3" fillId="0" borderId="1" xfId="3" applyNumberFormat="1" applyFont="1" applyBorder="1" applyAlignment="1"/>
    <xf numFmtId="37" fontId="3" fillId="0" borderId="0" xfId="3" applyNumberFormat="1" applyFont="1" applyBorder="1" applyAlignment="1"/>
    <xf numFmtId="170" fontId="3" fillId="0" borderId="4" xfId="3" applyNumberFormat="1" applyFont="1" applyBorder="1" applyAlignment="1"/>
    <xf numFmtId="42" fontId="3" fillId="0" borderId="0" xfId="0" applyNumberFormat="1" applyFont="1" applyAlignment="1" applyProtection="1">
      <protection locked="0"/>
    </xf>
    <xf numFmtId="171" fontId="3" fillId="0" borderId="0" xfId="0" applyNumberFormat="1" applyFont="1" applyAlignment="1"/>
    <xf numFmtId="171" fontId="3" fillId="0" borderId="4" xfId="0" applyNumberFormat="1" applyFont="1" applyBorder="1" applyAlignment="1"/>
    <xf numFmtId="3" fontId="8" fillId="0" borderId="4" xfId="12" applyNumberFormat="1" applyFont="1" applyBorder="1" applyAlignment="1"/>
    <xf numFmtId="167" fontId="8" fillId="0" borderId="4" xfId="12" applyNumberFormat="1" applyFont="1" applyBorder="1" applyAlignment="1"/>
    <xf numFmtId="0" fontId="10" fillId="0" borderId="0" xfId="12" applyNumberFormat="1" applyFont="1" applyAlignment="1">
      <alignment horizontal="centerContinuous"/>
    </xf>
    <xf numFmtId="3" fontId="8" fillId="0" borderId="3" xfId="12" applyNumberFormat="1" applyFont="1" applyBorder="1" applyAlignment="1"/>
    <xf numFmtId="174" fontId="3" fillId="0" borderId="0" xfId="1" applyNumberFormat="1" applyFont="1" applyAlignment="1" applyProtection="1">
      <protection locked="0"/>
    </xf>
    <xf numFmtId="1" fontId="3" fillId="0" borderId="0" xfId="7" applyNumberFormat="1" applyFont="1" applyAlignment="1"/>
    <xf numFmtId="0" fontId="5" fillId="0" borderId="0" xfId="7" applyFont="1" applyAlignment="1"/>
    <xf numFmtId="3" fontId="3" fillId="0" borderId="0" xfId="8" applyNumberFormat="1" applyFont="1" applyAlignment="1">
      <alignment horizontal="left"/>
    </xf>
    <xf numFmtId="164" fontId="3" fillId="0" borderId="0" xfId="0" applyFont="1"/>
    <xf numFmtId="3" fontId="3" fillId="0" borderId="3" xfId="8" applyNumberFormat="1" applyFont="1" applyBorder="1" applyAlignment="1"/>
    <xf numFmtId="0" fontId="11" fillId="0" borderId="0" xfId="0" applyNumberFormat="1" applyFont="1" applyAlignment="1" applyProtection="1">
      <alignment horizontal="right"/>
      <protection locked="0"/>
    </xf>
    <xf numFmtId="0" fontId="7" fillId="0" borderId="0" xfId="0" applyNumberFormat="1" applyFont="1" applyAlignment="1" applyProtection="1">
      <protection locked="0"/>
    </xf>
    <xf numFmtId="41" fontId="3" fillId="0" borderId="0" xfId="0" applyNumberFormat="1" applyFont="1" applyAlignment="1"/>
    <xf numFmtId="41" fontId="3" fillId="0" borderId="1" xfId="0" applyNumberFormat="1" applyFont="1" applyBorder="1" applyAlignment="1"/>
    <xf numFmtId="41" fontId="3" fillId="0" borderId="4" xfId="0" applyNumberFormat="1" applyFont="1" applyBorder="1" applyAlignment="1"/>
    <xf numFmtId="42" fontId="3" fillId="0" borderId="0" xfId="0" applyNumberFormat="1" applyFont="1" applyAlignment="1"/>
    <xf numFmtId="173" fontId="10" fillId="0" borderId="0" xfId="13" applyNumberFormat="1" applyFont="1" applyAlignment="1"/>
    <xf numFmtId="176" fontId="10" fillId="0" borderId="0" xfId="11" applyFont="1" applyAlignment="1">
      <alignment horizontal="center"/>
    </xf>
    <xf numFmtId="176" fontId="10" fillId="0" borderId="0" xfId="11" applyFont="1" applyAlignment="1"/>
    <xf numFmtId="176" fontId="8" fillId="0" borderId="0" xfId="11" applyFont="1" applyAlignment="1"/>
    <xf numFmtId="176" fontId="14" fillId="0" borderId="0" xfId="11" applyNumberFormat="1" applyFont="1" applyAlignment="1"/>
    <xf numFmtId="176" fontId="10" fillId="0" borderId="3" xfId="11" applyFont="1" applyBorder="1" applyAlignment="1">
      <alignment horizontal="center"/>
    </xf>
    <xf numFmtId="41" fontId="10" fillId="0" borderId="0" xfId="11" quotePrefix="1" applyNumberFormat="1" applyFont="1" applyAlignment="1">
      <alignment horizontal="center"/>
    </xf>
    <xf numFmtId="41" fontId="10" fillId="0" borderId="0" xfId="11" applyNumberFormat="1" applyFont="1" applyAlignment="1"/>
    <xf numFmtId="177" fontId="10" fillId="0" borderId="0" xfId="2" applyNumberFormat="1" applyFont="1" applyAlignment="1"/>
    <xf numFmtId="173" fontId="10" fillId="0" borderId="3" xfId="13" applyNumberFormat="1" applyFont="1" applyBorder="1" applyAlignment="1"/>
    <xf numFmtId="41" fontId="10" fillId="0" borderId="3" xfId="11" applyNumberFormat="1" applyFont="1" applyBorder="1" applyAlignment="1"/>
    <xf numFmtId="173" fontId="10" fillId="0" borderId="4" xfId="13" applyNumberFormat="1" applyFont="1" applyBorder="1" applyAlignment="1"/>
    <xf numFmtId="176" fontId="10" fillId="0" borderId="0" xfId="11" applyFont="1"/>
    <xf numFmtId="176" fontId="8" fillId="0" borderId="0" xfId="11" applyFont="1"/>
    <xf numFmtId="42" fontId="10" fillId="0" borderId="4" xfId="11" applyNumberFormat="1" applyFont="1" applyBorder="1" applyAlignment="1"/>
    <xf numFmtId="168" fontId="3" fillId="0" borderId="0" xfId="0" applyNumberFormat="1" applyFont="1" applyAlignment="1" applyProtection="1">
      <protection locked="0"/>
    </xf>
    <xf numFmtId="167" fontId="5" fillId="0" borderId="0" xfId="4" applyNumberFormat="1" applyFont="1" applyAlignment="1"/>
    <xf numFmtId="174" fontId="5" fillId="0" borderId="0" xfId="1" applyNumberFormat="1" applyFont="1" applyAlignment="1" applyProtection="1">
      <protection locked="0"/>
    </xf>
    <xf numFmtId="42" fontId="5" fillId="0" borderId="0" xfId="0" applyNumberFormat="1" applyFont="1" applyAlignment="1" applyProtection="1">
      <protection locked="0"/>
    </xf>
    <xf numFmtId="174" fontId="3" fillId="0" borderId="0" xfId="1" applyNumberFormat="1" applyFont="1" applyAlignment="1"/>
    <xf numFmtId="37" fontId="5" fillId="0" borderId="0" xfId="6" applyNumberFormat="1" applyAlignment="1"/>
    <xf numFmtId="3" fontId="5" fillId="0" borderId="0" xfId="6" applyNumberFormat="1" applyAlignment="1"/>
    <xf numFmtId="164" fontId="5" fillId="0" borderId="0" xfId="6" applyNumberFormat="1" applyAlignment="1"/>
    <xf numFmtId="174" fontId="10" fillId="0" borderId="0" xfId="1" applyNumberFormat="1" applyFont="1" applyAlignment="1"/>
    <xf numFmtId="173" fontId="5" fillId="0" borderId="0" xfId="13" applyNumberFormat="1" applyFont="1" applyAlignment="1" applyProtection="1">
      <protection locked="0"/>
    </xf>
    <xf numFmtId="0" fontId="5" fillId="0" borderId="0" xfId="0" applyNumberFormat="1" applyFont="1" applyAlignment="1" applyProtection="1">
      <alignment horizontal="center"/>
      <protection locked="0"/>
    </xf>
    <xf numFmtId="170" fontId="3" fillId="0" borderId="4" xfId="7" applyNumberFormat="1" applyFont="1" applyBorder="1" applyAlignment="1"/>
    <xf numFmtId="176" fontId="5" fillId="0" borderId="0" xfId="11" applyFont="1" applyAlignment="1">
      <alignment horizontal="center"/>
    </xf>
    <xf numFmtId="0" fontId="5" fillId="0" borderId="3" xfId="0" applyNumberFormat="1" applyFont="1" applyBorder="1" applyAlignment="1" applyProtection="1">
      <alignment horizontal="center"/>
      <protection locked="0"/>
    </xf>
    <xf numFmtId="0" fontId="5" fillId="0" borderId="0" xfId="0" quotePrefix="1" applyNumberFormat="1" applyFont="1" applyAlignment="1" applyProtection="1">
      <alignment horizontal="center"/>
      <protection locked="0"/>
    </xf>
    <xf numFmtId="176" fontId="5" fillId="0" borderId="0" xfId="11" applyFont="1" applyAlignment="1"/>
    <xf numFmtId="2" fontId="5" fillId="0" borderId="0" xfId="0" applyNumberFormat="1" applyFont="1" applyAlignment="1" applyProtection="1">
      <protection locked="0"/>
    </xf>
    <xf numFmtId="37" fontId="3" fillId="0" borderId="0" xfId="0" applyNumberFormat="1" applyFont="1" applyFill="1" applyAlignment="1" applyProtection="1">
      <protection locked="0"/>
    </xf>
    <xf numFmtId="0" fontId="11" fillId="0" borderId="0" xfId="0" applyNumberFormat="1" applyFont="1" applyBorder="1" applyAlignment="1" applyProtection="1">
      <protection locked="0"/>
    </xf>
    <xf numFmtId="0" fontId="8" fillId="0" borderId="0" xfId="0" applyNumberFormat="1" applyFont="1" applyBorder="1" applyAlignment="1" applyProtection="1">
      <protection locked="0"/>
    </xf>
    <xf numFmtId="5" fontId="10" fillId="0" borderId="3" xfId="11" applyNumberFormat="1" applyFont="1" applyBorder="1" applyAlignment="1"/>
    <xf numFmtId="174" fontId="3" fillId="0" borderId="0" xfId="1" applyNumberFormat="1" applyFont="1"/>
    <xf numFmtId="168" fontId="3" fillId="0" borderId="0" xfId="0" applyNumberFormat="1" applyFont="1" applyAlignment="1">
      <alignment horizontal="center"/>
    </xf>
    <xf numFmtId="37" fontId="3" fillId="0" borderId="0" xfId="0" applyNumberFormat="1" applyFont="1"/>
    <xf numFmtId="37" fontId="3" fillId="0" borderId="3" xfId="0" applyNumberFormat="1" applyFont="1" applyBorder="1" applyAlignment="1" applyProtection="1">
      <protection locked="0"/>
    </xf>
    <xf numFmtId="167" fontId="5" fillId="0" borderId="0" xfId="4" applyNumberFormat="1" applyFont="1"/>
    <xf numFmtId="167" fontId="3" fillId="0" borderId="0" xfId="4" applyNumberFormat="1" applyFont="1" applyAlignment="1" applyProtection="1">
      <protection locked="0"/>
    </xf>
    <xf numFmtId="164" fontId="5" fillId="0" borderId="0" xfId="4" applyNumberFormat="1" applyFont="1" applyAlignment="1"/>
    <xf numFmtId="3" fontId="3" fillId="0" borderId="0" xfId="4" applyNumberFormat="1" applyFont="1" applyAlignment="1"/>
    <xf numFmtId="164" fontId="5" fillId="0" borderId="0" xfId="4" applyNumberFormat="1" applyFont="1"/>
    <xf numFmtId="37" fontId="3" fillId="0" borderId="0" xfId="0" applyNumberFormat="1" applyFont="1" applyBorder="1" applyAlignment="1">
      <alignment horizontal="right" vertical="top"/>
    </xf>
    <xf numFmtId="164" fontId="3" fillId="0" borderId="0" xfId="0" applyNumberFormat="1" applyFont="1" applyAlignment="1" applyProtection="1">
      <protection locked="0"/>
    </xf>
    <xf numFmtId="0" fontId="5" fillId="0" borderId="2" xfId="0" applyNumberFormat="1" applyFont="1" applyBorder="1"/>
    <xf numFmtId="0" fontId="5" fillId="0" borderId="0" xfId="0" applyNumberFormat="1" applyFont="1" applyBorder="1"/>
    <xf numFmtId="0" fontId="5" fillId="0" borderId="0" xfId="0" applyNumberFormat="1" applyFont="1" applyProtection="1">
      <protection locked="0"/>
    </xf>
    <xf numFmtId="164" fontId="3" fillId="0" borderId="0" xfId="7" applyNumberFormat="1" applyFont="1" applyAlignment="1" applyProtection="1">
      <protection locked="0"/>
    </xf>
    <xf numFmtId="0" fontId="8" fillId="0" borderId="0" xfId="10" applyNumberFormat="1" applyFont="1" applyAlignment="1">
      <alignment horizontal="centerContinuous"/>
    </xf>
    <xf numFmtId="0" fontId="10" fillId="0" borderId="0" xfId="10" applyFont="1" applyAlignment="1"/>
    <xf numFmtId="0" fontId="8" fillId="0" borderId="0" xfId="10" applyNumberFormat="1" applyFont="1" applyAlignment="1"/>
    <xf numFmtId="0" fontId="8" fillId="0" borderId="0" xfId="10" applyNumberFormat="1" applyFont="1" applyAlignment="1">
      <alignment horizontal="center"/>
    </xf>
    <xf numFmtId="0" fontId="8" fillId="0" borderId="1" xfId="10" applyNumberFormat="1" applyFont="1" applyBorder="1" applyAlignment="1">
      <alignment horizontal="center"/>
    </xf>
    <xf numFmtId="37" fontId="8" fillId="0" borderId="1" xfId="10" applyNumberFormat="1" applyFont="1" applyBorder="1" applyAlignment="1">
      <alignment horizontal="center"/>
    </xf>
    <xf numFmtId="37" fontId="8" fillId="0" borderId="0" xfId="10" applyNumberFormat="1" applyFont="1" applyAlignment="1">
      <alignment horizontal="center"/>
    </xf>
    <xf numFmtId="3" fontId="8" fillId="0" borderId="0" xfId="10" applyNumberFormat="1" applyFont="1" applyAlignment="1">
      <alignment horizontal="center"/>
    </xf>
    <xf numFmtId="3" fontId="8" fillId="0" borderId="1" xfId="10" applyNumberFormat="1" applyFont="1" applyBorder="1" applyAlignment="1">
      <alignment horizontal="center"/>
    </xf>
    <xf numFmtId="165" fontId="8" fillId="0" borderId="0" xfId="10" applyNumberFormat="1" applyFont="1" applyAlignment="1"/>
    <xf numFmtId="3" fontId="8" fillId="0" borderId="0" xfId="10" applyNumberFormat="1" applyFont="1" applyAlignment="1"/>
    <xf numFmtId="0" fontId="8" fillId="0" borderId="1" xfId="10" applyNumberFormat="1" applyFont="1" applyBorder="1" applyAlignment="1"/>
    <xf numFmtId="3" fontId="8" fillId="0" borderId="4" xfId="10" applyNumberFormat="1" applyFont="1" applyBorder="1" applyAlignment="1"/>
    <xf numFmtId="3" fontId="8" fillId="0" borderId="2" xfId="10" applyNumberFormat="1" applyFont="1" applyBorder="1" applyAlignment="1"/>
    <xf numFmtId="3" fontId="8" fillId="0" borderId="0" xfId="10" applyNumberFormat="1" applyFont="1" applyBorder="1" applyAlignment="1"/>
    <xf numFmtId="0" fontId="10" fillId="0" borderId="0" xfId="10" applyNumberFormat="1" applyFont="1" applyAlignment="1">
      <alignment horizontal="centerContinuous"/>
    </xf>
    <xf numFmtId="4" fontId="8" fillId="0" borderId="0" xfId="10" applyNumberFormat="1" applyFont="1" applyAlignment="1"/>
    <xf numFmtId="0" fontId="8" fillId="0" borderId="0" xfId="10" applyFont="1" applyAlignment="1"/>
    <xf numFmtId="0" fontId="10" fillId="0" borderId="0" xfId="10" applyFont="1"/>
    <xf numFmtId="0" fontId="10" fillId="0" borderId="0" xfId="0" applyNumberFormat="1" applyFont="1" applyAlignment="1">
      <alignment horizontal="centerContinuous"/>
    </xf>
    <xf numFmtId="167" fontId="3" fillId="0" borderId="0" xfId="0" applyNumberFormat="1" applyFont="1" applyAlignment="1" applyProtection="1">
      <protection locked="0"/>
    </xf>
    <xf numFmtId="0" fontId="5" fillId="0" borderId="0" xfId="0" applyNumberFormat="1" applyFont="1"/>
    <xf numFmtId="0" fontId="16" fillId="0" borderId="0" xfId="0" applyNumberFormat="1" applyFont="1" applyAlignment="1" applyProtection="1">
      <protection locked="0"/>
    </xf>
    <xf numFmtId="3" fontId="5" fillId="0" borderId="0" xfId="0" applyNumberFormat="1" applyFont="1"/>
    <xf numFmtId="0" fontId="5" fillId="0" borderId="0" xfId="8" applyFont="1" applyAlignment="1"/>
    <xf numFmtId="0" fontId="17" fillId="0" borderId="0" xfId="0" applyNumberFormat="1" applyFont="1" applyAlignment="1" applyProtection="1">
      <protection locked="0"/>
    </xf>
    <xf numFmtId="4" fontId="17" fillId="0" borderId="0" xfId="0" applyNumberFormat="1" applyFont="1" applyAlignment="1" applyProtection="1">
      <protection locked="0"/>
    </xf>
    <xf numFmtId="174" fontId="17" fillId="0" borderId="0" xfId="1" applyNumberFormat="1" applyFont="1" applyAlignment="1" applyProtection="1">
      <protection locked="0"/>
    </xf>
    <xf numFmtId="37" fontId="5" fillId="0" borderId="0" xfId="0" applyNumberFormat="1" applyFont="1" applyAlignment="1" applyProtection="1">
      <protection locked="0"/>
    </xf>
    <xf numFmtId="0" fontId="18" fillId="0" borderId="0" xfId="0" applyNumberFormat="1" applyFont="1" applyAlignment="1" applyProtection="1">
      <protection locked="0"/>
    </xf>
    <xf numFmtId="3" fontId="3" fillId="0" borderId="1" xfId="8" applyNumberFormat="1" applyFont="1" applyBorder="1" applyAlignment="1"/>
    <xf numFmtId="3" fontId="3" fillId="0" borderId="1" xfId="4" applyNumberFormat="1" applyFont="1" applyBorder="1" applyAlignment="1"/>
    <xf numFmtId="3" fontId="3" fillId="0" borderId="4" xfId="4" applyNumberFormat="1" applyFont="1" applyBorder="1" applyAlignment="1"/>
    <xf numFmtId="0" fontId="7" fillId="0" borderId="0" xfId="4" applyNumberFormat="1" applyFont="1" applyAlignment="1"/>
    <xf numFmtId="0" fontId="17" fillId="0" borderId="0" xfId="4" applyFont="1" applyAlignment="1"/>
    <xf numFmtId="0" fontId="17" fillId="0" borderId="0" xfId="8" applyFont="1" applyAlignment="1"/>
    <xf numFmtId="174" fontId="8" fillId="0" borderId="0" xfId="1" applyNumberFormat="1" applyFont="1" applyAlignment="1" applyProtection="1">
      <protection locked="0"/>
    </xf>
    <xf numFmtId="37" fontId="3" fillId="0" borderId="0" xfId="0" applyNumberFormat="1" applyFont="1" applyFill="1"/>
    <xf numFmtId="37" fontId="3" fillId="0" borderId="0" xfId="0" applyNumberFormat="1" applyFont="1" applyFill="1" applyBorder="1"/>
    <xf numFmtId="174" fontId="5" fillId="0" borderId="0" xfId="1" applyNumberFormat="1" applyFont="1" applyAlignment="1"/>
    <xf numFmtId="1" fontId="3" fillId="0" borderId="0" xfId="1" applyNumberFormat="1" applyFont="1" applyAlignment="1"/>
    <xf numFmtId="0" fontId="3" fillId="0" borderId="0" xfId="5" applyNumberFormat="1" applyFont="1" applyAlignment="1">
      <alignment horizontal="justify" vertical="top" wrapText="1"/>
    </xf>
    <xf numFmtId="0" fontId="5" fillId="0" borderId="0" xfId="0" applyNumberFormat="1" applyFont="1" applyBorder="1" applyAlignment="1" applyProtection="1">
      <alignment horizontal="center"/>
      <protection locked="0"/>
    </xf>
    <xf numFmtId="164" fontId="4" fillId="0" borderId="0" xfId="5" applyNumberFormat="1" applyFont="1" applyBorder="1" applyAlignment="1"/>
    <xf numFmtId="164" fontId="4" fillId="0" borderId="3" xfId="5" applyNumberFormat="1" applyFont="1" applyBorder="1" applyAlignment="1"/>
    <xf numFmtId="0" fontId="5" fillId="0" borderId="0" xfId="5" applyBorder="1" applyAlignment="1"/>
    <xf numFmtId="3" fontId="5" fillId="0" borderId="0" xfId="5" applyNumberFormat="1" applyBorder="1" applyAlignment="1"/>
    <xf numFmtId="164" fontId="3" fillId="0" borderId="0" xfId="5" applyNumberFormat="1" applyFont="1" applyBorder="1" applyAlignment="1"/>
    <xf numFmtId="3" fontId="3" fillId="0" borderId="0" xfId="5" applyNumberFormat="1" applyFont="1" applyBorder="1" applyAlignment="1"/>
    <xf numFmtId="0" fontId="5" fillId="0" borderId="0" xfId="5" applyBorder="1"/>
    <xf numFmtId="37" fontId="3" fillId="0" borderId="0" xfId="0" applyNumberFormat="1" applyFont="1" applyAlignment="1">
      <alignment horizontal="left"/>
    </xf>
    <xf numFmtId="173" fontId="3" fillId="0" borderId="0" xfId="13" applyNumberFormat="1" applyFont="1" applyAlignment="1" applyProtection="1">
      <protection locked="0"/>
    </xf>
    <xf numFmtId="41" fontId="3" fillId="0" borderId="0" xfId="0" applyNumberFormat="1" applyFont="1" applyAlignment="1" applyProtection="1">
      <protection locked="0"/>
    </xf>
    <xf numFmtId="174" fontId="3" fillId="0" borderId="0" xfId="0" applyNumberFormat="1" applyFont="1" applyAlignment="1" applyProtection="1">
      <protection locked="0"/>
    </xf>
    <xf numFmtId="37" fontId="3" fillId="0" borderId="0" xfId="0" applyNumberFormat="1" applyFont="1" applyBorder="1" applyAlignment="1"/>
    <xf numFmtId="37" fontId="3" fillId="0" borderId="3" xfId="0" applyNumberFormat="1" applyFont="1" applyBorder="1" applyAlignment="1"/>
    <xf numFmtId="180" fontId="3" fillId="0" borderId="0" xfId="1" applyNumberFormat="1" applyFont="1" applyBorder="1" applyAlignment="1">
      <alignment horizontal="right" vertical="top"/>
    </xf>
    <xf numFmtId="180" fontId="3" fillId="0" borderId="0" xfId="1" applyNumberFormat="1" applyFont="1" applyAlignment="1"/>
    <xf numFmtId="37" fontId="5" fillId="0" borderId="0" xfId="0" applyNumberFormat="1" applyFont="1" applyAlignment="1" applyProtection="1">
      <alignment horizontal="center"/>
      <protection locked="0"/>
    </xf>
    <xf numFmtId="37" fontId="5" fillId="0" borderId="0" xfId="0" applyNumberFormat="1" applyFont="1" applyAlignment="1" applyProtection="1">
      <alignment horizontal="right"/>
      <protection locked="0"/>
    </xf>
    <xf numFmtId="16" fontId="5" fillId="0" borderId="0" xfId="0" quotePrefix="1" applyNumberFormat="1" applyFont="1" applyAlignment="1" applyProtection="1">
      <alignment horizontal="center"/>
      <protection locked="0"/>
    </xf>
    <xf numFmtId="2" fontId="5" fillId="0" borderId="0" xfId="0" quotePrefix="1" applyNumberFormat="1" applyFont="1" applyAlignment="1" applyProtection="1">
      <alignment horizontal="center"/>
      <protection locked="0"/>
    </xf>
    <xf numFmtId="3" fontId="8" fillId="0" borderId="0" xfId="9" applyNumberFormat="1" applyFont="1" applyAlignment="1"/>
    <xf numFmtId="0" fontId="5" fillId="0" borderId="0" xfId="0" applyNumberFormat="1" applyFont="1" applyBorder="1" applyAlignment="1" applyProtection="1">
      <protection locked="0"/>
    </xf>
    <xf numFmtId="0" fontId="17" fillId="0" borderId="0" xfId="0" applyNumberFormat="1" applyFont="1" applyBorder="1" applyAlignment="1" applyProtection="1">
      <protection locked="0"/>
    </xf>
    <xf numFmtId="0" fontId="17" fillId="0" borderId="0" xfId="0" applyNumberFormat="1" applyFont="1" applyBorder="1" applyAlignment="1" applyProtection="1">
      <alignment horizontal="centerContinuous"/>
      <protection locked="0"/>
    </xf>
    <xf numFmtId="0" fontId="17" fillId="0" borderId="0" xfId="0" applyNumberFormat="1" applyFont="1" applyBorder="1" applyAlignment="1" applyProtection="1">
      <alignment horizontal="center"/>
      <protection locked="0"/>
    </xf>
    <xf numFmtId="43" fontId="5" fillId="0" borderId="0" xfId="1" applyFont="1" applyBorder="1" applyAlignment="1" applyProtection="1">
      <protection locked="0"/>
    </xf>
    <xf numFmtId="174" fontId="5" fillId="0" borderId="0" xfId="1" applyNumberFormat="1" applyFont="1" applyBorder="1" applyAlignment="1" applyProtection="1">
      <protection locked="0"/>
    </xf>
    <xf numFmtId="0" fontId="16" fillId="0" borderId="0" xfId="0" applyNumberFormat="1" applyFont="1" applyBorder="1" applyAlignment="1" applyProtection="1">
      <protection locked="0"/>
    </xf>
    <xf numFmtId="43" fontId="16" fillId="0" borderId="0" xfId="1" applyFont="1" applyBorder="1" applyAlignment="1" applyProtection="1">
      <protection locked="0"/>
    </xf>
    <xf numFmtId="4" fontId="17" fillId="0" borderId="0" xfId="0" applyNumberFormat="1" applyFont="1" applyBorder="1" applyAlignment="1" applyProtection="1">
      <protection locked="0"/>
    </xf>
    <xf numFmtId="174" fontId="17" fillId="0" borderId="0" xfId="1" applyNumberFormat="1" applyFont="1" applyBorder="1" applyAlignment="1" applyProtection="1">
      <protection locked="0"/>
    </xf>
    <xf numFmtId="0" fontId="5" fillId="0" borderId="0" xfId="7" applyFont="1" applyBorder="1" applyAlignment="1"/>
    <xf numFmtId="3" fontId="5" fillId="0" borderId="0" xfId="7" applyNumberFormat="1" applyFont="1" applyBorder="1" applyAlignment="1"/>
    <xf numFmtId="164" fontId="3" fillId="0" borderId="0" xfId="7" applyNumberFormat="1" applyFont="1" applyBorder="1" applyAlignment="1"/>
    <xf numFmtId="37" fontId="3" fillId="0" borderId="0" xfId="7" applyNumberFormat="1" applyFont="1" applyBorder="1" applyAlignment="1"/>
    <xf numFmtId="164" fontId="0" fillId="0" borderId="0" xfId="0" applyAlignment="1">
      <alignment horizontal="center"/>
    </xf>
    <xf numFmtId="164" fontId="0" fillId="0" borderId="0" xfId="0"/>
    <xf numFmtId="164" fontId="0" fillId="0" borderId="3" xfId="0" applyBorder="1" applyAlignment="1">
      <alignment horizontal="center"/>
    </xf>
    <xf numFmtId="3" fontId="5" fillId="0" borderId="3" xfId="0" applyNumberFormat="1" applyFont="1" applyBorder="1" applyAlignment="1">
      <alignment horizontal="center"/>
    </xf>
    <xf numFmtId="164" fontId="0" fillId="0" borderId="0" xfId="0" applyBorder="1" applyAlignment="1">
      <alignment horizontal="center"/>
    </xf>
    <xf numFmtId="3" fontId="5" fillId="0" borderId="0" xfId="0" applyNumberFormat="1" applyFont="1" applyBorder="1" applyAlignment="1">
      <alignment horizontal="center"/>
    </xf>
    <xf numFmtId="164" fontId="14" fillId="0" borderId="0" xfId="0" applyFont="1"/>
    <xf numFmtId="3" fontId="17" fillId="0" borderId="0" xfId="0" applyNumberFormat="1" applyFont="1"/>
    <xf numFmtId="3" fontId="5" fillId="0" borderId="0" xfId="0" applyNumberFormat="1" applyFont="1" applyBorder="1"/>
    <xf numFmtId="164" fontId="0" fillId="0" borderId="0" xfId="0" applyAlignment="1">
      <alignment horizontal="right"/>
    </xf>
    <xf numFmtId="164" fontId="17" fillId="0" borderId="0" xfId="0" applyFont="1"/>
    <xf numFmtId="164" fontId="0" fillId="0" borderId="0" xfId="0" applyAlignment="1">
      <alignment horizontal="left"/>
    </xf>
    <xf numFmtId="0" fontId="8" fillId="0" borderId="0" xfId="4" applyNumberFormat="1" applyFont="1" applyAlignment="1"/>
    <xf numFmtId="0" fontId="5" fillId="0" borderId="0" xfId="10" applyAlignment="1"/>
    <xf numFmtId="165" fontId="19" fillId="0" borderId="0" xfId="10" applyNumberFormat="1" applyFont="1" applyAlignment="1"/>
    <xf numFmtId="0" fontId="4" fillId="0" borderId="0" xfId="10" applyNumberFormat="1" applyFont="1" applyAlignment="1"/>
    <xf numFmtId="4" fontId="20" fillId="0" borderId="0" xfId="10" applyNumberFormat="1" applyFont="1" applyAlignment="1"/>
    <xf numFmtId="4" fontId="4" fillId="0" borderId="0" xfId="10" applyNumberFormat="1" applyFont="1" applyAlignment="1"/>
    <xf numFmtId="0" fontId="8" fillId="0" borderId="0" xfId="10" applyNumberFormat="1" applyFont="1" applyAlignment="1">
      <alignment horizontal="left"/>
    </xf>
    <xf numFmtId="0" fontId="8" fillId="0" borderId="0" xfId="10" applyFont="1" applyBorder="1" applyAlignment="1"/>
    <xf numFmtId="0" fontId="8" fillId="0" borderId="0" xfId="10" applyFont="1" applyBorder="1" applyAlignment="1">
      <alignment horizontal="center"/>
    </xf>
    <xf numFmtId="0" fontId="8" fillId="0" borderId="0" xfId="10" applyNumberFormat="1" applyFont="1" applyBorder="1" applyAlignment="1">
      <alignment horizontal="centerContinuous"/>
    </xf>
    <xf numFmtId="0" fontId="8" fillId="0" borderId="0" xfId="10" applyNumberFormat="1" applyFont="1" applyBorder="1" applyAlignment="1">
      <alignment horizontal="center"/>
    </xf>
    <xf numFmtId="0" fontId="8" fillId="0" borderId="0" xfId="0" applyNumberFormat="1" applyFont="1" applyAlignment="1">
      <alignment horizontal="center"/>
    </xf>
    <xf numFmtId="0" fontId="8" fillId="0" borderId="0" xfId="0" applyNumberFormat="1" applyFont="1" applyAlignment="1"/>
    <xf numFmtId="2" fontId="8" fillId="0" borderId="0" xfId="0" applyNumberFormat="1" applyFont="1" applyAlignment="1"/>
    <xf numFmtId="165" fontId="8" fillId="0" borderId="0" xfId="10" applyNumberFormat="1" applyFont="1" applyAlignment="1">
      <alignment horizontal="right"/>
    </xf>
    <xf numFmtId="0" fontId="8" fillId="0" borderId="3" xfId="0" applyNumberFormat="1" applyFont="1" applyBorder="1" applyAlignment="1" applyProtection="1">
      <protection locked="0"/>
    </xf>
    <xf numFmtId="166" fontId="8" fillId="0" borderId="0" xfId="9" applyNumberFormat="1" applyFont="1"/>
    <xf numFmtId="3" fontId="8" fillId="0" borderId="0" xfId="12" applyNumberFormat="1" applyFont="1" applyBorder="1" applyAlignment="1"/>
    <xf numFmtId="37" fontId="8" fillId="0" borderId="0" xfId="12" applyNumberFormat="1" applyFont="1" applyBorder="1" applyAlignment="1"/>
    <xf numFmtId="164" fontId="8" fillId="0" borderId="4" xfId="12" applyNumberFormat="1" applyFont="1" applyBorder="1" applyAlignment="1"/>
    <xf numFmtId="0" fontId="8" fillId="0" borderId="0" xfId="9" applyNumberFormat="1" applyFont="1" applyAlignment="1"/>
    <xf numFmtId="164" fontId="3" fillId="0" borderId="0" xfId="0" applyFont="1" applyBorder="1"/>
    <xf numFmtId="37" fontId="3" fillId="0" borderId="0" xfId="0" applyNumberFormat="1" applyFont="1" applyBorder="1"/>
    <xf numFmtId="37" fontId="3" fillId="0" borderId="0" xfId="0" applyNumberFormat="1" applyFont="1" applyBorder="1" applyAlignment="1" applyProtection="1">
      <protection locked="0"/>
    </xf>
    <xf numFmtId="174" fontId="3" fillId="0" borderId="3" xfId="1" applyNumberFormat="1" applyFont="1" applyFill="1" applyBorder="1"/>
    <xf numFmtId="37" fontId="3" fillId="0" borderId="3" xfId="0" applyNumberFormat="1" applyFont="1" applyFill="1" applyBorder="1"/>
    <xf numFmtId="164" fontId="21" fillId="0" borderId="0" xfId="0" applyFont="1"/>
    <xf numFmtId="164" fontId="2" fillId="0" borderId="0" xfId="0" applyFont="1"/>
    <xf numFmtId="37" fontId="3" fillId="0" borderId="4" xfId="0" applyNumberFormat="1" applyFont="1" applyFill="1" applyBorder="1"/>
    <xf numFmtId="0" fontId="21" fillId="0" borderId="0" xfId="0" applyNumberFormat="1" applyFont="1" applyAlignment="1" applyProtection="1">
      <protection locked="0"/>
    </xf>
    <xf numFmtId="39" fontId="3" fillId="0" borderId="0" xfId="0" applyNumberFormat="1" applyFont="1" applyAlignment="1"/>
    <xf numFmtId="37" fontId="3" fillId="0" borderId="4" xfId="0" applyNumberFormat="1" applyFont="1" applyFill="1" applyBorder="1" applyAlignment="1" applyProtection="1">
      <protection locked="0"/>
    </xf>
    <xf numFmtId="0" fontId="15" fillId="0" borderId="0" xfId="10" applyFont="1" applyAlignment="1"/>
    <xf numFmtId="0" fontId="7" fillId="0" borderId="0" xfId="5" applyNumberFormat="1" applyFont="1" applyAlignment="1"/>
    <xf numFmtId="174" fontId="8" fillId="0" borderId="4" xfId="1" applyNumberFormat="1" applyFont="1" applyBorder="1" applyAlignment="1"/>
    <xf numFmtId="164" fontId="3" fillId="0" borderId="0" xfId="0" applyFont="1" applyFill="1"/>
    <xf numFmtId="168" fontId="3" fillId="0" borderId="0" xfId="0" applyNumberFormat="1" applyFont="1" applyFill="1" applyAlignment="1">
      <alignment horizontal="center"/>
    </xf>
    <xf numFmtId="0" fontId="3" fillId="0" borderId="0" xfId="0" applyNumberFormat="1" applyFont="1" applyFill="1" applyAlignment="1" applyProtection="1">
      <protection locked="0"/>
    </xf>
    <xf numFmtId="16" fontId="8" fillId="0" borderId="0" xfId="0" applyNumberFormat="1" applyFont="1" applyAlignment="1" applyProtection="1">
      <protection locked="0"/>
    </xf>
    <xf numFmtId="171" fontId="3" fillId="0" borderId="1" xfId="5" applyNumberFormat="1" applyFont="1" applyBorder="1" applyAlignment="1"/>
    <xf numFmtId="171" fontId="3" fillId="0" borderId="4" xfId="5" applyNumberFormat="1" applyFont="1" applyBorder="1" applyAlignment="1"/>
    <xf numFmtId="176" fontId="10" fillId="0" borderId="0" xfId="11" quotePrefix="1" applyFont="1" applyAlignment="1"/>
    <xf numFmtId="185" fontId="5" fillId="0" borderId="0" xfId="2" applyNumberFormat="1" applyFont="1" applyAlignment="1" applyProtection="1">
      <protection locked="0"/>
    </xf>
    <xf numFmtId="43" fontId="3" fillId="0" borderId="0" xfId="0" applyNumberFormat="1" applyFont="1" applyAlignment="1" applyProtection="1">
      <protection locked="0"/>
    </xf>
    <xf numFmtId="186" fontId="5" fillId="0" borderId="0" xfId="2" applyNumberFormat="1" applyFont="1" applyAlignment="1" applyProtection="1">
      <protection locked="0"/>
    </xf>
    <xf numFmtId="183" fontId="5" fillId="0" borderId="0" xfId="1" applyNumberFormat="1" applyFont="1" applyAlignment="1" applyProtection="1">
      <protection locked="0"/>
    </xf>
    <xf numFmtId="0" fontId="5" fillId="0" borderId="0" xfId="0" applyNumberFormat="1" applyFont="1" applyAlignment="1" applyProtection="1">
      <alignment horizontal="left"/>
      <protection locked="0"/>
    </xf>
    <xf numFmtId="43" fontId="5" fillId="0" borderId="0" xfId="1" applyFont="1" applyAlignment="1" applyProtection="1">
      <protection locked="0"/>
    </xf>
    <xf numFmtId="43" fontId="5" fillId="0" borderId="0" xfId="1" applyFont="1" applyBorder="1" applyAlignment="1" applyProtection="1">
      <alignment horizontal="center"/>
      <protection locked="0"/>
    </xf>
    <xf numFmtId="0" fontId="23" fillId="0" borderId="0" xfId="0" applyNumberFormat="1" applyFont="1" applyAlignment="1" applyProtection="1">
      <protection locked="0"/>
    </xf>
    <xf numFmtId="0" fontId="23" fillId="0" borderId="0" xfId="0" applyNumberFormat="1" applyFont="1" applyAlignment="1" applyProtection="1">
      <alignment horizontal="center"/>
      <protection locked="0"/>
    </xf>
    <xf numFmtId="44" fontId="5" fillId="0" borderId="0" xfId="2" applyFont="1" applyAlignment="1" applyProtection="1">
      <protection locked="0"/>
    </xf>
    <xf numFmtId="185" fontId="13" fillId="0" borderId="0" xfId="2" applyNumberFormat="1" applyFont="1" applyAlignment="1" applyProtection="1">
      <alignment horizontal="left"/>
      <protection locked="0"/>
    </xf>
    <xf numFmtId="44" fontId="5" fillId="0" borderId="0" xfId="2" applyNumberFormat="1" applyFont="1" applyAlignment="1" applyProtection="1">
      <protection locked="0"/>
    </xf>
    <xf numFmtId="182" fontId="5" fillId="0" borderId="0" xfId="2" applyNumberFormat="1" applyFont="1" applyAlignment="1" applyProtection="1">
      <protection locked="0"/>
    </xf>
    <xf numFmtId="185" fontId="13" fillId="0" borderId="0" xfId="2" applyNumberFormat="1" applyFont="1" applyAlignment="1" applyProtection="1">
      <protection locked="0"/>
    </xf>
    <xf numFmtId="178" fontId="5" fillId="0" borderId="0" xfId="1" applyNumberFormat="1" applyFont="1" applyAlignment="1" applyProtection="1">
      <protection locked="0"/>
    </xf>
    <xf numFmtId="184" fontId="5" fillId="0" borderId="0" xfId="2" applyNumberFormat="1" applyFont="1" applyAlignment="1" applyProtection="1">
      <protection locked="0"/>
    </xf>
    <xf numFmtId="180" fontId="5" fillId="0" borderId="0" xfId="1" applyNumberFormat="1" applyFont="1" applyAlignment="1" applyProtection="1">
      <protection locked="0"/>
    </xf>
    <xf numFmtId="0" fontId="10" fillId="0" borderId="0" xfId="0" applyNumberFormat="1" applyFont="1" applyAlignment="1" applyProtection="1">
      <alignment horizontal="left"/>
      <protection locked="0"/>
    </xf>
    <xf numFmtId="43" fontId="10" fillId="0" borderId="0" xfId="1" applyFont="1" applyAlignment="1"/>
    <xf numFmtId="44" fontId="10" fillId="0" borderId="0" xfId="2" applyFont="1" applyAlignment="1"/>
    <xf numFmtId="43" fontId="10" fillId="0" borderId="0" xfId="1" applyNumberFormat="1" applyFont="1" applyAlignment="1"/>
    <xf numFmtId="41" fontId="10" fillId="0" borderId="0" xfId="11" applyNumberFormat="1" applyFont="1"/>
    <xf numFmtId="43" fontId="10" fillId="0" borderId="3" xfId="1" applyNumberFormat="1" applyFont="1" applyBorder="1" applyAlignment="1"/>
    <xf numFmtId="179" fontId="10" fillId="0" borderId="4" xfId="11" applyNumberFormat="1" applyFont="1" applyBorder="1" applyAlignment="1"/>
    <xf numFmtId="176" fontId="15" fillId="0" borderId="0" xfId="11" applyFont="1" applyAlignment="1"/>
    <xf numFmtId="168" fontId="10" fillId="0" borderId="0" xfId="0" applyNumberFormat="1" applyFont="1" applyBorder="1" applyAlignment="1">
      <alignment horizontal="center"/>
    </xf>
    <xf numFmtId="168" fontId="10" fillId="0" borderId="0" xfId="0" applyNumberFormat="1" applyFont="1" applyAlignment="1">
      <alignment horizontal="center"/>
    </xf>
    <xf numFmtId="176" fontId="10" fillId="0" borderId="0" xfId="11" applyNumberFormat="1" applyFont="1" applyAlignment="1"/>
    <xf numFmtId="175" fontId="10" fillId="0" borderId="0" xfId="1" applyNumberFormat="1" applyFont="1" applyAlignment="1"/>
    <xf numFmtId="3" fontId="5" fillId="0" borderId="0" xfId="0" applyNumberFormat="1" applyFont="1" applyAlignment="1" applyProtection="1">
      <protection locked="0"/>
    </xf>
    <xf numFmtId="181" fontId="10" fillId="0" borderId="0" xfId="11" applyNumberFormat="1" applyFont="1"/>
    <xf numFmtId="169" fontId="3" fillId="0" borderId="0" xfId="0" applyNumberFormat="1" applyFont="1" applyAlignment="1" applyProtection="1">
      <protection locked="0"/>
    </xf>
    <xf numFmtId="43" fontId="5" fillId="0" borderId="0" xfId="1" applyNumberFormat="1" applyFont="1" applyAlignment="1" applyProtection="1">
      <protection locked="0"/>
    </xf>
    <xf numFmtId="176" fontId="5" fillId="0" borderId="3" xfId="11" applyFont="1" applyBorder="1" applyAlignment="1">
      <alignment horizontal="center"/>
    </xf>
    <xf numFmtId="0" fontId="3" fillId="0" borderId="0" xfId="0" applyNumberFormat="1" applyFont="1" applyAlignment="1" applyProtection="1">
      <protection locked="0"/>
    </xf>
    <xf numFmtId="176" fontId="5" fillId="0" borderId="0" xfId="11" applyFont="1" applyAlignment="1">
      <alignment horizontal="center"/>
    </xf>
    <xf numFmtId="0" fontId="3" fillId="0" borderId="0" xfId="7" applyNumberFormat="1" applyFont="1" applyAlignment="1">
      <alignment horizontal="center"/>
    </xf>
    <xf numFmtId="174" fontId="25" fillId="0" borderId="0" xfId="1" applyNumberFormat="1" applyFont="1" applyAlignment="1" applyProtection="1">
      <protection locked="0"/>
    </xf>
    <xf numFmtId="0" fontId="25" fillId="0" borderId="0" xfId="0" applyNumberFormat="1" applyFont="1" applyAlignment="1" applyProtection="1">
      <protection locked="0"/>
    </xf>
    <xf numFmtId="0" fontId="25" fillId="0" borderId="0" xfId="0" applyNumberFormat="1" applyFont="1" applyAlignment="1" applyProtection="1">
      <alignment horizontal="center"/>
      <protection locked="0"/>
    </xf>
    <xf numFmtId="37" fontId="25" fillId="0" borderId="0" xfId="0" applyNumberFormat="1" applyFont="1" applyAlignment="1" applyProtection="1">
      <protection locked="0"/>
    </xf>
    <xf numFmtId="180" fontId="25" fillId="0" borderId="0" xfId="1" applyNumberFormat="1" applyFont="1" applyAlignment="1" applyProtection="1">
      <protection locked="0"/>
    </xf>
    <xf numFmtId="0" fontId="24" fillId="0" borderId="0" xfId="8" applyFont="1" applyAlignment="1">
      <alignment horizontal="center"/>
    </xf>
    <xf numFmtId="174" fontId="24" fillId="0" borderId="0" xfId="1" applyNumberFormat="1" applyFont="1" applyAlignment="1"/>
    <xf numFmtId="174" fontId="24" fillId="0" borderId="0" xfId="1" applyNumberFormat="1" applyFont="1" applyAlignment="1" applyProtection="1">
      <alignment horizontal="center"/>
      <protection locked="0"/>
    </xf>
    <xf numFmtId="1" fontId="5" fillId="0" borderId="0" xfId="0" applyNumberFormat="1" applyFont="1" applyAlignment="1" applyProtection="1">
      <alignment horizontal="center"/>
      <protection locked="0"/>
    </xf>
    <xf numFmtId="44" fontId="24" fillId="0" borderId="0" xfId="2" applyFont="1" applyAlignment="1" applyProtection="1">
      <protection locked="0"/>
    </xf>
    <xf numFmtId="185" fontId="24" fillId="0" borderId="0" xfId="2" applyNumberFormat="1" applyFont="1" applyAlignment="1" applyProtection="1">
      <protection locked="0"/>
    </xf>
    <xf numFmtId="0" fontId="24" fillId="0" borderId="0" xfId="0" applyNumberFormat="1" applyFont="1" applyAlignment="1" applyProtection="1">
      <protection locked="0"/>
    </xf>
    <xf numFmtId="0" fontId="24" fillId="0" borderId="0" xfId="4" applyFont="1" applyAlignment="1"/>
    <xf numFmtId="0" fontId="25" fillId="0" borderId="0" xfId="4" applyNumberFormat="1" applyFont="1" applyAlignment="1"/>
    <xf numFmtId="16" fontId="25" fillId="0" borderId="0" xfId="0" applyNumberFormat="1" applyFont="1" applyAlignment="1" applyProtection="1">
      <protection locked="0"/>
    </xf>
    <xf numFmtId="175" fontId="5" fillId="0" borderId="0" xfId="1" applyNumberFormat="1" applyFont="1" applyAlignment="1"/>
    <xf numFmtId="3" fontId="5" fillId="0" borderId="3" xfId="0" applyNumberFormat="1" applyFont="1" applyBorder="1"/>
    <xf numFmtId="164" fontId="5" fillId="0" borderId="0" xfId="0" applyFont="1"/>
    <xf numFmtId="174" fontId="5" fillId="0" borderId="0" xfId="1" applyNumberFormat="1" applyFont="1" applyAlignment="1" applyProtection="1">
      <alignment horizontal="center"/>
      <protection locked="0"/>
    </xf>
    <xf numFmtId="43" fontId="5" fillId="0" borderId="0" xfId="1" applyFont="1" applyAlignment="1" applyProtection="1">
      <alignment horizontal="center"/>
      <protection locked="0"/>
    </xf>
    <xf numFmtId="3" fontId="3" fillId="0" borderId="0" xfId="9" applyNumberFormat="1" applyFont="1" applyAlignment="1"/>
    <xf numFmtId="0" fontId="3" fillId="0" borderId="0" xfId="0" applyNumberFormat="1" applyFont="1" applyAlignment="1" applyProtection="1">
      <protection locked="0"/>
    </xf>
    <xf numFmtId="0" fontId="3" fillId="0" borderId="0" xfId="0" applyNumberFormat="1" applyFont="1" applyAlignment="1" applyProtection="1">
      <protection locked="0"/>
    </xf>
    <xf numFmtId="0" fontId="5" fillId="0" borderId="0" xfId="0" applyNumberFormat="1" applyFont="1" applyAlignment="1" applyProtection="1">
      <alignment horizontal="center"/>
      <protection locked="0"/>
    </xf>
    <xf numFmtId="43" fontId="3" fillId="0" borderId="0" xfId="1" applyFont="1" applyAlignment="1"/>
    <xf numFmtId="37" fontId="3" fillId="0" borderId="0" xfId="0" applyNumberFormat="1" applyFont="1" applyAlignment="1"/>
    <xf numFmtId="16" fontId="8" fillId="0" borderId="0" xfId="10" quotePrefix="1" applyNumberFormat="1" applyFont="1" applyAlignment="1">
      <alignment horizontal="center"/>
    </xf>
    <xf numFmtId="37" fontId="3" fillId="0" borderId="3" xfId="12" applyNumberFormat="1" applyFont="1" applyBorder="1" applyAlignment="1"/>
    <xf numFmtId="0" fontId="3" fillId="0" borderId="0" xfId="12" applyNumberFormat="1" applyFont="1" applyAlignment="1"/>
    <xf numFmtId="3" fontId="3" fillId="0" borderId="0" xfId="0" applyNumberFormat="1" applyFont="1" applyAlignment="1" applyProtection="1">
      <protection locked="0"/>
    </xf>
    <xf numFmtId="0" fontId="25" fillId="0" borderId="0" xfId="0" applyNumberFormat="1" applyFont="1" applyAlignment="1"/>
    <xf numFmtId="0" fontId="14" fillId="0" borderId="0" xfId="0" applyNumberFormat="1" applyFont="1" applyAlignment="1" applyProtection="1">
      <alignment horizontal="center"/>
      <protection locked="0"/>
    </xf>
    <xf numFmtId="176" fontId="24" fillId="0" borderId="0" xfId="11" applyFont="1" applyAlignment="1"/>
    <xf numFmtId="174" fontId="3" fillId="0" borderId="0" xfId="1" applyNumberFormat="1" applyFont="1" applyAlignment="1" applyProtection="1">
      <alignment horizontal="center"/>
      <protection locked="0"/>
    </xf>
    <xf numFmtId="174" fontId="3" fillId="0" borderId="0" xfId="1" applyNumberFormat="1" applyFont="1" applyFill="1" applyAlignment="1" applyProtection="1">
      <alignment horizontal="center"/>
      <protection locked="0"/>
    </xf>
    <xf numFmtId="174" fontId="3" fillId="0" borderId="0" xfId="1" applyNumberFormat="1" applyFont="1" applyBorder="1" applyAlignment="1" applyProtection="1">
      <protection locked="0"/>
    </xf>
    <xf numFmtId="174" fontId="3" fillId="0" borderId="0" xfId="1" applyNumberFormat="1" applyFont="1" applyFill="1" applyAlignment="1" applyProtection="1">
      <protection locked="0"/>
    </xf>
    <xf numFmtId="174" fontId="3" fillId="0" borderId="0" xfId="1" applyNumberFormat="1" applyFont="1" applyBorder="1"/>
    <xf numFmtId="174" fontId="3" fillId="0" borderId="0" xfId="1" applyNumberFormat="1" applyFont="1" applyAlignment="1" applyProtection="1">
      <alignment horizontal="centerContinuous"/>
      <protection locked="0"/>
    </xf>
    <xf numFmtId="168" fontId="3" fillId="0" borderId="0" xfId="0" applyNumberFormat="1" applyFont="1" applyAlignment="1" applyProtection="1">
      <alignment horizontal="centerContinuous"/>
      <protection locked="0"/>
    </xf>
    <xf numFmtId="174" fontId="3" fillId="0" borderId="3" xfId="1" applyNumberFormat="1" applyFont="1" applyBorder="1" applyAlignment="1" applyProtection="1">
      <alignment horizontal="centerContinuous"/>
      <protection locked="0"/>
    </xf>
    <xf numFmtId="0" fontId="3" fillId="0" borderId="3" xfId="0" applyNumberFormat="1" applyFont="1" applyBorder="1" applyAlignment="1" applyProtection="1">
      <alignment horizontal="centerContinuous"/>
      <protection locked="0"/>
    </xf>
    <xf numFmtId="175" fontId="5" fillId="0" borderId="0" xfId="1" applyNumberFormat="1" applyFont="1" applyAlignment="1" applyProtection="1">
      <protection locked="0"/>
    </xf>
    <xf numFmtId="175" fontId="3" fillId="0" borderId="0" xfId="1" applyNumberFormat="1" applyFont="1" applyAlignment="1" applyProtection="1">
      <alignment horizontal="center"/>
      <protection locked="0"/>
    </xf>
    <xf numFmtId="175" fontId="3" fillId="0" borderId="0" xfId="1" applyNumberFormat="1" applyFont="1" applyFill="1" applyAlignment="1" applyProtection="1">
      <alignment horizontal="center"/>
      <protection locked="0"/>
    </xf>
    <xf numFmtId="175" fontId="3" fillId="0" borderId="0" xfId="1" applyNumberFormat="1" applyFont="1" applyAlignment="1" applyProtection="1">
      <protection locked="0"/>
    </xf>
    <xf numFmtId="175" fontId="3" fillId="0" borderId="0" xfId="1" applyNumberFormat="1" applyFont="1" applyBorder="1" applyAlignment="1" applyProtection="1">
      <protection locked="0"/>
    </xf>
    <xf numFmtId="175" fontId="3" fillId="0" borderId="0" xfId="1" applyNumberFormat="1" applyFont="1" applyFill="1" applyAlignment="1" applyProtection="1">
      <protection locked="0"/>
    </xf>
    <xf numFmtId="175" fontId="3" fillId="0" borderId="0" xfId="1" applyNumberFormat="1" applyFont="1"/>
    <xf numFmtId="175" fontId="3" fillId="0" borderId="0" xfId="1" applyNumberFormat="1" applyFont="1" applyBorder="1"/>
    <xf numFmtId="3" fontId="27" fillId="0" borderId="0" xfId="14" applyNumberFormat="1" applyFont="1" applyFill="1" applyBorder="1" applyAlignment="1">
      <alignment horizontal="left"/>
    </xf>
    <xf numFmtId="168" fontId="3" fillId="0" borderId="0" xfId="0" applyNumberFormat="1" applyFont="1" applyBorder="1" applyAlignment="1" applyProtection="1">
      <protection locked="0"/>
    </xf>
    <xf numFmtId="174" fontId="3" fillId="0" borderId="0" xfId="1" applyNumberFormat="1" applyFont="1" applyFill="1" applyBorder="1"/>
    <xf numFmtId="49" fontId="3" fillId="0" borderId="0" xfId="0" applyNumberFormat="1" applyFont="1" applyBorder="1" applyAlignment="1" applyProtection="1">
      <protection locked="0"/>
    </xf>
    <xf numFmtId="168" fontId="3" fillId="0" borderId="0" xfId="0" applyNumberFormat="1" applyFont="1" applyAlignment="1" applyProtection="1">
      <alignment horizontal="right"/>
      <protection locked="0"/>
    </xf>
    <xf numFmtId="0" fontId="3" fillId="0" borderId="0" xfId="0" applyNumberFormat="1" applyFont="1" applyAlignment="1" applyProtection="1">
      <protection locked="0"/>
    </xf>
    <xf numFmtId="178" fontId="3" fillId="0" borderId="0" xfId="1" applyNumberFormat="1" applyFont="1" applyFill="1" applyAlignment="1" applyProtection="1">
      <protection locked="0"/>
    </xf>
    <xf numFmtId="174" fontId="3" fillId="0" borderId="0" xfId="0" applyNumberFormat="1" applyFont="1" applyFill="1" applyAlignment="1" applyProtection="1">
      <protection locked="0"/>
    </xf>
    <xf numFmtId="44" fontId="3" fillId="0" borderId="0" xfId="0" applyNumberFormat="1" applyFont="1" applyAlignment="1" applyProtection="1">
      <protection locked="0"/>
    </xf>
    <xf numFmtId="3" fontId="3" fillId="0" borderId="0" xfId="10" applyNumberFormat="1" applyFont="1" applyAlignment="1"/>
    <xf numFmtId="171" fontId="3" fillId="0" borderId="0" xfId="5" applyNumberFormat="1" applyFont="1" applyAlignment="1"/>
    <xf numFmtId="177" fontId="5" fillId="0" borderId="0" xfId="2" applyNumberFormat="1" applyFont="1" applyAlignment="1"/>
    <xf numFmtId="177" fontId="5" fillId="0" borderId="0" xfId="2" applyNumberFormat="1" applyFont="1" applyBorder="1" applyAlignment="1"/>
    <xf numFmtId="174" fontId="5" fillId="0" borderId="0" xfId="1" applyNumberFormat="1" applyFont="1" applyBorder="1" applyAlignment="1"/>
    <xf numFmtId="174" fontId="5" fillId="0" borderId="3" xfId="1" applyNumberFormat="1" applyFont="1" applyBorder="1" applyAlignment="1"/>
    <xf numFmtId="176" fontId="5" fillId="0" borderId="0" xfId="11" quotePrefix="1" applyFont="1" applyAlignment="1"/>
    <xf numFmtId="37" fontId="3" fillId="0" borderId="3" xfId="0" applyNumberFormat="1" applyFont="1" applyBorder="1"/>
    <xf numFmtId="43" fontId="3" fillId="0" borderId="0" xfId="1" applyFont="1" applyBorder="1" applyAlignment="1" applyProtection="1">
      <protection locked="0"/>
    </xf>
    <xf numFmtId="43" fontId="3" fillId="0" borderId="0" xfId="0" applyNumberFormat="1" applyFont="1" applyBorder="1" applyAlignment="1" applyProtection="1">
      <protection locked="0"/>
    </xf>
    <xf numFmtId="1" fontId="3" fillId="0" borderId="0" xfId="0" applyNumberFormat="1" applyFont="1" applyBorder="1" applyAlignment="1" applyProtection="1">
      <protection locked="0"/>
    </xf>
    <xf numFmtId="176" fontId="10" fillId="0" borderId="3" xfId="11" applyFont="1" applyBorder="1" applyAlignment="1">
      <alignment horizontal="center"/>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3" fillId="0" borderId="0" xfId="10" applyFont="1" applyAlignment="1"/>
    <xf numFmtId="37" fontId="3" fillId="0" borderId="1" xfId="10" applyNumberFormat="1" applyFont="1" applyBorder="1" applyAlignment="1">
      <alignment horizontal="center"/>
    </xf>
    <xf numFmtId="0" fontId="3" fillId="0" borderId="0" xfId="10" applyNumberFormat="1" applyFont="1" applyAlignment="1"/>
    <xf numFmtId="0" fontId="3" fillId="0" borderId="0" xfId="0" applyNumberFormat="1" applyFont="1" applyAlignment="1" applyProtection="1">
      <protection locked="0"/>
    </xf>
    <xf numFmtId="187" fontId="3" fillId="0" borderId="0" xfId="0" applyNumberFormat="1" applyFont="1" applyFill="1" applyAlignment="1" applyProtection="1">
      <protection locked="0"/>
    </xf>
    <xf numFmtId="43" fontId="3" fillId="0" borderId="0" xfId="1" applyFont="1" applyAlignment="1" applyProtection="1">
      <protection locked="0"/>
    </xf>
    <xf numFmtId="0" fontId="3" fillId="0" borderId="0" xfId="0" applyNumberFormat="1" applyFont="1" applyAlignment="1" applyProtection="1">
      <protection locked="0"/>
    </xf>
    <xf numFmtId="176" fontId="5" fillId="0" borderId="0" xfId="11" applyFont="1" applyAlignment="1">
      <alignment horizontal="center"/>
    </xf>
    <xf numFmtId="8" fontId="5" fillId="0" borderId="0" xfId="2" applyNumberFormat="1" applyFont="1" applyAlignment="1" applyProtection="1">
      <protection locked="0"/>
    </xf>
    <xf numFmtId="184" fontId="3" fillId="0" borderId="0" xfId="0" applyNumberFormat="1" applyFont="1" applyAlignment="1" applyProtection="1">
      <protection locked="0"/>
    </xf>
    <xf numFmtId="188" fontId="3" fillId="0" borderId="0" xfId="0" applyNumberFormat="1" applyFont="1" applyAlignment="1" applyProtection="1">
      <protection locked="0"/>
    </xf>
    <xf numFmtId="189" fontId="3" fillId="0" borderId="0" xfId="0" applyNumberFormat="1" applyFont="1" applyAlignment="1" applyProtection="1">
      <protection locked="0"/>
    </xf>
    <xf numFmtId="0" fontId="3" fillId="0" borderId="3" xfId="0" applyNumberFormat="1" applyFont="1" applyBorder="1" applyAlignment="1" applyProtection="1">
      <alignment horizontal="center"/>
      <protection locked="0"/>
    </xf>
    <xf numFmtId="0" fontId="3" fillId="0" borderId="0" xfId="0" applyNumberFormat="1" applyFont="1" applyAlignment="1" applyProtection="1">
      <protection locked="0"/>
    </xf>
    <xf numFmtId="177" fontId="3" fillId="0" borderId="0" xfId="0" applyNumberFormat="1" applyFont="1" applyAlignment="1" applyProtection="1">
      <protection locked="0"/>
    </xf>
    <xf numFmtId="0" fontId="3" fillId="0" borderId="3" xfId="0" applyNumberFormat="1" applyFont="1" applyFill="1" applyBorder="1" applyAlignment="1" applyProtection="1">
      <protection locked="0"/>
    </xf>
    <xf numFmtId="174" fontId="3" fillId="0" borderId="3" xfId="1" applyNumberFormat="1" applyFont="1" applyFill="1" applyBorder="1" applyAlignment="1" applyProtection="1">
      <protection locked="0"/>
    </xf>
    <xf numFmtId="37" fontId="3" fillId="0" borderId="3" xfId="0" applyNumberFormat="1" applyFont="1" applyFill="1" applyBorder="1" applyAlignment="1" applyProtection="1">
      <protection locked="0"/>
    </xf>
    <xf numFmtId="0" fontId="3" fillId="0" borderId="0" xfId="0" applyNumberFormat="1" applyFont="1" applyBorder="1" applyAlignment="1" applyProtection="1">
      <alignment horizontal="center"/>
      <protection locked="0"/>
    </xf>
    <xf numFmtId="174" fontId="3" fillId="0" borderId="0" xfId="1" applyNumberFormat="1" applyFont="1" applyBorder="1" applyAlignment="1" applyProtection="1">
      <alignment horizontal="center"/>
      <protection locked="0"/>
    </xf>
    <xf numFmtId="174" fontId="3" fillId="0" borderId="3" xfId="1" applyNumberFormat="1" applyFont="1" applyBorder="1" applyAlignment="1" applyProtection="1">
      <alignment horizontal="center"/>
      <protection locked="0"/>
    </xf>
    <xf numFmtId="0" fontId="5" fillId="0" borderId="0" xfId="0" applyNumberFormat="1" applyFont="1" applyAlignment="1" applyProtection="1">
      <alignment horizontal="centerContinuous"/>
      <protection locked="0"/>
    </xf>
    <xf numFmtId="164" fontId="5" fillId="0" borderId="0" xfId="0" applyFont="1" applyAlignment="1">
      <alignment horizontal="center"/>
    </xf>
    <xf numFmtId="164" fontId="3" fillId="0" borderId="0" xfId="0" applyFont="1" applyAlignment="1">
      <alignment horizontal="center"/>
    </xf>
    <xf numFmtId="37" fontId="3" fillId="0" borderId="0" xfId="0" applyNumberFormat="1" applyFont="1" applyAlignment="1">
      <alignment horizontal="center"/>
    </xf>
    <xf numFmtId="175" fontId="3" fillId="0" borderId="3" xfId="0" applyNumberFormat="1" applyFont="1" applyBorder="1" applyAlignment="1">
      <alignment horizontal="centerContinuous"/>
    </xf>
    <xf numFmtId="168" fontId="3" fillId="0" borderId="3" xfId="0" applyNumberFormat="1" applyFont="1" applyBorder="1" applyAlignment="1">
      <alignment horizontal="center"/>
    </xf>
    <xf numFmtId="37" fontId="3" fillId="0" borderId="3" xfId="0" applyNumberFormat="1" applyFont="1" applyBorder="1" applyAlignment="1">
      <alignment horizontal="center"/>
    </xf>
    <xf numFmtId="37" fontId="3" fillId="0" borderId="3" xfId="0" applyNumberFormat="1" applyFont="1" applyBorder="1" applyAlignment="1" applyProtection="1">
      <alignment horizontal="center"/>
      <protection locked="0"/>
    </xf>
    <xf numFmtId="164" fontId="3" fillId="0" borderId="3" xfId="0" applyFont="1" applyBorder="1" applyAlignment="1">
      <alignment horizontal="center"/>
    </xf>
    <xf numFmtId="175" fontId="3" fillId="0" borderId="0" xfId="0" applyNumberFormat="1" applyFont="1" applyBorder="1" applyAlignment="1">
      <alignment horizontal="centerContinuous"/>
    </xf>
    <xf numFmtId="168" fontId="3" fillId="0" borderId="0" xfId="0" applyNumberFormat="1" applyFont="1" applyBorder="1" applyAlignment="1">
      <alignment horizontal="center"/>
    </xf>
    <xf numFmtId="42" fontId="3" fillId="0" borderId="0" xfId="0" applyNumberFormat="1" applyFont="1"/>
    <xf numFmtId="174" fontId="3" fillId="0" borderId="3" xfId="1" applyNumberFormat="1" applyFont="1" applyBorder="1"/>
    <xf numFmtId="0" fontId="3" fillId="0" borderId="0" xfId="1" applyNumberFormat="1" applyFont="1" applyBorder="1"/>
    <xf numFmtId="49"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Border="1" applyAlignment="1" applyProtection="1">
      <protection locked="0"/>
    </xf>
    <xf numFmtId="49" fontId="3" fillId="0" borderId="0" xfId="0" applyNumberFormat="1" applyFont="1" applyFill="1" applyBorder="1" applyAlignment="1" applyProtection="1">
      <protection locked="0"/>
    </xf>
    <xf numFmtId="164" fontId="11" fillId="0" borderId="0" xfId="0" applyFont="1" applyFill="1"/>
    <xf numFmtId="0" fontId="3" fillId="0" borderId="0" xfId="1" applyNumberFormat="1" applyFont="1" applyFill="1" applyBorder="1"/>
    <xf numFmtId="41" fontId="3" fillId="0" borderId="0" xfId="0" applyNumberFormat="1" applyFont="1" applyBorder="1" applyAlignment="1" applyProtection="1">
      <protection locked="0"/>
    </xf>
    <xf numFmtId="42" fontId="3" fillId="0" borderId="0" xfId="0" applyNumberFormat="1" applyFont="1" applyBorder="1"/>
    <xf numFmtId="43" fontId="3" fillId="0" borderId="0" xfId="1" applyNumberFormat="1" applyFont="1" applyAlignment="1" applyProtection="1">
      <protection locked="0"/>
    </xf>
    <xf numFmtId="42" fontId="3" fillId="0" borderId="0" xfId="0" applyNumberFormat="1" applyFont="1" applyBorder="1" applyAlignment="1" applyProtection="1">
      <protection locked="0"/>
    </xf>
    <xf numFmtId="41" fontId="3" fillId="0" borderId="0" xfId="0" applyNumberFormat="1" applyFont="1" applyBorder="1" applyAlignment="1">
      <alignment horizontal="center"/>
    </xf>
    <xf numFmtId="168" fontId="3" fillId="0" borderId="0" xfId="0" applyNumberFormat="1" applyFont="1" applyBorder="1" applyAlignment="1" applyProtection="1">
      <alignment horizontal="center"/>
      <protection locked="0"/>
    </xf>
    <xf numFmtId="170" fontId="2" fillId="0" borderId="0" xfId="0" applyNumberFormat="1" applyFont="1" applyAlignment="1" applyProtection="1">
      <alignment horizontal="left"/>
      <protection locked="0"/>
    </xf>
    <xf numFmtId="172" fontId="3" fillId="0" borderId="0" xfId="0" applyNumberFormat="1" applyFont="1" applyAlignment="1" applyProtection="1">
      <alignment horizontal="right"/>
      <protection locked="0"/>
    </xf>
    <xf numFmtId="172" fontId="3" fillId="0" borderId="0" xfId="0" applyNumberFormat="1" applyFont="1" applyAlignment="1" applyProtection="1">
      <protection locked="0"/>
    </xf>
    <xf numFmtId="0" fontId="5" fillId="0" borderId="0" xfId="10" applyBorder="1" applyAlignment="1"/>
    <xf numFmtId="3" fontId="3" fillId="0" borderId="0" xfId="10" applyNumberFormat="1" applyFont="1" applyBorder="1" applyAlignment="1"/>
    <xf numFmtId="0" fontId="25" fillId="0" borderId="0" xfId="0" applyNumberFormat="1" applyFont="1" applyBorder="1" applyAlignment="1" applyProtection="1">
      <protection locked="0"/>
    </xf>
    <xf numFmtId="176" fontId="10" fillId="0" borderId="0" xfId="11" applyFont="1" applyBorder="1" applyAlignment="1">
      <alignment horizontal="center"/>
    </xf>
    <xf numFmtId="0" fontId="24" fillId="0" borderId="0" xfId="0" quotePrefix="1" applyNumberFormat="1" applyFont="1" applyBorder="1" applyAlignment="1" applyProtection="1">
      <alignment horizontal="left"/>
      <protection locked="0"/>
    </xf>
    <xf numFmtId="176" fontId="8" fillId="0" borderId="0" xfId="11" applyFont="1" applyBorder="1" applyAlignment="1"/>
    <xf numFmtId="176" fontId="10" fillId="0" borderId="0" xfId="11" applyFont="1" applyBorder="1" applyAlignment="1"/>
    <xf numFmtId="0" fontId="10" fillId="0" borderId="0" xfId="0" applyNumberFormat="1" applyFont="1" applyBorder="1" applyAlignment="1" applyProtection="1">
      <alignment horizontal="center"/>
      <protection locked="0"/>
    </xf>
    <xf numFmtId="0" fontId="10" fillId="0" borderId="0" xfId="0" applyNumberFormat="1" applyFont="1" applyBorder="1" applyAlignment="1" applyProtection="1">
      <protection locked="0"/>
    </xf>
    <xf numFmtId="176" fontId="5" fillId="0" borderId="0" xfId="11" applyFont="1" applyBorder="1" applyAlignment="1">
      <alignment horizontal="center"/>
    </xf>
    <xf numFmtId="37" fontId="10" fillId="0" borderId="0" xfId="0" applyNumberFormat="1" applyFont="1" applyBorder="1" applyAlignment="1">
      <alignment horizontal="center"/>
    </xf>
    <xf numFmtId="37" fontId="10" fillId="0" borderId="0" xfId="0" applyNumberFormat="1" applyFont="1" applyBorder="1" applyAlignment="1" applyProtection="1">
      <alignment horizontal="center"/>
      <protection locked="0"/>
    </xf>
    <xf numFmtId="37" fontId="5" fillId="0" borderId="0" xfId="0" applyNumberFormat="1" applyFont="1" applyBorder="1" applyAlignment="1" applyProtection="1">
      <alignment horizontal="center"/>
      <protection locked="0"/>
    </xf>
    <xf numFmtId="37" fontId="10" fillId="0" borderId="0" xfId="0" quotePrefix="1" applyNumberFormat="1" applyFont="1" applyBorder="1" applyAlignment="1" applyProtection="1">
      <alignment horizontal="center"/>
      <protection locked="0"/>
    </xf>
    <xf numFmtId="176" fontId="3" fillId="0" borderId="0" xfId="11" applyFont="1" applyBorder="1" applyAlignment="1"/>
    <xf numFmtId="10" fontId="5" fillId="0" borderId="0" xfId="13" applyNumberFormat="1" applyFont="1" applyBorder="1" applyAlignment="1" applyProtection="1">
      <protection locked="0"/>
    </xf>
    <xf numFmtId="43" fontId="5" fillId="0" borderId="0" xfId="1" applyFont="1" applyBorder="1" applyAlignment="1">
      <alignment horizontal="right"/>
    </xf>
    <xf numFmtId="44" fontId="10" fillId="0" borderId="0" xfId="2" applyFont="1" applyBorder="1" applyAlignment="1"/>
    <xf numFmtId="44" fontId="10" fillId="0" borderId="0" xfId="2" applyFont="1" applyBorder="1" applyAlignment="1" applyProtection="1">
      <protection locked="0"/>
    </xf>
    <xf numFmtId="43" fontId="5" fillId="0" borderId="0" xfId="1" applyFont="1" applyBorder="1" applyAlignment="1"/>
    <xf numFmtId="43" fontId="10" fillId="0" borderId="0" xfId="0" applyNumberFormat="1" applyFont="1" applyBorder="1" applyAlignment="1" applyProtection="1">
      <protection locked="0"/>
    </xf>
    <xf numFmtId="174" fontId="5" fillId="0" borderId="0" xfId="0" applyNumberFormat="1" applyFont="1" applyBorder="1" applyAlignment="1" applyProtection="1">
      <protection locked="0"/>
    </xf>
    <xf numFmtId="177" fontId="10" fillId="0" borderId="0" xfId="2" applyNumberFormat="1" applyFont="1" applyBorder="1" applyAlignment="1" applyProtection="1">
      <protection locked="0"/>
    </xf>
    <xf numFmtId="175" fontId="10" fillId="0" borderId="0" xfId="1" applyNumberFormat="1" applyFont="1" applyBorder="1" applyAlignment="1"/>
    <xf numFmtId="3" fontId="10" fillId="0" borderId="0" xfId="10" applyNumberFormat="1" applyFont="1" applyBorder="1" applyAlignment="1"/>
    <xf numFmtId="43" fontId="10" fillId="0" borderId="0" xfId="11" applyNumberFormat="1" applyFont="1" applyBorder="1" applyAlignment="1"/>
    <xf numFmtId="43" fontId="5" fillId="0" borderId="0" xfId="10" applyNumberFormat="1" applyFont="1" applyBorder="1" applyAlignment="1"/>
    <xf numFmtId="174" fontId="10" fillId="0" borderId="0" xfId="0" applyNumberFormat="1" applyFont="1" applyBorder="1" applyAlignment="1" applyProtection="1">
      <protection locked="0"/>
    </xf>
    <xf numFmtId="44" fontId="3" fillId="0" borderId="0" xfId="0" applyNumberFormat="1" applyFont="1" applyBorder="1" applyAlignment="1" applyProtection="1">
      <protection locked="0"/>
    </xf>
    <xf numFmtId="181" fontId="10" fillId="0" borderId="0" xfId="11" applyNumberFormat="1" applyFont="1" applyBorder="1"/>
    <xf numFmtId="43" fontId="10" fillId="0" borderId="0" xfId="1" applyFont="1" applyBorder="1" applyAlignment="1"/>
    <xf numFmtId="43" fontId="10" fillId="0" borderId="0" xfId="2" applyNumberFormat="1" applyFont="1" applyBorder="1" applyAlignment="1"/>
    <xf numFmtId="0" fontId="10" fillId="0" borderId="0" xfId="10" applyNumberFormat="1" applyFont="1" applyBorder="1" applyAlignment="1"/>
    <xf numFmtId="4" fontId="3" fillId="0" borderId="0" xfId="10" applyNumberFormat="1" applyFont="1" applyBorder="1" applyAlignment="1"/>
    <xf numFmtId="174" fontId="3" fillId="0" borderId="0" xfId="0" applyNumberFormat="1" applyFont="1" applyBorder="1" applyAlignment="1" applyProtection="1">
      <protection locked="0"/>
    </xf>
    <xf numFmtId="4" fontId="20" fillId="0" borderId="0" xfId="10" applyNumberFormat="1" applyFont="1" applyBorder="1" applyAlignment="1"/>
    <xf numFmtId="0" fontId="10" fillId="0" borderId="0" xfId="0" quotePrefix="1" applyNumberFormat="1" applyFont="1" applyBorder="1" applyAlignment="1" applyProtection="1">
      <alignment horizontal="left"/>
      <protection locked="0"/>
    </xf>
    <xf numFmtId="3" fontId="5" fillId="0" borderId="0" xfId="0" applyNumberFormat="1" applyFont="1" applyBorder="1" applyAlignment="1" applyProtection="1">
      <protection locked="0"/>
    </xf>
    <xf numFmtId="174" fontId="10" fillId="2" borderId="0" xfId="0" applyNumberFormat="1" applyFont="1" applyFill="1" applyBorder="1" applyAlignment="1" applyProtection="1">
      <protection locked="0"/>
    </xf>
    <xf numFmtId="0" fontId="3" fillId="0" borderId="0" xfId="0" applyNumberFormat="1" applyFont="1" applyFill="1" applyAlignment="1" applyProtection="1">
      <alignment horizontal="center"/>
      <protection locked="0"/>
    </xf>
    <xf numFmtId="0" fontId="9" fillId="0" borderId="0" xfId="0" applyNumberFormat="1" applyFont="1" applyFill="1" applyAlignment="1" applyProtection="1">
      <protection locked="0"/>
    </xf>
    <xf numFmtId="0" fontId="9" fillId="0" borderId="0" xfId="0" applyNumberFormat="1" applyFont="1" applyFill="1" applyAlignment="1" applyProtection="1">
      <alignment horizontal="center"/>
      <protection locked="0"/>
    </xf>
    <xf numFmtId="10" fontId="3" fillId="0" borderId="0" xfId="0" applyNumberFormat="1" applyFont="1" applyFill="1" applyAlignment="1" applyProtection="1">
      <protection locked="0"/>
    </xf>
    <xf numFmtId="0" fontId="21" fillId="0" borderId="0" xfId="0" applyNumberFormat="1" applyFont="1" applyFill="1" applyAlignment="1" applyProtection="1">
      <protection locked="0"/>
    </xf>
    <xf numFmtId="43" fontId="3" fillId="0" borderId="0" xfId="1" applyFont="1" applyFill="1" applyAlignment="1" applyProtection="1">
      <protection locked="0"/>
    </xf>
    <xf numFmtId="10" fontId="3" fillId="0" borderId="0" xfId="13" applyNumberFormat="1" applyFont="1" applyFill="1" applyAlignment="1" applyProtection="1">
      <protection locked="0"/>
    </xf>
    <xf numFmtId="43" fontId="22" fillId="0" borderId="0" xfId="1" applyFont="1" applyFill="1" applyAlignment="1" applyProtection="1">
      <protection locked="0"/>
    </xf>
    <xf numFmtId="0" fontId="3" fillId="0" borderId="0" xfId="0" applyNumberFormat="1" applyFont="1" applyAlignment="1" applyProtection="1">
      <protection locked="0"/>
    </xf>
    <xf numFmtId="0" fontId="0" fillId="0" borderId="0" xfId="0" applyNumberFormat="1"/>
    <xf numFmtId="0" fontId="28" fillId="0" borderId="0" xfId="0" applyNumberFormat="1" applyFont="1"/>
    <xf numFmtId="0" fontId="0" fillId="0" borderId="0" xfId="0" applyNumberFormat="1" applyAlignment="1">
      <alignment horizontal="center"/>
    </xf>
    <xf numFmtId="0" fontId="0" fillId="0" borderId="3" xfId="0" applyNumberFormat="1" applyBorder="1" applyAlignment="1">
      <alignment horizontal="center"/>
    </xf>
    <xf numFmtId="10" fontId="0" fillId="0" borderId="3" xfId="13" applyNumberFormat="1" applyFont="1" applyBorder="1" applyAlignment="1">
      <alignment horizontal="center"/>
    </xf>
    <xf numFmtId="177" fontId="0" fillId="0" borderId="0" xfId="2" applyNumberFormat="1" applyFont="1"/>
    <xf numFmtId="190" fontId="0" fillId="0" borderId="0" xfId="13" applyNumberFormat="1" applyFont="1"/>
    <xf numFmtId="10" fontId="0" fillId="0" borderId="0" xfId="13" applyNumberFormat="1" applyFont="1"/>
    <xf numFmtId="10" fontId="0" fillId="0" borderId="0" xfId="0" applyNumberFormat="1"/>
    <xf numFmtId="177" fontId="0" fillId="0" borderId="3" xfId="2" applyNumberFormat="1" applyFont="1" applyBorder="1"/>
    <xf numFmtId="190" fontId="0" fillId="0" borderId="3" xfId="13" applyNumberFormat="1" applyFont="1" applyBorder="1"/>
    <xf numFmtId="10" fontId="0" fillId="0" borderId="3" xfId="13" applyNumberFormat="1" applyFont="1" applyBorder="1"/>
    <xf numFmtId="177" fontId="0" fillId="0" borderId="4" xfId="2" applyNumberFormat="1" applyFont="1" applyBorder="1"/>
    <xf numFmtId="10" fontId="0" fillId="0" borderId="4" xfId="13" applyNumberFormat="1" applyFont="1" applyBorder="1"/>
    <xf numFmtId="10" fontId="0" fillId="0" borderId="4" xfId="0" applyNumberFormat="1" applyBorder="1"/>
    <xf numFmtId="43" fontId="0" fillId="0" borderId="0" xfId="1" applyFont="1"/>
    <xf numFmtId="174" fontId="0" fillId="0" borderId="0" xfId="1" applyNumberFormat="1" applyFont="1"/>
    <xf numFmtId="164" fontId="0" fillId="0" borderId="3" xfId="0" applyNumberFormat="1" applyBorder="1"/>
    <xf numFmtId="164" fontId="0" fillId="0" borderId="0" xfId="0" applyNumberFormat="1"/>
    <xf numFmtId="0" fontId="0" fillId="3" borderId="0" xfId="0" applyNumberFormat="1" applyFill="1"/>
    <xf numFmtId="177" fontId="0" fillId="3" borderId="0" xfId="0" applyNumberFormat="1" applyFill="1"/>
    <xf numFmtId="191" fontId="0" fillId="0" borderId="0" xfId="0" applyNumberFormat="1"/>
    <xf numFmtId="0" fontId="0" fillId="0" borderId="0" xfId="0" applyNumberFormat="1" applyAlignment="1">
      <alignment horizontal="right"/>
    </xf>
    <xf numFmtId="1" fontId="0" fillId="3" borderId="0" xfId="0" applyNumberFormat="1" applyFill="1"/>
    <xf numFmtId="37" fontId="3" fillId="3" borderId="0" xfId="0" applyNumberFormat="1" applyFont="1" applyFill="1"/>
    <xf numFmtId="0" fontId="3" fillId="3" borderId="0" xfId="0" applyNumberFormat="1" applyFont="1" applyFill="1" applyAlignment="1" applyProtection="1">
      <protection locked="0"/>
    </xf>
    <xf numFmtId="43" fontId="3" fillId="3" borderId="0" xfId="1" applyFont="1" applyFill="1" applyAlignment="1"/>
    <xf numFmtId="183" fontId="3" fillId="0" borderId="0" xfId="1" applyNumberFormat="1" applyFont="1" applyAlignment="1"/>
    <xf numFmtId="43" fontId="3" fillId="3" borderId="0" xfId="0" applyNumberFormat="1" applyFont="1" applyFill="1" applyAlignment="1" applyProtection="1">
      <protection locked="0"/>
    </xf>
    <xf numFmtId="43" fontId="3" fillId="0" borderId="0" xfId="0" applyNumberFormat="1" applyFont="1" applyAlignment="1" applyProtection="1">
      <protection locked="0"/>
    </xf>
    <xf numFmtId="39" fontId="3" fillId="3" borderId="0" xfId="0" applyNumberFormat="1" applyFont="1" applyFill="1" applyAlignment="1"/>
    <xf numFmtId="0" fontId="3" fillId="0" borderId="0" xfId="0" applyNumberFormat="1" applyFont="1" applyAlignment="1" applyProtection="1">
      <protection locked="0"/>
    </xf>
    <xf numFmtId="164" fontId="3" fillId="4" borderId="0" xfId="0" applyFont="1" applyFill="1"/>
    <xf numFmtId="37" fontId="3" fillId="4" borderId="0" xfId="0" applyNumberFormat="1" applyFont="1" applyFill="1"/>
    <xf numFmtId="171" fontId="3" fillId="0" borderId="0" xfId="0" applyNumberFormat="1" applyFont="1" applyAlignment="1" applyProtection="1">
      <protection locked="0"/>
    </xf>
    <xf numFmtId="171" fontId="3" fillId="0" borderId="0" xfId="0" applyNumberFormat="1" applyFont="1" applyAlignment="1" applyProtection="1">
      <protection locked="0"/>
    </xf>
    <xf numFmtId="164" fontId="2" fillId="4" borderId="0" xfId="0" applyFont="1" applyFill="1"/>
    <xf numFmtId="37" fontId="3" fillId="4" borderId="3" xfId="0" applyNumberFormat="1" applyFont="1" applyFill="1" applyBorder="1"/>
    <xf numFmtId="0" fontId="0" fillId="0" borderId="0" xfId="0" applyNumberFormat="1" applyAlignment="1">
      <alignment horizontal="center"/>
    </xf>
    <xf numFmtId="0" fontId="3" fillId="0" borderId="0" xfId="0" applyNumberFormat="1" applyFont="1" applyAlignment="1" applyProtection="1">
      <alignment horizontal="center"/>
      <protection locked="0"/>
    </xf>
    <xf numFmtId="0" fontId="3" fillId="0" borderId="3" xfId="0" applyNumberFormat="1" applyFont="1" applyBorder="1" applyAlignment="1" applyProtection="1">
      <alignment horizontal="center"/>
      <protection locked="0"/>
    </xf>
    <xf numFmtId="0" fontId="5" fillId="0" borderId="0" xfId="0" applyNumberFormat="1" applyFont="1" applyAlignment="1" applyProtection="1">
      <alignment horizontal="center"/>
      <protection locked="0"/>
    </xf>
    <xf numFmtId="0" fontId="3" fillId="0" borderId="0" xfId="0" applyNumberFormat="1" applyFont="1" applyAlignment="1">
      <alignment horizontal="justify" vertical="top" wrapText="1"/>
    </xf>
    <xf numFmtId="0" fontId="3" fillId="0" borderId="0" xfId="0" applyNumberFormat="1" applyFont="1" applyAlignment="1">
      <alignment horizontal="justify" wrapText="1"/>
    </xf>
    <xf numFmtId="0" fontId="3" fillId="0" borderId="0" xfId="0" applyNumberFormat="1" applyFont="1" applyAlignment="1" applyProtection="1">
      <protection locked="0"/>
    </xf>
    <xf numFmtId="0" fontId="3" fillId="0" borderId="0" xfId="6" applyNumberFormat="1" applyFont="1" applyAlignment="1">
      <alignment horizontal="justify" vertical="top" wrapText="1"/>
    </xf>
    <xf numFmtId="0" fontId="3" fillId="0" borderId="0" xfId="0" applyNumberFormat="1" applyFont="1" applyAlignment="1">
      <alignment horizontal="justify"/>
    </xf>
    <xf numFmtId="0" fontId="3" fillId="0" borderId="0" xfId="0" applyNumberFormat="1" applyFont="1" applyAlignment="1">
      <alignment horizontal="left" wrapText="1"/>
    </xf>
    <xf numFmtId="0" fontId="3" fillId="0" borderId="0" xfId="7" applyNumberFormat="1" applyFont="1" applyAlignment="1">
      <alignment horizontal="justify" vertical="top" wrapText="1"/>
    </xf>
    <xf numFmtId="0" fontId="3" fillId="0" borderId="0" xfId="3" applyNumberFormat="1" applyFont="1" applyAlignment="1">
      <alignment horizontal="justify" vertical="top" wrapText="1"/>
    </xf>
    <xf numFmtId="0" fontId="3" fillId="0" borderId="0" xfId="7" applyNumberFormat="1" applyFont="1" applyAlignment="1">
      <alignment horizontal="center"/>
    </xf>
    <xf numFmtId="0" fontId="3" fillId="0" borderId="5" xfId="7" applyNumberFormat="1" applyFont="1" applyBorder="1" applyAlignment="1">
      <alignment horizontal="center"/>
    </xf>
    <xf numFmtId="0" fontId="3" fillId="0" borderId="0" xfId="8" applyNumberFormat="1" applyFont="1" applyAlignment="1">
      <alignment horizontal="justify" vertical="top" wrapText="1"/>
    </xf>
    <xf numFmtId="0" fontId="3" fillId="0" borderId="0" xfId="4" applyNumberFormat="1" applyFont="1" applyAlignment="1">
      <alignment horizontal="justify" vertical="top" wrapText="1"/>
    </xf>
    <xf numFmtId="0" fontId="3" fillId="0" borderId="0" xfId="5" applyNumberFormat="1" applyFont="1" applyAlignment="1">
      <alignment horizontal="justify" vertical="top" wrapText="1"/>
    </xf>
    <xf numFmtId="0" fontId="3" fillId="0" borderId="0" xfId="5" applyNumberFormat="1" applyFont="1" applyAlignment="1">
      <alignment horizontal="center"/>
    </xf>
    <xf numFmtId="0" fontId="3" fillId="0" borderId="0" xfId="0" applyNumberFormat="1" applyFont="1" applyBorder="1" applyAlignment="1" applyProtection="1">
      <alignment horizontal="center"/>
      <protection locked="0"/>
    </xf>
    <xf numFmtId="176" fontId="10" fillId="0" borderId="0" xfId="11" applyFont="1" applyAlignment="1">
      <alignment horizontal="center"/>
    </xf>
    <xf numFmtId="0" fontId="8" fillId="0" borderId="5" xfId="12" applyNumberFormat="1" applyFont="1" applyBorder="1" applyAlignment="1">
      <alignment horizontal="center"/>
    </xf>
    <xf numFmtId="0" fontId="8" fillId="0" borderId="0" xfId="12" applyNumberFormat="1" applyFont="1" applyAlignment="1">
      <alignment horizontal="center"/>
    </xf>
    <xf numFmtId="176" fontId="10" fillId="0" borderId="0" xfId="11" applyFont="1" applyBorder="1" applyAlignment="1">
      <alignment horizontal="center"/>
    </xf>
    <xf numFmtId="176" fontId="10" fillId="0" borderId="3" xfId="11" applyFont="1" applyBorder="1" applyAlignment="1">
      <alignment horizontal="center"/>
    </xf>
    <xf numFmtId="41" fontId="10" fillId="0" borderId="6" xfId="11" quotePrefix="1" applyNumberFormat="1" applyFont="1" applyBorder="1" applyAlignment="1">
      <alignment horizontal="center"/>
    </xf>
    <xf numFmtId="176" fontId="1" fillId="0" borderId="3" xfId="11" applyFont="1" applyBorder="1" applyAlignment="1">
      <alignment horizontal="center"/>
    </xf>
    <xf numFmtId="176" fontId="1" fillId="3" borderId="0" xfId="11" applyFont="1" applyFill="1" applyBorder="1" applyAlignment="1">
      <alignment horizontal="center"/>
    </xf>
    <xf numFmtId="164" fontId="0" fillId="0" borderId="3" xfId="0" applyBorder="1" applyAlignment="1">
      <alignment horizontal="center"/>
    </xf>
    <xf numFmtId="164" fontId="0" fillId="0" borderId="0" xfId="0" applyAlignment="1">
      <alignment horizontal="center"/>
    </xf>
    <xf numFmtId="43" fontId="5" fillId="0" borderId="3" xfId="1" applyFont="1" applyBorder="1" applyAlignment="1" applyProtection="1">
      <alignment horizontal="center"/>
      <protection locked="0"/>
    </xf>
    <xf numFmtId="176" fontId="5" fillId="0" borderId="0" xfId="11" applyFont="1" applyAlignment="1">
      <alignment horizontal="center"/>
    </xf>
    <xf numFmtId="0" fontId="23" fillId="0" borderId="0" xfId="0" applyNumberFormat="1" applyFont="1" applyAlignment="1" applyProtection="1">
      <alignment horizontal="center"/>
      <protection locked="0"/>
    </xf>
  </cellXfs>
  <cellStyles count="19">
    <cellStyle name="Comma" xfId="1" builtinId="3"/>
    <cellStyle name="Comma 2" xfId="16"/>
    <cellStyle name="Currency" xfId="2" builtinId="4"/>
    <cellStyle name="Currency 2" xfId="15"/>
    <cellStyle name="Normal" xfId="0" builtinId="0"/>
    <cellStyle name="Normal 2" xfId="14"/>
    <cellStyle name="Normal 2 2" xfId="17"/>
    <cellStyle name="Normal 3" xfId="18"/>
    <cellStyle name="Normal_F   5" xfId="3"/>
    <cellStyle name="Normal_F   6   7" xfId="4"/>
    <cellStyle name="Normal_F   8  9  10" xfId="5"/>
    <cellStyle name="Normal_F 2 B" xfId="6"/>
    <cellStyle name="Normal_F 3B 4B" xfId="7"/>
    <cellStyle name="Normal_F 5B" xfId="8"/>
    <cellStyle name="Normal_Factors" xfId="9"/>
    <cellStyle name="Normal_MetersServices" xfId="10"/>
    <cellStyle name="Normal_Sch M" xfId="11"/>
    <cellStyle name="Normal_Sched G" xfId="12"/>
    <cellStyle name="Percent" xfId="13"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penard\AppData\Local\Microsoft\Windows\Temporary%20Internet%20Files\Content.Outlook\Y0XSC978\KAW_R_PSCDR1_NUM14_attachmentCOSS%20at%20AG(propo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penard\AppData\Local\Microsoft\Windows\Temporary%20Internet%20Files\Content.Outlook\Y0XSC978\oag_smr_schedules_040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P SMR-5"/>
      <sheetName val="COS 1"/>
      <sheetName val="F 1-2"/>
      <sheetName val="F 2 B"/>
      <sheetName val="F 3-4"/>
      <sheetName val="F 3B 4B"/>
      <sheetName val="F 5"/>
      <sheetName val="F 5B"/>
      <sheetName val="F6-7"/>
      <sheetName val="F8-10"/>
      <sheetName val="Meters &amp; Services"/>
      <sheetName val="F11-12"/>
      <sheetName val="F13-14"/>
      <sheetName val="F 15-20"/>
      <sheetName val="SCH-D"/>
      <sheetName val="Fire"/>
      <sheetName val="ServiceCharges"/>
      <sheetName val="SCH-A"/>
      <sheetName val="Rate base"/>
      <sheetName val="Pumps"/>
      <sheetName val="Sch G"/>
    </sheetNames>
    <sheetDataSet>
      <sheetData sheetId="0"/>
      <sheetData sheetId="1">
        <row r="376">
          <cell r="Z376" t="e">
            <v>#NAME?</v>
          </cell>
          <cell r="AC376" t="str">
            <v>FACTOR 19</v>
          </cell>
          <cell r="AI376" t="e">
            <v>#NAME?</v>
          </cell>
          <cell r="AK376" t="e">
            <v>#NAME?</v>
          </cell>
          <cell r="AM376" t="e">
            <v>#NAME?</v>
          </cell>
          <cell r="AO376" t="e">
            <v>#NAME?</v>
          </cell>
        </row>
        <row r="382">
          <cell r="L382">
            <v>2</v>
          </cell>
          <cell r="N382">
            <v>4</v>
          </cell>
          <cell r="P382">
            <v>6</v>
          </cell>
          <cell r="R382">
            <v>8</v>
          </cell>
          <cell r="T382">
            <v>10</v>
          </cell>
          <cell r="V382">
            <v>12</v>
          </cell>
          <cell r="X382">
            <v>14</v>
          </cell>
          <cell r="Z382">
            <v>20</v>
          </cell>
        </row>
        <row r="383">
          <cell r="L383" t="str">
            <v>Residential</v>
          </cell>
          <cell r="N383" t="str">
            <v>Commercial</v>
          </cell>
          <cell r="P383" t="str">
            <v>Industrial</v>
          </cell>
          <cell r="R383" t="str">
            <v xml:space="preserve">Public </v>
          </cell>
          <cell r="T383" t="str">
            <v>Resale</v>
          </cell>
          <cell r="V383" t="str">
            <v>Private Fire</v>
          </cell>
          <cell r="X383" t="str">
            <v>Public Fire</v>
          </cell>
          <cell r="Z383" t="str">
            <v>Total</v>
          </cell>
        </row>
        <row r="386">
          <cell r="K386">
            <v>1</v>
          </cell>
          <cell r="L386">
            <v>0.48659999999999998</v>
          </cell>
          <cell r="N386">
            <v>0.309</v>
          </cell>
          <cell r="P386">
            <v>4.7300000000000002E-2</v>
          </cell>
          <cell r="R386">
            <v>0.1154</v>
          </cell>
          <cell r="T386">
            <v>3.5900000000000001E-2</v>
          </cell>
          <cell r="V386">
            <v>2.5999999999999999E-3</v>
          </cell>
          <cell r="X386">
            <v>3.2000000000000002E-3</v>
          </cell>
          <cell r="Z386">
            <v>1</v>
          </cell>
          <cell r="AH386">
            <v>1</v>
          </cell>
          <cell r="AI386">
            <v>0.99419999999999997</v>
          </cell>
          <cell r="AK386">
            <v>0</v>
          </cell>
          <cell r="AM386">
            <v>0</v>
          </cell>
          <cell r="AO386">
            <v>0</v>
          </cell>
          <cell r="AQ386">
            <v>0</v>
          </cell>
          <cell r="AS386">
            <v>0</v>
          </cell>
          <cell r="AW386">
            <v>2.5999999999999999E-3</v>
          </cell>
          <cell r="AY386">
            <v>3.2000000000000002E-3</v>
          </cell>
        </row>
        <row r="387">
          <cell r="K387">
            <v>2</v>
          </cell>
          <cell r="L387">
            <v>0.499</v>
          </cell>
          <cell r="N387">
            <v>0.30969999999999998</v>
          </cell>
          <cell r="P387">
            <v>4.41E-2</v>
          </cell>
          <cell r="R387">
            <v>0.11020000000000001</v>
          </cell>
          <cell r="T387">
            <v>3.3500000000000002E-2</v>
          </cell>
          <cell r="V387">
            <v>1.6000000000000001E-3</v>
          </cell>
          <cell r="X387">
            <v>1.9E-3</v>
          </cell>
          <cell r="Z387">
            <v>1</v>
          </cell>
          <cell r="AH387">
            <v>2</v>
          </cell>
          <cell r="AI387">
            <v>0.60259999999999991</v>
          </cell>
          <cell r="AK387">
            <v>0.39389999999999997</v>
          </cell>
          <cell r="AM387">
            <v>0</v>
          </cell>
          <cell r="AO387">
            <v>0</v>
          </cell>
          <cell r="AQ387">
            <v>0</v>
          </cell>
          <cell r="AS387">
            <v>0</v>
          </cell>
          <cell r="AW387">
            <v>1.6000000000000001E-3</v>
          </cell>
          <cell r="AY387">
            <v>1.9E-3</v>
          </cell>
        </row>
        <row r="388">
          <cell r="K388">
            <v>3</v>
          </cell>
          <cell r="L388">
            <v>0.45689999999999997</v>
          </cell>
          <cell r="N388">
            <v>0.28339999999999999</v>
          </cell>
          <cell r="P388">
            <v>4.0300000000000002E-2</v>
          </cell>
          <cell r="R388">
            <v>0.1009</v>
          </cell>
          <cell r="T388">
            <v>3.0600000000000002E-2</v>
          </cell>
          <cell r="V388">
            <v>3.95E-2</v>
          </cell>
          <cell r="X388">
            <v>4.8400000000000006E-2</v>
          </cell>
          <cell r="Z388">
            <v>0.99999999999999989</v>
          </cell>
          <cell r="AH388">
            <v>3</v>
          </cell>
          <cell r="AI388">
            <v>0.55469999999999997</v>
          </cell>
          <cell r="AK388">
            <v>0.36059999999999998</v>
          </cell>
          <cell r="AM388">
            <v>0</v>
          </cell>
          <cell r="AO388">
            <v>0</v>
          </cell>
          <cell r="AQ388">
            <v>0</v>
          </cell>
          <cell r="AS388">
            <v>0</v>
          </cell>
          <cell r="AW388">
            <v>3.8100000000000002E-2</v>
          </cell>
          <cell r="AY388">
            <v>4.6600000000000003E-2</v>
          </cell>
        </row>
        <row r="389">
          <cell r="K389">
            <v>4</v>
          </cell>
          <cell r="L389">
            <v>0.46399999999999997</v>
          </cell>
          <cell r="N389">
            <v>0.28399999999999997</v>
          </cell>
          <cell r="P389">
            <v>3.6000000000000004E-2</v>
          </cell>
          <cell r="R389">
            <v>8.5999999999999993E-2</v>
          </cell>
          <cell r="T389">
            <v>0</v>
          </cell>
          <cell r="V389">
            <v>5.8499999999999996E-2</v>
          </cell>
          <cell r="X389">
            <v>7.1500000000000008E-2</v>
          </cell>
          <cell r="Z389">
            <v>1</v>
          </cell>
          <cell r="AH389">
            <v>4</v>
          </cell>
          <cell r="AI389">
            <v>0.34670000000000001</v>
          </cell>
          <cell r="AK389">
            <v>0</v>
          </cell>
          <cell r="AM389">
            <v>0.52329999999999999</v>
          </cell>
          <cell r="AO389">
            <v>0</v>
          </cell>
          <cell r="AQ389">
            <v>0</v>
          </cell>
          <cell r="AS389">
            <v>0</v>
          </cell>
          <cell r="AW389">
            <v>5.8499999999999996E-2</v>
          </cell>
          <cell r="AY389">
            <v>7.1500000000000008E-2</v>
          </cell>
        </row>
        <row r="390">
          <cell r="K390">
            <v>5</v>
          </cell>
          <cell r="L390">
            <v>0.41570000000000001</v>
          </cell>
          <cell r="N390">
            <v>0.25419999999999998</v>
          </cell>
          <cell r="P390">
            <v>3.2300000000000002E-2</v>
          </cell>
          <cell r="R390">
            <v>7.6800000000000007E-2</v>
          </cell>
          <cell r="T390">
            <v>2.1700000000000001E-2</v>
          </cell>
          <cell r="V390">
            <v>8.9799999999999991E-2</v>
          </cell>
          <cell r="X390">
            <v>0.1095</v>
          </cell>
          <cell r="Z390">
            <v>1</v>
          </cell>
          <cell r="AH390">
            <v>5</v>
          </cell>
          <cell r="AI390">
            <v>0.31919999999999998</v>
          </cell>
          <cell r="AK390">
            <v>0</v>
          </cell>
          <cell r="AM390">
            <v>0.48149999999999998</v>
          </cell>
          <cell r="AO390">
            <v>0</v>
          </cell>
          <cell r="AQ390">
            <v>0</v>
          </cell>
          <cell r="AS390">
            <v>0</v>
          </cell>
          <cell r="AW390">
            <v>8.9799999999999991E-2</v>
          </cell>
          <cell r="AY390">
            <v>0.1095</v>
          </cell>
        </row>
        <row r="391">
          <cell r="K391">
            <v>6</v>
          </cell>
          <cell r="L391">
            <v>0.4768</v>
          </cell>
          <cell r="N391">
            <v>0.29470000000000002</v>
          </cell>
          <cell r="P391">
            <v>4.0800000000000003E-2</v>
          </cell>
          <cell r="R391">
            <v>0.10089999999999999</v>
          </cell>
          <cell r="T391">
            <v>2.3800000000000002E-2</v>
          </cell>
          <cell r="V391">
            <v>2.8400000000000002E-2</v>
          </cell>
          <cell r="X391">
            <v>3.4599999999999999E-2</v>
          </cell>
          <cell r="Z391">
            <v>1</v>
          </cell>
          <cell r="AH391">
            <v>6</v>
          </cell>
          <cell r="AI391">
            <v>0.51935144</v>
          </cell>
          <cell r="AK391">
            <v>0.27990000000000004</v>
          </cell>
          <cell r="AM391">
            <v>0.13773256</v>
          </cell>
          <cell r="AW391">
            <v>2.8397199999999997E-2</v>
          </cell>
          <cell r="AY391">
            <v>3.4618799999999998E-2</v>
          </cell>
        </row>
        <row r="392">
          <cell r="K392">
            <v>7</v>
          </cell>
          <cell r="L392">
            <v>0.46249999999999997</v>
          </cell>
          <cell r="N392">
            <v>0.28389999999999999</v>
          </cell>
          <cell r="P392">
            <v>3.6900000000000002E-2</v>
          </cell>
          <cell r="R392">
            <v>8.8999999999999996E-2</v>
          </cell>
          <cell r="T392">
            <v>6.3E-3</v>
          </cell>
          <cell r="V392">
            <v>5.4599999999999996E-2</v>
          </cell>
          <cell r="X392">
            <v>6.6799999999999998E-2</v>
          </cell>
          <cell r="Z392">
            <v>0.99999999999999989</v>
          </cell>
          <cell r="AH392">
            <v>7</v>
          </cell>
          <cell r="AI392">
            <v>0.38889999999999997</v>
          </cell>
          <cell r="AK392">
            <v>7.4099999999999999E-2</v>
          </cell>
          <cell r="AM392">
            <v>0.41570000000000001</v>
          </cell>
          <cell r="AW392">
            <v>5.4599999999999996E-2</v>
          </cell>
          <cell r="AY392">
            <v>6.6799999999999998E-2</v>
          </cell>
        </row>
        <row r="393">
          <cell r="K393">
            <v>8</v>
          </cell>
          <cell r="L393">
            <v>0</v>
          </cell>
          <cell r="N393">
            <v>0</v>
          </cell>
          <cell r="P393">
            <v>0</v>
          </cell>
          <cell r="R393">
            <v>0</v>
          </cell>
          <cell r="T393">
            <v>0</v>
          </cell>
          <cell r="V393">
            <v>0</v>
          </cell>
          <cell r="X393">
            <v>1</v>
          </cell>
          <cell r="Z393">
            <v>1</v>
          </cell>
          <cell r="AH393">
            <v>8</v>
          </cell>
          <cell r="AI393">
            <v>0</v>
          </cell>
          <cell r="AK393">
            <v>0</v>
          </cell>
          <cell r="AM393">
            <v>0</v>
          </cell>
          <cell r="AO393">
            <v>0</v>
          </cell>
          <cell r="AQ393">
            <v>0</v>
          </cell>
          <cell r="AS393">
            <v>0</v>
          </cell>
          <cell r="AW393">
            <v>0</v>
          </cell>
          <cell r="AY393">
            <v>1</v>
          </cell>
        </row>
        <row r="394">
          <cell r="K394">
            <v>9</v>
          </cell>
          <cell r="L394">
            <v>0.82699999999999996</v>
          </cell>
          <cell r="N394">
            <v>0.13120000000000001</v>
          </cell>
          <cell r="P394">
            <v>4.1000000000000003E-3</v>
          </cell>
          <cell r="R394">
            <v>2.3699999999999999E-2</v>
          </cell>
          <cell r="T394">
            <v>2.3999999999999998E-3</v>
          </cell>
          <cell r="V394">
            <v>1.1599999999999999E-2</v>
          </cell>
          <cell r="X394">
            <v>0</v>
          </cell>
          <cell r="Z394">
            <v>1</v>
          </cell>
          <cell r="AH394">
            <v>9</v>
          </cell>
          <cell r="AI394">
            <v>0</v>
          </cell>
          <cell r="AK394">
            <v>0</v>
          </cell>
          <cell r="AM394">
            <v>0</v>
          </cell>
          <cell r="AO394">
            <v>0.98839999999999995</v>
          </cell>
          <cell r="AQ394">
            <v>0</v>
          </cell>
          <cell r="AW394">
            <v>1.1599999999999999E-2</v>
          </cell>
          <cell r="AY394">
            <v>0</v>
          </cell>
        </row>
        <row r="395">
          <cell r="K395">
            <v>10</v>
          </cell>
          <cell r="L395">
            <v>0.82400000000000007</v>
          </cell>
          <cell r="N395">
            <v>0.1132</v>
          </cell>
          <cell r="P395">
            <v>1.1999999999999999E-3</v>
          </cell>
          <cell r="R395">
            <v>1.4E-2</v>
          </cell>
          <cell r="T395">
            <v>5.9999999999999995E-4</v>
          </cell>
          <cell r="V395">
            <v>4.7E-2</v>
          </cell>
          <cell r="X395">
            <v>0</v>
          </cell>
          <cell r="Z395">
            <v>1</v>
          </cell>
          <cell r="AH395">
            <v>10</v>
          </cell>
          <cell r="AI395">
            <v>0</v>
          </cell>
          <cell r="AK395">
            <v>0</v>
          </cell>
          <cell r="AM395">
            <v>0</v>
          </cell>
          <cell r="AO395">
            <v>0</v>
          </cell>
          <cell r="AQ395">
            <v>0.95299999999999996</v>
          </cell>
          <cell r="AS395">
            <v>0</v>
          </cell>
          <cell r="AW395">
            <v>4.7E-2</v>
          </cell>
          <cell r="AY395">
            <v>0</v>
          </cell>
        </row>
        <row r="396">
          <cell r="K396">
            <v>11</v>
          </cell>
          <cell r="L396">
            <v>0.75270000000000004</v>
          </cell>
          <cell r="N396">
            <v>0.1623</v>
          </cell>
          <cell r="P396">
            <v>1.0800000000000001E-2</v>
          </cell>
          <cell r="R396">
            <v>3.6999999999999998E-2</v>
          </cell>
          <cell r="T396">
            <v>3.2000000000000002E-3</v>
          </cell>
          <cell r="V396">
            <v>2.0400000000000001E-2</v>
          </cell>
          <cell r="X396">
            <v>1.3599999999999999E-2</v>
          </cell>
          <cell r="Z396">
            <v>1</v>
          </cell>
          <cell r="AH396">
            <v>11</v>
          </cell>
          <cell r="AI396">
            <v>7.9399999999999998E-2</v>
          </cell>
          <cell r="AJ396">
            <v>0</v>
          </cell>
          <cell r="AK396">
            <v>1.5100000000000001E-2</v>
          </cell>
          <cell r="AL396">
            <v>0</v>
          </cell>
          <cell r="AM396">
            <v>8.4699999999999998E-2</v>
          </cell>
          <cell r="AN396">
            <v>0</v>
          </cell>
          <cell r="AO396">
            <v>0.78639999999999999</v>
          </cell>
          <cell r="AP396">
            <v>0</v>
          </cell>
          <cell r="AQ396">
            <v>4.0000000000000002E-4</v>
          </cell>
          <cell r="AR396">
            <v>0</v>
          </cell>
          <cell r="AS396">
            <v>0</v>
          </cell>
          <cell r="AV396">
            <v>0</v>
          </cell>
          <cell r="AW396">
            <v>2.0400000000000001E-2</v>
          </cell>
          <cell r="AX396">
            <v>0</v>
          </cell>
          <cell r="AY396">
            <v>1.3599999999999999E-2</v>
          </cell>
        </row>
        <row r="397">
          <cell r="K397">
            <v>12</v>
          </cell>
          <cell r="L397">
            <v>0.51770000000000005</v>
          </cell>
          <cell r="N397">
            <v>0.16980000000000001</v>
          </cell>
          <cell r="P397">
            <v>1.7000000000000001E-2</v>
          </cell>
          <cell r="R397">
            <v>4.53E-2</v>
          </cell>
          <cell r="T397">
            <v>3.0999999999999999E-3</v>
          </cell>
          <cell r="V397">
            <v>4.0800000000000003E-2</v>
          </cell>
          <cell r="X397">
            <v>0.20630000000000001</v>
          </cell>
          <cell r="Z397">
            <v>1</v>
          </cell>
          <cell r="AH397">
            <v>12</v>
          </cell>
          <cell r="AI397">
            <v>0.1729</v>
          </cell>
          <cell r="AJ397">
            <v>0</v>
          </cell>
          <cell r="AK397">
            <v>3.2800000000000003E-2</v>
          </cell>
          <cell r="AL397">
            <v>0</v>
          </cell>
          <cell r="AM397">
            <v>0.1852</v>
          </cell>
          <cell r="AN397">
            <v>0</v>
          </cell>
          <cell r="AO397">
            <v>3.8699999999999998E-2</v>
          </cell>
          <cell r="AP397">
            <v>0</v>
          </cell>
          <cell r="AQ397">
            <v>0.32329999999999998</v>
          </cell>
          <cell r="AR397">
            <v>0</v>
          </cell>
          <cell r="AS397">
            <v>0</v>
          </cell>
          <cell r="AV397">
            <v>0</v>
          </cell>
          <cell r="AW397">
            <v>4.0800000000000003E-2</v>
          </cell>
          <cell r="AX397">
            <v>0</v>
          </cell>
          <cell r="AY397">
            <v>0.20630000000000001</v>
          </cell>
        </row>
        <row r="398">
          <cell r="K398">
            <v>13</v>
          </cell>
          <cell r="L398">
            <v>0.89959999999999996</v>
          </cell>
          <cell r="N398">
            <v>7.17E-2</v>
          </cell>
          <cell r="P398">
            <v>4.0000000000000002E-4</v>
          </cell>
          <cell r="R398">
            <v>6.1999999999999998E-3</v>
          </cell>
          <cell r="T398">
            <v>2.0000000000000001E-4</v>
          </cell>
          <cell r="V398">
            <v>2.1600000000000001E-2</v>
          </cell>
          <cell r="X398">
            <v>2.9999999999999997E-4</v>
          </cell>
          <cell r="Z398">
            <v>0.99999999999999978</v>
          </cell>
          <cell r="AH398">
            <v>13</v>
          </cell>
          <cell r="AI398">
            <v>0</v>
          </cell>
          <cell r="AK398">
            <v>0</v>
          </cell>
          <cell r="AM398">
            <v>0</v>
          </cell>
          <cell r="AN398">
            <v>0</v>
          </cell>
          <cell r="AO398">
            <v>0</v>
          </cell>
          <cell r="AQ398">
            <v>0</v>
          </cell>
          <cell r="AS398">
            <v>0.97810000000000008</v>
          </cell>
          <cell r="AW398">
            <v>2.1600000000000001E-2</v>
          </cell>
          <cell r="AY398">
            <v>2.9999999999999997E-4</v>
          </cell>
        </row>
        <row r="399">
          <cell r="K399">
            <v>14</v>
          </cell>
          <cell r="L399">
            <v>0.90790000000000004</v>
          </cell>
          <cell r="N399">
            <v>7.2400000000000006E-2</v>
          </cell>
          <cell r="P399">
            <v>4.0000000000000002E-4</v>
          </cell>
          <cell r="R399">
            <v>6.1999999999999998E-3</v>
          </cell>
          <cell r="T399">
            <v>2.0000000000000001E-4</v>
          </cell>
          <cell r="V399">
            <v>1.29E-2</v>
          </cell>
          <cell r="X399">
            <v>0</v>
          </cell>
          <cell r="Z399">
            <v>1</v>
          </cell>
          <cell r="AH399">
            <v>14</v>
          </cell>
          <cell r="AI399">
            <v>0</v>
          </cell>
          <cell r="AK399">
            <v>0</v>
          </cell>
          <cell r="AM399">
            <v>0</v>
          </cell>
          <cell r="AN399">
            <v>0</v>
          </cell>
          <cell r="AO399">
            <v>0</v>
          </cell>
          <cell r="AQ399">
            <v>0</v>
          </cell>
          <cell r="AS399">
            <v>1</v>
          </cell>
          <cell r="AW399">
            <v>0</v>
          </cell>
          <cell r="AY399">
            <v>0</v>
          </cell>
        </row>
        <row r="400">
          <cell r="K400">
            <v>15</v>
          </cell>
          <cell r="L400">
            <v>0.6462</v>
          </cell>
          <cell r="M400">
            <v>0</v>
          </cell>
          <cell r="N400">
            <v>0.20519999999999999</v>
          </cell>
          <cell r="O400">
            <v>0</v>
          </cell>
          <cell r="P400">
            <v>2.2599999999999999E-2</v>
          </cell>
          <cell r="Q400">
            <v>0</v>
          </cell>
          <cell r="R400">
            <v>0.06</v>
          </cell>
          <cell r="S400">
            <v>0</v>
          </cell>
          <cell r="T400">
            <v>1.4500000000000001E-2</v>
          </cell>
          <cell r="U400">
            <v>0</v>
          </cell>
          <cell r="V400">
            <v>1.6199999999999999E-2</v>
          </cell>
          <cell r="W400">
            <v>0</v>
          </cell>
          <cell r="X400">
            <v>3.5299999999999998E-2</v>
          </cell>
          <cell r="Z400">
            <v>0.99999999999999989</v>
          </cell>
          <cell r="AH400">
            <v>15</v>
          </cell>
          <cell r="AI400">
            <v>0.29389999999999999</v>
          </cell>
          <cell r="AJ400">
            <v>0</v>
          </cell>
          <cell r="AK400">
            <v>0.15160000000000001</v>
          </cell>
          <cell r="AL400">
            <v>0</v>
          </cell>
          <cell r="AM400">
            <v>4.7600000000000003E-2</v>
          </cell>
          <cell r="AN400">
            <v>0</v>
          </cell>
          <cell r="AO400">
            <v>0.18140000000000001</v>
          </cell>
          <cell r="AP400">
            <v>0</v>
          </cell>
          <cell r="AQ400">
            <v>4.9200000000000001E-2</v>
          </cell>
          <cell r="AR400">
            <v>0</v>
          </cell>
          <cell r="AS400">
            <v>0.17580000000000001</v>
          </cell>
          <cell r="AT400">
            <v>0</v>
          </cell>
          <cell r="AU400">
            <v>5.0599999999999999E-2</v>
          </cell>
          <cell r="AV400">
            <v>0</v>
          </cell>
          <cell r="AW400">
            <v>1.46E-2</v>
          </cell>
          <cell r="AX400">
            <v>0</v>
          </cell>
          <cell r="AY400">
            <v>3.5299999999999998E-2</v>
          </cell>
        </row>
        <row r="401">
          <cell r="K401" t="str">
            <v>15A</v>
          </cell>
          <cell r="L401">
            <v>0.63439999999999996</v>
          </cell>
          <cell r="N401">
            <v>0.21479999999999999</v>
          </cell>
          <cell r="P401">
            <v>2.5600000000000001E-2</v>
          </cell>
          <cell r="R401">
            <v>6.6600000000000006E-2</v>
          </cell>
          <cell r="T401">
            <v>1.7500000000000002E-2</v>
          </cell>
          <cell r="V401">
            <v>1.4E-2</v>
          </cell>
          <cell r="X401">
            <v>2.7099999999999999E-2</v>
          </cell>
          <cell r="Z401">
            <v>0.99999999999999989</v>
          </cell>
          <cell r="AH401" t="str">
            <v>15A</v>
          </cell>
          <cell r="AI401">
            <v>0.39990000000000003</v>
          </cell>
          <cell r="AK401">
            <v>0.11600000000000001</v>
          </cell>
          <cell r="AM401">
            <v>3.5200000000000002E-2</v>
          </cell>
          <cell r="AO401">
            <v>0.1426</v>
          </cell>
          <cell r="AQ401">
            <v>3.6900000000000002E-2</v>
          </cell>
          <cell r="AS401">
            <v>0.1976</v>
          </cell>
          <cell r="AU401">
            <v>3.1700000000000006E-2</v>
          </cell>
          <cell r="AW401">
            <v>1.29E-2</v>
          </cell>
          <cell r="AY401">
            <v>2.7099999999999999E-2</v>
          </cell>
        </row>
        <row r="402">
          <cell r="K402">
            <v>16</v>
          </cell>
          <cell r="L402">
            <v>0.62329999999999997</v>
          </cell>
          <cell r="M402">
            <v>0</v>
          </cell>
          <cell r="N402">
            <v>0.21690000000000001</v>
          </cell>
          <cell r="O402">
            <v>0</v>
          </cell>
          <cell r="P402">
            <v>2.4899999999999999E-2</v>
          </cell>
          <cell r="Q402">
            <v>0</v>
          </cell>
          <cell r="R402">
            <v>6.6299999999999998E-2</v>
          </cell>
          <cell r="S402">
            <v>0</v>
          </cell>
          <cell r="T402">
            <v>1.6299999999999999E-2</v>
          </cell>
          <cell r="U402">
            <v>0</v>
          </cell>
          <cell r="V402">
            <v>1.41E-2</v>
          </cell>
          <cell r="W402">
            <v>0</v>
          </cell>
          <cell r="X402">
            <v>3.8199999999999998E-2</v>
          </cell>
          <cell r="Z402">
            <v>1</v>
          </cell>
          <cell r="AH402">
            <v>16</v>
          </cell>
          <cell r="AI402">
            <v>0.31159999999999999</v>
          </cell>
          <cell r="AJ402">
            <v>0</v>
          </cell>
          <cell r="AK402">
            <v>0.18229999999999999</v>
          </cell>
          <cell r="AL402">
            <v>0</v>
          </cell>
          <cell r="AM402">
            <v>4.58E-2</v>
          </cell>
          <cell r="AN402">
            <v>0</v>
          </cell>
          <cell r="AO402">
            <v>0.25679999999999997</v>
          </cell>
          <cell r="AP402">
            <v>0</v>
          </cell>
          <cell r="AQ402">
            <v>5.4899999999999997E-2</v>
          </cell>
          <cell r="AR402">
            <v>0</v>
          </cell>
          <cell r="AS402">
            <v>9.3200000000000005E-2</v>
          </cell>
          <cell r="AT402">
            <v>0</v>
          </cell>
          <cell r="AU402">
            <v>3.8999999999999998E-3</v>
          </cell>
          <cell r="AV402">
            <v>0</v>
          </cell>
          <cell r="AW402">
            <v>1.3299999999999999E-2</v>
          </cell>
          <cell r="AX402">
            <v>0</v>
          </cell>
          <cell r="AY402">
            <v>3.8199999999999998E-2</v>
          </cell>
        </row>
        <row r="403">
          <cell r="K403">
            <v>17</v>
          </cell>
          <cell r="L403">
            <v>0.51470000000000005</v>
          </cell>
          <cell r="M403">
            <v>0</v>
          </cell>
          <cell r="N403">
            <v>0.26</v>
          </cell>
          <cell r="O403">
            <v>0</v>
          </cell>
          <cell r="P403">
            <v>3.4000000000000002E-2</v>
          </cell>
          <cell r="Q403">
            <v>0</v>
          </cell>
          <cell r="R403">
            <v>8.5900000000000004E-2</v>
          </cell>
          <cell r="S403">
            <v>0</v>
          </cell>
          <cell r="T403">
            <v>2.0899999999999998E-2</v>
          </cell>
          <cell r="U403">
            <v>0</v>
          </cell>
          <cell r="V403">
            <v>2.92E-2</v>
          </cell>
          <cell r="W403">
            <v>0</v>
          </cell>
          <cell r="X403">
            <v>5.5300000000000002E-2</v>
          </cell>
          <cell r="Z403">
            <v>1</v>
          </cell>
          <cell r="AH403">
            <v>17</v>
          </cell>
          <cell r="AI403">
            <v>0.43080000000000002</v>
          </cell>
          <cell r="AJ403">
            <v>0</v>
          </cell>
          <cell r="AK403">
            <v>0.23139999999999999</v>
          </cell>
          <cell r="AL403">
            <v>0</v>
          </cell>
          <cell r="AM403">
            <v>0.1096</v>
          </cell>
          <cell r="AN403">
            <v>0</v>
          </cell>
          <cell r="AO403">
            <v>0.1012</v>
          </cell>
          <cell r="AP403">
            <v>0</v>
          </cell>
          <cell r="AQ403">
            <v>2.2200000000000001E-2</v>
          </cell>
          <cell r="AR403">
            <v>0</v>
          </cell>
          <cell r="AS403">
            <v>1.8200000000000001E-2</v>
          </cell>
          <cell r="AT403">
            <v>0</v>
          </cell>
          <cell r="AU403">
            <v>3.2000000000000002E-3</v>
          </cell>
          <cell r="AV403">
            <v>0</v>
          </cell>
          <cell r="AW403">
            <v>2.87E-2</v>
          </cell>
          <cell r="AX403">
            <v>0</v>
          </cell>
          <cell r="AY403">
            <v>5.4699999999999999E-2</v>
          </cell>
        </row>
        <row r="404">
          <cell r="K404">
            <v>18</v>
          </cell>
          <cell r="L404">
            <v>0.51349999999999996</v>
          </cell>
          <cell r="N404">
            <v>0.2601</v>
          </cell>
          <cell r="P404">
            <v>3.4000000000000002E-2</v>
          </cell>
          <cell r="R404">
            <v>8.5900000000000004E-2</v>
          </cell>
          <cell r="T404">
            <v>2.0899999999999998E-2</v>
          </cell>
          <cell r="V404">
            <v>2.9899999999999999E-2</v>
          </cell>
          <cell r="X404">
            <v>5.57E-2</v>
          </cell>
          <cell r="Z404">
            <v>1</v>
          </cell>
          <cell r="AH404">
            <v>18</v>
          </cell>
          <cell r="AI404">
            <v>0.43</v>
          </cell>
          <cell r="AJ404">
            <v>0</v>
          </cell>
          <cell r="AK404">
            <v>0.22919999999999999</v>
          </cell>
          <cell r="AL404">
            <v>0</v>
          </cell>
          <cell r="AM404">
            <v>0.1137</v>
          </cell>
          <cell r="AN404">
            <v>0</v>
          </cell>
          <cell r="AO404">
            <v>9.9599999999999994E-2</v>
          </cell>
          <cell r="AP404">
            <v>0</v>
          </cell>
          <cell r="AQ404">
            <v>2.18E-2</v>
          </cell>
          <cell r="AR404">
            <v>0</v>
          </cell>
          <cell r="AS404">
            <v>1.78E-2</v>
          </cell>
          <cell r="AT404">
            <v>0</v>
          </cell>
          <cell r="AU404">
            <v>3.0999999999999999E-3</v>
          </cell>
          <cell r="AV404">
            <v>0</v>
          </cell>
          <cell r="AW404">
            <v>2.9399999999999999E-2</v>
          </cell>
          <cell r="AX404">
            <v>0</v>
          </cell>
          <cell r="AY404">
            <v>5.5199999999999999E-2</v>
          </cell>
        </row>
        <row r="405">
          <cell r="K405">
            <v>19</v>
          </cell>
          <cell r="L405" t="e">
            <v>#NAME?</v>
          </cell>
          <cell r="N405" t="e">
            <v>#NAME?</v>
          </cell>
          <cell r="P405" t="e">
            <v>#NAME?</v>
          </cell>
          <cell r="R405" t="e">
            <v>#NAME?</v>
          </cell>
          <cell r="T405" t="e">
            <v>#NAME?</v>
          </cell>
          <cell r="V405" t="e">
            <v>#NAME?</v>
          </cell>
          <cell r="X405" t="e">
            <v>#NAME?</v>
          </cell>
          <cell r="Z405" t="e">
            <v>#NAME?</v>
          </cell>
          <cell r="AH405">
            <v>19</v>
          </cell>
          <cell r="AI405" t="e">
            <v>#NAME?</v>
          </cell>
          <cell r="AJ405">
            <v>0</v>
          </cell>
          <cell r="AK405" t="e">
            <v>#NAME?</v>
          </cell>
          <cell r="AL405">
            <v>0</v>
          </cell>
          <cell r="AM405" t="e">
            <v>#NAME?</v>
          </cell>
          <cell r="AN405">
            <v>0</v>
          </cell>
          <cell r="AO405" t="e">
            <v>#NAME?</v>
          </cell>
          <cell r="AP405">
            <v>0</v>
          </cell>
          <cell r="AQ405" t="e">
            <v>#NAME?</v>
          </cell>
          <cell r="AR405">
            <v>0</v>
          </cell>
          <cell r="AS405" t="e">
            <v>#NAME?</v>
          </cell>
          <cell r="AT405">
            <v>0</v>
          </cell>
          <cell r="AU405" t="e">
            <v>#NAME?</v>
          </cell>
          <cell r="AV405">
            <v>0</v>
          </cell>
          <cell r="AW405" t="e">
            <v>#NAME?</v>
          </cell>
          <cell r="AX405">
            <v>0</v>
          </cell>
          <cell r="AY405" t="e">
            <v>#NAME?</v>
          </cell>
        </row>
        <row r="406">
          <cell r="K406">
            <v>20</v>
          </cell>
          <cell r="L406">
            <v>0.82050000000000001</v>
          </cell>
          <cell r="N406">
            <v>0.15609999999999999</v>
          </cell>
          <cell r="P406">
            <v>0</v>
          </cell>
          <cell r="R406">
            <v>0</v>
          </cell>
          <cell r="T406">
            <v>0</v>
          </cell>
          <cell r="V406">
            <v>2.3400000000000001E-2</v>
          </cell>
          <cell r="X406">
            <v>0</v>
          </cell>
          <cell r="Z406">
            <v>1</v>
          </cell>
          <cell r="AH406">
            <v>20</v>
          </cell>
          <cell r="AS406">
            <v>0</v>
          </cell>
          <cell r="AU406">
            <v>1</v>
          </cell>
        </row>
        <row r="410">
          <cell r="L410" t="str">
            <v>Check</v>
          </cell>
        </row>
        <row r="411">
          <cell r="L411" t="str">
            <v>&lt;&lt;&lt;&lt;??</v>
          </cell>
          <cell r="N411" t="str">
            <v>ok</v>
          </cell>
        </row>
        <row r="412">
          <cell r="L412" t="str">
            <v>OK</v>
          </cell>
          <cell r="N412" t="str">
            <v>OK</v>
          </cell>
        </row>
        <row r="413">
          <cell r="L413" t="str">
            <v>&lt;&lt;&lt;&lt;??</v>
          </cell>
          <cell r="N413" t="str">
            <v>OK</v>
          </cell>
        </row>
        <row r="414">
          <cell r="L414" t="str">
            <v>OK</v>
          </cell>
          <cell r="N414" t="str">
            <v>OK</v>
          </cell>
        </row>
        <row r="415">
          <cell r="L415" t="str">
            <v>&lt;&lt;&lt;&lt;??</v>
          </cell>
        </row>
        <row r="416">
          <cell r="L416" t="str">
            <v>OK</v>
          </cell>
        </row>
        <row r="417">
          <cell r="L417" t="e">
            <v>#NAME?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P 1"/>
      <sheetName val="WKP 2"/>
      <sheetName val="WKP 3"/>
      <sheetName val="WKP 4"/>
      <sheetName val="WKP 5"/>
      <sheetName val="WKP 6"/>
      <sheetName val="WKP 7"/>
      <sheetName val="WKP 8"/>
      <sheetName val="WKP 9"/>
    </sheetNames>
    <sheetDataSet>
      <sheetData sheetId="0"/>
      <sheetData sheetId="1"/>
      <sheetData sheetId="2"/>
      <sheetData sheetId="3"/>
      <sheetData sheetId="4"/>
      <sheetData sheetId="5">
        <row r="31">
          <cell r="I31">
            <v>1.6485914610443457</v>
          </cell>
        </row>
        <row r="33">
          <cell r="I33">
            <v>1.0072893826980953</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59"/>
  <sheetViews>
    <sheetView topLeftCell="A9" workbookViewId="0">
      <selection activeCell="O55" sqref="O55"/>
    </sheetView>
  </sheetViews>
  <sheetFormatPr defaultColWidth="8.6640625" defaultRowHeight="15" x14ac:dyDescent="0.2"/>
  <cols>
    <col min="1" max="1" width="3.6640625" style="614" customWidth="1"/>
    <col min="2" max="2" width="2.5546875" style="614" customWidth="1"/>
    <col min="3" max="3" width="8.6640625" style="614"/>
    <col min="4" max="4" width="4.88671875" style="614" customWidth="1"/>
    <col min="5" max="5" width="2.88671875" style="614" customWidth="1"/>
    <col min="6" max="6" width="2.5546875" style="614" customWidth="1"/>
    <col min="7" max="7" width="13.33203125" style="614" customWidth="1"/>
    <col min="8" max="8" width="10" style="614" customWidth="1"/>
    <col min="9" max="9" width="9.6640625" style="614" customWidth="1"/>
    <col min="10" max="10" width="13.109375" style="614" customWidth="1"/>
    <col min="11" max="11" width="8.6640625" style="614"/>
    <col min="12" max="12" width="8.44140625" style="614" customWidth="1"/>
    <col min="13" max="13" width="2.5546875" style="614" customWidth="1"/>
    <col min="14" max="14" width="11.109375" style="614" customWidth="1"/>
    <col min="15" max="15" width="13" style="614" customWidth="1"/>
    <col min="16" max="16" width="8.6640625" style="614"/>
    <col min="17" max="17" width="13.44140625" style="614" customWidth="1"/>
    <col min="18" max="18" width="3.5546875" style="614" customWidth="1"/>
    <col min="19" max="19" width="8.6640625" style="614"/>
    <col min="20" max="20" width="3.109375" style="614" customWidth="1"/>
    <col min="21" max="21" width="10" style="614" customWidth="1"/>
    <col min="22" max="16384" width="8.6640625" style="614"/>
  </cols>
  <sheetData>
    <row r="1" spans="1:21" x14ac:dyDescent="0.2">
      <c r="A1" s="614" t="s">
        <v>146</v>
      </c>
    </row>
    <row r="2" spans="1:21" ht="15.75" x14ac:dyDescent="0.25">
      <c r="A2" s="614" t="s">
        <v>147</v>
      </c>
      <c r="B2" s="615"/>
      <c r="C2" s="615"/>
    </row>
    <row r="3" spans="1:21" ht="15.75" x14ac:dyDescent="0.25">
      <c r="A3" s="615" t="s">
        <v>148</v>
      </c>
    </row>
    <row r="4" spans="1:21" x14ac:dyDescent="0.2">
      <c r="S4" s="652" t="s">
        <v>149</v>
      </c>
      <c r="T4" s="652"/>
      <c r="U4" s="652"/>
    </row>
    <row r="5" spans="1:21" x14ac:dyDescent="0.2">
      <c r="A5" s="614" t="s">
        <v>150</v>
      </c>
    </row>
    <row r="6" spans="1:21" x14ac:dyDescent="0.2">
      <c r="A6" s="614" t="s">
        <v>151</v>
      </c>
      <c r="I6" s="172"/>
    </row>
    <row r="7" spans="1:21" x14ac:dyDescent="0.2">
      <c r="I7" s="172"/>
    </row>
    <row r="11" spans="1:21" x14ac:dyDescent="0.2">
      <c r="L11" s="614" t="s">
        <v>270</v>
      </c>
    </row>
    <row r="12" spans="1:21" x14ac:dyDescent="0.2">
      <c r="G12" s="616" t="s">
        <v>152</v>
      </c>
      <c r="H12" s="616"/>
      <c r="I12" s="616"/>
      <c r="J12" s="616"/>
      <c r="K12" s="616"/>
      <c r="L12" s="616" t="s">
        <v>448</v>
      </c>
      <c r="M12" s="616"/>
      <c r="N12" s="616" t="s">
        <v>153</v>
      </c>
      <c r="O12" s="616"/>
      <c r="P12" s="616" t="s">
        <v>153</v>
      </c>
      <c r="Q12" s="616"/>
      <c r="S12" s="616" t="s">
        <v>153</v>
      </c>
      <c r="T12" s="616"/>
      <c r="U12" s="616" t="s">
        <v>154</v>
      </c>
    </row>
    <row r="13" spans="1:21" x14ac:dyDescent="0.2">
      <c r="A13" s="614" t="s">
        <v>155</v>
      </c>
      <c r="C13" s="652" t="s">
        <v>156</v>
      </c>
      <c r="D13" s="652"/>
      <c r="E13" s="652"/>
      <c r="G13" s="616" t="s">
        <v>448</v>
      </c>
      <c r="H13" s="616"/>
      <c r="I13" s="616"/>
      <c r="J13" s="616" t="s">
        <v>157</v>
      </c>
      <c r="K13" s="616"/>
      <c r="L13" s="616" t="s">
        <v>52</v>
      </c>
      <c r="M13" s="616"/>
      <c r="N13" s="616" t="s">
        <v>158</v>
      </c>
      <c r="O13" s="616" t="s">
        <v>159</v>
      </c>
      <c r="P13" s="616" t="s">
        <v>160</v>
      </c>
      <c r="Q13" s="616" t="s">
        <v>159</v>
      </c>
      <c r="S13" s="616" t="s">
        <v>161</v>
      </c>
      <c r="T13" s="616"/>
      <c r="U13" s="616" t="s">
        <v>161</v>
      </c>
    </row>
    <row r="14" spans="1:21" x14ac:dyDescent="0.2">
      <c r="A14" s="614" t="s">
        <v>162</v>
      </c>
      <c r="C14" s="652" t="s">
        <v>163</v>
      </c>
      <c r="D14" s="652"/>
      <c r="E14" s="652"/>
      <c r="G14" s="617" t="s">
        <v>340</v>
      </c>
      <c r="H14" s="617" t="s">
        <v>164</v>
      </c>
      <c r="I14" s="617" t="s">
        <v>165</v>
      </c>
      <c r="J14" s="617" t="s">
        <v>163</v>
      </c>
      <c r="K14" s="617" t="s">
        <v>166</v>
      </c>
      <c r="L14" s="617" t="s">
        <v>163</v>
      </c>
      <c r="M14" s="616"/>
      <c r="N14" s="618">
        <v>6.0499999999999998E-2</v>
      </c>
      <c r="O14" s="617"/>
      <c r="P14" s="618">
        <v>8.5000000000000006E-2</v>
      </c>
      <c r="Q14" s="617"/>
      <c r="S14" s="617" t="s">
        <v>167</v>
      </c>
      <c r="T14" s="616"/>
      <c r="U14" s="617" t="s">
        <v>167</v>
      </c>
    </row>
    <row r="15" spans="1:21" x14ac:dyDescent="0.2">
      <c r="A15" s="614">
        <v>1</v>
      </c>
    </row>
    <row r="16" spans="1:21" x14ac:dyDescent="0.2">
      <c r="A16" s="614">
        <v>2</v>
      </c>
      <c r="C16" s="614" t="s">
        <v>17</v>
      </c>
      <c r="G16" s="619">
        <v>7832734.2091253409</v>
      </c>
      <c r="H16" s="620">
        <v>2.0410000000000001E-2</v>
      </c>
      <c r="I16" s="619">
        <v>13199</v>
      </c>
      <c r="J16" s="619">
        <v>7845933.2091253409</v>
      </c>
      <c r="K16" s="621">
        <v>8.0999999999999996E-3</v>
      </c>
      <c r="L16" s="622">
        <f>ROUND(K16*H16,4)</f>
        <v>2.0000000000000001E-4</v>
      </c>
      <c r="N16" s="621">
        <v>2.0000000000000001E-4</v>
      </c>
      <c r="O16" s="621">
        <v>0</v>
      </c>
      <c r="P16" s="621">
        <f>N16</f>
        <v>2.0000000000000001E-4</v>
      </c>
      <c r="Q16" s="621">
        <v>0</v>
      </c>
      <c r="S16" s="621">
        <f>P16*O30</f>
        <v>2.0145787653961907E-4</v>
      </c>
      <c r="U16" s="621">
        <f>L16*O30</f>
        <v>2.0145787653961907E-4</v>
      </c>
    </row>
    <row r="17" spans="1:21" x14ac:dyDescent="0.2">
      <c r="A17" s="614">
        <v>3</v>
      </c>
      <c r="G17" s="619"/>
      <c r="H17" s="620"/>
      <c r="I17" s="619"/>
      <c r="J17" s="619"/>
      <c r="K17" s="622"/>
      <c r="L17" s="622"/>
      <c r="N17" s="621"/>
      <c r="O17" s="621"/>
      <c r="P17" s="621"/>
      <c r="Q17" s="621"/>
      <c r="S17" s="621"/>
      <c r="U17" s="621"/>
    </row>
    <row r="18" spans="1:21" x14ac:dyDescent="0.2">
      <c r="A18" s="614">
        <v>4</v>
      </c>
      <c r="C18" s="614" t="s">
        <v>18</v>
      </c>
      <c r="G18" s="619">
        <v>199750138.10666665</v>
      </c>
      <c r="H18" s="620">
        <v>0.52037</v>
      </c>
      <c r="I18" s="619">
        <v>336517</v>
      </c>
      <c r="J18" s="619">
        <v>200086655.10666665</v>
      </c>
      <c r="K18" s="621">
        <v>6.1400000000000003E-2</v>
      </c>
      <c r="L18" s="622">
        <f>ROUND(K18*H18,4)</f>
        <v>3.2000000000000001E-2</v>
      </c>
      <c r="N18" s="621">
        <f>N14*H18</f>
        <v>3.1482385000000002E-2</v>
      </c>
      <c r="O18" s="621">
        <v>-5.1761499999999905E-4</v>
      </c>
      <c r="P18" s="621">
        <f>N18</f>
        <v>3.1482385000000002E-2</v>
      </c>
      <c r="Q18" s="621">
        <v>0</v>
      </c>
      <c r="S18" s="621">
        <f>P18*O30</f>
        <v>3.1711872152513775E-2</v>
      </c>
      <c r="U18" s="621">
        <f>L18*O30</f>
        <v>3.2233260246339053E-2</v>
      </c>
    </row>
    <row r="19" spans="1:21" x14ac:dyDescent="0.2">
      <c r="A19" s="614">
        <v>5</v>
      </c>
      <c r="G19" s="619"/>
      <c r="H19" s="620"/>
      <c r="I19" s="619"/>
      <c r="J19" s="619"/>
      <c r="K19" s="622"/>
      <c r="L19" s="622"/>
      <c r="N19" s="621"/>
      <c r="O19" s="621"/>
      <c r="P19" s="621"/>
      <c r="Q19" s="621"/>
      <c r="S19" s="621"/>
      <c r="U19" s="621"/>
    </row>
    <row r="20" spans="1:21" x14ac:dyDescent="0.2">
      <c r="A20" s="614">
        <v>6</v>
      </c>
      <c r="C20" s="614" t="s">
        <v>19</v>
      </c>
      <c r="G20" s="619">
        <v>4482398.24</v>
      </c>
      <c r="H20" s="620">
        <v>1.1679999999999999E-2</v>
      </c>
      <c r="I20" s="619">
        <v>7553</v>
      </c>
      <c r="J20" s="619">
        <v>4489951.24</v>
      </c>
      <c r="K20" s="621">
        <v>8.5199999999999998E-2</v>
      </c>
      <c r="L20" s="622">
        <f>ROUND(K20*H20,4)</f>
        <v>1E-3</v>
      </c>
      <c r="N20" s="621">
        <v>1E-3</v>
      </c>
      <c r="O20" s="621">
        <v>0</v>
      </c>
      <c r="P20" s="621">
        <f>N20</f>
        <v>1E-3</v>
      </c>
      <c r="Q20" s="621">
        <v>0</v>
      </c>
      <c r="S20" s="621">
        <f>P20*Q30</f>
        <v>1.6485914610443457E-3</v>
      </c>
      <c r="U20" s="621">
        <f>L20*Q30</f>
        <v>1.6485914610443457E-3</v>
      </c>
    </row>
    <row r="21" spans="1:21" x14ac:dyDescent="0.2">
      <c r="A21" s="614">
        <v>7</v>
      </c>
      <c r="G21" s="619"/>
      <c r="H21" s="620"/>
      <c r="I21" s="619"/>
      <c r="J21" s="619"/>
      <c r="K21" s="622"/>
      <c r="L21" s="622"/>
      <c r="N21" s="621"/>
      <c r="O21" s="621"/>
      <c r="P21" s="621"/>
      <c r="Q21" s="621"/>
      <c r="S21" s="621"/>
      <c r="U21" s="621"/>
    </row>
    <row r="22" spans="1:21" x14ac:dyDescent="0.2">
      <c r="A22" s="614">
        <v>8</v>
      </c>
      <c r="C22" s="614" t="s">
        <v>20</v>
      </c>
      <c r="G22" s="623">
        <v>171796415.22547123</v>
      </c>
      <c r="H22" s="624">
        <v>0.44753999999999994</v>
      </c>
      <c r="I22" s="623">
        <v>289418</v>
      </c>
      <c r="J22" s="623">
        <v>172085833.22547123</v>
      </c>
      <c r="K22" s="621">
        <v>0.109</v>
      </c>
      <c r="L22" s="622">
        <f>ROUND(K22*H22,4)</f>
        <v>4.8800000000000003E-2</v>
      </c>
      <c r="N22" s="625">
        <v>4.8800000000000003E-2</v>
      </c>
      <c r="O22" s="625">
        <v>0</v>
      </c>
      <c r="P22" s="625">
        <f>P14*H22</f>
        <v>3.8040899999999996E-2</v>
      </c>
      <c r="Q22" s="625">
        <v>-1.0759100000000008E-2</v>
      </c>
      <c r="S22" s="625">
        <f>P22*Q30</f>
        <v>6.2713902910441849E-2</v>
      </c>
      <c r="U22" s="625">
        <f>L22*Q30</f>
        <v>8.0451263298964071E-2</v>
      </c>
    </row>
    <row r="23" spans="1:21" x14ac:dyDescent="0.2">
      <c r="A23" s="614">
        <v>9</v>
      </c>
      <c r="G23" s="619"/>
      <c r="H23" s="621"/>
      <c r="I23" s="619"/>
      <c r="J23" s="619"/>
      <c r="L23" s="622"/>
      <c r="N23" s="621"/>
      <c r="O23" s="621"/>
      <c r="P23" s="621"/>
      <c r="Q23" s="621"/>
    </row>
    <row r="24" spans="1:21" ht="15.75" thickBot="1" x14ac:dyDescent="0.25">
      <c r="A24" s="614">
        <v>10</v>
      </c>
      <c r="C24" s="614" t="s">
        <v>21</v>
      </c>
      <c r="G24" s="626">
        <v>383861685.78126323</v>
      </c>
      <c r="H24" s="627">
        <v>1</v>
      </c>
      <c r="I24" s="626">
        <v>646687</v>
      </c>
      <c r="J24" s="626">
        <v>384508372.78126323</v>
      </c>
      <c r="L24" s="628">
        <f>SUM(L16:L22)</f>
        <v>8.2000000000000003E-2</v>
      </c>
      <c r="N24" s="627">
        <v>8.1482385000000004E-2</v>
      </c>
      <c r="O24" s="621">
        <v>-5.1761499999999905E-4</v>
      </c>
      <c r="P24" s="627">
        <f>SUM(P15:P22)</f>
        <v>7.0723284999999997E-2</v>
      </c>
      <c r="Q24" s="621">
        <v>-1.0759100000000008E-2</v>
      </c>
      <c r="S24" s="628">
        <f>SUM(S16:S22)</f>
        <v>9.6275824400539584E-2</v>
      </c>
      <c r="U24" s="628">
        <f>SUM(U16:U22)</f>
        <v>0.1145345728828871</v>
      </c>
    </row>
    <row r="25" spans="1:21" x14ac:dyDescent="0.2">
      <c r="A25" s="614">
        <v>11</v>
      </c>
    </row>
    <row r="26" spans="1:21" x14ac:dyDescent="0.2">
      <c r="A26" s="614">
        <v>12</v>
      </c>
      <c r="C26" s="614" t="s">
        <v>22</v>
      </c>
      <c r="J26" s="629"/>
      <c r="O26" s="623">
        <v>385994705.47099298</v>
      </c>
      <c r="Q26" s="623">
        <f>O26</f>
        <v>385994705.47099298</v>
      </c>
    </row>
    <row r="27" spans="1:21" x14ac:dyDescent="0.2">
      <c r="A27" s="614">
        <v>13</v>
      </c>
      <c r="U27" s="630"/>
    </row>
    <row r="28" spans="1:21" x14ac:dyDescent="0.2">
      <c r="A28" s="614">
        <v>14</v>
      </c>
      <c r="C28" s="614" t="s">
        <v>23</v>
      </c>
      <c r="O28" s="619">
        <f>O26*O24</f>
        <v>-199796.64947236766</v>
      </c>
      <c r="P28" s="619"/>
      <c r="Q28" s="619">
        <f>Q26*Q24</f>
        <v>-4152955.6356329634</v>
      </c>
      <c r="U28" s="630"/>
    </row>
    <row r="29" spans="1:21" x14ac:dyDescent="0.2">
      <c r="A29" s="614">
        <v>15</v>
      </c>
    </row>
    <row r="30" spans="1:21" x14ac:dyDescent="0.2">
      <c r="A30" s="614">
        <v>16</v>
      </c>
      <c r="C30" s="614" t="s">
        <v>24</v>
      </c>
      <c r="E30" s="614" t="s">
        <v>25</v>
      </c>
      <c r="O30" s="631">
        <f>'[2]WKP 6'!I33</f>
        <v>1.0072893826980953</v>
      </c>
      <c r="P30" s="632"/>
      <c r="Q30" s="631">
        <f>'[2]WKP 6'!I31</f>
        <v>1.6485914610443457</v>
      </c>
      <c r="U30" s="630"/>
    </row>
    <row r="31" spans="1:21" x14ac:dyDescent="0.2">
      <c r="U31" s="630"/>
    </row>
    <row r="32" spans="1:21" ht="15.75" thickBot="1" x14ac:dyDescent="0.25">
      <c r="C32" s="614" t="s">
        <v>26</v>
      </c>
      <c r="O32" s="626">
        <f>O30*O28</f>
        <v>-201253.04371216896</v>
      </c>
      <c r="P32" s="619"/>
      <c r="Q32" s="626">
        <f>Q30*Q28</f>
        <v>-6846527.1990004964</v>
      </c>
    </row>
    <row r="33" spans="8:26" x14ac:dyDescent="0.2">
      <c r="L33" s="614" t="s">
        <v>27</v>
      </c>
    </row>
    <row r="34" spans="8:26" x14ac:dyDescent="0.2">
      <c r="L34" s="614" t="s">
        <v>28</v>
      </c>
    </row>
    <row r="35" spans="8:26" x14ac:dyDescent="0.2">
      <c r="N35" s="633" t="s">
        <v>29</v>
      </c>
      <c r="O35" s="634">
        <f>O28</f>
        <v>-199796.64947236766</v>
      </c>
      <c r="P35" s="633"/>
      <c r="Q35" s="634">
        <f>Q28</f>
        <v>-4152955.6356329634</v>
      </c>
    </row>
    <row r="36" spans="8:26" x14ac:dyDescent="0.2">
      <c r="L36" s="635">
        <v>5.7590000000000002E-3</v>
      </c>
      <c r="N36" s="633" t="s">
        <v>30</v>
      </c>
      <c r="O36" s="634">
        <f>ROUND(O$32*$L36,0)</f>
        <v>-1159</v>
      </c>
      <c r="P36" s="633"/>
      <c r="Q36" s="634">
        <f>ROUND(Q$32*$L36,0)</f>
        <v>-39429</v>
      </c>
    </row>
    <row r="37" spans="8:26" x14ac:dyDescent="0.2">
      <c r="L37" s="635">
        <v>1.4779999999999999E-3</v>
      </c>
      <c r="N37" s="633" t="s">
        <v>31</v>
      </c>
      <c r="O37" s="634">
        <f>ROUND(O$32*$L37,0)</f>
        <v>-297</v>
      </c>
      <c r="P37" s="633"/>
      <c r="Q37" s="634">
        <f>ROUND(Q$32*$L37,0)</f>
        <v>-10119</v>
      </c>
    </row>
    <row r="38" spans="8:26" x14ac:dyDescent="0.2">
      <c r="N38" s="633" t="s">
        <v>32</v>
      </c>
      <c r="O38" s="634">
        <f>O32-O35-O36-O37</f>
        <v>-0.39423980130231939</v>
      </c>
      <c r="P38" s="633"/>
      <c r="Q38" s="634">
        <f>Q32-Q35-Q36-Q37</f>
        <v>-2644023.563367533</v>
      </c>
    </row>
    <row r="40" spans="8:26" x14ac:dyDescent="0.2">
      <c r="S40" s="614" t="s">
        <v>33</v>
      </c>
      <c r="U40" s="614" t="s">
        <v>34</v>
      </c>
    </row>
    <row r="41" spans="8:26" x14ac:dyDescent="0.2">
      <c r="H41" s="614" t="s">
        <v>92</v>
      </c>
      <c r="P41" s="636" t="s">
        <v>93</v>
      </c>
      <c r="S41" s="614" t="s">
        <v>94</v>
      </c>
      <c r="U41" s="614" t="s">
        <v>95</v>
      </c>
      <c r="W41" s="614" t="s">
        <v>96</v>
      </c>
      <c r="Z41" s="614" t="s">
        <v>97</v>
      </c>
    </row>
    <row r="43" spans="8:26" x14ac:dyDescent="0.2">
      <c r="H43" s="614" t="s">
        <v>98</v>
      </c>
      <c r="J43" s="614">
        <v>-3922247</v>
      </c>
      <c r="P43" s="633">
        <f>J43*P24</f>
        <v>-277394.19242139498</v>
      </c>
      <c r="Q43" s="633"/>
      <c r="R43" s="633"/>
      <c r="S43" s="633">
        <f>ROUND(L36*-377618,0)</f>
        <v>-2175</v>
      </c>
      <c r="T43" s="633"/>
      <c r="U43" s="633">
        <f>ROUND(L37*-377618,0)</f>
        <v>-558</v>
      </c>
      <c r="V43" s="633"/>
      <c r="W43" s="637">
        <f>Z43-P43-S43-U43</f>
        <v>-97490.807578605018</v>
      </c>
      <c r="Z43" s="614">
        <v>-377618</v>
      </c>
    </row>
    <row r="44" spans="8:26" x14ac:dyDescent="0.2">
      <c r="H44" s="614" t="s">
        <v>99</v>
      </c>
      <c r="J44" s="614">
        <v>-3946000</v>
      </c>
      <c r="P44" s="633">
        <f>J44*P24</f>
        <v>-279074.08260999998</v>
      </c>
      <c r="Q44" s="633"/>
      <c r="R44" s="633"/>
      <c r="S44" s="633">
        <f>ROUND(L36*-379904,0)</f>
        <v>-2188</v>
      </c>
      <c r="T44" s="633"/>
      <c r="U44" s="633">
        <f>ROUND(L37*-379904,0)</f>
        <v>-561</v>
      </c>
      <c r="V44" s="633"/>
      <c r="W44" s="637">
        <f>Z44-P44-S44-U44</f>
        <v>-98080.917390000017</v>
      </c>
      <c r="Z44" s="614">
        <v>-379904</v>
      </c>
    </row>
    <row r="47" spans="8:26" x14ac:dyDescent="0.2">
      <c r="N47" s="614" t="s">
        <v>100</v>
      </c>
    </row>
    <row r="48" spans="8:26" x14ac:dyDescent="0.2">
      <c r="N48" s="614" t="s">
        <v>101</v>
      </c>
      <c r="O48" s="634">
        <f>O35+Q35+P43+P44</f>
        <v>-4909220.5601367261</v>
      </c>
    </row>
    <row r="49" spans="14:16" x14ac:dyDescent="0.2">
      <c r="N49" s="614" t="s">
        <v>102</v>
      </c>
      <c r="O49" s="634">
        <f>O36+Q36+S43+S44</f>
        <v>-44951</v>
      </c>
    </row>
    <row r="50" spans="14:16" x14ac:dyDescent="0.2">
      <c r="N50" s="614" t="s">
        <v>103</v>
      </c>
      <c r="O50" s="634">
        <f>O37+Q37+U43+U44</f>
        <v>-11535</v>
      </c>
    </row>
    <row r="51" spans="14:16" x14ac:dyDescent="0.2">
      <c r="N51" s="614" t="s">
        <v>104</v>
      </c>
      <c r="O51" s="634">
        <f>O38+Q38+W43+W44</f>
        <v>-2839595.6825759397</v>
      </c>
    </row>
    <row r="52" spans="14:16" x14ac:dyDescent="0.2">
      <c r="N52" s="614" t="s">
        <v>105</v>
      </c>
      <c r="O52" s="634">
        <f>SUM(O48:O51)</f>
        <v>-7805302.2427126653</v>
      </c>
    </row>
    <row r="53" spans="14:16" x14ac:dyDescent="0.2">
      <c r="O53" s="633"/>
    </row>
    <row r="54" spans="14:16" x14ac:dyDescent="0.2">
      <c r="N54" s="614" t="s">
        <v>106</v>
      </c>
      <c r="O54" s="633">
        <f>70371</f>
        <v>70371</v>
      </c>
    </row>
    <row r="55" spans="14:16" x14ac:dyDescent="0.2">
      <c r="N55" s="614" t="s">
        <v>107</v>
      </c>
      <c r="O55" s="633">
        <v>153206</v>
      </c>
    </row>
    <row r="56" spans="14:16" x14ac:dyDescent="0.2">
      <c r="O56" s="633"/>
    </row>
    <row r="57" spans="14:16" x14ac:dyDescent="0.2">
      <c r="N57" s="614" t="s">
        <v>108</v>
      </c>
      <c r="O57" s="633">
        <f>-2230920-21342</f>
        <v>-2252262</v>
      </c>
    </row>
    <row r="58" spans="14:16" x14ac:dyDescent="0.2">
      <c r="O58" s="633"/>
    </row>
    <row r="59" spans="14:16" x14ac:dyDescent="0.2">
      <c r="N59" s="614" t="s">
        <v>109</v>
      </c>
      <c r="O59" s="634">
        <f>O52+O54+O55+O57</f>
        <v>-9833987.2427126653</v>
      </c>
      <c r="P59" s="614" t="s">
        <v>110</v>
      </c>
    </row>
  </sheetData>
  <mergeCells count="3">
    <mergeCell ref="S4:U4"/>
    <mergeCell ref="C13:E13"/>
    <mergeCell ref="C14:E14"/>
  </mergeCells>
  <phoneticPr fontId="12" type="noConversion"/>
  <pageMargins left="0.2" right="0"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121"/>
  <sheetViews>
    <sheetView topLeftCell="A36" workbookViewId="0">
      <selection activeCell="J19" sqref="J19"/>
    </sheetView>
  </sheetViews>
  <sheetFormatPr defaultColWidth="9.6640625" defaultRowHeight="15" x14ac:dyDescent="0.2"/>
  <cols>
    <col min="1" max="2" width="7.6640625" style="167" customWidth="1"/>
    <col min="3" max="3" width="1.6640625" style="167" customWidth="1"/>
    <col min="4" max="4" width="7.6640625" style="167" customWidth="1"/>
    <col min="5" max="5" width="1.33203125" style="167" customWidth="1"/>
    <col min="6" max="6" width="7.6640625" style="167" customWidth="1"/>
    <col min="7" max="7" width="1.33203125" style="167" customWidth="1"/>
    <col min="8" max="8" width="8.44140625" style="167" customWidth="1"/>
    <col min="9" max="9" width="1.33203125" style="167" customWidth="1"/>
    <col min="10" max="10" width="7.6640625" style="167" customWidth="1"/>
    <col min="11" max="11" width="1.33203125" style="167" customWidth="1"/>
    <col min="12" max="12" width="7.6640625" style="167" customWidth="1"/>
    <col min="13" max="13" width="1.33203125" style="167" customWidth="1"/>
    <col min="14" max="14" width="7.6640625" style="167" customWidth="1"/>
    <col min="15" max="15" width="1.33203125" style="167" customWidth="1"/>
    <col min="16" max="16" width="7.6640625" style="167" customWidth="1"/>
    <col min="17" max="18" width="9.6640625" style="167"/>
    <col min="19" max="19" width="12.44140625" style="167" bestFit="1" customWidth="1"/>
    <col min="20" max="20" width="9.6640625" style="167"/>
    <col min="21" max="21" width="13.5546875" style="167" bestFit="1" customWidth="1"/>
    <col min="22" max="27" width="9.6640625" style="167"/>
    <col min="28" max="28" width="12.44140625" style="167" bestFit="1" customWidth="1"/>
    <col min="29" max="29" width="9.6640625" style="167"/>
    <col min="30" max="30" width="12.44140625" style="167" bestFit="1" customWidth="1"/>
    <col min="31" max="16384" width="9.6640625" style="167"/>
  </cols>
  <sheetData>
    <row r="1" spans="1:25" x14ac:dyDescent="0.2">
      <c r="A1" s="37" t="s">
        <v>77</v>
      </c>
      <c r="B1" s="87"/>
      <c r="C1" s="87"/>
      <c r="D1" s="88"/>
      <c r="E1" s="88"/>
      <c r="F1" s="88"/>
      <c r="G1" s="88"/>
      <c r="H1" s="88"/>
      <c r="I1" s="88"/>
      <c r="J1" s="88"/>
      <c r="K1" s="88"/>
      <c r="L1" s="88"/>
      <c r="M1" s="88"/>
      <c r="N1" s="88"/>
      <c r="O1" s="88"/>
      <c r="P1" s="88"/>
      <c r="Q1" s="89"/>
    </row>
    <row r="2" spans="1:25" x14ac:dyDescent="0.2">
      <c r="A2" s="37"/>
      <c r="B2" s="87"/>
      <c r="C2" s="87"/>
      <c r="D2" s="88"/>
      <c r="E2" s="88"/>
      <c r="F2" s="88"/>
      <c r="G2" s="88"/>
      <c r="H2" s="88"/>
      <c r="I2" s="88"/>
      <c r="J2" s="88"/>
      <c r="K2" s="88"/>
      <c r="L2" s="88"/>
      <c r="M2" s="88"/>
      <c r="N2" s="88"/>
      <c r="O2" s="88"/>
      <c r="P2" s="88"/>
      <c r="Q2" s="89"/>
    </row>
    <row r="3" spans="1:25" x14ac:dyDescent="0.2">
      <c r="A3" s="88"/>
      <c r="B3" s="88"/>
      <c r="C3" s="88"/>
      <c r="D3" s="88"/>
      <c r="E3" s="88"/>
      <c r="F3" s="88"/>
      <c r="G3" s="88"/>
      <c r="H3" s="88"/>
      <c r="I3" s="88"/>
      <c r="J3" s="88"/>
      <c r="K3" s="88"/>
      <c r="L3" s="88"/>
      <c r="M3" s="88"/>
      <c r="N3" s="88"/>
      <c r="O3" s="88"/>
      <c r="P3" s="88"/>
      <c r="Q3" s="89"/>
    </row>
    <row r="4" spans="1:25" x14ac:dyDescent="0.2">
      <c r="A4" s="88" t="s">
        <v>181</v>
      </c>
      <c r="B4" s="88"/>
      <c r="C4" s="88"/>
      <c r="D4" s="88"/>
      <c r="E4" s="88"/>
      <c r="F4" s="88"/>
      <c r="G4" s="88"/>
      <c r="H4" s="88"/>
      <c r="I4" s="88"/>
      <c r="J4" s="88"/>
      <c r="K4" s="88"/>
      <c r="L4" s="88"/>
      <c r="M4" s="88"/>
      <c r="N4" s="88"/>
      <c r="O4" s="88"/>
      <c r="P4" s="88"/>
      <c r="Q4" s="89"/>
    </row>
    <row r="5" spans="1:25" x14ac:dyDescent="0.2">
      <c r="A5" s="89"/>
      <c r="B5" s="89"/>
      <c r="C5" s="89"/>
      <c r="D5" s="89"/>
      <c r="E5" s="89"/>
      <c r="F5" s="89"/>
      <c r="G5" s="89"/>
      <c r="H5" s="89"/>
      <c r="I5" s="89"/>
      <c r="J5" s="89"/>
      <c r="K5" s="89"/>
      <c r="L5" s="89"/>
      <c r="M5" s="89"/>
      <c r="N5" s="89"/>
      <c r="O5" s="89"/>
      <c r="P5" s="89"/>
      <c r="Q5" s="89"/>
    </row>
    <row r="6" spans="1:25" x14ac:dyDescent="0.2">
      <c r="A6" s="89"/>
      <c r="B6" s="89"/>
      <c r="C6" s="89"/>
      <c r="D6" s="89"/>
      <c r="E6" s="89"/>
      <c r="F6" s="89"/>
      <c r="G6" s="89"/>
      <c r="H6" s="89"/>
      <c r="I6" s="89"/>
      <c r="J6" s="89"/>
      <c r="K6" s="89"/>
      <c r="L6" s="89"/>
      <c r="M6" s="89"/>
      <c r="N6" s="89"/>
      <c r="O6" s="89"/>
      <c r="P6" s="89"/>
      <c r="Q6" s="89"/>
    </row>
    <row r="7" spans="1:25" x14ac:dyDescent="0.2">
      <c r="A7" s="89" t="s">
        <v>190</v>
      </c>
      <c r="B7" s="89"/>
      <c r="C7" s="89"/>
      <c r="D7" s="89"/>
      <c r="E7" s="89"/>
      <c r="F7" s="89"/>
      <c r="G7" s="89"/>
      <c r="H7" s="89"/>
      <c r="I7" s="89"/>
      <c r="J7" s="89"/>
      <c r="K7" s="89"/>
      <c r="L7" s="89"/>
      <c r="M7" s="89"/>
      <c r="N7" s="89"/>
      <c r="O7" s="89"/>
      <c r="P7" s="89"/>
      <c r="Q7" s="89"/>
    </row>
    <row r="8" spans="1:25" x14ac:dyDescent="0.2">
      <c r="A8" s="89"/>
      <c r="B8" s="89"/>
      <c r="C8" s="89"/>
      <c r="D8" s="89"/>
      <c r="E8" s="89"/>
      <c r="F8" s="89"/>
      <c r="G8" s="89"/>
      <c r="H8" s="89"/>
      <c r="I8" s="89"/>
      <c r="J8" s="89"/>
      <c r="K8" s="89"/>
      <c r="L8" s="89"/>
      <c r="M8" s="89"/>
      <c r="N8" s="89"/>
      <c r="O8" s="89"/>
      <c r="P8" s="89"/>
      <c r="Q8" s="89"/>
    </row>
    <row r="9" spans="1:25" ht="29.85" customHeight="1" x14ac:dyDescent="0.2">
      <c r="A9" s="667" t="s">
        <v>458</v>
      </c>
      <c r="B9" s="667"/>
      <c r="C9" s="667"/>
      <c r="D9" s="667"/>
      <c r="E9" s="667"/>
      <c r="F9" s="667"/>
      <c r="G9" s="667"/>
      <c r="H9" s="667"/>
      <c r="I9" s="667"/>
      <c r="J9" s="667"/>
      <c r="K9" s="667"/>
      <c r="L9" s="667"/>
      <c r="M9" s="667"/>
      <c r="N9" s="667"/>
      <c r="O9" s="667"/>
      <c r="P9" s="667"/>
      <c r="Q9" s="89"/>
    </row>
    <row r="10" spans="1:25" x14ac:dyDescent="0.2">
      <c r="A10" s="89"/>
      <c r="B10" s="89"/>
      <c r="C10" s="89"/>
      <c r="D10" s="89"/>
      <c r="E10" s="89"/>
      <c r="F10" s="89"/>
      <c r="G10" s="89"/>
      <c r="H10" s="89"/>
      <c r="I10" s="89"/>
      <c r="J10" s="89"/>
      <c r="K10" s="89"/>
      <c r="L10" s="89"/>
      <c r="M10" s="89"/>
      <c r="N10" s="89"/>
      <c r="O10" s="89"/>
      <c r="P10" s="89"/>
      <c r="Q10" s="89"/>
      <c r="R10" s="455"/>
    </row>
    <row r="11" spans="1:25" x14ac:dyDescent="0.2">
      <c r="A11" s="89"/>
      <c r="B11" s="89"/>
      <c r="C11" s="89"/>
      <c r="D11" s="88" t="s">
        <v>459</v>
      </c>
      <c r="E11" s="88"/>
      <c r="F11" s="88"/>
      <c r="G11" s="89"/>
      <c r="H11" s="88" t="s">
        <v>459</v>
      </c>
      <c r="I11" s="88"/>
      <c r="J11" s="88"/>
      <c r="K11" s="89"/>
      <c r="L11" s="88" t="s">
        <v>460</v>
      </c>
      <c r="M11" s="88"/>
      <c r="N11" s="88"/>
      <c r="O11" s="89"/>
      <c r="P11" s="89"/>
      <c r="Q11" s="89"/>
    </row>
    <row r="12" spans="1:25" x14ac:dyDescent="0.2">
      <c r="A12" s="89"/>
      <c r="B12" s="89"/>
      <c r="C12" s="89"/>
      <c r="D12" s="88" t="s">
        <v>268</v>
      </c>
      <c r="E12" s="88"/>
      <c r="F12" s="88"/>
      <c r="G12" s="89"/>
      <c r="H12" s="88" t="s">
        <v>41</v>
      </c>
      <c r="I12" s="88"/>
      <c r="J12" s="88"/>
      <c r="K12" s="89"/>
      <c r="L12" s="88" t="s">
        <v>268</v>
      </c>
      <c r="M12" s="88"/>
      <c r="N12" s="88"/>
      <c r="O12" s="89"/>
      <c r="P12" s="89"/>
      <c r="Q12" s="89"/>
    </row>
    <row r="13" spans="1:25" x14ac:dyDescent="0.2">
      <c r="A13" s="88" t="s">
        <v>377</v>
      </c>
      <c r="B13" s="88"/>
      <c r="C13" s="89"/>
      <c r="D13" s="90" t="s">
        <v>379</v>
      </c>
      <c r="E13" s="90"/>
      <c r="F13" s="90" t="s">
        <v>270</v>
      </c>
      <c r="G13" s="91"/>
      <c r="H13" s="90" t="s">
        <v>379</v>
      </c>
      <c r="I13" s="90"/>
      <c r="J13" s="90" t="s">
        <v>270</v>
      </c>
      <c r="K13" s="91"/>
      <c r="L13" s="90" t="s">
        <v>379</v>
      </c>
      <c r="M13" s="90"/>
      <c r="N13" s="90" t="s">
        <v>270</v>
      </c>
      <c r="O13" s="91"/>
      <c r="P13" s="91" t="s">
        <v>379</v>
      </c>
      <c r="Q13" s="89"/>
    </row>
    <row r="14" spans="1:25" x14ac:dyDescent="0.2">
      <c r="A14" s="88" t="s">
        <v>380</v>
      </c>
      <c r="B14" s="88"/>
      <c r="C14" s="89"/>
      <c r="D14" s="91" t="s">
        <v>461</v>
      </c>
      <c r="E14" s="91"/>
      <c r="F14" s="91" t="s">
        <v>381</v>
      </c>
      <c r="G14" s="91"/>
      <c r="H14" s="91" t="s">
        <v>462</v>
      </c>
      <c r="I14" s="91"/>
      <c r="J14" s="91" t="s">
        <v>381</v>
      </c>
      <c r="K14" s="91"/>
      <c r="L14" s="91" t="s">
        <v>463</v>
      </c>
      <c r="M14" s="91"/>
      <c r="N14" s="91" t="s">
        <v>381</v>
      </c>
      <c r="O14" s="91"/>
      <c r="P14" s="91" t="s">
        <v>381</v>
      </c>
      <c r="Q14" s="89"/>
    </row>
    <row r="15" spans="1:25" x14ac:dyDescent="0.2">
      <c r="A15" s="92" t="s">
        <v>382</v>
      </c>
      <c r="B15" s="92"/>
      <c r="C15" s="89"/>
      <c r="D15" s="90" t="s">
        <v>272</v>
      </c>
      <c r="E15" s="89"/>
      <c r="F15" s="93" t="s">
        <v>464</v>
      </c>
      <c r="G15" s="89"/>
      <c r="H15" s="90" t="s">
        <v>274</v>
      </c>
      <c r="I15" s="89"/>
      <c r="J15" s="93" t="s">
        <v>329</v>
      </c>
      <c r="K15" s="89"/>
      <c r="L15" s="90" t="s">
        <v>290</v>
      </c>
      <c r="M15" s="89"/>
      <c r="N15" s="93" t="s">
        <v>330</v>
      </c>
      <c r="O15" s="89"/>
      <c r="P15" s="93" t="s">
        <v>331</v>
      </c>
      <c r="Q15" s="89"/>
      <c r="R15" s="167" t="s">
        <v>483</v>
      </c>
      <c r="Y15" s="167" t="s">
        <v>379</v>
      </c>
    </row>
    <row r="16" spans="1:25" x14ac:dyDescent="0.2">
      <c r="A16" s="89"/>
      <c r="B16" s="89"/>
      <c r="C16" s="89"/>
      <c r="D16" s="89"/>
      <c r="E16" s="89"/>
      <c r="F16" s="94">
        <f>N35</f>
        <v>0.4259</v>
      </c>
      <c r="G16" s="94"/>
      <c r="H16" s="94"/>
      <c r="I16" s="94"/>
      <c r="J16" s="94">
        <f>N37</f>
        <v>0.31090000000000001</v>
      </c>
      <c r="K16" s="94"/>
      <c r="L16" s="94"/>
      <c r="M16" s="94"/>
      <c r="N16" s="94">
        <f>N39</f>
        <v>0.26319999999999999</v>
      </c>
      <c r="O16" s="94"/>
      <c r="P16" s="95" t="s">
        <v>332</v>
      </c>
      <c r="Q16" s="89"/>
      <c r="R16" s="167" t="s">
        <v>333</v>
      </c>
      <c r="S16" s="167" t="s">
        <v>369</v>
      </c>
      <c r="T16" s="240">
        <f>+F16</f>
        <v>0.4259</v>
      </c>
      <c r="U16" s="167" t="s">
        <v>367</v>
      </c>
      <c r="V16" s="240">
        <f>+J16</f>
        <v>0.31090000000000001</v>
      </c>
      <c r="W16" s="167" t="s">
        <v>463</v>
      </c>
      <c r="X16" s="240">
        <f>+N16</f>
        <v>0.26319999999999999</v>
      </c>
      <c r="Y16" s="167" t="s">
        <v>381</v>
      </c>
    </row>
    <row r="17" spans="1:25" ht="12.75" customHeight="1" x14ac:dyDescent="0.2">
      <c r="A17" s="89"/>
      <c r="B17" s="89"/>
      <c r="C17" s="89"/>
      <c r="D17" s="89"/>
      <c r="E17" s="89"/>
      <c r="F17" s="89"/>
      <c r="G17" s="89"/>
      <c r="H17" s="89"/>
      <c r="I17" s="89"/>
      <c r="J17" s="89"/>
      <c r="K17" s="89"/>
      <c r="L17" s="89"/>
      <c r="M17" s="89"/>
      <c r="N17" s="89"/>
      <c r="O17" s="89"/>
      <c r="P17" s="89"/>
      <c r="Q17" s="89"/>
    </row>
    <row r="18" spans="1:25" x14ac:dyDescent="0.2">
      <c r="A18" s="89" t="s">
        <v>385</v>
      </c>
      <c r="B18" s="89"/>
      <c r="C18" s="89"/>
      <c r="D18" s="94">
        <f>'F 1-2'!$M$39</f>
        <v>0.499</v>
      </c>
      <c r="E18" s="94"/>
      <c r="F18" s="94">
        <f>ROUND(+$F$16*D18,4)-0</f>
        <v>0.21249999999999999</v>
      </c>
      <c r="G18" s="94"/>
      <c r="H18" s="94">
        <f>'F 3-4'!$P$19</f>
        <v>0.45689999999999997</v>
      </c>
      <c r="I18" s="94"/>
      <c r="J18" s="94">
        <f>ROUND(+$J$16*H18,4)+0</f>
        <v>0.1421</v>
      </c>
      <c r="K18" s="94"/>
      <c r="L18" s="94">
        <f>'F 3-4'!$R$49</f>
        <v>0.46399999999999997</v>
      </c>
      <c r="M18" s="94"/>
      <c r="N18" s="94">
        <f>ROUND(+$N$16*L18,4)+0.0001</f>
        <v>0.1222</v>
      </c>
      <c r="O18" s="94"/>
      <c r="P18" s="94">
        <f>N18+F18+J18</f>
        <v>0.4768</v>
      </c>
      <c r="Q18" s="89"/>
      <c r="R18" s="94" t="s">
        <v>334</v>
      </c>
      <c r="S18" s="167">
        <f>'F 1-2'!$G$37-'F 1-2'!$G$44-'F 1-2'!$G$45</f>
        <v>0.60259999999999991</v>
      </c>
      <c r="T18" s="264">
        <f>ROUND(+S18*$F$16,4)</f>
        <v>0.25659999999999999</v>
      </c>
      <c r="U18" s="167">
        <f>'F 3-4'!$F$17-'F 3-4'!$F$24-'F 3-4'!$F$25</f>
        <v>0.55149999999999999</v>
      </c>
      <c r="V18" s="264">
        <f>ROUND(U18*$J$16,4)</f>
        <v>0.17150000000000001</v>
      </c>
      <c r="W18" s="167">
        <f>'F 3-4'!$H$47-'F 3-4'!$H$54-'F 3-4'!$H$55</f>
        <v>0.34670000000000001</v>
      </c>
      <c r="X18" s="264">
        <f>W18*$N$16</f>
        <v>9.1251440000000003E-2</v>
      </c>
      <c r="Y18" s="240">
        <f>T18+V18+X18</f>
        <v>0.51935144</v>
      </c>
    </row>
    <row r="19" spans="1:25" x14ac:dyDescent="0.2">
      <c r="A19" s="89" t="s">
        <v>386</v>
      </c>
      <c r="B19" s="89"/>
      <c r="C19" s="89"/>
      <c r="D19" s="94">
        <f>'F 1-2'!$M$40</f>
        <v>0.30969999999999998</v>
      </c>
      <c r="E19" s="94"/>
      <c r="F19" s="94">
        <f t="shared" ref="F19:F24" si="0">ROUND(+$F$16*D19,4)</f>
        <v>0.13189999999999999</v>
      </c>
      <c r="G19" s="94"/>
      <c r="H19" s="94">
        <f>'F 3-4'!$P$20</f>
        <v>0.28339999999999999</v>
      </c>
      <c r="I19" s="94"/>
      <c r="J19" s="94">
        <f t="shared" ref="J19:J24" si="1">ROUND(+$J$16*H19,4)</f>
        <v>8.8099999999999998E-2</v>
      </c>
      <c r="K19" s="94"/>
      <c r="L19" s="94">
        <f>'F 3-4'!$R$50</f>
        <v>0.28399999999999997</v>
      </c>
      <c r="M19" s="94"/>
      <c r="N19" s="94">
        <f t="shared" ref="N19:N24" si="2">ROUND(+$N$16*L19,4)</f>
        <v>7.4700000000000003E-2</v>
      </c>
      <c r="O19" s="94"/>
      <c r="P19" s="94">
        <f t="shared" ref="P19:P24" si="3">N19+F19+J19</f>
        <v>0.29470000000000002</v>
      </c>
      <c r="Q19" s="89"/>
      <c r="R19" s="94" t="s">
        <v>335</v>
      </c>
      <c r="S19" s="167">
        <f>'F 1-2'!$K$37</f>
        <v>0.39389999999999997</v>
      </c>
      <c r="T19" s="264">
        <f>ROUND(+S19*$F$16,4)</f>
        <v>0.1678</v>
      </c>
      <c r="U19" s="167">
        <f>'F 3-4'!$J$17</f>
        <v>0.36059999999999998</v>
      </c>
      <c r="V19" s="264">
        <f>ROUND(U19*$J$16,4)</f>
        <v>0.11210000000000001</v>
      </c>
      <c r="X19" s="264">
        <f>W19*$N$16</f>
        <v>0</v>
      </c>
      <c r="Y19" s="264">
        <f>T19+V19+X19</f>
        <v>0.27990000000000004</v>
      </c>
    </row>
    <row r="20" spans="1:25" x14ac:dyDescent="0.2">
      <c r="A20" s="89" t="s">
        <v>387</v>
      </c>
      <c r="B20" s="89"/>
      <c r="C20" s="89"/>
      <c r="D20" s="94">
        <f>'F 1-2'!$M$41</f>
        <v>4.41E-2</v>
      </c>
      <c r="E20" s="94"/>
      <c r="F20" s="265">
        <f t="shared" si="0"/>
        <v>1.8800000000000001E-2</v>
      </c>
      <c r="G20" s="94"/>
      <c r="H20" s="94">
        <f>'F 3-4'!$P$21</f>
        <v>4.0300000000000002E-2</v>
      </c>
      <c r="I20" s="94"/>
      <c r="J20" s="94">
        <f t="shared" si="1"/>
        <v>1.2500000000000001E-2</v>
      </c>
      <c r="K20" s="94"/>
      <c r="L20" s="94">
        <f>'F 3-4'!$R$51</f>
        <v>3.6000000000000004E-2</v>
      </c>
      <c r="M20" s="94"/>
      <c r="N20" s="94">
        <f t="shared" si="2"/>
        <v>9.4999999999999998E-3</v>
      </c>
      <c r="O20" s="94"/>
      <c r="P20" s="94">
        <f t="shared" si="3"/>
        <v>4.0800000000000003E-2</v>
      </c>
      <c r="Q20" s="89"/>
      <c r="R20" s="94" t="s">
        <v>336</v>
      </c>
      <c r="T20" s="264">
        <f>ROUND(+S20*$F$16,4)</f>
        <v>0</v>
      </c>
      <c r="V20" s="264">
        <f>ROUND(U20*$J$16,4)</f>
        <v>0</v>
      </c>
      <c r="W20" s="266">
        <f>'F 3-4'!$L$47</f>
        <v>0.52329999999999999</v>
      </c>
      <c r="X20" s="264">
        <f>W20*$N$16</f>
        <v>0.13773256</v>
      </c>
      <c r="Y20" s="264">
        <f>T20+V20+X20</f>
        <v>0.13773256</v>
      </c>
    </row>
    <row r="21" spans="1:25" x14ac:dyDescent="0.2">
      <c r="A21" s="89" t="s">
        <v>389</v>
      </c>
      <c r="B21" s="89"/>
      <c r="C21" s="89"/>
      <c r="D21" s="94">
        <f>'F 1-2'!$M$42</f>
        <v>0.11020000000000001</v>
      </c>
      <c r="E21" s="94"/>
      <c r="F21" s="94">
        <f t="shared" si="0"/>
        <v>4.6899999999999997E-2</v>
      </c>
      <c r="G21" s="94"/>
      <c r="H21" s="94">
        <f>'F 3-4'!$P$22</f>
        <v>0.1009</v>
      </c>
      <c r="I21" s="94"/>
      <c r="J21" s="94">
        <f t="shared" si="1"/>
        <v>3.1399999999999997E-2</v>
      </c>
      <c r="K21" s="94"/>
      <c r="L21" s="94">
        <f>'F 3-4'!$R$52</f>
        <v>8.5999999999999993E-2</v>
      </c>
      <c r="M21" s="94"/>
      <c r="N21" s="265">
        <f t="shared" si="2"/>
        <v>2.2599999999999999E-2</v>
      </c>
      <c r="O21" s="94"/>
      <c r="P21" s="94">
        <f t="shared" si="3"/>
        <v>0.10089999999999999</v>
      </c>
      <c r="Q21" s="89"/>
      <c r="R21" s="94" t="s">
        <v>337</v>
      </c>
      <c r="S21" s="167">
        <f>'F 1-2'!$M$44</f>
        <v>1.6000000000000001E-3</v>
      </c>
      <c r="T21" s="264">
        <f>ROUND(+S21*$F$16,4)</f>
        <v>6.9999999999999999E-4</v>
      </c>
      <c r="U21" s="167">
        <f>'F 3-4'!$P$24</f>
        <v>3.95E-2</v>
      </c>
      <c r="V21" s="264">
        <f>ROUND(U21*$J$16,4)</f>
        <v>1.23E-2</v>
      </c>
      <c r="W21" s="167">
        <f>'F 3-4'!$R$54</f>
        <v>5.8499999999999996E-2</v>
      </c>
      <c r="X21" s="264">
        <f>W21*$N$16</f>
        <v>1.5397199999999998E-2</v>
      </c>
      <c r="Y21" s="264">
        <f>T21+V21+X21</f>
        <v>2.8397199999999997E-2</v>
      </c>
    </row>
    <row r="22" spans="1:25" x14ac:dyDescent="0.2">
      <c r="A22" s="89" t="s">
        <v>503</v>
      </c>
      <c r="B22" s="89"/>
      <c r="C22" s="89"/>
      <c r="D22" s="94">
        <f>'F 1-2'!$M$43</f>
        <v>3.3500000000000002E-2</v>
      </c>
      <c r="E22" s="94"/>
      <c r="F22" s="94">
        <f t="shared" si="0"/>
        <v>1.43E-2</v>
      </c>
      <c r="G22" s="94"/>
      <c r="H22" s="94">
        <f>'F 3-4'!$P$23</f>
        <v>3.0600000000000002E-2</v>
      </c>
      <c r="I22" s="94"/>
      <c r="J22" s="94">
        <f>ROUND(+$J$16*H22,4)</f>
        <v>9.4999999999999998E-3</v>
      </c>
      <c r="K22" s="94"/>
      <c r="L22" s="94">
        <f>'F 3-4'!$R$53</f>
        <v>0</v>
      </c>
      <c r="M22" s="94"/>
      <c r="N22" s="94">
        <f t="shared" si="2"/>
        <v>0</v>
      </c>
      <c r="O22" s="94"/>
      <c r="P22" s="94">
        <f t="shared" si="3"/>
        <v>2.3800000000000002E-2</v>
      </c>
      <c r="Q22" s="89"/>
      <c r="R22" s="94" t="s">
        <v>338</v>
      </c>
      <c r="S22" s="167">
        <f>'F 1-2'!$M$45</f>
        <v>1.9E-3</v>
      </c>
      <c r="T22" s="264">
        <f>ROUND(+S22*$F$16,4)</f>
        <v>8.0000000000000004E-4</v>
      </c>
      <c r="U22" s="167">
        <f>'F 3-4'!$P$25</f>
        <v>4.8400000000000006E-2</v>
      </c>
      <c r="V22" s="264">
        <f>ROUND(U22*$J$16,4)</f>
        <v>1.4999999999999999E-2</v>
      </c>
      <c r="W22" s="167">
        <f>'F 3-4'!$R$55</f>
        <v>7.1500000000000008E-2</v>
      </c>
      <c r="X22" s="264">
        <f>W22*$N$16</f>
        <v>1.88188E-2</v>
      </c>
      <c r="Y22" s="264">
        <f>T22+V22+X22</f>
        <v>3.4618799999999998E-2</v>
      </c>
    </row>
    <row r="23" spans="1:25" x14ac:dyDescent="0.2">
      <c r="A23" s="89" t="s">
        <v>391</v>
      </c>
      <c r="B23" s="89"/>
      <c r="C23" s="89"/>
      <c r="D23" s="94">
        <f>'F 1-2'!$M$44</f>
        <v>1.6000000000000001E-3</v>
      </c>
      <c r="E23" s="94"/>
      <c r="F23" s="94">
        <f t="shared" si="0"/>
        <v>6.9999999999999999E-4</v>
      </c>
      <c r="G23" s="94"/>
      <c r="H23" s="94">
        <f>'F 3-4'!$P$24</f>
        <v>3.95E-2</v>
      </c>
      <c r="I23" s="94"/>
      <c r="J23" s="94">
        <f>ROUND(+$J$16*H23,4)</f>
        <v>1.23E-2</v>
      </c>
      <c r="K23" s="94"/>
      <c r="L23" s="94">
        <f>'F 3-4'!$R$54</f>
        <v>5.8499999999999996E-2</v>
      </c>
      <c r="M23" s="94"/>
      <c r="N23" s="94">
        <f t="shared" si="2"/>
        <v>1.54E-2</v>
      </c>
      <c r="O23" s="94"/>
      <c r="P23" s="94">
        <f t="shared" si="3"/>
        <v>2.8400000000000002E-2</v>
      </c>
      <c r="Q23" s="89"/>
      <c r="R23" s="94"/>
      <c r="S23" s="94"/>
      <c r="T23" s="94"/>
      <c r="U23" s="94"/>
      <c r="V23" s="94"/>
      <c r="W23" s="94"/>
      <c r="X23" s="94"/>
      <c r="Y23" s="94"/>
    </row>
    <row r="24" spans="1:25" x14ac:dyDescent="0.2">
      <c r="A24" s="89" t="s">
        <v>392</v>
      </c>
      <c r="B24" s="89"/>
      <c r="C24" s="89"/>
      <c r="D24" s="94">
        <f>'F 1-2'!$M$45</f>
        <v>1.9E-3</v>
      </c>
      <c r="E24" s="94"/>
      <c r="F24" s="94">
        <f t="shared" si="0"/>
        <v>8.0000000000000004E-4</v>
      </c>
      <c r="G24" s="94"/>
      <c r="H24" s="94">
        <f>'F 3-4'!$P$25</f>
        <v>4.8400000000000006E-2</v>
      </c>
      <c r="I24" s="94"/>
      <c r="J24" s="94">
        <f t="shared" si="1"/>
        <v>1.4999999999999999E-2</v>
      </c>
      <c r="K24" s="94"/>
      <c r="L24" s="94">
        <f>'F 3-4'!$R$55</f>
        <v>7.1500000000000008E-2</v>
      </c>
      <c r="M24" s="94"/>
      <c r="N24" s="94">
        <f t="shared" si="2"/>
        <v>1.8800000000000001E-2</v>
      </c>
      <c r="O24" s="94"/>
      <c r="P24" s="94">
        <f t="shared" si="3"/>
        <v>3.4599999999999999E-2</v>
      </c>
      <c r="Q24" s="89"/>
      <c r="R24" s="94"/>
      <c r="S24" s="264">
        <f t="shared" ref="S24:Y24" si="4">SUM(S18:S23)</f>
        <v>1</v>
      </c>
      <c r="T24" s="264">
        <f t="shared" si="4"/>
        <v>0.4259</v>
      </c>
      <c r="U24" s="264">
        <f t="shared" si="4"/>
        <v>0.99999999999999989</v>
      </c>
      <c r="V24" s="264">
        <f t="shared" si="4"/>
        <v>0.31090000000000001</v>
      </c>
      <c r="W24" s="264">
        <f t="shared" si="4"/>
        <v>1</v>
      </c>
      <c r="X24" s="264">
        <f t="shared" si="4"/>
        <v>0.26320000000000005</v>
      </c>
      <c r="Y24" s="264">
        <f t="shared" si="4"/>
        <v>1</v>
      </c>
    </row>
    <row r="25" spans="1:25" x14ac:dyDescent="0.2">
      <c r="A25" s="89"/>
      <c r="B25" s="89"/>
      <c r="C25" s="89"/>
      <c r="D25" s="96"/>
      <c r="E25" s="94"/>
      <c r="F25" s="96"/>
      <c r="G25" s="94"/>
      <c r="H25" s="96"/>
      <c r="I25" s="94"/>
      <c r="J25" s="96"/>
      <c r="K25" s="94"/>
      <c r="L25" s="96"/>
      <c r="M25" s="94"/>
      <c r="N25" s="96"/>
      <c r="O25" s="94"/>
      <c r="P25" s="96"/>
      <c r="Q25" s="89"/>
    </row>
    <row r="26" spans="1:25" ht="15.75" thickBot="1" x14ac:dyDescent="0.25">
      <c r="A26" s="89" t="s">
        <v>393</v>
      </c>
      <c r="B26" s="89"/>
      <c r="C26" s="89"/>
      <c r="D26" s="94">
        <f>SUM(D18:D25)</f>
        <v>1</v>
      </c>
      <c r="E26" s="94"/>
      <c r="F26" s="169">
        <f>SUM(F18:F25)</f>
        <v>0.42589999999999995</v>
      </c>
      <c r="G26" s="94"/>
      <c r="H26" s="94">
        <f>SUM(H18:H25)</f>
        <v>0.99999999999999989</v>
      </c>
      <c r="I26" s="94"/>
      <c r="J26" s="94">
        <f>SUM(J18:J25)</f>
        <v>0.31090000000000001</v>
      </c>
      <c r="K26" s="94"/>
      <c r="L26" s="94">
        <f>SUM(L18:L25)</f>
        <v>1</v>
      </c>
      <c r="M26" s="94"/>
      <c r="N26" s="94">
        <f>SUM(N18:N25)</f>
        <v>0.26320000000000005</v>
      </c>
      <c r="O26" s="94"/>
      <c r="P26" s="94">
        <f>SUM(P18:P25)</f>
        <v>1</v>
      </c>
      <c r="Q26" s="89"/>
    </row>
    <row r="27" spans="1:25" ht="15.75" thickTop="1" x14ac:dyDescent="0.2">
      <c r="A27" s="89"/>
      <c r="B27" s="89"/>
      <c r="C27" s="89"/>
      <c r="D27" s="97"/>
      <c r="E27" s="89"/>
      <c r="F27" s="168"/>
      <c r="G27" s="89"/>
      <c r="H27" s="97"/>
      <c r="I27" s="89"/>
      <c r="J27" s="97"/>
      <c r="K27" s="89"/>
      <c r="L27" s="97"/>
      <c r="M27" s="89"/>
      <c r="N27" s="97"/>
      <c r="O27" s="89"/>
      <c r="P27" s="97"/>
      <c r="Q27" s="89"/>
    </row>
    <row r="28" spans="1:25" x14ac:dyDescent="0.2">
      <c r="A28" s="89"/>
      <c r="B28" s="89"/>
      <c r="C28" s="89"/>
      <c r="D28" s="89"/>
      <c r="E28" s="89"/>
      <c r="F28" s="89"/>
      <c r="G28" s="89"/>
      <c r="H28" s="89"/>
      <c r="I28" s="89"/>
      <c r="J28" s="89"/>
      <c r="K28" s="89"/>
      <c r="L28" s="89"/>
      <c r="M28" s="89"/>
      <c r="N28" s="89"/>
      <c r="O28" s="89"/>
      <c r="P28" s="89"/>
      <c r="Q28" s="89"/>
    </row>
    <row r="29" spans="1:25" ht="29.85" customHeight="1" x14ac:dyDescent="0.2">
      <c r="A29" s="667" t="s">
        <v>238</v>
      </c>
      <c r="B29" s="667"/>
      <c r="C29" s="667"/>
      <c r="D29" s="667"/>
      <c r="E29" s="667"/>
      <c r="F29" s="667"/>
      <c r="G29" s="667"/>
      <c r="H29" s="667"/>
      <c r="I29" s="667"/>
      <c r="J29" s="667"/>
      <c r="K29" s="667"/>
      <c r="L29" s="667"/>
      <c r="M29" s="667"/>
      <c r="N29" s="667"/>
      <c r="O29" s="667"/>
      <c r="P29" s="667"/>
      <c r="Q29" s="89"/>
    </row>
    <row r="30" spans="1:25" x14ac:dyDescent="0.2">
      <c r="A30" s="89"/>
      <c r="B30" s="89"/>
      <c r="C30" s="89"/>
      <c r="D30" s="89"/>
      <c r="E30" s="89"/>
      <c r="F30" s="89"/>
      <c r="G30" s="89"/>
      <c r="H30" s="308"/>
      <c r="I30" s="89"/>
      <c r="J30" s="89"/>
      <c r="K30" s="89"/>
      <c r="L30" s="89"/>
      <c r="M30" s="89"/>
      <c r="N30" s="89"/>
      <c r="O30" s="89"/>
      <c r="P30" s="89"/>
      <c r="Q30" s="89"/>
      <c r="W30" s="315"/>
    </row>
    <row r="31" spans="1:25" x14ac:dyDescent="0.2">
      <c r="A31" s="89"/>
      <c r="B31" s="89"/>
      <c r="C31" s="89"/>
      <c r="D31" s="89"/>
      <c r="E31" s="89"/>
      <c r="G31" s="91"/>
      <c r="H31" s="91" t="s">
        <v>239</v>
      </c>
      <c r="I31" s="91"/>
      <c r="K31" s="91"/>
      <c r="L31" s="91"/>
      <c r="M31" s="91"/>
      <c r="N31" s="91"/>
      <c r="O31" s="89"/>
      <c r="P31" s="89"/>
      <c r="Q31" s="308"/>
      <c r="R31" s="309"/>
      <c r="S31" s="309"/>
      <c r="T31" s="309"/>
      <c r="U31" s="309"/>
      <c r="V31" s="309"/>
    </row>
    <row r="32" spans="1:25" x14ac:dyDescent="0.2">
      <c r="A32" s="89"/>
      <c r="B32" s="89"/>
      <c r="C32" s="89"/>
      <c r="D32" s="89"/>
      <c r="E32" s="89"/>
      <c r="G32" s="91"/>
      <c r="H32" s="91" t="s">
        <v>240</v>
      </c>
      <c r="I32" s="91"/>
      <c r="K32" s="91"/>
      <c r="L32" s="91"/>
      <c r="M32" s="91"/>
      <c r="N32" s="91" t="s">
        <v>407</v>
      </c>
      <c r="O32" s="89"/>
      <c r="P32" s="89"/>
      <c r="Q32" s="308"/>
      <c r="R32" s="309"/>
      <c r="S32" s="309"/>
      <c r="T32" s="309"/>
      <c r="U32" s="309"/>
      <c r="V32" s="309"/>
    </row>
    <row r="33" spans="1:22" x14ac:dyDescent="0.2">
      <c r="A33" s="89"/>
      <c r="B33" s="89"/>
      <c r="C33" s="89"/>
      <c r="D33" s="89"/>
      <c r="E33" s="89"/>
      <c r="G33" s="89"/>
      <c r="H33" s="98"/>
      <c r="I33" s="89"/>
      <c r="K33" s="89"/>
      <c r="L33" s="89"/>
      <c r="M33" s="89"/>
      <c r="N33" s="98"/>
      <c r="O33" s="89"/>
      <c r="P33" s="89"/>
      <c r="Q33" s="308"/>
      <c r="R33" s="309"/>
      <c r="S33" s="309"/>
      <c r="T33" s="309"/>
      <c r="U33" s="309"/>
      <c r="V33" s="309"/>
    </row>
    <row r="34" spans="1:22" x14ac:dyDescent="0.2">
      <c r="A34" s="89"/>
      <c r="B34" s="89"/>
      <c r="C34" s="89"/>
      <c r="D34" s="89"/>
      <c r="E34" s="89"/>
      <c r="G34" s="89"/>
      <c r="H34" s="89"/>
      <c r="I34" s="89"/>
      <c r="K34" s="89"/>
      <c r="L34" s="89"/>
      <c r="M34" s="89"/>
      <c r="N34" s="89"/>
      <c r="O34" s="89"/>
      <c r="P34" s="89"/>
      <c r="Q34" s="308"/>
      <c r="R34" s="309"/>
      <c r="S34" s="309"/>
      <c r="T34" s="309"/>
      <c r="U34" s="309"/>
      <c r="V34" s="309"/>
    </row>
    <row r="35" spans="1:22" x14ac:dyDescent="0.2">
      <c r="A35" s="89" t="s">
        <v>355</v>
      </c>
      <c r="C35" s="89"/>
      <c r="D35" s="89"/>
      <c r="E35" s="89"/>
      <c r="G35" s="89"/>
      <c r="H35" s="267">
        <v>10200</v>
      </c>
      <c r="I35" s="89"/>
      <c r="K35" s="89"/>
      <c r="L35" s="89"/>
      <c r="M35" s="89"/>
      <c r="N35" s="94">
        <f>ROUND(+H35/H41,4)</f>
        <v>0.4259</v>
      </c>
      <c r="O35" s="89"/>
      <c r="P35" s="89"/>
      <c r="Q35" s="308"/>
      <c r="R35" s="309"/>
      <c r="S35" s="309"/>
      <c r="T35" s="309"/>
      <c r="U35" s="309"/>
      <c r="V35" s="309"/>
    </row>
    <row r="36" spans="1:22" x14ac:dyDescent="0.2">
      <c r="A36" s="89"/>
      <c r="C36" s="89"/>
      <c r="D36" s="89"/>
      <c r="E36" s="89"/>
      <c r="G36" s="89"/>
      <c r="H36" s="267"/>
      <c r="I36" s="89"/>
      <c r="K36" s="89"/>
      <c r="L36" s="89"/>
      <c r="M36" s="89"/>
      <c r="N36" s="94"/>
      <c r="O36" s="89"/>
      <c r="P36" s="89"/>
      <c r="Q36" s="308"/>
      <c r="R36" s="309"/>
      <c r="S36" s="309"/>
      <c r="T36" s="309"/>
      <c r="U36" s="309"/>
      <c r="V36" s="309"/>
    </row>
    <row r="37" spans="1:22" x14ac:dyDescent="0.2">
      <c r="A37" s="89" t="s">
        <v>356</v>
      </c>
      <c r="C37" s="89"/>
      <c r="D37" s="89"/>
      <c r="E37" s="89"/>
      <c r="G37" s="89"/>
      <c r="H37" s="267">
        <v>7447</v>
      </c>
      <c r="I37" s="89"/>
      <c r="K37" s="89"/>
      <c r="L37" s="89"/>
      <c r="M37" s="89"/>
      <c r="N37" s="94">
        <f>ROUND(+H37/H41,4)</f>
        <v>0.31090000000000001</v>
      </c>
      <c r="O37" s="89"/>
      <c r="P37" s="89"/>
      <c r="Q37" s="308"/>
      <c r="R37" s="309"/>
      <c r="S37" s="309"/>
      <c r="T37" s="309"/>
      <c r="U37" s="309"/>
      <c r="V37" s="309"/>
    </row>
    <row r="38" spans="1:22" x14ac:dyDescent="0.2">
      <c r="A38" s="89"/>
      <c r="C38" s="89"/>
      <c r="D38" s="89"/>
      <c r="E38" s="89"/>
      <c r="G38" s="89"/>
      <c r="H38" s="267"/>
      <c r="I38" s="89"/>
      <c r="K38" s="89"/>
      <c r="L38" s="89"/>
      <c r="M38" s="89"/>
      <c r="N38" s="94"/>
      <c r="O38" s="89"/>
      <c r="P38" s="89"/>
      <c r="Q38" s="308"/>
      <c r="R38" s="309"/>
      <c r="S38" s="309"/>
      <c r="T38" s="309"/>
      <c r="U38" s="309"/>
      <c r="V38" s="309"/>
    </row>
    <row r="39" spans="1:22" x14ac:dyDescent="0.2">
      <c r="A39" s="89" t="s">
        <v>357</v>
      </c>
      <c r="C39" s="89"/>
      <c r="D39" s="89"/>
      <c r="E39" s="89"/>
      <c r="G39" s="89"/>
      <c r="H39" s="267">
        <v>6305</v>
      </c>
      <c r="I39" s="89"/>
      <c r="K39" s="89"/>
      <c r="L39" s="89"/>
      <c r="M39" s="89"/>
      <c r="N39" s="94">
        <f>ROUND(+H39/H41,4)</f>
        <v>0.26319999999999999</v>
      </c>
      <c r="O39" s="89"/>
      <c r="P39" s="89"/>
      <c r="Q39" s="308"/>
      <c r="R39" s="309"/>
      <c r="S39" s="309"/>
      <c r="T39" s="309"/>
      <c r="U39" s="309"/>
      <c r="V39" s="309"/>
    </row>
    <row r="40" spans="1:22" x14ac:dyDescent="0.2">
      <c r="A40" s="89"/>
      <c r="B40" s="89"/>
      <c r="C40" s="89"/>
      <c r="D40" s="89"/>
      <c r="E40" s="89"/>
      <c r="G40" s="89"/>
      <c r="H40" s="306"/>
      <c r="I40" s="89"/>
      <c r="K40" s="89"/>
      <c r="L40" s="89"/>
      <c r="M40" s="89"/>
      <c r="N40" s="96"/>
      <c r="O40" s="89"/>
      <c r="P40" s="89"/>
      <c r="Q40" s="308"/>
      <c r="R40" s="309"/>
      <c r="S40" s="309"/>
      <c r="T40" s="309"/>
      <c r="U40" s="309"/>
      <c r="V40" s="309"/>
    </row>
    <row r="41" spans="1:22" ht="15.75" thickBot="1" x14ac:dyDescent="0.25">
      <c r="A41" s="89"/>
      <c r="B41" s="89" t="s">
        <v>358</v>
      </c>
      <c r="C41" s="89"/>
      <c r="D41" s="89"/>
      <c r="E41" s="89"/>
      <c r="G41" s="89"/>
      <c r="H41" s="307">
        <f>SUM(H35:H40)</f>
        <v>23952</v>
      </c>
      <c r="I41" s="89"/>
      <c r="K41" s="89"/>
      <c r="L41" s="89"/>
      <c r="M41" s="89"/>
      <c r="N41" s="94">
        <f>SUM(N35:N40)</f>
        <v>1</v>
      </c>
      <c r="O41" s="89"/>
      <c r="P41" s="89"/>
      <c r="Q41" s="308"/>
      <c r="R41" s="309"/>
      <c r="S41" s="309"/>
      <c r="T41" s="309"/>
      <c r="U41" s="309"/>
      <c r="V41" s="309"/>
    </row>
    <row r="42" spans="1:22" ht="15.75" thickTop="1" x14ac:dyDescent="0.2">
      <c r="A42" s="89"/>
      <c r="B42" s="89"/>
      <c r="C42" s="89"/>
      <c r="D42" s="89"/>
      <c r="E42" s="89"/>
      <c r="F42" s="89"/>
      <c r="G42" s="89"/>
      <c r="H42" s="168"/>
      <c r="I42" s="89"/>
      <c r="J42" s="267"/>
      <c r="K42" s="89"/>
      <c r="L42" s="89"/>
      <c r="M42" s="89"/>
      <c r="N42" s="97"/>
      <c r="O42" s="89"/>
      <c r="P42" s="89"/>
      <c r="Q42" s="308"/>
      <c r="R42" s="309"/>
      <c r="S42" s="309"/>
      <c r="T42" s="309"/>
      <c r="U42" s="309"/>
      <c r="V42" s="309"/>
    </row>
    <row r="43" spans="1:22" x14ac:dyDescent="0.2">
      <c r="A43" s="89"/>
      <c r="B43" s="89"/>
      <c r="C43" s="89"/>
      <c r="D43" s="89"/>
      <c r="E43" s="89"/>
      <c r="F43" s="89"/>
      <c r="G43" s="89"/>
      <c r="K43" s="89"/>
      <c r="L43" s="89"/>
      <c r="M43" s="89"/>
      <c r="N43" s="89"/>
      <c r="O43" s="89"/>
      <c r="P43" s="89"/>
      <c r="Q43" s="308"/>
      <c r="R43" s="309"/>
      <c r="S43" s="309"/>
      <c r="T43" s="309"/>
      <c r="U43" s="309"/>
      <c r="V43" s="309"/>
    </row>
    <row r="44" spans="1:22" x14ac:dyDescent="0.2">
      <c r="A44" s="37" t="s">
        <v>77</v>
      </c>
      <c r="B44" s="87"/>
      <c r="C44" s="87"/>
      <c r="D44" s="88"/>
      <c r="E44" s="88"/>
      <c r="F44" s="88"/>
      <c r="G44" s="88"/>
      <c r="H44" s="88"/>
      <c r="I44" s="88"/>
      <c r="J44" s="88"/>
      <c r="K44" s="88"/>
      <c r="L44" s="88"/>
      <c r="M44" s="88"/>
      <c r="N44" s="88"/>
      <c r="O44" s="88"/>
      <c r="P44" s="88"/>
      <c r="Q44" s="309"/>
      <c r="R44" s="309"/>
      <c r="S44" s="309"/>
      <c r="T44" s="309"/>
      <c r="U44" s="309"/>
      <c r="V44" s="309"/>
    </row>
    <row r="45" spans="1:22" x14ac:dyDescent="0.2">
      <c r="A45" s="37"/>
      <c r="B45" s="87"/>
      <c r="C45" s="87"/>
      <c r="D45" s="88"/>
      <c r="E45" s="88"/>
      <c r="F45" s="88"/>
      <c r="G45" s="88"/>
      <c r="H45" s="88"/>
      <c r="I45" s="88"/>
      <c r="J45" s="88"/>
      <c r="K45" s="88"/>
      <c r="L45" s="88"/>
      <c r="M45" s="88"/>
      <c r="N45" s="88"/>
      <c r="O45" s="88"/>
      <c r="P45" s="88"/>
      <c r="Q45" s="309"/>
      <c r="R45" s="309"/>
      <c r="S45" s="309"/>
      <c r="T45" s="309"/>
      <c r="U45" s="309"/>
      <c r="V45" s="309"/>
    </row>
    <row r="46" spans="1:22" x14ac:dyDescent="0.2">
      <c r="A46" s="88"/>
      <c r="B46" s="88"/>
      <c r="C46" s="88"/>
      <c r="D46" s="88"/>
      <c r="E46" s="88"/>
      <c r="F46" s="88"/>
      <c r="G46" s="88"/>
      <c r="H46" s="88"/>
      <c r="I46" s="88"/>
      <c r="J46" s="88"/>
      <c r="K46" s="88"/>
      <c r="L46" s="88"/>
      <c r="M46" s="88"/>
      <c r="N46" s="88"/>
      <c r="O46" s="88"/>
      <c r="P46" s="88"/>
      <c r="Q46" s="309"/>
      <c r="R46" s="309"/>
      <c r="S46" s="309"/>
      <c r="T46" s="309"/>
      <c r="U46" s="309"/>
      <c r="V46" s="309"/>
    </row>
    <row r="47" spans="1:22" x14ac:dyDescent="0.2">
      <c r="A47" s="88" t="s">
        <v>181</v>
      </c>
      <c r="B47" s="88"/>
      <c r="C47" s="88"/>
      <c r="D47" s="88"/>
      <c r="E47" s="88"/>
      <c r="F47" s="88"/>
      <c r="G47" s="88"/>
      <c r="H47" s="88"/>
      <c r="I47" s="88"/>
      <c r="J47" s="88"/>
      <c r="K47" s="88"/>
      <c r="L47" s="88"/>
      <c r="M47" s="88"/>
      <c r="N47" s="88"/>
      <c r="O47" s="88"/>
      <c r="P47" s="88"/>
      <c r="Q47" s="309"/>
      <c r="R47" s="309"/>
      <c r="S47" s="309"/>
      <c r="T47" s="309"/>
      <c r="U47" s="309"/>
      <c r="V47" s="309"/>
    </row>
    <row r="48" spans="1:22" x14ac:dyDescent="0.2">
      <c r="A48" s="89"/>
      <c r="B48" s="89"/>
      <c r="C48" s="89"/>
      <c r="D48" s="89"/>
      <c r="E48" s="89"/>
      <c r="F48" s="89"/>
      <c r="G48" s="89"/>
      <c r="H48" s="89"/>
      <c r="I48" s="89"/>
      <c r="J48" s="89"/>
      <c r="K48" s="89"/>
      <c r="L48" s="89"/>
      <c r="M48" s="89"/>
      <c r="N48" s="89"/>
      <c r="O48" s="89"/>
      <c r="P48" s="89"/>
      <c r="Q48" s="309"/>
      <c r="R48" s="309"/>
      <c r="S48" s="309"/>
      <c r="T48" s="309"/>
      <c r="U48" s="309"/>
      <c r="V48" s="309"/>
    </row>
    <row r="49" spans="1:25" x14ac:dyDescent="0.2">
      <c r="A49" s="89"/>
      <c r="B49" s="89"/>
      <c r="C49" s="89"/>
      <c r="D49" s="89"/>
      <c r="E49" s="89"/>
      <c r="F49" s="89"/>
      <c r="G49" s="89"/>
      <c r="H49" s="89"/>
      <c r="I49" s="89"/>
      <c r="J49" s="89"/>
      <c r="K49" s="89"/>
      <c r="L49" s="89"/>
      <c r="M49" s="89"/>
      <c r="N49" s="89"/>
      <c r="O49" s="89"/>
      <c r="P49" s="89"/>
      <c r="Q49" s="309"/>
      <c r="R49" s="309"/>
      <c r="S49" s="309"/>
      <c r="T49" s="309"/>
      <c r="U49" s="309"/>
      <c r="V49" s="309"/>
    </row>
    <row r="50" spans="1:25" x14ac:dyDescent="0.2">
      <c r="A50" s="89" t="s">
        <v>300</v>
      </c>
      <c r="B50" s="89"/>
      <c r="C50" s="89"/>
      <c r="D50" s="89"/>
      <c r="E50" s="89"/>
      <c r="F50" s="89"/>
      <c r="G50" s="89"/>
      <c r="H50" s="89"/>
      <c r="I50" s="89"/>
      <c r="J50" s="89"/>
      <c r="K50" s="89"/>
      <c r="L50" s="89"/>
      <c r="M50" s="89"/>
      <c r="N50" s="89"/>
      <c r="O50" s="89"/>
      <c r="P50" s="89"/>
    </row>
    <row r="51" spans="1:25" x14ac:dyDescent="0.2">
      <c r="A51" s="89"/>
      <c r="B51" s="89"/>
      <c r="C51" s="89"/>
      <c r="D51" s="89"/>
      <c r="E51" s="89"/>
      <c r="F51" s="89"/>
      <c r="G51" s="89"/>
      <c r="H51" s="89"/>
      <c r="I51" s="89"/>
      <c r="J51" s="89"/>
      <c r="K51" s="89"/>
      <c r="L51" s="89"/>
      <c r="M51" s="89"/>
      <c r="N51" s="89"/>
      <c r="O51" s="89"/>
      <c r="P51" s="89"/>
    </row>
    <row r="52" spans="1:25" ht="30.2" customHeight="1" x14ac:dyDescent="0.2">
      <c r="A52" s="667" t="s">
        <v>117</v>
      </c>
      <c r="B52" s="667"/>
      <c r="C52" s="667"/>
      <c r="D52" s="667"/>
      <c r="E52" s="667"/>
      <c r="F52" s="667"/>
      <c r="G52" s="667"/>
      <c r="H52" s="667"/>
      <c r="I52" s="667"/>
      <c r="J52" s="667"/>
      <c r="K52" s="667"/>
      <c r="L52" s="667"/>
      <c r="M52" s="667"/>
      <c r="N52" s="667"/>
      <c r="O52" s="667"/>
      <c r="P52" s="667"/>
    </row>
    <row r="53" spans="1:25" x14ac:dyDescent="0.2">
      <c r="A53" s="89"/>
      <c r="B53" s="89"/>
      <c r="C53" s="89"/>
      <c r="D53" s="89"/>
      <c r="E53" s="89"/>
      <c r="F53" s="89"/>
      <c r="G53" s="89"/>
      <c r="H53" s="89"/>
      <c r="I53" s="89"/>
      <c r="J53" s="89"/>
      <c r="K53" s="89"/>
      <c r="L53" s="89"/>
      <c r="M53" s="89"/>
      <c r="N53" s="89"/>
      <c r="O53" s="89"/>
      <c r="P53" s="89"/>
    </row>
    <row r="54" spans="1:25" x14ac:dyDescent="0.2">
      <c r="A54" s="89"/>
      <c r="B54" s="89"/>
      <c r="C54" s="89"/>
      <c r="F54" s="88" t="s">
        <v>459</v>
      </c>
      <c r="G54" s="88"/>
      <c r="H54" s="88"/>
      <c r="I54" s="89"/>
      <c r="J54" s="88" t="s">
        <v>460</v>
      </c>
      <c r="K54" s="88"/>
      <c r="L54" s="88"/>
      <c r="M54" s="89"/>
      <c r="N54" s="89"/>
    </row>
    <row r="55" spans="1:25" x14ac:dyDescent="0.2">
      <c r="B55" s="89"/>
      <c r="C55" s="89"/>
      <c r="F55" s="88" t="s">
        <v>41</v>
      </c>
      <c r="G55" s="88"/>
      <c r="H55" s="88"/>
      <c r="I55" s="89"/>
      <c r="J55" s="88" t="s">
        <v>268</v>
      </c>
      <c r="K55" s="88"/>
      <c r="L55" s="88"/>
      <c r="M55" s="89"/>
      <c r="N55" s="89"/>
    </row>
    <row r="56" spans="1:25" x14ac:dyDescent="0.2">
      <c r="B56" s="88" t="s">
        <v>377</v>
      </c>
      <c r="C56" s="88"/>
      <c r="D56" s="87"/>
      <c r="F56" s="90" t="s">
        <v>379</v>
      </c>
      <c r="G56" s="90"/>
      <c r="H56" s="90" t="s">
        <v>270</v>
      </c>
      <c r="I56" s="91"/>
      <c r="J56" s="90" t="s">
        <v>379</v>
      </c>
      <c r="K56" s="90"/>
      <c r="L56" s="90" t="s">
        <v>270</v>
      </c>
      <c r="M56" s="91"/>
      <c r="N56" s="91" t="s">
        <v>379</v>
      </c>
    </row>
    <row r="57" spans="1:25" x14ac:dyDescent="0.2">
      <c r="B57" s="88" t="s">
        <v>380</v>
      </c>
      <c r="C57" s="88"/>
      <c r="D57" s="87"/>
      <c r="F57" s="91" t="s">
        <v>462</v>
      </c>
      <c r="G57" s="91"/>
      <c r="H57" s="91" t="s">
        <v>381</v>
      </c>
      <c r="I57" s="91"/>
      <c r="J57" s="91" t="s">
        <v>463</v>
      </c>
      <c r="K57" s="91"/>
      <c r="L57" s="91" t="s">
        <v>381</v>
      </c>
      <c r="M57" s="91"/>
      <c r="N57" s="91" t="s">
        <v>381</v>
      </c>
      <c r="Y57" s="167" t="s">
        <v>379</v>
      </c>
    </row>
    <row r="58" spans="1:25" x14ac:dyDescent="0.2">
      <c r="B58" s="92" t="s">
        <v>382</v>
      </c>
      <c r="C58" s="92"/>
      <c r="D58" s="99"/>
      <c r="F58" s="90" t="s">
        <v>272</v>
      </c>
      <c r="G58" s="89"/>
      <c r="H58" s="93" t="s">
        <v>464</v>
      </c>
      <c r="I58" s="89"/>
      <c r="J58" s="90" t="s">
        <v>274</v>
      </c>
      <c r="K58" s="89"/>
      <c r="L58" s="93" t="s">
        <v>329</v>
      </c>
      <c r="M58" s="89"/>
      <c r="N58" s="90" t="s">
        <v>276</v>
      </c>
      <c r="S58" s="167" t="s">
        <v>367</v>
      </c>
      <c r="T58" s="240">
        <f>+H59</f>
        <v>0.2056</v>
      </c>
      <c r="U58" s="167" t="s">
        <v>368</v>
      </c>
      <c r="V58" s="240">
        <f>+L59</f>
        <v>0.7944</v>
      </c>
      <c r="Y58" s="167" t="s">
        <v>381</v>
      </c>
    </row>
    <row r="59" spans="1:25" x14ac:dyDescent="0.2">
      <c r="B59" s="89"/>
      <c r="C59" s="89"/>
      <c r="F59" s="94"/>
      <c r="G59" s="94"/>
      <c r="H59" s="94">
        <f>N77</f>
        <v>0.2056</v>
      </c>
      <c r="I59" s="94"/>
      <c r="J59" s="94"/>
      <c r="K59" s="94"/>
      <c r="L59" s="94">
        <f>N79</f>
        <v>0.7944</v>
      </c>
      <c r="M59" s="94"/>
      <c r="N59" s="95"/>
    </row>
    <row r="60" spans="1:25" x14ac:dyDescent="0.2">
      <c r="B60" s="89"/>
      <c r="C60" s="89"/>
      <c r="F60" s="89"/>
      <c r="G60" s="89"/>
      <c r="H60" s="89"/>
      <c r="I60" s="89"/>
      <c r="J60" s="89"/>
      <c r="K60" s="89"/>
      <c r="L60" s="89"/>
      <c r="M60" s="89"/>
      <c r="N60" s="89"/>
      <c r="R60" s="94" t="s">
        <v>334</v>
      </c>
      <c r="S60" s="167">
        <f>+'F 3-4'!F17-'F 3-4'!F24-'F 3-4'!F25</f>
        <v>0.55149999999999999</v>
      </c>
      <c r="T60" s="264">
        <f>ROUND(S60*$H$59,4)</f>
        <v>0.1134</v>
      </c>
      <c r="U60" s="266">
        <f>+'F 3-4'!H47-'F 3-4'!H54-'F 3-4'!H55</f>
        <v>0.34670000000000001</v>
      </c>
      <c r="V60" s="264">
        <f>ROUND(U60*$L$59,4)+0.0001</f>
        <v>0.27549999999999997</v>
      </c>
      <c r="X60" s="264"/>
      <c r="Y60" s="240">
        <f>T60+V60+X60-0</f>
        <v>0.38889999999999997</v>
      </c>
    </row>
    <row r="61" spans="1:25" x14ac:dyDescent="0.2">
      <c r="B61" s="89" t="s">
        <v>385</v>
      </c>
      <c r="C61" s="89"/>
      <c r="F61" s="94">
        <f>'F 3-4'!$P$19</f>
        <v>0.45689999999999997</v>
      </c>
      <c r="G61" s="94"/>
      <c r="H61" s="94">
        <f>ROUND($H$59*F61,4)</f>
        <v>9.3899999999999997E-2</v>
      </c>
      <c r="I61" s="94"/>
      <c r="J61" s="94">
        <f>+'F 3-4'!R49</f>
        <v>0.46399999999999997</v>
      </c>
      <c r="K61" s="94"/>
      <c r="L61" s="94">
        <f>ROUND($L$59*J61,4)</f>
        <v>0.36859999999999998</v>
      </c>
      <c r="M61" s="94"/>
      <c r="N61" s="94">
        <f t="shared" ref="N61:N67" si="5">H61+L61</f>
        <v>0.46249999999999997</v>
      </c>
      <c r="R61" s="94" t="s">
        <v>335</v>
      </c>
      <c r="S61" s="167">
        <f>+'F 3-4'!J17</f>
        <v>0.36059999999999998</v>
      </c>
      <c r="T61" s="264">
        <f>ROUND(S61*$H$59,4)</f>
        <v>7.4099999999999999E-2</v>
      </c>
      <c r="U61" s="266"/>
      <c r="V61" s="264">
        <f>ROUND(U61*$L$59,4)</f>
        <v>0</v>
      </c>
      <c r="X61" s="264"/>
      <c r="Y61" s="264">
        <f>T61+V61+X61</f>
        <v>7.4099999999999999E-2</v>
      </c>
    </row>
    <row r="62" spans="1:25" x14ac:dyDescent="0.2">
      <c r="B62" s="89" t="s">
        <v>386</v>
      </c>
      <c r="C62" s="89"/>
      <c r="F62" s="94">
        <f>'F 3-4'!$P$20</f>
        <v>0.28339999999999999</v>
      </c>
      <c r="G62" s="94"/>
      <c r="H62" s="94">
        <f t="shared" ref="H62:H67" si="6">ROUND($H$59*F62,4)</f>
        <v>5.8299999999999998E-2</v>
      </c>
      <c r="I62" s="94"/>
      <c r="J62" s="94">
        <f>+'F 3-4'!R50</f>
        <v>0.28399999999999997</v>
      </c>
      <c r="K62" s="94"/>
      <c r="L62" s="94">
        <f t="shared" ref="L62:L67" si="7">ROUND($L$59*J62,4)</f>
        <v>0.22559999999999999</v>
      </c>
      <c r="M62" s="94"/>
      <c r="N62" s="94">
        <f t="shared" si="5"/>
        <v>0.28389999999999999</v>
      </c>
      <c r="R62" s="94" t="s">
        <v>336</v>
      </c>
      <c r="S62" s="167">
        <f>'F 3B 4B'!I18</f>
        <v>0</v>
      </c>
      <c r="T62" s="264">
        <f>ROUND(S62*$H$59,4)</f>
        <v>0</v>
      </c>
      <c r="U62" s="266">
        <f>+'F 3-4'!L47</f>
        <v>0.52329999999999999</v>
      </c>
      <c r="V62" s="264">
        <f>ROUND(U62*$L$59,4)</f>
        <v>0.41570000000000001</v>
      </c>
      <c r="X62" s="264"/>
      <c r="Y62" s="264">
        <f>T62+V62+X62</f>
        <v>0.41570000000000001</v>
      </c>
    </row>
    <row r="63" spans="1:25" x14ac:dyDescent="0.2">
      <c r="B63" s="89" t="s">
        <v>387</v>
      </c>
      <c r="C63" s="89"/>
      <c r="F63" s="94">
        <f>'F 3-4'!$P$21</f>
        <v>4.0300000000000002E-2</v>
      </c>
      <c r="G63" s="94"/>
      <c r="H63" s="94">
        <f t="shared" si="6"/>
        <v>8.3000000000000001E-3</v>
      </c>
      <c r="I63" s="94"/>
      <c r="J63" s="94">
        <f>+'F 3-4'!R51</f>
        <v>3.6000000000000004E-2</v>
      </c>
      <c r="K63" s="94"/>
      <c r="L63" s="94">
        <f t="shared" si="7"/>
        <v>2.86E-2</v>
      </c>
      <c r="M63" s="94"/>
      <c r="N63" s="94">
        <f t="shared" si="5"/>
        <v>3.6900000000000002E-2</v>
      </c>
      <c r="R63" s="94" t="s">
        <v>337</v>
      </c>
      <c r="S63" s="264">
        <f>+'F 3-4'!P24</f>
        <v>3.95E-2</v>
      </c>
      <c r="T63" s="264">
        <f>ROUND(S63*$H$59,4)</f>
        <v>8.0999999999999996E-3</v>
      </c>
      <c r="U63" s="266">
        <f>+'F 3-4'!R54</f>
        <v>5.8499999999999996E-2</v>
      </c>
      <c r="V63" s="264">
        <f>ROUND(U63*$L$59,4)</f>
        <v>4.65E-2</v>
      </c>
      <c r="X63" s="264"/>
      <c r="Y63" s="264">
        <f>T63+V63+X63</f>
        <v>5.4599999999999996E-2</v>
      </c>
    </row>
    <row r="64" spans="1:25" x14ac:dyDescent="0.2">
      <c r="B64" s="89" t="s">
        <v>389</v>
      </c>
      <c r="C64" s="89"/>
      <c r="F64" s="94">
        <f>'F 3-4'!$P$22</f>
        <v>0.1009</v>
      </c>
      <c r="G64" s="94"/>
      <c r="H64" s="94">
        <f t="shared" si="6"/>
        <v>2.07E-2</v>
      </c>
      <c r="I64" s="94"/>
      <c r="J64" s="94">
        <f>+'F 3-4'!R52</f>
        <v>8.5999999999999993E-2</v>
      </c>
      <c r="K64" s="94"/>
      <c r="L64" s="94">
        <f t="shared" si="7"/>
        <v>6.83E-2</v>
      </c>
      <c r="M64" s="94"/>
      <c r="N64" s="94">
        <f t="shared" si="5"/>
        <v>8.8999999999999996E-2</v>
      </c>
      <c r="R64" s="94" t="s">
        <v>338</v>
      </c>
      <c r="S64" s="264">
        <f>+'F 3-4'!P25</f>
        <v>4.8400000000000006E-2</v>
      </c>
      <c r="T64" s="264">
        <f>ROUND(S64*$H$59,4)</f>
        <v>0.01</v>
      </c>
      <c r="U64" s="266">
        <f>+'F 3-4'!R55</f>
        <v>7.1500000000000008E-2</v>
      </c>
      <c r="V64" s="264">
        <f>ROUND(U64*$L$59,4)</f>
        <v>5.6800000000000003E-2</v>
      </c>
      <c r="X64" s="264"/>
      <c r="Y64" s="264">
        <f>T64+V64+X64</f>
        <v>6.6799999999999998E-2</v>
      </c>
    </row>
    <row r="65" spans="1:34" x14ac:dyDescent="0.2">
      <c r="B65" s="89" t="s">
        <v>503</v>
      </c>
      <c r="C65" s="89"/>
      <c r="F65" s="94">
        <f>'F 3-4'!$P$23</f>
        <v>3.0600000000000002E-2</v>
      </c>
      <c r="G65" s="94"/>
      <c r="H65" s="94">
        <f t="shared" si="6"/>
        <v>6.3E-3</v>
      </c>
      <c r="I65" s="94"/>
      <c r="J65" s="94">
        <f>+'F 3-4'!R53</f>
        <v>0</v>
      </c>
      <c r="K65" s="94"/>
      <c r="L65" s="94">
        <f t="shared" si="7"/>
        <v>0</v>
      </c>
      <c r="M65" s="94"/>
      <c r="N65" s="94">
        <f t="shared" si="5"/>
        <v>6.3E-3</v>
      </c>
      <c r="R65" s="94"/>
      <c r="U65" s="266"/>
      <c r="V65" s="264"/>
      <c r="X65" s="264"/>
      <c r="Y65" s="264"/>
    </row>
    <row r="66" spans="1:34" x14ac:dyDescent="0.2">
      <c r="B66" s="89" t="s">
        <v>391</v>
      </c>
      <c r="C66" s="89"/>
      <c r="F66" s="94">
        <f>'F 3-4'!$P$24</f>
        <v>3.95E-2</v>
      </c>
      <c r="G66" s="94"/>
      <c r="H66" s="94">
        <f t="shared" si="6"/>
        <v>8.0999999999999996E-3</v>
      </c>
      <c r="I66" s="94"/>
      <c r="J66" s="94">
        <f>+'F 3-4'!R54</f>
        <v>5.8499999999999996E-2</v>
      </c>
      <c r="K66" s="94"/>
      <c r="L66" s="94">
        <f t="shared" si="7"/>
        <v>4.65E-2</v>
      </c>
      <c r="M66" s="94"/>
      <c r="N66" s="94">
        <f t="shared" si="5"/>
        <v>5.4599999999999996E-2</v>
      </c>
      <c r="R66" s="94"/>
      <c r="S66" s="264">
        <f>SUM(S60:S65)</f>
        <v>0.99999999999999989</v>
      </c>
      <c r="T66" s="264">
        <f>SUM(T60:T65)</f>
        <v>0.2056</v>
      </c>
      <c r="U66" s="268">
        <f>SUM(U60:U65)</f>
        <v>1</v>
      </c>
      <c r="V66" s="264">
        <f>SUM(V60:V65)</f>
        <v>0.79449999999999998</v>
      </c>
      <c r="W66" s="264"/>
      <c r="X66" s="264"/>
      <c r="Y66" s="264">
        <f>SUM(Y60:Y65)</f>
        <v>1.0001</v>
      </c>
    </row>
    <row r="67" spans="1:34" x14ac:dyDescent="0.2">
      <c r="B67" s="89" t="s">
        <v>392</v>
      </c>
      <c r="C67" s="89"/>
      <c r="F67" s="94">
        <f>'F 3-4'!$P$25</f>
        <v>4.8400000000000006E-2</v>
      </c>
      <c r="G67" s="94"/>
      <c r="H67" s="94">
        <f t="shared" si="6"/>
        <v>0.01</v>
      </c>
      <c r="I67" s="94"/>
      <c r="J67" s="94">
        <f>+'F 3-4'!R55</f>
        <v>7.1500000000000008E-2</v>
      </c>
      <c r="K67" s="94"/>
      <c r="L67" s="94">
        <f t="shared" si="7"/>
        <v>5.6800000000000003E-2</v>
      </c>
      <c r="M67" s="94"/>
      <c r="N67" s="94">
        <f t="shared" si="5"/>
        <v>6.6799999999999998E-2</v>
      </c>
    </row>
    <row r="68" spans="1:34" x14ac:dyDescent="0.2">
      <c r="B68" s="89"/>
      <c r="C68" s="89"/>
      <c r="F68" s="96"/>
      <c r="G68" s="94"/>
      <c r="H68" s="96"/>
      <c r="I68" s="94"/>
      <c r="J68" s="96"/>
      <c r="K68" s="94"/>
      <c r="L68" s="96"/>
      <c r="M68" s="94"/>
      <c r="N68" s="96"/>
    </row>
    <row r="69" spans="1:34" ht="15.75" thickBot="1" x14ac:dyDescent="0.25">
      <c r="B69" s="89" t="s">
        <v>393</v>
      </c>
      <c r="C69" s="89"/>
      <c r="F69" s="94">
        <f>SUM(F61:F68)</f>
        <v>0.99999999999999989</v>
      </c>
      <c r="G69" s="94"/>
      <c r="H69" s="94">
        <f>SUM(H61:H68)</f>
        <v>0.2056</v>
      </c>
      <c r="I69" s="94"/>
      <c r="J69" s="169">
        <f>SUM(J61:J68)</f>
        <v>1</v>
      </c>
      <c r="K69" s="94"/>
      <c r="L69" s="94">
        <f>SUM(L61:L68)</f>
        <v>0.79439999999999988</v>
      </c>
      <c r="M69" s="94"/>
      <c r="N69" s="94">
        <f>SUM(N61:N68)</f>
        <v>0.99999999999999989</v>
      </c>
    </row>
    <row r="70" spans="1:34" ht="15.75" thickTop="1" x14ac:dyDescent="0.2">
      <c r="A70" s="89"/>
      <c r="B70" s="89"/>
      <c r="C70" s="89"/>
      <c r="F70" s="97"/>
      <c r="G70" s="89"/>
      <c r="H70" s="97"/>
      <c r="I70" s="89"/>
      <c r="J70" s="168"/>
      <c r="K70" s="89"/>
      <c r="L70" s="97"/>
      <c r="M70" s="89"/>
      <c r="N70" s="97"/>
    </row>
    <row r="71" spans="1:34" x14ac:dyDescent="0.2">
      <c r="A71" s="89"/>
      <c r="B71" s="89"/>
      <c r="C71" s="89"/>
      <c r="D71" s="89"/>
      <c r="E71" s="89"/>
      <c r="F71" s="89"/>
      <c r="G71" s="89"/>
      <c r="H71" s="89"/>
      <c r="I71" s="89"/>
      <c r="J71" s="89"/>
      <c r="K71" s="89"/>
      <c r="L71" s="89"/>
      <c r="M71" s="89"/>
      <c r="N71" s="89"/>
      <c r="O71" s="89"/>
      <c r="P71" s="89"/>
    </row>
    <row r="72" spans="1:34" ht="29.85" customHeight="1" x14ac:dyDescent="0.2">
      <c r="A72" s="667" t="s">
        <v>359</v>
      </c>
      <c r="B72" s="667"/>
      <c r="C72" s="667"/>
      <c r="D72" s="667"/>
      <c r="E72" s="667"/>
      <c r="F72" s="667"/>
      <c r="G72" s="667"/>
      <c r="H72" s="667"/>
      <c r="I72" s="667"/>
      <c r="J72" s="667"/>
      <c r="K72" s="667"/>
      <c r="L72" s="667"/>
      <c r="M72" s="667"/>
      <c r="N72" s="667"/>
      <c r="O72" s="667"/>
      <c r="P72" s="667"/>
      <c r="V72" s="455"/>
      <c r="W72" s="455"/>
      <c r="X72" s="455"/>
      <c r="Y72" s="455"/>
      <c r="AC72" s="309"/>
    </row>
    <row r="73" spans="1:34" x14ac:dyDescent="0.2">
      <c r="A73" s="89"/>
      <c r="B73" s="89"/>
      <c r="C73" s="89"/>
      <c r="D73" s="89"/>
      <c r="E73" s="89"/>
      <c r="F73" s="89"/>
      <c r="G73" s="89"/>
      <c r="H73" s="89"/>
      <c r="I73" s="89"/>
      <c r="J73" s="89"/>
      <c r="K73" s="89"/>
      <c r="L73" s="89"/>
      <c r="M73" s="89"/>
      <c r="N73" s="89"/>
      <c r="O73" s="89"/>
      <c r="P73" s="89"/>
      <c r="S73" s="444"/>
      <c r="T73" s="444"/>
      <c r="U73" s="444"/>
      <c r="V73" s="456"/>
      <c r="W73" s="444"/>
      <c r="X73" s="444"/>
      <c r="Y73" s="444"/>
      <c r="AA73" s="89"/>
      <c r="AB73" s="440"/>
      <c r="AC73" s="137"/>
      <c r="AD73" s="137"/>
      <c r="AF73" s="444"/>
      <c r="AG73" s="444"/>
      <c r="AH73" s="444"/>
    </row>
    <row r="74" spans="1:34" x14ac:dyDescent="0.2">
      <c r="A74" s="89"/>
      <c r="B74" s="89"/>
      <c r="C74" s="89"/>
      <c r="D74" s="89"/>
      <c r="E74" s="89"/>
      <c r="G74" s="91"/>
      <c r="H74" s="91" t="s">
        <v>360</v>
      </c>
      <c r="I74" s="91"/>
      <c r="K74" s="91"/>
      <c r="L74" s="91"/>
      <c r="M74" s="91"/>
      <c r="N74" s="91"/>
      <c r="O74" s="89"/>
      <c r="P74" s="89"/>
      <c r="S74" s="444"/>
      <c r="T74" s="444"/>
      <c r="U74" s="444"/>
      <c r="V74" s="456"/>
      <c r="W74" s="444"/>
      <c r="X74" s="444"/>
      <c r="Y74" s="444"/>
      <c r="AA74" s="364"/>
      <c r="AB74" s="137"/>
      <c r="AC74" s="137"/>
      <c r="AD74" s="137"/>
      <c r="AF74" s="458"/>
      <c r="AG74" s="458"/>
      <c r="AH74" s="458"/>
    </row>
    <row r="75" spans="1:34" x14ac:dyDescent="0.2">
      <c r="A75" s="89"/>
      <c r="B75" s="89"/>
      <c r="C75" s="89"/>
      <c r="D75" s="89"/>
      <c r="E75" s="89"/>
      <c r="G75" s="91"/>
      <c r="H75" s="91" t="s">
        <v>361</v>
      </c>
      <c r="I75" s="91"/>
      <c r="K75" s="91"/>
      <c r="L75" s="91"/>
      <c r="M75" s="91"/>
      <c r="N75" s="91" t="s">
        <v>407</v>
      </c>
      <c r="O75" s="89"/>
      <c r="P75" s="89"/>
      <c r="S75" s="314"/>
      <c r="T75" s="314"/>
      <c r="V75" s="456"/>
      <c r="W75" s="443"/>
      <c r="X75" s="443"/>
      <c r="Y75" s="443"/>
      <c r="AA75" s="364"/>
      <c r="AB75" s="311"/>
      <c r="AC75" s="311"/>
      <c r="AD75" s="311"/>
      <c r="AF75" s="458"/>
      <c r="AG75" s="458"/>
      <c r="AH75" s="458"/>
    </row>
    <row r="76" spans="1:34" x14ac:dyDescent="0.2">
      <c r="A76" s="89"/>
      <c r="B76" s="456"/>
      <c r="C76" s="89"/>
      <c r="D76" s="89"/>
      <c r="E76" s="89"/>
      <c r="G76" s="89"/>
      <c r="H76" s="98"/>
      <c r="I76" s="89"/>
      <c r="K76" s="89"/>
      <c r="L76" s="89"/>
      <c r="M76" s="89"/>
      <c r="N76" s="98"/>
      <c r="O76" s="89"/>
      <c r="P76" s="89"/>
      <c r="S76" s="314"/>
      <c r="T76" s="314"/>
      <c r="V76" s="456"/>
      <c r="W76" s="443"/>
      <c r="X76" s="443"/>
      <c r="Y76" s="443"/>
      <c r="AA76" s="364"/>
      <c r="AB76" s="311"/>
      <c r="AC76" s="311"/>
      <c r="AD76" s="311"/>
      <c r="AF76" s="458"/>
      <c r="AG76" s="458"/>
      <c r="AH76" s="458"/>
    </row>
    <row r="77" spans="1:34" x14ac:dyDescent="0.2">
      <c r="A77" s="89" t="s">
        <v>362</v>
      </c>
      <c r="C77" s="89"/>
      <c r="D77" s="89"/>
      <c r="E77" s="89"/>
      <c r="G77" s="89"/>
      <c r="H77" s="267">
        <v>2133290</v>
      </c>
      <c r="I77" s="89"/>
      <c r="K77" s="89"/>
      <c r="L77" s="89"/>
      <c r="M77" s="89"/>
      <c r="N77" s="94">
        <f>ROUND(H77/H81,4)</f>
        <v>0.2056</v>
      </c>
      <c r="O77" s="89"/>
      <c r="P77" s="89"/>
      <c r="S77" s="314"/>
      <c r="T77" s="314"/>
      <c r="V77" s="456"/>
      <c r="W77" s="443"/>
      <c r="X77" s="443"/>
      <c r="Y77" s="443"/>
      <c r="AA77" s="364"/>
      <c r="AB77" s="311"/>
      <c r="AC77" s="311"/>
      <c r="AD77" s="311"/>
      <c r="AF77" s="458"/>
      <c r="AG77" s="458"/>
      <c r="AH77" s="458"/>
    </row>
    <row r="78" spans="1:34" x14ac:dyDescent="0.2">
      <c r="A78" s="89"/>
      <c r="C78" s="89"/>
      <c r="D78" s="89"/>
      <c r="E78" s="89"/>
      <c r="G78" s="89"/>
      <c r="H78" s="267"/>
      <c r="I78" s="89"/>
      <c r="K78" s="89"/>
      <c r="L78" s="89"/>
      <c r="M78" s="89"/>
      <c r="N78" s="94"/>
      <c r="O78" s="89"/>
      <c r="P78" s="89"/>
      <c r="S78" s="314"/>
      <c r="T78" s="314"/>
      <c r="U78" s="314"/>
      <c r="V78" s="456"/>
      <c r="W78" s="443"/>
      <c r="X78" s="443"/>
      <c r="Y78" s="443"/>
      <c r="AA78" s="364"/>
      <c r="AB78" s="311"/>
      <c r="AC78" s="311"/>
      <c r="AD78" s="311"/>
      <c r="AF78" s="458"/>
      <c r="AG78" s="458"/>
      <c r="AH78" s="458"/>
    </row>
    <row r="79" spans="1:34" x14ac:dyDescent="0.2">
      <c r="A79" s="89" t="s">
        <v>363</v>
      </c>
      <c r="C79" s="89"/>
      <c r="D79" s="89"/>
      <c r="E79" s="89"/>
      <c r="G79" s="89"/>
      <c r="H79" s="267">
        <v>8240508</v>
      </c>
      <c r="I79" s="89"/>
      <c r="K79" s="89"/>
      <c r="L79" s="89"/>
      <c r="M79" s="89"/>
      <c r="N79" s="94">
        <f>ROUND(H79/H81,4)</f>
        <v>0.7944</v>
      </c>
      <c r="O79" s="89"/>
      <c r="P79" s="89"/>
      <c r="S79" s="314"/>
      <c r="T79" s="314"/>
      <c r="U79" s="314"/>
      <c r="V79" s="456"/>
      <c r="W79" s="443"/>
      <c r="X79" s="443"/>
      <c r="Y79" s="443"/>
      <c r="AA79" s="364"/>
      <c r="AB79" s="311"/>
      <c r="AC79" s="311"/>
      <c r="AD79" s="311"/>
      <c r="AF79" s="458"/>
      <c r="AG79" s="458"/>
      <c r="AH79" s="458"/>
    </row>
    <row r="80" spans="1:34" x14ac:dyDescent="0.2">
      <c r="A80" s="89"/>
      <c r="B80" s="89"/>
      <c r="C80" s="89"/>
      <c r="D80" s="89"/>
      <c r="E80" s="89"/>
      <c r="G80" s="89"/>
      <c r="H80" s="306"/>
      <c r="I80" s="89"/>
      <c r="K80" s="89"/>
      <c r="L80" s="89"/>
      <c r="M80" s="89"/>
      <c r="N80" s="96"/>
      <c r="O80" s="89"/>
      <c r="P80" s="89"/>
      <c r="S80" s="314"/>
      <c r="T80" s="314"/>
      <c r="U80" s="314"/>
      <c r="V80" s="456"/>
      <c r="W80" s="443"/>
      <c r="X80" s="443"/>
      <c r="Y80" s="443"/>
      <c r="AA80" s="364"/>
      <c r="AB80" s="311"/>
      <c r="AC80" s="311"/>
      <c r="AD80" s="311"/>
      <c r="AF80" s="458"/>
      <c r="AG80" s="458"/>
      <c r="AH80" s="458"/>
    </row>
    <row r="81" spans="1:34" ht="15.75" thickBot="1" x14ac:dyDescent="0.25">
      <c r="A81" s="89"/>
      <c r="B81" s="89" t="s">
        <v>358</v>
      </c>
      <c r="C81" s="89"/>
      <c r="D81" s="89"/>
      <c r="E81" s="89"/>
      <c r="G81" s="89"/>
      <c r="H81" s="307">
        <f>SUM(H77:H80)</f>
        <v>10373798</v>
      </c>
      <c r="I81" s="89"/>
      <c r="K81" s="89"/>
      <c r="L81" s="89"/>
      <c r="M81" s="89"/>
      <c r="N81" s="94">
        <f>SUM(N77:N80)</f>
        <v>1</v>
      </c>
      <c r="O81" s="89"/>
      <c r="P81" s="89"/>
      <c r="S81" s="314"/>
      <c r="T81" s="314"/>
      <c r="U81" s="314"/>
      <c r="V81" s="456"/>
      <c r="W81" s="443"/>
      <c r="X81" s="443"/>
      <c r="Y81" s="443"/>
      <c r="AA81" s="364"/>
      <c r="AB81" s="311"/>
      <c r="AC81" s="311"/>
      <c r="AD81" s="311"/>
      <c r="AF81" s="458"/>
      <c r="AG81" s="458"/>
      <c r="AH81" s="458"/>
    </row>
    <row r="82" spans="1:34" ht="15.75" thickTop="1" x14ac:dyDescent="0.2">
      <c r="A82" s="89"/>
      <c r="B82" s="89"/>
      <c r="C82" s="89"/>
      <c r="D82" s="89"/>
      <c r="E82" s="89"/>
      <c r="F82" s="89"/>
      <c r="G82" s="89"/>
      <c r="H82" s="168"/>
      <c r="I82" s="89"/>
      <c r="J82" s="89"/>
      <c r="K82" s="89"/>
      <c r="L82" s="89"/>
      <c r="M82" s="89"/>
      <c r="N82" s="97"/>
      <c r="O82" s="89"/>
      <c r="P82" s="89"/>
      <c r="S82" s="314"/>
      <c r="T82" s="314"/>
      <c r="U82" s="314"/>
      <c r="V82" s="456"/>
      <c r="W82" s="443"/>
      <c r="X82" s="443"/>
      <c r="Y82" s="443"/>
      <c r="AA82" s="364"/>
      <c r="AB82" s="311"/>
      <c r="AC82" s="311"/>
      <c r="AD82" s="311"/>
      <c r="AF82" s="458"/>
      <c r="AG82" s="458"/>
      <c r="AH82" s="458"/>
    </row>
    <row r="83" spans="1:34" x14ac:dyDescent="0.2">
      <c r="A83" s="89"/>
      <c r="B83" s="89"/>
      <c r="C83" s="89"/>
      <c r="D83" s="89"/>
      <c r="E83" s="89"/>
      <c r="F83" s="89"/>
      <c r="G83" s="89"/>
      <c r="H83" s="267"/>
      <c r="I83" s="89"/>
      <c r="J83" s="89"/>
      <c r="K83" s="89"/>
      <c r="L83" s="89"/>
      <c r="M83" s="89"/>
      <c r="N83" s="89"/>
      <c r="O83" s="89"/>
      <c r="P83" s="89"/>
      <c r="S83" s="314"/>
      <c r="T83" s="314"/>
      <c r="U83" s="314"/>
      <c r="V83" s="456"/>
      <c r="W83" s="443"/>
      <c r="X83" s="443"/>
      <c r="Y83" s="443"/>
      <c r="AA83" s="364"/>
      <c r="AB83" s="311"/>
      <c r="AC83" s="311"/>
      <c r="AD83" s="311"/>
      <c r="AF83" s="458"/>
      <c r="AG83" s="458"/>
      <c r="AH83" s="458"/>
    </row>
    <row r="84" spans="1:34" x14ac:dyDescent="0.2">
      <c r="S84" s="314"/>
      <c r="T84" s="314"/>
      <c r="U84" s="314"/>
      <c r="V84" s="444"/>
      <c r="W84" s="443"/>
      <c r="X84" s="443"/>
      <c r="Y84" s="443"/>
      <c r="AA84" s="137"/>
      <c r="AB84" s="311"/>
      <c r="AC84" s="311"/>
      <c r="AD84" s="311"/>
      <c r="AF84" s="458"/>
      <c r="AG84" s="458"/>
      <c r="AH84" s="458"/>
    </row>
    <row r="85" spans="1:34" x14ac:dyDescent="0.2">
      <c r="S85" s="314"/>
      <c r="T85" s="314"/>
      <c r="U85" s="314"/>
      <c r="V85" s="444"/>
      <c r="W85" s="443"/>
      <c r="X85" s="443"/>
      <c r="Y85" s="443"/>
      <c r="AA85" s="137"/>
      <c r="AB85" s="311"/>
      <c r="AC85" s="311"/>
      <c r="AD85" s="311"/>
      <c r="AF85" s="458"/>
      <c r="AG85" s="458"/>
      <c r="AH85" s="458"/>
    </row>
    <row r="86" spans="1:34" x14ac:dyDescent="0.2">
      <c r="S86" s="314"/>
      <c r="T86" s="314"/>
      <c r="U86" s="314"/>
      <c r="V86" s="444"/>
      <c r="W86" s="443"/>
      <c r="X86" s="443"/>
      <c r="Y86" s="443"/>
      <c r="AA86" s="137"/>
      <c r="AB86" s="311"/>
      <c r="AC86" s="311"/>
      <c r="AD86" s="311"/>
      <c r="AF86" s="458"/>
      <c r="AG86" s="458"/>
      <c r="AH86" s="458"/>
    </row>
    <row r="87" spans="1:34" x14ac:dyDescent="0.2">
      <c r="S87" s="314"/>
      <c r="T87" s="314"/>
      <c r="U87" s="314"/>
      <c r="V87" s="444"/>
      <c r="W87" s="443"/>
      <c r="X87" s="443"/>
      <c r="Y87" s="443"/>
      <c r="AA87" s="137"/>
      <c r="AB87" s="311"/>
      <c r="AC87" s="311"/>
      <c r="AD87" s="311"/>
      <c r="AF87" s="458"/>
      <c r="AG87" s="458"/>
      <c r="AH87" s="458"/>
    </row>
    <row r="88" spans="1:34" x14ac:dyDescent="0.2">
      <c r="S88" s="314"/>
      <c r="T88" s="314"/>
      <c r="U88" s="314"/>
      <c r="V88" s="444"/>
      <c r="W88" s="443"/>
      <c r="X88" s="443"/>
      <c r="Y88" s="443"/>
      <c r="AA88" s="137"/>
      <c r="AB88" s="311"/>
      <c r="AC88" s="311"/>
      <c r="AD88" s="311"/>
      <c r="AF88" s="458"/>
      <c r="AG88" s="458"/>
      <c r="AH88" s="458"/>
    </row>
    <row r="89" spans="1:34" x14ac:dyDescent="0.2">
      <c r="S89" s="314"/>
      <c r="T89" s="314"/>
      <c r="U89" s="314"/>
      <c r="V89" s="444"/>
      <c r="W89" s="443"/>
      <c r="X89" s="443"/>
      <c r="Y89" s="443"/>
      <c r="AA89" s="137"/>
      <c r="AB89" s="311"/>
      <c r="AC89" s="311"/>
      <c r="AD89" s="311"/>
      <c r="AF89" s="458"/>
      <c r="AG89" s="458"/>
      <c r="AH89" s="458"/>
    </row>
    <row r="90" spans="1:34" x14ac:dyDescent="0.2">
      <c r="S90" s="314"/>
      <c r="T90" s="314"/>
      <c r="U90" s="314"/>
      <c r="V90" s="444"/>
      <c r="W90" s="443"/>
      <c r="X90" s="443"/>
      <c r="Y90" s="443"/>
      <c r="AA90" s="137"/>
      <c r="AB90" s="311"/>
      <c r="AC90" s="311"/>
      <c r="AD90" s="311"/>
      <c r="AF90" s="458"/>
      <c r="AG90" s="458"/>
      <c r="AH90" s="458"/>
    </row>
    <row r="91" spans="1:34" x14ac:dyDescent="0.2">
      <c r="S91" s="314"/>
      <c r="T91" s="314"/>
      <c r="U91" s="314"/>
      <c r="V91" s="444"/>
      <c r="W91" s="443"/>
      <c r="X91" s="443"/>
      <c r="Y91" s="443"/>
      <c r="AA91" s="137"/>
      <c r="AB91" s="311"/>
      <c r="AC91" s="311"/>
      <c r="AD91" s="311"/>
      <c r="AF91" s="458"/>
      <c r="AG91" s="458"/>
      <c r="AH91" s="458"/>
    </row>
    <row r="92" spans="1:34" x14ac:dyDescent="0.2">
      <c r="S92" s="314"/>
      <c r="T92" s="314"/>
      <c r="U92" s="314"/>
      <c r="V92" s="444"/>
      <c r="W92" s="443"/>
      <c r="X92" s="443"/>
      <c r="Y92" s="443"/>
      <c r="AA92" s="137"/>
      <c r="AB92" s="311"/>
      <c r="AC92" s="311"/>
      <c r="AD92" s="311"/>
      <c r="AF92" s="458"/>
      <c r="AG92" s="458"/>
      <c r="AH92" s="458"/>
    </row>
    <row r="93" spans="1:34" x14ac:dyDescent="0.2">
      <c r="S93" s="314"/>
      <c r="T93" s="314"/>
      <c r="U93" s="314"/>
      <c r="V93" s="444"/>
      <c r="W93" s="443"/>
      <c r="X93" s="443"/>
      <c r="Y93" s="443"/>
      <c r="AA93" s="137"/>
      <c r="AB93" s="311"/>
      <c r="AC93" s="311"/>
      <c r="AD93" s="311"/>
      <c r="AF93" s="458"/>
      <c r="AG93" s="458"/>
      <c r="AH93" s="458"/>
    </row>
    <row r="94" spans="1:34" x14ac:dyDescent="0.2">
      <c r="S94" s="314"/>
      <c r="T94" s="314"/>
      <c r="U94" s="314"/>
      <c r="V94" s="444"/>
      <c r="W94" s="443"/>
      <c r="X94" s="443"/>
      <c r="Y94" s="443"/>
      <c r="AA94" s="137"/>
      <c r="AB94" s="311"/>
      <c r="AC94" s="311"/>
      <c r="AD94" s="311"/>
      <c r="AF94" s="458"/>
      <c r="AG94" s="458"/>
      <c r="AH94" s="458"/>
    </row>
    <row r="95" spans="1:34" x14ac:dyDescent="0.2">
      <c r="S95" s="314"/>
      <c r="T95" s="314"/>
      <c r="U95" s="314"/>
      <c r="V95" s="444"/>
      <c r="W95" s="443"/>
      <c r="X95" s="443"/>
      <c r="Y95" s="443"/>
      <c r="AA95" s="137"/>
      <c r="AB95" s="311"/>
      <c r="AC95" s="311"/>
      <c r="AD95" s="311"/>
      <c r="AF95" s="458"/>
      <c r="AG95" s="458"/>
      <c r="AH95" s="458"/>
    </row>
    <row r="96" spans="1:34" x14ac:dyDescent="0.2">
      <c r="S96" s="314"/>
      <c r="T96" s="314"/>
      <c r="U96" s="314"/>
      <c r="V96" s="444"/>
      <c r="W96" s="443"/>
      <c r="X96" s="443"/>
      <c r="Y96" s="443"/>
      <c r="AA96" s="137"/>
      <c r="AB96" s="311"/>
      <c r="AC96" s="311"/>
      <c r="AD96" s="311"/>
      <c r="AF96" s="458"/>
      <c r="AG96" s="458"/>
      <c r="AH96" s="458"/>
    </row>
    <row r="97" spans="19:34" x14ac:dyDescent="0.2">
      <c r="S97" s="314"/>
      <c r="T97" s="314"/>
      <c r="U97" s="314"/>
      <c r="V97" s="444"/>
      <c r="W97" s="443"/>
      <c r="X97" s="443"/>
      <c r="Y97" s="443"/>
      <c r="AA97" s="137"/>
      <c r="AB97" s="311"/>
      <c r="AC97" s="311"/>
      <c r="AD97" s="311"/>
      <c r="AF97" s="458"/>
      <c r="AG97" s="458"/>
      <c r="AH97" s="458"/>
    </row>
    <row r="98" spans="19:34" x14ac:dyDescent="0.2">
      <c r="S98" s="314"/>
      <c r="T98" s="314"/>
      <c r="U98" s="314"/>
      <c r="V98" s="444"/>
      <c r="W98" s="443"/>
      <c r="X98" s="443"/>
      <c r="Y98" s="443"/>
      <c r="AA98" s="137"/>
      <c r="AB98" s="311"/>
      <c r="AC98" s="311"/>
      <c r="AD98" s="311"/>
      <c r="AF98" s="458"/>
      <c r="AG98" s="458"/>
      <c r="AH98" s="458"/>
    </row>
    <row r="99" spans="19:34" x14ac:dyDescent="0.2">
      <c r="S99" s="314"/>
      <c r="T99" s="314"/>
      <c r="U99" s="314"/>
      <c r="V99" s="444"/>
      <c r="W99" s="443"/>
      <c r="X99" s="443"/>
      <c r="Y99" s="443"/>
      <c r="AA99" s="137"/>
      <c r="AB99" s="311"/>
      <c r="AC99" s="311"/>
      <c r="AD99" s="311"/>
      <c r="AF99" s="458"/>
      <c r="AG99" s="458"/>
      <c r="AH99" s="458"/>
    </row>
    <row r="100" spans="19:34" x14ac:dyDescent="0.2">
      <c r="S100" s="314"/>
      <c r="T100" s="314"/>
      <c r="U100" s="314"/>
      <c r="V100" s="444"/>
      <c r="W100" s="443"/>
      <c r="X100" s="443"/>
      <c r="Y100" s="443"/>
      <c r="AA100" s="137"/>
      <c r="AB100" s="311"/>
      <c r="AC100" s="311"/>
      <c r="AD100" s="311"/>
      <c r="AF100" s="458"/>
      <c r="AG100" s="458"/>
      <c r="AH100" s="458"/>
    </row>
    <row r="101" spans="19:34" x14ac:dyDescent="0.2">
      <c r="S101" s="314"/>
      <c r="T101" s="314"/>
      <c r="U101" s="314"/>
      <c r="V101" s="444"/>
      <c r="W101" s="443"/>
      <c r="X101" s="443"/>
      <c r="Y101" s="443"/>
      <c r="AA101" s="137"/>
      <c r="AB101" s="311"/>
      <c r="AC101" s="311"/>
      <c r="AD101" s="311"/>
    </row>
    <row r="102" spans="19:34" x14ac:dyDescent="0.2">
      <c r="S102" s="314"/>
      <c r="T102" s="314"/>
      <c r="U102" s="314"/>
      <c r="V102" s="444"/>
      <c r="W102" s="443"/>
      <c r="X102" s="443"/>
      <c r="Y102" s="443"/>
      <c r="AA102" s="137"/>
      <c r="AB102" s="311"/>
      <c r="AC102" s="311"/>
      <c r="AD102" s="311"/>
    </row>
    <row r="103" spans="19:34" x14ac:dyDescent="0.2">
      <c r="S103" s="314"/>
      <c r="T103" s="314"/>
      <c r="U103" s="314"/>
      <c r="V103" s="444"/>
      <c r="W103" s="443"/>
      <c r="X103" s="443"/>
      <c r="Y103" s="443"/>
      <c r="AA103" s="137"/>
      <c r="AB103" s="311"/>
      <c r="AC103" s="311"/>
      <c r="AD103" s="311"/>
    </row>
    <row r="104" spans="19:34" x14ac:dyDescent="0.2">
      <c r="S104" s="314"/>
      <c r="T104" s="314"/>
      <c r="U104" s="314"/>
      <c r="V104" s="457"/>
      <c r="W104" s="443"/>
      <c r="X104" s="443"/>
      <c r="Y104" s="443"/>
      <c r="AA104" s="402"/>
      <c r="AB104" s="311"/>
      <c r="AC104" s="311"/>
      <c r="AD104" s="311"/>
    </row>
    <row r="105" spans="19:34" x14ac:dyDescent="0.2">
      <c r="S105" s="314"/>
      <c r="T105" s="314"/>
      <c r="U105" s="314"/>
      <c r="V105" s="444"/>
      <c r="W105" s="443"/>
      <c r="X105" s="443"/>
      <c r="Y105" s="443"/>
      <c r="AA105" s="137"/>
      <c r="AB105" s="311"/>
      <c r="AC105" s="311"/>
      <c r="AD105" s="311"/>
    </row>
    <row r="106" spans="19:34" x14ac:dyDescent="0.2">
      <c r="S106" s="314"/>
      <c r="T106" s="314"/>
      <c r="U106" s="314"/>
      <c r="V106" s="444"/>
      <c r="W106" s="443"/>
      <c r="X106" s="443"/>
      <c r="Y106" s="443"/>
      <c r="AA106" s="137"/>
      <c r="AB106" s="311"/>
      <c r="AC106" s="311"/>
      <c r="AD106" s="311"/>
    </row>
    <row r="107" spans="19:34" x14ac:dyDescent="0.2">
      <c r="S107" s="314"/>
      <c r="T107" s="314"/>
      <c r="U107" s="314"/>
      <c r="V107" s="444"/>
      <c r="W107" s="443"/>
      <c r="X107" s="443"/>
      <c r="Y107" s="443"/>
      <c r="AA107" s="137"/>
      <c r="AB107" s="311"/>
      <c r="AC107" s="311"/>
      <c r="AD107" s="311"/>
    </row>
    <row r="108" spans="19:34" x14ac:dyDescent="0.2">
      <c r="V108" s="444"/>
      <c r="W108" s="443"/>
      <c r="X108" s="443"/>
      <c r="Y108" s="443"/>
      <c r="AA108" s="137"/>
      <c r="AB108" s="311"/>
      <c r="AC108" s="311"/>
      <c r="AD108" s="311"/>
    </row>
    <row r="109" spans="19:34" x14ac:dyDescent="0.2">
      <c r="V109" s="444"/>
      <c r="W109" s="443"/>
      <c r="X109" s="443"/>
      <c r="Y109" s="443"/>
      <c r="AA109" s="137"/>
      <c r="AB109" s="311"/>
      <c r="AC109" s="311"/>
      <c r="AD109" s="311"/>
    </row>
    <row r="110" spans="19:34" x14ac:dyDescent="0.2">
      <c r="V110" s="444"/>
      <c r="W110" s="443"/>
      <c r="X110" s="443"/>
      <c r="Y110" s="443"/>
      <c r="AA110" s="137"/>
      <c r="AB110" s="311"/>
      <c r="AC110" s="311"/>
      <c r="AD110" s="311"/>
    </row>
    <row r="111" spans="19:34" x14ac:dyDescent="0.2">
      <c r="V111" s="444"/>
      <c r="W111" s="443"/>
      <c r="X111" s="443"/>
      <c r="Y111" s="443"/>
      <c r="AA111" s="137"/>
      <c r="AB111" s="311"/>
      <c r="AC111" s="311"/>
      <c r="AD111" s="311"/>
    </row>
    <row r="112" spans="19:34" x14ac:dyDescent="0.2">
      <c r="V112" s="444"/>
      <c r="W112" s="443"/>
      <c r="X112" s="443"/>
      <c r="Y112" s="443"/>
      <c r="AA112" s="137"/>
      <c r="AB112" s="311"/>
      <c r="AC112" s="311"/>
      <c r="AD112" s="311"/>
    </row>
    <row r="113" spans="22:30" x14ac:dyDescent="0.2">
      <c r="V113" s="444"/>
      <c r="W113" s="443"/>
      <c r="X113" s="443"/>
      <c r="Y113" s="443"/>
      <c r="AA113" s="137"/>
      <c r="AB113" s="311"/>
      <c r="AC113" s="311"/>
      <c r="AD113" s="311"/>
    </row>
    <row r="114" spans="22:30" x14ac:dyDescent="0.2">
      <c r="V114" s="444"/>
      <c r="W114" s="443"/>
      <c r="X114" s="443"/>
      <c r="Y114" s="443"/>
      <c r="AA114" s="137"/>
      <c r="AB114" s="311"/>
      <c r="AC114" s="311"/>
      <c r="AD114" s="311"/>
    </row>
    <row r="115" spans="22:30" x14ac:dyDescent="0.2">
      <c r="V115" s="444"/>
      <c r="W115" s="443"/>
      <c r="X115" s="443"/>
      <c r="Y115" s="443"/>
      <c r="AA115" s="137"/>
      <c r="AB115" s="311"/>
      <c r="AC115" s="311"/>
      <c r="AD115" s="311"/>
    </row>
    <row r="116" spans="22:30" x14ac:dyDescent="0.2">
      <c r="V116" s="444"/>
      <c r="W116" s="443"/>
      <c r="X116" s="443"/>
      <c r="Y116" s="443"/>
      <c r="AA116" s="137"/>
      <c r="AB116" s="311"/>
      <c r="AC116" s="311"/>
      <c r="AD116" s="311"/>
    </row>
    <row r="117" spans="22:30" x14ac:dyDescent="0.2">
      <c r="V117" s="444"/>
      <c r="W117" s="444"/>
      <c r="X117" s="444"/>
      <c r="Y117" s="444"/>
    </row>
    <row r="118" spans="22:30" x14ac:dyDescent="0.2">
      <c r="V118" s="444"/>
      <c r="W118" s="444"/>
      <c r="X118" s="444"/>
      <c r="Y118" s="446"/>
    </row>
    <row r="119" spans="22:30" x14ac:dyDescent="0.2">
      <c r="V119" s="444"/>
      <c r="W119" s="444"/>
      <c r="X119" s="444"/>
      <c r="Y119" s="444"/>
    </row>
    <row r="120" spans="22:30" x14ac:dyDescent="0.2">
      <c r="V120" s="444"/>
      <c r="W120" s="444"/>
      <c r="X120" s="444"/>
      <c r="Y120" s="443"/>
    </row>
    <row r="121" spans="22:30" x14ac:dyDescent="0.2">
      <c r="V121" s="444"/>
      <c r="W121" s="444"/>
      <c r="X121" s="444"/>
      <c r="Y121" s="446"/>
    </row>
  </sheetData>
  <mergeCells count="4">
    <mergeCell ref="A9:P9"/>
    <mergeCell ref="A29:P29"/>
    <mergeCell ref="A52:P52"/>
    <mergeCell ref="A72:P72"/>
  </mergeCells>
  <phoneticPr fontId="12" type="noConversion"/>
  <printOptions horizontalCentered="1"/>
  <pageMargins left="1" right="0.75" top="1" bottom="0.5" header="0.5" footer="0.5"/>
  <headerFooter alignWithMargins="0"/>
  <rowBreaks count="1" manualBreakCount="1">
    <brk id="43" max="15"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Y197"/>
  <sheetViews>
    <sheetView workbookViewId="0"/>
  </sheetViews>
  <sheetFormatPr defaultColWidth="9.6640625" defaultRowHeight="15" x14ac:dyDescent="0.2"/>
  <cols>
    <col min="1" max="1" width="7.6640625" style="102" customWidth="1"/>
    <col min="2" max="2" width="8.44140625" style="102" customWidth="1"/>
    <col min="3" max="3" width="11.88671875" style="102" customWidth="1"/>
    <col min="4" max="4" width="10.6640625" style="102" customWidth="1"/>
    <col min="5" max="5" width="11.88671875" style="102" customWidth="1"/>
    <col min="6" max="6" width="10.6640625" style="102" customWidth="1"/>
    <col min="7" max="7" width="6.88671875" style="102" customWidth="1"/>
    <col min="8" max="9" width="9.6640625" style="102" customWidth="1"/>
    <col min="10" max="10" width="5.6640625" style="102" customWidth="1"/>
    <col min="11" max="11" width="8.6640625" style="102" customWidth="1"/>
    <col min="12" max="12" width="7.6640625" style="102" customWidth="1"/>
    <col min="13" max="13" width="1.6640625" style="102" customWidth="1"/>
    <col min="14" max="14" width="7.6640625" style="102" customWidth="1"/>
    <col min="15" max="15" width="1.6640625" style="102" customWidth="1"/>
    <col min="16" max="16" width="7.6640625" style="102" customWidth="1"/>
    <col min="17" max="17" width="1.6640625" style="102" customWidth="1"/>
    <col min="18" max="18" width="7.6640625" style="102" customWidth="1"/>
    <col min="19" max="19" width="1.6640625" style="102" customWidth="1"/>
    <col min="20" max="20" width="7.6640625" style="102" customWidth="1"/>
    <col min="21" max="21" width="1.6640625" style="102" customWidth="1"/>
    <col min="22" max="22" width="7.6640625" style="102" customWidth="1"/>
    <col min="23" max="23" width="1.6640625" style="102" customWidth="1"/>
    <col min="24" max="24" width="8.6640625" style="102" customWidth="1"/>
    <col min="25" max="25" width="1.6640625" style="102" customWidth="1"/>
    <col min="26" max="26" width="7.6640625" style="102" customWidth="1"/>
    <col min="27" max="27" width="1.6640625" style="102" customWidth="1"/>
    <col min="28" max="28" width="8.6640625" style="102" customWidth="1"/>
    <col min="29" max="29" width="1.6640625" style="102" customWidth="1"/>
    <col min="30" max="30" width="7.6640625" style="102" customWidth="1"/>
    <col min="31" max="31" width="1.6640625" style="102" customWidth="1"/>
    <col min="32" max="32" width="9.6640625" style="102" customWidth="1"/>
    <col min="33" max="33" width="1.6640625" style="102" customWidth="1"/>
    <col min="34" max="34" width="7.6640625" style="102" customWidth="1"/>
    <col min="35" max="35" width="1.6640625" style="102" customWidth="1"/>
    <col min="36" max="36" width="9.6640625" style="102" customWidth="1"/>
    <col min="37" max="37" width="1.6640625" style="102" customWidth="1"/>
    <col min="38" max="38" width="7.6640625" style="102" customWidth="1"/>
    <col min="39" max="39" width="1.6640625" style="102" customWidth="1"/>
    <col min="40" max="40" width="7.6640625" style="102" customWidth="1"/>
    <col min="41" max="42" width="9.6640625" style="102" customWidth="1"/>
    <col min="43" max="43" width="6.6640625" style="102" customWidth="1"/>
    <col min="44" max="44" width="4.6640625" style="102" customWidth="1"/>
    <col min="45" max="45" width="9.6640625" style="102" customWidth="1"/>
    <col min="46" max="46" width="4.6640625" style="102" customWidth="1"/>
    <col min="47" max="47" width="9.6640625" style="102" customWidth="1"/>
    <col min="48" max="48" width="4.6640625" style="102" customWidth="1"/>
    <col min="49" max="49" width="9.6640625" style="102" customWidth="1"/>
    <col min="50" max="50" width="4.6640625" style="102" customWidth="1"/>
    <col min="51" max="51" width="8.6640625" style="102" customWidth="1"/>
    <col min="52" max="16384" width="9.6640625" style="102"/>
  </cols>
  <sheetData>
    <row r="1" spans="1:7" x14ac:dyDescent="0.2">
      <c r="A1" s="37" t="s">
        <v>77</v>
      </c>
      <c r="B1" s="101"/>
      <c r="C1" s="100"/>
      <c r="D1" s="101"/>
      <c r="E1" s="101"/>
      <c r="F1" s="101"/>
      <c r="G1" s="101"/>
    </row>
    <row r="2" spans="1:7" x14ac:dyDescent="0.2">
      <c r="A2" s="37"/>
      <c r="B2" s="101"/>
      <c r="C2" s="100"/>
      <c r="D2" s="101"/>
      <c r="E2" s="101"/>
      <c r="F2" s="101"/>
      <c r="G2" s="101"/>
    </row>
    <row r="3" spans="1:7" x14ac:dyDescent="0.2">
      <c r="A3" s="101"/>
      <c r="B3" s="101"/>
      <c r="C3" s="101"/>
      <c r="D3" s="101"/>
      <c r="E3" s="101"/>
      <c r="F3" s="101"/>
      <c r="G3" s="101"/>
    </row>
    <row r="4" spans="1:7" x14ac:dyDescent="0.2">
      <c r="A4" s="669" t="s">
        <v>181</v>
      </c>
      <c r="B4" s="669"/>
      <c r="C4" s="669"/>
      <c r="D4" s="669"/>
      <c r="E4" s="669"/>
      <c r="F4" s="669"/>
      <c r="G4" s="669"/>
    </row>
    <row r="5" spans="1:7" x14ac:dyDescent="0.2">
      <c r="A5" s="103"/>
      <c r="B5" s="103"/>
      <c r="C5" s="103"/>
      <c r="D5" s="103"/>
      <c r="E5" s="103"/>
      <c r="F5" s="103"/>
      <c r="G5" s="103"/>
    </row>
    <row r="6" spans="1:7" x14ac:dyDescent="0.2">
      <c r="A6" s="103"/>
      <c r="B6" s="103"/>
      <c r="C6" s="103"/>
      <c r="D6" s="103"/>
      <c r="E6" s="103"/>
      <c r="F6" s="103"/>
      <c r="G6" s="103"/>
    </row>
    <row r="7" spans="1:7" x14ac:dyDescent="0.2">
      <c r="A7" s="103" t="s">
        <v>191</v>
      </c>
      <c r="B7" s="103"/>
      <c r="C7" s="103"/>
      <c r="D7" s="103"/>
      <c r="E7" s="103"/>
      <c r="F7" s="103"/>
      <c r="G7" s="103"/>
    </row>
    <row r="8" spans="1:7" x14ac:dyDescent="0.2">
      <c r="A8" s="103"/>
      <c r="B8" s="103"/>
      <c r="C8" s="103"/>
      <c r="D8" s="103"/>
      <c r="E8" s="103"/>
      <c r="F8" s="103"/>
      <c r="G8" s="103"/>
    </row>
    <row r="9" spans="1:7" x14ac:dyDescent="0.2">
      <c r="A9" s="103" t="s">
        <v>230</v>
      </c>
      <c r="B9" s="103"/>
      <c r="C9" s="103"/>
      <c r="D9" s="103"/>
      <c r="E9" s="103"/>
      <c r="F9" s="103"/>
      <c r="G9" s="103"/>
    </row>
    <row r="10" spans="1:7" x14ac:dyDescent="0.2">
      <c r="A10" s="103"/>
      <c r="B10" s="103"/>
      <c r="C10" s="103"/>
      <c r="D10" s="103"/>
      <c r="E10" s="103"/>
      <c r="F10" s="103"/>
      <c r="G10" s="103"/>
    </row>
    <row r="11" spans="1:7" x14ac:dyDescent="0.2">
      <c r="A11" s="101" t="s">
        <v>377</v>
      </c>
      <c r="B11" s="100"/>
      <c r="C11" s="103"/>
      <c r="D11"/>
      <c r="E11" s="104"/>
      <c r="F11" s="104" t="s">
        <v>379</v>
      </c>
      <c r="G11" s="103"/>
    </row>
    <row r="12" spans="1:7" x14ac:dyDescent="0.2">
      <c r="A12" s="101" t="s">
        <v>380</v>
      </c>
      <c r="B12" s="100"/>
      <c r="C12" s="103"/>
      <c r="D12"/>
      <c r="E12" s="104"/>
      <c r="F12" s="104" t="s">
        <v>381</v>
      </c>
      <c r="G12" s="103"/>
    </row>
    <row r="13" spans="1:7" x14ac:dyDescent="0.2">
      <c r="A13" s="105" t="s">
        <v>382</v>
      </c>
      <c r="B13" s="106"/>
      <c r="C13" s="103"/>
      <c r="D13"/>
      <c r="E13" s="104"/>
      <c r="F13" s="107" t="s">
        <v>384</v>
      </c>
      <c r="G13" s="103"/>
    </row>
    <row r="14" spans="1:7" ht="12.75" customHeight="1" x14ac:dyDescent="0.2">
      <c r="A14" s="103"/>
      <c r="C14" s="103"/>
      <c r="D14"/>
      <c r="E14" s="103"/>
      <c r="F14" s="103"/>
      <c r="G14" s="103"/>
    </row>
    <row r="15" spans="1:7" x14ac:dyDescent="0.2">
      <c r="A15" s="108" t="s">
        <v>392</v>
      </c>
      <c r="C15" s="103"/>
      <c r="D15"/>
      <c r="E15" s="103"/>
      <c r="F15" s="110">
        <v>1</v>
      </c>
      <c r="G15" s="103"/>
    </row>
    <row r="16" spans="1:7" x14ac:dyDescent="0.2">
      <c r="A16" s="103"/>
      <c r="B16" s="103"/>
      <c r="C16" s="103"/>
      <c r="D16"/>
      <c r="E16" s="103"/>
      <c r="F16" s="112"/>
      <c r="G16" s="103"/>
    </row>
    <row r="17" spans="1:11" ht="15.75" thickBot="1" x14ac:dyDescent="0.25">
      <c r="A17" s="103" t="s">
        <v>365</v>
      </c>
      <c r="B17" s="103"/>
      <c r="C17" s="103"/>
      <c r="D17"/>
      <c r="E17" s="103"/>
      <c r="F17" s="110">
        <f>SUM(F15:F15)</f>
        <v>1</v>
      </c>
      <c r="G17" s="103"/>
    </row>
    <row r="18" spans="1:11" ht="15.75" thickTop="1" x14ac:dyDescent="0.2">
      <c r="A18" s="103"/>
      <c r="B18" s="103"/>
      <c r="C18" s="103"/>
      <c r="D18"/>
      <c r="E18" s="103"/>
      <c r="F18" s="113"/>
      <c r="G18" s="103"/>
    </row>
    <row r="19" spans="1:11" x14ac:dyDescent="0.2">
      <c r="A19" s="103"/>
      <c r="B19" s="103"/>
      <c r="C19" s="103"/>
      <c r="D19" s="103"/>
      <c r="E19" s="103"/>
      <c r="F19" s="103"/>
      <c r="G19" s="103"/>
    </row>
    <row r="20" spans="1:11" x14ac:dyDescent="0.2">
      <c r="A20" s="103"/>
      <c r="B20" s="103"/>
      <c r="C20" s="103"/>
      <c r="D20" s="103"/>
      <c r="E20" s="103"/>
      <c r="F20" s="103"/>
      <c r="G20" s="103"/>
    </row>
    <row r="21" spans="1:11" x14ac:dyDescent="0.2">
      <c r="A21" s="103" t="s">
        <v>492</v>
      </c>
      <c r="B21" s="103"/>
      <c r="C21" s="103"/>
      <c r="D21" s="103"/>
      <c r="E21" s="103"/>
      <c r="F21" s="103"/>
      <c r="G21" s="103"/>
    </row>
    <row r="22" spans="1:11" x14ac:dyDescent="0.2">
      <c r="A22" s="103"/>
      <c r="B22" s="103"/>
      <c r="C22" s="103"/>
      <c r="D22" s="103"/>
      <c r="E22" s="103"/>
      <c r="F22" s="103"/>
      <c r="G22" s="103"/>
    </row>
    <row r="23" spans="1:11" ht="28.35" customHeight="1" x14ac:dyDescent="0.2">
      <c r="A23" s="668" t="s">
        <v>493</v>
      </c>
      <c r="B23" s="668"/>
      <c r="C23" s="668"/>
      <c r="D23" s="668"/>
      <c r="E23" s="668"/>
      <c r="F23" s="668"/>
      <c r="G23" s="668"/>
    </row>
    <row r="24" spans="1:11" x14ac:dyDescent="0.2">
      <c r="A24" s="103"/>
      <c r="B24" s="103"/>
      <c r="C24" s="103"/>
      <c r="D24" s="103"/>
      <c r="E24" s="103"/>
      <c r="F24" s="103"/>
      <c r="G24" s="103"/>
    </row>
    <row r="25" spans="1:11" x14ac:dyDescent="0.2">
      <c r="A25" s="101" t="s">
        <v>377</v>
      </c>
      <c r="B25" s="100"/>
      <c r="C25" s="103"/>
      <c r="D25" s="104" t="s">
        <v>494</v>
      </c>
      <c r="E25" s="104"/>
      <c r="F25" s="104" t="s">
        <v>379</v>
      </c>
      <c r="G25" s="103"/>
    </row>
    <row r="26" spans="1:11" x14ac:dyDescent="0.2">
      <c r="A26" s="101" t="s">
        <v>380</v>
      </c>
      <c r="B26" s="100"/>
      <c r="C26" s="103"/>
      <c r="D26" s="104" t="s">
        <v>495</v>
      </c>
      <c r="E26" s="104"/>
      <c r="F26" s="104" t="s">
        <v>381</v>
      </c>
      <c r="G26" s="103"/>
    </row>
    <row r="27" spans="1:11" x14ac:dyDescent="0.2">
      <c r="A27" s="105" t="s">
        <v>382</v>
      </c>
      <c r="B27" s="106"/>
      <c r="C27" s="103"/>
      <c r="D27" s="107" t="s">
        <v>272</v>
      </c>
      <c r="E27" s="104" t="s">
        <v>496</v>
      </c>
      <c r="F27" s="107" t="s">
        <v>384</v>
      </c>
      <c r="G27" s="103"/>
    </row>
    <row r="28" spans="1:11" ht="12.75" customHeight="1" x14ac:dyDescent="0.2">
      <c r="A28" s="103"/>
      <c r="C28" s="103"/>
      <c r="D28" s="103"/>
      <c r="E28" s="103"/>
      <c r="F28" s="110"/>
      <c r="G28" s="103"/>
      <c r="I28" s="320"/>
      <c r="J28" s="320"/>
      <c r="K28" s="320"/>
    </row>
    <row r="29" spans="1:11" x14ac:dyDescent="0.2">
      <c r="A29" s="103" t="s">
        <v>385</v>
      </c>
      <c r="C29" s="103"/>
      <c r="D29" s="109">
        <f>+'Meters &amp; Services'!H29</f>
        <v>113730</v>
      </c>
      <c r="E29" s="103"/>
      <c r="F29" s="114">
        <f>ROUND(+D29/D$36,4)+0.0001</f>
        <v>0.82699999999999996</v>
      </c>
      <c r="G29" s="103"/>
      <c r="I29" s="321"/>
      <c r="J29" s="320"/>
      <c r="K29" s="318"/>
    </row>
    <row r="30" spans="1:11" x14ac:dyDescent="0.2">
      <c r="A30" s="103" t="s">
        <v>386</v>
      </c>
      <c r="C30" s="103"/>
      <c r="D30" s="109">
        <f>+'Meters &amp; Services'!L29</f>
        <v>18048</v>
      </c>
      <c r="E30" s="103"/>
      <c r="F30" s="110">
        <f t="shared" ref="F30:F34" si="0">ROUND(+D30/D$36,4)</f>
        <v>0.13120000000000001</v>
      </c>
      <c r="G30" s="103"/>
      <c r="I30" s="321"/>
      <c r="J30" s="320"/>
      <c r="K30" s="322"/>
    </row>
    <row r="31" spans="1:11" x14ac:dyDescent="0.2">
      <c r="A31" s="103" t="s">
        <v>387</v>
      </c>
      <c r="C31" s="103"/>
      <c r="D31" s="109">
        <f>+'Meters &amp; Services'!P29</f>
        <v>570</v>
      </c>
      <c r="E31" s="103"/>
      <c r="F31" s="110">
        <f t="shared" si="0"/>
        <v>4.1000000000000003E-3</v>
      </c>
      <c r="G31" s="103"/>
      <c r="I31" s="321"/>
      <c r="J31" s="320"/>
      <c r="K31" s="322"/>
    </row>
    <row r="32" spans="1:11" x14ac:dyDescent="0.2">
      <c r="A32" s="103" t="s">
        <v>389</v>
      </c>
      <c r="C32" s="103"/>
      <c r="D32" s="109">
        <f>+'Meters &amp; Services'!T29</f>
        <v>3260</v>
      </c>
      <c r="E32" s="103"/>
      <c r="F32" s="110">
        <f t="shared" si="0"/>
        <v>2.3699999999999999E-2</v>
      </c>
      <c r="G32" s="103"/>
      <c r="I32" s="321"/>
      <c r="J32" s="320"/>
      <c r="K32" s="322"/>
    </row>
    <row r="33" spans="1:51" x14ac:dyDescent="0.2">
      <c r="A33" s="103" t="s">
        <v>503</v>
      </c>
      <c r="C33" s="103"/>
      <c r="D33" s="109">
        <f>+'Meters &amp; Services'!X29</f>
        <v>334</v>
      </c>
      <c r="E33" s="103"/>
      <c r="F33" s="110">
        <f t="shared" si="0"/>
        <v>2.3999999999999998E-3</v>
      </c>
      <c r="G33" s="103"/>
      <c r="I33" s="320"/>
      <c r="J33" s="320"/>
      <c r="K33" s="322"/>
    </row>
    <row r="34" spans="1:51" x14ac:dyDescent="0.2">
      <c r="A34" s="103" t="s">
        <v>184</v>
      </c>
      <c r="C34" s="103"/>
      <c r="D34" s="109">
        <f>+'Meters &amp; Services'!AB29</f>
        <v>1595</v>
      </c>
      <c r="E34" s="103"/>
      <c r="F34" s="110">
        <f t="shared" si="0"/>
        <v>1.1599999999999999E-2</v>
      </c>
      <c r="G34" s="103"/>
      <c r="I34" s="320"/>
      <c r="J34" s="320"/>
      <c r="K34" s="322"/>
    </row>
    <row r="35" spans="1:51" x14ac:dyDescent="0.2">
      <c r="A35" s="103"/>
      <c r="C35" s="103"/>
      <c r="D35" s="111"/>
      <c r="E35" s="103"/>
      <c r="F35" s="115"/>
      <c r="G35" s="103"/>
      <c r="I35" s="320"/>
      <c r="J35" s="320"/>
      <c r="K35" s="170"/>
    </row>
    <row r="36" spans="1:51" ht="15.75" thickBot="1" x14ac:dyDescent="0.25">
      <c r="A36" s="103" t="s">
        <v>393</v>
      </c>
      <c r="C36" s="103"/>
      <c r="D36" s="109">
        <f>SUM(D29:D35)</f>
        <v>137537</v>
      </c>
      <c r="E36" s="103"/>
      <c r="F36" s="171">
        <f>SUM(F29:F35)</f>
        <v>1</v>
      </c>
      <c r="G36" s="103"/>
      <c r="I36" s="323"/>
      <c r="J36" s="320"/>
      <c r="K36" s="322"/>
    </row>
    <row r="37" spans="1:51" ht="15.75" thickTop="1" x14ac:dyDescent="0.2">
      <c r="A37" s="103"/>
      <c r="B37" s="103"/>
      <c r="C37" s="103"/>
      <c r="D37" s="116"/>
      <c r="E37" s="117"/>
      <c r="F37" s="170"/>
      <c r="G37" s="103"/>
      <c r="I37" s="320"/>
      <c r="J37" s="320"/>
      <c r="K37" s="320"/>
    </row>
    <row r="38" spans="1:51" x14ac:dyDescent="0.2">
      <c r="A38" s="37" t="s">
        <v>77</v>
      </c>
      <c r="B38" s="101"/>
      <c r="C38" s="100"/>
      <c r="D38" s="101"/>
      <c r="E38" s="101"/>
      <c r="F38" s="101"/>
      <c r="G38" s="101"/>
      <c r="H38" s="119"/>
      <c r="I38" s="324"/>
      <c r="J38" s="324"/>
      <c r="K38" s="324"/>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row>
    <row r="39" spans="1:51" x14ac:dyDescent="0.2">
      <c r="A39" s="37"/>
      <c r="B39" s="101"/>
      <c r="C39" s="100"/>
      <c r="D39" s="101"/>
      <c r="E39" s="101"/>
      <c r="F39" s="101"/>
      <c r="G39" s="101"/>
    </row>
    <row r="40" spans="1:51" x14ac:dyDescent="0.2">
      <c r="A40" s="101"/>
      <c r="B40" s="101"/>
      <c r="C40" s="101"/>
      <c r="D40" s="101"/>
      <c r="E40" s="101"/>
      <c r="F40" s="101"/>
      <c r="G40" s="101"/>
    </row>
    <row r="41" spans="1:51" x14ac:dyDescent="0.2">
      <c r="A41" s="669" t="s">
        <v>181</v>
      </c>
      <c r="B41" s="669"/>
      <c r="C41" s="669"/>
      <c r="D41" s="669"/>
      <c r="E41" s="669"/>
      <c r="F41" s="669"/>
      <c r="G41" s="669"/>
    </row>
    <row r="42" spans="1:51" x14ac:dyDescent="0.2">
      <c r="A42" s="103"/>
      <c r="B42" s="103"/>
      <c r="C42" s="103"/>
      <c r="D42" s="103"/>
      <c r="E42" s="103"/>
      <c r="F42" s="103"/>
      <c r="G42" s="103"/>
    </row>
    <row r="43" spans="1:51" x14ac:dyDescent="0.2">
      <c r="A43" s="103"/>
      <c r="B43" s="103"/>
      <c r="C43" s="103"/>
      <c r="D43" s="103"/>
      <c r="E43" s="103"/>
      <c r="F43" s="103"/>
      <c r="G43" s="103"/>
    </row>
    <row r="44" spans="1:51" x14ac:dyDescent="0.2">
      <c r="A44" s="103" t="s">
        <v>497</v>
      </c>
      <c r="B44" s="103"/>
      <c r="C44" s="103"/>
      <c r="D44" s="103"/>
      <c r="E44" s="103"/>
      <c r="F44" s="103"/>
      <c r="G44" s="103"/>
    </row>
    <row r="45" spans="1:51" x14ac:dyDescent="0.2">
      <c r="A45" s="103"/>
      <c r="B45" s="103"/>
      <c r="C45" s="103"/>
      <c r="D45" s="103"/>
      <c r="E45" s="103"/>
      <c r="F45" s="103"/>
      <c r="G45" s="103"/>
    </row>
    <row r="46" spans="1:51" ht="27.6" customHeight="1" x14ac:dyDescent="0.2">
      <c r="A46" s="668" t="s">
        <v>264</v>
      </c>
      <c r="B46" s="668"/>
      <c r="C46" s="668"/>
      <c r="D46" s="668"/>
      <c r="E46" s="668"/>
      <c r="F46" s="668"/>
      <c r="G46" s="103"/>
    </row>
    <row r="47" spans="1:51" x14ac:dyDescent="0.2">
      <c r="A47" s="103"/>
      <c r="B47" s="103"/>
      <c r="C47" s="103"/>
      <c r="D47" s="103"/>
      <c r="E47" s="103"/>
      <c r="F47" s="103"/>
      <c r="G47" s="103"/>
    </row>
    <row r="48" spans="1:51" x14ac:dyDescent="0.2">
      <c r="A48" s="101" t="s">
        <v>377</v>
      </c>
      <c r="B48" s="100"/>
      <c r="C48" s="103"/>
      <c r="D48" s="104" t="s">
        <v>265</v>
      </c>
      <c r="E48" s="104"/>
      <c r="F48" s="104" t="s">
        <v>379</v>
      </c>
      <c r="G48" s="103"/>
    </row>
    <row r="49" spans="1:7" x14ac:dyDescent="0.2">
      <c r="A49" s="101" t="s">
        <v>380</v>
      </c>
      <c r="B49" s="100"/>
      <c r="C49" s="103"/>
      <c r="D49" s="104" t="s">
        <v>495</v>
      </c>
      <c r="E49" s="104"/>
      <c r="F49" s="104" t="s">
        <v>381</v>
      </c>
      <c r="G49" s="103"/>
    </row>
    <row r="50" spans="1:7" x14ac:dyDescent="0.2">
      <c r="A50" s="105" t="s">
        <v>382</v>
      </c>
      <c r="B50" s="106"/>
      <c r="C50" s="103"/>
      <c r="D50" s="107" t="s">
        <v>272</v>
      </c>
      <c r="E50" s="104" t="s">
        <v>496</v>
      </c>
      <c r="F50" s="107" t="s">
        <v>384</v>
      </c>
      <c r="G50" s="103"/>
    </row>
    <row r="51" spans="1:7" ht="12.75" customHeight="1" x14ac:dyDescent="0.2">
      <c r="A51" s="103"/>
      <c r="C51" s="103"/>
      <c r="D51" s="103"/>
      <c r="E51" s="103"/>
      <c r="F51" s="110"/>
      <c r="G51" s="103"/>
    </row>
    <row r="52" spans="1:7" x14ac:dyDescent="0.2">
      <c r="A52" s="103" t="s">
        <v>385</v>
      </c>
      <c r="C52" s="103"/>
      <c r="D52" s="109">
        <f>+'Meters &amp; Services'!H61</f>
        <v>113969</v>
      </c>
      <c r="E52" s="103"/>
      <c r="F52" s="114">
        <f>ROUND(D52/D$59,4)-0.0001</f>
        <v>0.82400000000000007</v>
      </c>
      <c r="G52" s="103"/>
    </row>
    <row r="53" spans="1:7" x14ac:dyDescent="0.2">
      <c r="A53" s="103" t="s">
        <v>386</v>
      </c>
      <c r="C53" s="103"/>
      <c r="D53" s="109">
        <f>+'Meters &amp; Services'!L61</f>
        <v>15656</v>
      </c>
      <c r="E53" s="103"/>
      <c r="F53" s="110">
        <f>ROUND(D53/D$59,4)</f>
        <v>0.1132</v>
      </c>
      <c r="G53" s="103"/>
    </row>
    <row r="54" spans="1:7" x14ac:dyDescent="0.2">
      <c r="A54" s="103" t="s">
        <v>387</v>
      </c>
      <c r="C54" s="103"/>
      <c r="D54" s="109">
        <f>+'Meters &amp; Services'!P61</f>
        <v>160</v>
      </c>
      <c r="E54" s="103"/>
      <c r="F54" s="110">
        <f>ROUND(D54/D$59,4)</f>
        <v>1.1999999999999999E-3</v>
      </c>
      <c r="G54" s="103"/>
    </row>
    <row r="55" spans="1:7" x14ac:dyDescent="0.2">
      <c r="A55" s="103" t="s">
        <v>389</v>
      </c>
      <c r="C55" s="103"/>
      <c r="D55" s="109">
        <f>+'Meters &amp; Services'!T61</f>
        <v>1935</v>
      </c>
      <c r="E55" s="103"/>
      <c r="F55" s="110">
        <f>ROUND(D55/D$59,4)</f>
        <v>1.4E-2</v>
      </c>
      <c r="G55" s="103"/>
    </row>
    <row r="56" spans="1:7" x14ac:dyDescent="0.2">
      <c r="A56" s="103" t="s">
        <v>503</v>
      </c>
      <c r="C56" s="103"/>
      <c r="D56" s="109">
        <f>+'Meters &amp; Services'!X61</f>
        <v>80</v>
      </c>
      <c r="E56" s="103"/>
      <c r="F56" s="110">
        <f>ROUND(D56/D$59,4)</f>
        <v>5.9999999999999995E-4</v>
      </c>
      <c r="G56" s="103"/>
    </row>
    <row r="57" spans="1:7" x14ac:dyDescent="0.2">
      <c r="A57" s="103" t="s">
        <v>391</v>
      </c>
      <c r="C57" s="103"/>
      <c r="D57" s="109">
        <f>+'Meters &amp; Services'!AB61</f>
        <v>6497</v>
      </c>
      <c r="E57" s="103"/>
      <c r="F57" s="110">
        <f>ROUND(D57/D$59,4)</f>
        <v>4.7E-2</v>
      </c>
      <c r="G57" s="103"/>
    </row>
    <row r="58" spans="1:7" x14ac:dyDescent="0.2">
      <c r="A58" s="103"/>
      <c r="C58" s="103"/>
      <c r="D58" s="111"/>
      <c r="E58" s="103"/>
      <c r="F58" s="115"/>
      <c r="G58" s="103"/>
    </row>
    <row r="59" spans="1:7" ht="15.75" thickBot="1" x14ac:dyDescent="0.25">
      <c r="A59" s="103" t="s">
        <v>393</v>
      </c>
      <c r="C59" s="103"/>
      <c r="D59" s="109">
        <f>SUM(D52:D58)</f>
        <v>138297</v>
      </c>
      <c r="E59" s="103"/>
      <c r="F59" s="171">
        <f>SUM(F52:F58)</f>
        <v>1</v>
      </c>
      <c r="G59" s="103"/>
    </row>
    <row r="60" spans="1:7" ht="15.75" thickTop="1" x14ac:dyDescent="0.2">
      <c r="A60" s="103"/>
      <c r="B60" s="103"/>
      <c r="C60" s="103"/>
      <c r="D60" s="116"/>
      <c r="E60" s="117"/>
      <c r="F60" s="118"/>
      <c r="G60" s="103"/>
    </row>
    <row r="61" spans="1:7" x14ac:dyDescent="0.2">
      <c r="A61" s="103"/>
      <c r="B61" s="103"/>
      <c r="C61" s="103"/>
      <c r="D61" s="103"/>
      <c r="E61" s="103"/>
      <c r="F61" s="103"/>
      <c r="G61" s="103"/>
    </row>
    <row r="62" spans="1:7" x14ac:dyDescent="0.2">
      <c r="A62" s="103"/>
      <c r="B62" s="103"/>
      <c r="C62" s="103"/>
      <c r="D62" s="103"/>
      <c r="E62" s="103"/>
      <c r="F62" s="103"/>
      <c r="G62" s="103"/>
    </row>
    <row r="63" spans="1:7" x14ac:dyDescent="0.2">
      <c r="A63" s="103"/>
      <c r="B63" s="103"/>
      <c r="C63" s="103"/>
      <c r="D63" s="103"/>
      <c r="E63" s="103"/>
      <c r="F63" s="103"/>
      <c r="G63" s="103"/>
    </row>
    <row r="64" spans="1:7" x14ac:dyDescent="0.2">
      <c r="A64" s="103"/>
      <c r="B64" s="103"/>
      <c r="C64" s="103"/>
      <c r="D64" s="103"/>
      <c r="E64" s="103"/>
      <c r="F64" s="103"/>
      <c r="G64" s="103"/>
    </row>
    <row r="65" spans="1:51" x14ac:dyDescent="0.2">
      <c r="A65" s="103"/>
      <c r="B65" s="103"/>
      <c r="C65" s="103"/>
      <c r="D65" s="103"/>
      <c r="E65" s="103"/>
      <c r="F65" s="103"/>
      <c r="G65" s="103"/>
    </row>
    <row r="66" spans="1:51" x14ac:dyDescent="0.2">
      <c r="A66" s="103"/>
      <c r="B66" s="103"/>
      <c r="C66" s="103"/>
      <c r="D66" s="103"/>
      <c r="E66" s="103"/>
      <c r="F66" s="103"/>
      <c r="G66" s="103"/>
    </row>
    <row r="67" spans="1:51" x14ac:dyDescent="0.2">
      <c r="A67" s="103"/>
      <c r="B67" s="103"/>
      <c r="C67" s="103"/>
      <c r="D67" s="103"/>
      <c r="E67" s="103"/>
      <c r="F67" s="103"/>
      <c r="G67" s="103"/>
    </row>
    <row r="68" spans="1:51" x14ac:dyDescent="0.2">
      <c r="A68" s="103"/>
      <c r="B68" s="103"/>
      <c r="C68" s="103"/>
      <c r="D68" s="103"/>
      <c r="E68" s="103"/>
      <c r="F68" s="103"/>
      <c r="G68" s="103"/>
    </row>
    <row r="69" spans="1:51" x14ac:dyDescent="0.2">
      <c r="A69" s="103"/>
      <c r="B69" s="103"/>
      <c r="C69" s="103"/>
      <c r="D69" s="103"/>
      <c r="E69" s="103"/>
      <c r="F69" s="103"/>
      <c r="G69" s="103"/>
    </row>
    <row r="73" spans="1:51" x14ac:dyDescent="0.2">
      <c r="AO73" s="103"/>
      <c r="AQ73" s="100"/>
      <c r="AR73" s="100"/>
      <c r="AS73" s="100"/>
      <c r="AT73" s="100"/>
      <c r="AU73" s="100"/>
      <c r="AV73" s="100"/>
      <c r="AW73" s="100"/>
      <c r="AX73" s="100"/>
      <c r="AY73" s="100"/>
    </row>
    <row r="74" spans="1:51" x14ac:dyDescent="0.2">
      <c r="AO74" s="103">
        <f>14*15</f>
        <v>210</v>
      </c>
      <c r="AQ74" s="100"/>
      <c r="AR74" s="100"/>
      <c r="AS74" s="100"/>
      <c r="AT74" s="100"/>
      <c r="AU74" s="100"/>
      <c r="AV74" s="100"/>
      <c r="AW74" s="100"/>
      <c r="AX74" s="100"/>
      <c r="AY74" s="100"/>
    </row>
    <row r="75" spans="1:51" x14ac:dyDescent="0.2">
      <c r="AO75" s="103"/>
      <c r="AQ75" s="101"/>
      <c r="AR75" s="100"/>
      <c r="AS75" s="100"/>
      <c r="AT75" s="100"/>
      <c r="AU75" s="100"/>
      <c r="AV75" s="100"/>
      <c r="AW75" s="100"/>
      <c r="AX75" s="100"/>
      <c r="AY75" s="100"/>
    </row>
    <row r="76" spans="1:51" x14ac:dyDescent="0.2">
      <c r="AO76" s="103"/>
      <c r="AQ76" s="101"/>
      <c r="AR76" s="100"/>
      <c r="AS76" s="100"/>
      <c r="AT76" s="100"/>
      <c r="AU76" s="100"/>
      <c r="AV76" s="100"/>
      <c r="AW76" s="100"/>
      <c r="AX76" s="100"/>
      <c r="AY76" s="100"/>
    </row>
    <row r="77" spans="1:51" x14ac:dyDescent="0.2">
      <c r="AO77" s="103"/>
    </row>
    <row r="78" spans="1:51" x14ac:dyDescent="0.2">
      <c r="AO78" s="103"/>
      <c r="AQ78" s="103"/>
      <c r="AR78" s="103"/>
      <c r="AS78" s="103"/>
      <c r="AT78" s="103"/>
      <c r="AU78" s="103"/>
      <c r="AV78" s="103"/>
      <c r="AW78" s="103"/>
      <c r="AX78" s="103"/>
      <c r="AY78" s="103"/>
    </row>
    <row r="79" spans="1:51" x14ac:dyDescent="0.2">
      <c r="AO79" s="103"/>
      <c r="AQ79" s="103"/>
      <c r="AR79" s="103"/>
      <c r="AS79" s="104"/>
      <c r="AT79" s="104"/>
      <c r="AU79" s="104"/>
      <c r="AV79" s="104"/>
      <c r="AW79" s="104"/>
      <c r="AX79" s="104"/>
      <c r="AY79" s="104"/>
    </row>
    <row r="80" spans="1:51" x14ac:dyDescent="0.2">
      <c r="AO80" s="103"/>
      <c r="AQ80" s="104"/>
      <c r="AR80" s="103"/>
      <c r="AS80" s="104"/>
      <c r="AT80" s="104"/>
      <c r="AU80" s="104"/>
      <c r="AV80" s="104"/>
      <c r="AW80" s="104"/>
      <c r="AX80" s="104"/>
      <c r="AY80" s="104"/>
    </row>
    <row r="81" spans="41:51" x14ac:dyDescent="0.2">
      <c r="AO81" s="103"/>
      <c r="AQ81" s="104"/>
      <c r="AR81" s="103"/>
      <c r="AS81" s="104"/>
      <c r="AT81" s="104"/>
      <c r="AU81" s="104"/>
      <c r="AV81" s="104"/>
      <c r="AW81" s="104"/>
      <c r="AX81" s="104"/>
      <c r="AY81" s="104"/>
    </row>
    <row r="82" spans="41:51" x14ac:dyDescent="0.2">
      <c r="AO82" s="103"/>
      <c r="AQ82" s="120"/>
      <c r="AR82" s="103"/>
      <c r="AS82" s="120"/>
      <c r="AT82" s="120"/>
      <c r="AU82" s="120"/>
      <c r="AV82" s="103"/>
      <c r="AW82" s="120"/>
      <c r="AX82" s="120"/>
      <c r="AY82" s="120"/>
    </row>
    <row r="83" spans="41:51" x14ac:dyDescent="0.2">
      <c r="AO83" s="103"/>
      <c r="AQ83" s="103"/>
      <c r="AR83" s="103"/>
      <c r="AS83" s="103"/>
      <c r="AT83" s="103"/>
      <c r="AU83" s="103"/>
      <c r="AV83" s="103"/>
      <c r="AW83" s="103"/>
      <c r="AX83" s="103"/>
      <c r="AY83" s="103"/>
    </row>
    <row r="84" spans="41:51" x14ac:dyDescent="0.2">
      <c r="AO84" s="103"/>
      <c r="AQ84" s="104"/>
      <c r="AR84" s="103"/>
      <c r="AS84" s="109"/>
      <c r="AT84" s="109"/>
      <c r="AU84" s="109"/>
      <c r="AV84" s="109"/>
      <c r="AW84" s="109"/>
      <c r="AX84" s="121"/>
      <c r="AY84" s="121"/>
    </row>
    <row r="85" spans="41:51" x14ac:dyDescent="0.2">
      <c r="AO85" s="103"/>
      <c r="AQ85" s="104"/>
      <c r="AR85" s="103"/>
      <c r="AS85" s="109"/>
      <c r="AT85" s="109"/>
      <c r="AU85" s="109"/>
      <c r="AV85" s="109"/>
      <c r="AW85" s="109"/>
      <c r="AX85" s="121"/>
      <c r="AY85" s="121"/>
    </row>
    <row r="86" spans="41:51" x14ac:dyDescent="0.2">
      <c r="AO86" s="103"/>
      <c r="AQ86" s="104"/>
      <c r="AR86" s="103"/>
      <c r="AS86" s="109"/>
      <c r="AT86" s="109"/>
      <c r="AU86" s="109"/>
      <c r="AV86" s="109"/>
      <c r="AW86" s="109"/>
      <c r="AX86" s="121"/>
      <c r="AY86" s="121"/>
    </row>
    <row r="87" spans="41:51" x14ac:dyDescent="0.2">
      <c r="AO87" s="103"/>
      <c r="AQ87" s="104"/>
      <c r="AR87" s="103"/>
      <c r="AS87" s="109"/>
      <c r="AT87" s="109"/>
      <c r="AU87" s="109"/>
      <c r="AV87" s="109"/>
      <c r="AW87" s="109"/>
      <c r="AX87" s="121"/>
      <c r="AY87" s="121"/>
    </row>
    <row r="88" spans="41:51" x14ac:dyDescent="0.2">
      <c r="AO88" s="103"/>
      <c r="AQ88" s="104"/>
      <c r="AR88" s="103"/>
      <c r="AS88" s="109"/>
      <c r="AT88" s="109"/>
      <c r="AU88" s="109"/>
      <c r="AV88" s="109"/>
      <c r="AW88" s="109"/>
      <c r="AX88" s="121"/>
      <c r="AY88" s="121"/>
    </row>
    <row r="89" spans="41:51" x14ac:dyDescent="0.2">
      <c r="AO89" s="103"/>
      <c r="AQ89" s="104"/>
      <c r="AR89" s="103"/>
      <c r="AS89" s="109"/>
      <c r="AT89" s="109"/>
      <c r="AU89" s="109"/>
      <c r="AV89" s="109"/>
      <c r="AW89" s="109"/>
      <c r="AX89" s="121"/>
      <c r="AY89" s="121"/>
    </row>
    <row r="90" spans="41:51" x14ac:dyDescent="0.2">
      <c r="AO90" s="103"/>
      <c r="AQ90" s="104"/>
      <c r="AR90" s="103"/>
      <c r="AS90" s="109"/>
      <c r="AT90" s="109"/>
      <c r="AU90" s="109"/>
      <c r="AV90" s="109"/>
      <c r="AW90" s="109"/>
      <c r="AX90" s="121"/>
      <c r="AY90" s="121"/>
    </row>
    <row r="91" spans="41:51" x14ac:dyDescent="0.2">
      <c r="AO91" s="103"/>
      <c r="AQ91" s="104"/>
      <c r="AR91" s="103"/>
      <c r="AS91" s="109"/>
      <c r="AT91" s="109"/>
      <c r="AU91" s="109"/>
      <c r="AV91" s="109"/>
      <c r="AW91" s="109"/>
      <c r="AX91" s="121"/>
      <c r="AY91" s="121"/>
    </row>
    <row r="92" spans="41:51" x14ac:dyDescent="0.2">
      <c r="AO92" s="103"/>
      <c r="AQ92" s="104"/>
      <c r="AR92" s="103"/>
      <c r="AS92" s="109"/>
      <c r="AT92" s="109"/>
      <c r="AU92" s="109"/>
      <c r="AV92" s="109"/>
      <c r="AW92" s="109"/>
      <c r="AX92" s="121"/>
      <c r="AY92" s="121"/>
    </row>
    <row r="93" spans="41:51" x14ac:dyDescent="0.2">
      <c r="AO93" s="103"/>
      <c r="AQ93" s="104"/>
      <c r="AR93" s="103"/>
      <c r="AS93" s="109"/>
      <c r="AT93" s="109"/>
      <c r="AU93" s="109"/>
      <c r="AV93" s="109"/>
      <c r="AW93" s="109"/>
      <c r="AX93" s="121"/>
      <c r="AY93" s="121"/>
    </row>
    <row r="94" spans="41:51" x14ac:dyDescent="0.2">
      <c r="AO94" s="103"/>
      <c r="AQ94" s="104"/>
      <c r="AR94" s="103"/>
      <c r="AS94" s="109"/>
      <c r="AT94" s="109"/>
      <c r="AU94" s="109"/>
      <c r="AV94" s="109"/>
      <c r="AW94" s="109"/>
      <c r="AX94" s="121"/>
      <c r="AY94" s="121"/>
    </row>
    <row r="95" spans="41:51" x14ac:dyDescent="0.2">
      <c r="AO95" s="103"/>
      <c r="AQ95" s="104"/>
      <c r="AR95" s="103"/>
      <c r="AS95" s="109"/>
      <c r="AT95" s="109"/>
      <c r="AU95" s="109"/>
      <c r="AV95" s="109"/>
      <c r="AW95" s="109"/>
      <c r="AX95" s="121"/>
      <c r="AY95" s="121"/>
    </row>
    <row r="96" spans="41:51" x14ac:dyDescent="0.2">
      <c r="AO96" s="103"/>
      <c r="AQ96" s="104"/>
      <c r="AR96" s="103"/>
      <c r="AS96" s="109"/>
      <c r="AT96" s="109"/>
      <c r="AU96" s="109"/>
      <c r="AV96" s="109"/>
      <c r="AW96" s="109"/>
      <c r="AX96" s="121"/>
      <c r="AY96" s="121"/>
    </row>
    <row r="97" spans="10:51" x14ac:dyDescent="0.2">
      <c r="AO97" s="103"/>
      <c r="AQ97" s="104"/>
      <c r="AR97" s="103"/>
      <c r="AS97" s="109"/>
      <c r="AT97" s="109"/>
      <c r="AU97" s="109"/>
      <c r="AV97" s="109"/>
      <c r="AW97" s="109"/>
      <c r="AX97" s="121"/>
      <c r="AY97" s="121"/>
    </row>
    <row r="98" spans="10:51" x14ac:dyDescent="0.2">
      <c r="AO98" s="103"/>
      <c r="AQ98" s="104"/>
      <c r="AR98" s="103"/>
      <c r="AS98" s="109"/>
      <c r="AT98" s="109"/>
      <c r="AU98" s="109"/>
      <c r="AV98" s="109"/>
      <c r="AW98" s="109"/>
      <c r="AX98" s="121"/>
      <c r="AY98" s="121"/>
    </row>
    <row r="99" spans="10:51" x14ac:dyDescent="0.2">
      <c r="AO99" s="103"/>
      <c r="AQ99" s="104"/>
    </row>
    <row r="100" spans="10:51" x14ac:dyDescent="0.2">
      <c r="AO100" s="103"/>
      <c r="AQ100" s="104"/>
      <c r="AS100" s="109"/>
      <c r="AU100" s="109"/>
      <c r="AW100" s="109"/>
      <c r="AY100" s="121"/>
    </row>
    <row r="101" spans="10:51" x14ac:dyDescent="0.2">
      <c r="AO101" s="103"/>
      <c r="AQ101" s="104"/>
      <c r="AS101" s="109"/>
      <c r="AU101" s="109"/>
      <c r="AW101" s="109"/>
      <c r="AY101" s="121"/>
    </row>
    <row r="102" spans="10:51" x14ac:dyDescent="0.2">
      <c r="AO102" s="103"/>
      <c r="AQ102" s="104"/>
      <c r="AS102" s="109"/>
      <c r="AU102" s="109"/>
      <c r="AW102" s="109"/>
      <c r="AY102" s="121"/>
    </row>
    <row r="103" spans="10:51" x14ac:dyDescent="0.2">
      <c r="AO103" s="103"/>
      <c r="AQ103" s="104"/>
      <c r="AS103" s="109"/>
      <c r="AU103" s="109"/>
      <c r="AW103" s="109"/>
      <c r="AY103" s="121"/>
    </row>
    <row r="104" spans="10:51" x14ac:dyDescent="0.2">
      <c r="AO104" s="103"/>
      <c r="AQ104" s="104"/>
      <c r="AS104" s="109"/>
      <c r="AU104" s="109"/>
      <c r="AW104" s="109"/>
      <c r="AY104" s="121"/>
    </row>
    <row r="105" spans="10:51" x14ac:dyDescent="0.2">
      <c r="AO105" s="103"/>
      <c r="AQ105" s="104"/>
      <c r="AS105" s="109"/>
      <c r="AU105" s="109"/>
      <c r="AW105" s="109"/>
      <c r="AY105" s="121"/>
    </row>
    <row r="106" spans="10:51" x14ac:dyDescent="0.2">
      <c r="AO106" s="103"/>
      <c r="AQ106" s="104"/>
      <c r="AS106" s="109"/>
      <c r="AU106" s="109"/>
      <c r="AW106" s="109"/>
      <c r="AY106" s="121"/>
    </row>
    <row r="107" spans="10:51" x14ac:dyDescent="0.2">
      <c r="AO107" s="103"/>
    </row>
    <row r="108" spans="10:51" x14ac:dyDescent="0.2">
      <c r="AO108" s="103"/>
    </row>
    <row r="109" spans="10:51" x14ac:dyDescent="0.2">
      <c r="AO109" s="103"/>
    </row>
    <row r="110" spans="10:51" x14ac:dyDescent="0.2">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row>
    <row r="111" spans="10:51" x14ac:dyDescent="0.2">
      <c r="J111" s="103"/>
      <c r="K111" s="103"/>
      <c r="L111" s="103"/>
      <c r="M111" s="103"/>
      <c r="N111" s="103"/>
      <c r="O111" s="103"/>
      <c r="P111" s="122"/>
      <c r="Q111" s="103"/>
      <c r="R111" s="103"/>
      <c r="S111" s="103"/>
      <c r="T111" s="122"/>
      <c r="U111" s="103"/>
      <c r="V111" s="103"/>
      <c r="W111" s="103"/>
      <c r="X111" s="122"/>
      <c r="Y111" s="103"/>
      <c r="Z111" s="103"/>
      <c r="AA111" s="103"/>
      <c r="AB111" s="122"/>
      <c r="AC111" s="103"/>
      <c r="AD111" s="103"/>
      <c r="AE111" s="103"/>
      <c r="AF111" s="122"/>
      <c r="AG111" s="103"/>
      <c r="AH111" s="103"/>
      <c r="AI111" s="103"/>
      <c r="AJ111" s="123"/>
      <c r="AK111" s="103"/>
      <c r="AL111" s="103"/>
      <c r="AM111" s="103"/>
      <c r="AN111" s="122"/>
      <c r="AO111" s="103"/>
    </row>
    <row r="112" spans="10:51" x14ac:dyDescent="0.2">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row>
    <row r="113" spans="10:41" x14ac:dyDescent="0.2">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row>
    <row r="114" spans="10:41" x14ac:dyDescent="0.2">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row>
    <row r="115" spans="10:41" x14ac:dyDescent="0.2">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row>
    <row r="116" spans="10:41" x14ac:dyDescent="0.2">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row>
    <row r="117" spans="10:41" x14ac:dyDescent="0.2">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row>
    <row r="118" spans="10:41" x14ac:dyDescent="0.2">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row>
    <row r="119" spans="10:41" x14ac:dyDescent="0.2">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row>
    <row r="120" spans="10:41" x14ac:dyDescent="0.2">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row>
    <row r="121" spans="10:41" x14ac:dyDescent="0.2">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row>
    <row r="122" spans="10:41" x14ac:dyDescent="0.2">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row>
    <row r="123" spans="10:41" x14ac:dyDescent="0.2">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row>
    <row r="124" spans="10:41" x14ac:dyDescent="0.2">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row>
    <row r="125" spans="10:41" x14ac:dyDescent="0.2">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row>
    <row r="126" spans="10:41" x14ac:dyDescent="0.2">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row>
    <row r="127" spans="10:41" x14ac:dyDescent="0.2">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row>
    <row r="128" spans="10:41" x14ac:dyDescent="0.2">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row>
    <row r="129" spans="10:41" x14ac:dyDescent="0.2">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row>
    <row r="130" spans="10:41" x14ac:dyDescent="0.2">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row>
    <row r="131" spans="10:41" x14ac:dyDescent="0.2">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row>
    <row r="132" spans="10:41" x14ac:dyDescent="0.2">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row>
    <row r="133" spans="10:41" x14ac:dyDescent="0.2">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row>
    <row r="134" spans="10:41" x14ac:dyDescent="0.2">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row>
    <row r="135" spans="10:41" x14ac:dyDescent="0.2">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row>
    <row r="136" spans="10:41" x14ac:dyDescent="0.2">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row>
    <row r="137" spans="10:41" x14ac:dyDescent="0.2">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row>
    <row r="138" spans="10:41" x14ac:dyDescent="0.2">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row>
    <row r="139" spans="10:41" x14ac:dyDescent="0.2">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row>
    <row r="140" spans="10:41" x14ac:dyDescent="0.2">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row>
    <row r="141" spans="10:41" x14ac:dyDescent="0.2">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row>
    <row r="142" spans="10:41" x14ac:dyDescent="0.2">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row>
    <row r="143" spans="10:41" x14ac:dyDescent="0.2">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row>
    <row r="144" spans="10:41" x14ac:dyDescent="0.2">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row>
    <row r="145" spans="10:51" x14ac:dyDescent="0.2">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row>
    <row r="146" spans="10:51" x14ac:dyDescent="0.2">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row>
    <row r="147" spans="10:51" x14ac:dyDescent="0.2">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row>
    <row r="148" spans="10:51" x14ac:dyDescent="0.2">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row>
    <row r="149" spans="10:51" x14ac:dyDescent="0.2">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row>
    <row r="150" spans="10:51" x14ac:dyDescent="0.2">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row>
    <row r="151" spans="10:51" x14ac:dyDescent="0.2">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row>
    <row r="152" spans="10:51" x14ac:dyDescent="0.2">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row>
    <row r="153" spans="10:51" x14ac:dyDescent="0.2">
      <c r="J153" s="103" t="s">
        <v>266</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row>
    <row r="154" spans="10:51" x14ac:dyDescent="0.2">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row>
    <row r="155" spans="10:51" x14ac:dyDescent="0.2">
      <c r="J155" s="124" t="s">
        <v>500</v>
      </c>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row>
    <row r="156" spans="10:51" x14ac:dyDescent="0.2">
      <c r="J156" s="100" t="s">
        <v>371</v>
      </c>
      <c r="K156" s="101"/>
      <c r="L156" s="101"/>
      <c r="M156" s="101"/>
      <c r="N156" s="101"/>
      <c r="O156" s="101"/>
      <c r="P156" s="101"/>
      <c r="Q156" s="101"/>
      <c r="R156" s="101"/>
      <c r="S156" s="101"/>
      <c r="T156" s="101"/>
      <c r="U156" s="101"/>
      <c r="V156" s="100"/>
      <c r="W156" s="101"/>
      <c r="X156" s="101"/>
      <c r="Y156" s="101"/>
      <c r="Z156" s="101"/>
      <c r="AA156" s="101"/>
      <c r="AB156" s="101"/>
      <c r="AC156" s="101"/>
      <c r="AD156" s="101"/>
      <c r="AE156" s="101"/>
      <c r="AF156" s="101"/>
      <c r="AG156" s="101"/>
      <c r="AH156" s="101"/>
      <c r="AI156" s="101"/>
      <c r="AJ156" s="101"/>
      <c r="AK156" s="101"/>
      <c r="AL156" s="101"/>
      <c r="AM156" s="101"/>
      <c r="AN156" s="101"/>
      <c r="AO156" s="103"/>
      <c r="AQ156" s="100"/>
      <c r="AR156" s="100"/>
      <c r="AS156" s="100"/>
      <c r="AT156" s="100"/>
      <c r="AU156" s="100"/>
      <c r="AV156" s="100"/>
      <c r="AW156" s="100"/>
      <c r="AX156" s="100"/>
      <c r="AY156" s="100"/>
    </row>
    <row r="157" spans="10:51" x14ac:dyDescent="0.2">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3"/>
      <c r="AQ157" s="100"/>
      <c r="AR157" s="100"/>
      <c r="AS157" s="100"/>
      <c r="AT157" s="100"/>
      <c r="AU157" s="100"/>
      <c r="AV157" s="100"/>
      <c r="AW157" s="100"/>
      <c r="AX157" s="100"/>
      <c r="AY157" s="100"/>
    </row>
    <row r="158" spans="10:51" x14ac:dyDescent="0.2">
      <c r="J158" s="101" t="s">
        <v>501</v>
      </c>
      <c r="K158" s="101"/>
      <c r="L158" s="101"/>
      <c r="M158" s="101"/>
      <c r="N158" s="101"/>
      <c r="O158" s="101"/>
      <c r="P158" s="101"/>
      <c r="Q158" s="101"/>
      <c r="R158" s="101"/>
      <c r="S158" s="101"/>
      <c r="T158" s="100"/>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3"/>
      <c r="AQ158" s="101"/>
      <c r="AR158" s="100"/>
      <c r="AS158" s="100"/>
      <c r="AT158" s="100"/>
      <c r="AU158" s="100"/>
      <c r="AV158" s="100"/>
      <c r="AW158" s="100"/>
      <c r="AX158" s="100"/>
      <c r="AY158" s="100"/>
    </row>
    <row r="159" spans="10:51" x14ac:dyDescent="0.2">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Q159" s="101"/>
      <c r="AR159" s="100"/>
      <c r="AS159" s="100"/>
      <c r="AT159" s="100"/>
      <c r="AU159" s="100"/>
      <c r="AV159" s="100"/>
      <c r="AW159" s="100"/>
      <c r="AX159" s="100"/>
      <c r="AY159" s="100"/>
    </row>
    <row r="160" spans="10:51" x14ac:dyDescent="0.2">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row>
    <row r="161" spans="7:51" x14ac:dyDescent="0.2">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Q161" s="103"/>
      <c r="AR161" s="103"/>
      <c r="AS161" s="103"/>
      <c r="AT161" s="103"/>
      <c r="AU161" s="103"/>
      <c r="AV161" s="103"/>
      <c r="AW161" s="103"/>
      <c r="AX161" s="103"/>
      <c r="AY161" s="103"/>
    </row>
    <row r="162" spans="7:51" x14ac:dyDescent="0.2">
      <c r="J162" s="104"/>
      <c r="K162" s="104"/>
      <c r="L162" s="104" t="s">
        <v>502</v>
      </c>
      <c r="M162" s="104"/>
      <c r="N162" s="101" t="s">
        <v>385</v>
      </c>
      <c r="O162" s="101"/>
      <c r="P162" s="101"/>
      <c r="Q162" s="104"/>
      <c r="R162" s="101" t="s">
        <v>386</v>
      </c>
      <c r="S162" s="101"/>
      <c r="T162" s="101"/>
      <c r="U162" s="104"/>
      <c r="V162" s="101" t="s">
        <v>387</v>
      </c>
      <c r="W162" s="101"/>
      <c r="X162" s="101"/>
      <c r="Y162" s="104"/>
      <c r="Z162" s="101" t="s">
        <v>389</v>
      </c>
      <c r="AA162" s="101"/>
      <c r="AB162" s="101"/>
      <c r="AC162" s="104"/>
      <c r="AD162" s="101" t="s">
        <v>506</v>
      </c>
      <c r="AE162" s="101"/>
      <c r="AF162" s="101"/>
      <c r="AG162" s="104"/>
      <c r="AH162" s="101" t="s">
        <v>391</v>
      </c>
      <c r="AI162" s="101"/>
      <c r="AJ162" s="101"/>
      <c r="AK162" s="104"/>
      <c r="AL162" s="101" t="s">
        <v>507</v>
      </c>
      <c r="AM162" s="101"/>
      <c r="AN162" s="101"/>
      <c r="AO162" s="103"/>
      <c r="AQ162" s="103"/>
      <c r="AR162" s="103"/>
      <c r="AS162" s="104"/>
      <c r="AT162" s="104"/>
      <c r="AU162" s="104"/>
      <c r="AV162" s="104"/>
      <c r="AW162" s="104"/>
      <c r="AX162" s="104"/>
      <c r="AY162" s="104"/>
    </row>
    <row r="163" spans="7:51" x14ac:dyDescent="0.2">
      <c r="J163" s="104" t="s">
        <v>395</v>
      </c>
      <c r="K163" s="104"/>
      <c r="L163" s="104" t="s">
        <v>396</v>
      </c>
      <c r="M163" s="104"/>
      <c r="N163" s="107" t="s">
        <v>364</v>
      </c>
      <c r="O163" s="107"/>
      <c r="P163" s="107"/>
      <c r="Q163" s="104"/>
      <c r="R163" s="107" t="s">
        <v>364</v>
      </c>
      <c r="S163" s="107"/>
      <c r="T163" s="107"/>
      <c r="U163" s="104"/>
      <c r="V163" s="107" t="s">
        <v>364</v>
      </c>
      <c r="W163" s="107"/>
      <c r="X163" s="107"/>
      <c r="Y163" s="104"/>
      <c r="Z163" s="107" t="s">
        <v>364</v>
      </c>
      <c r="AA163" s="107"/>
      <c r="AB163" s="107"/>
      <c r="AC163" s="104"/>
      <c r="AD163" s="107" t="s">
        <v>364</v>
      </c>
      <c r="AE163" s="107"/>
      <c r="AF163" s="107"/>
      <c r="AG163" s="104"/>
      <c r="AH163" s="107" t="s">
        <v>364</v>
      </c>
      <c r="AI163" s="107"/>
      <c r="AJ163" s="107"/>
      <c r="AK163" s="104"/>
      <c r="AL163" s="107" t="s">
        <v>364</v>
      </c>
      <c r="AM163" s="107"/>
      <c r="AN163" s="107"/>
      <c r="AO163" s="103"/>
      <c r="AQ163" s="104"/>
      <c r="AR163" s="103"/>
      <c r="AS163" s="104"/>
      <c r="AT163" s="104"/>
      <c r="AU163" s="104"/>
      <c r="AV163" s="104"/>
      <c r="AW163" s="104"/>
      <c r="AX163" s="104"/>
      <c r="AY163" s="104"/>
    </row>
    <row r="164" spans="7:51" x14ac:dyDescent="0.2">
      <c r="J164" s="104" t="s">
        <v>397</v>
      </c>
      <c r="K164" s="104"/>
      <c r="L164" s="104" t="s">
        <v>398</v>
      </c>
      <c r="M164" s="104"/>
      <c r="N164" s="104" t="s">
        <v>508</v>
      </c>
      <c r="O164" s="104"/>
      <c r="P164" s="104" t="s">
        <v>509</v>
      </c>
      <c r="Q164" s="104"/>
      <c r="R164" s="104" t="s">
        <v>508</v>
      </c>
      <c r="S164" s="104"/>
      <c r="T164" s="104" t="s">
        <v>509</v>
      </c>
      <c r="U164" s="104"/>
      <c r="V164" s="104" t="s">
        <v>508</v>
      </c>
      <c r="W164" s="104"/>
      <c r="X164" s="104" t="s">
        <v>509</v>
      </c>
      <c r="Y164" s="104"/>
      <c r="Z164" s="104" t="s">
        <v>508</v>
      </c>
      <c r="AA164" s="104"/>
      <c r="AB164" s="104" t="s">
        <v>509</v>
      </c>
      <c r="AC164" s="104"/>
      <c r="AD164" s="104" t="s">
        <v>508</v>
      </c>
      <c r="AE164" s="104"/>
      <c r="AF164" s="104" t="s">
        <v>509</v>
      </c>
      <c r="AG164" s="104"/>
      <c r="AH164" s="104" t="s">
        <v>508</v>
      </c>
      <c r="AI164" s="104"/>
      <c r="AJ164" s="104" t="s">
        <v>509</v>
      </c>
      <c r="AK164" s="104"/>
      <c r="AL164" s="104" t="s">
        <v>508</v>
      </c>
      <c r="AM164" s="104"/>
      <c r="AN164" s="104" t="s">
        <v>509</v>
      </c>
      <c r="AO164" s="103"/>
      <c r="AQ164" s="104"/>
      <c r="AR164" s="103"/>
      <c r="AS164" s="104"/>
      <c r="AT164" s="104"/>
      <c r="AU164" s="104"/>
      <c r="AV164" s="104"/>
      <c r="AW164" s="104"/>
      <c r="AX164" s="104"/>
      <c r="AY164" s="104"/>
    </row>
    <row r="165" spans="7:51" x14ac:dyDescent="0.2">
      <c r="J165" s="125">
        <v>-1</v>
      </c>
      <c r="K165" s="120"/>
      <c r="L165" s="125">
        <v>-2</v>
      </c>
      <c r="M165" s="120"/>
      <c r="N165" s="125">
        <v>-3</v>
      </c>
      <c r="O165" s="120"/>
      <c r="P165" s="125" t="s">
        <v>510</v>
      </c>
      <c r="Q165" s="120"/>
      <c r="R165" s="125">
        <v>-5</v>
      </c>
      <c r="S165" s="120"/>
      <c r="T165" s="125" t="s">
        <v>511</v>
      </c>
      <c r="U165" s="120"/>
      <c r="V165" s="125">
        <v>-7</v>
      </c>
      <c r="W165" s="120"/>
      <c r="X165" s="125" t="s">
        <v>512</v>
      </c>
      <c r="Y165" s="120"/>
      <c r="Z165" s="125">
        <v>-9</v>
      </c>
      <c r="AA165" s="120"/>
      <c r="AB165" s="125" t="s">
        <v>513</v>
      </c>
      <c r="AC165" s="120"/>
      <c r="AD165" s="125">
        <v>-11</v>
      </c>
      <c r="AE165" s="120"/>
      <c r="AF165" s="125" t="s">
        <v>514</v>
      </c>
      <c r="AG165" s="120"/>
      <c r="AH165" s="125">
        <v>-13</v>
      </c>
      <c r="AI165" s="120"/>
      <c r="AJ165" s="125" t="s">
        <v>515</v>
      </c>
      <c r="AK165" s="120"/>
      <c r="AL165" s="125">
        <v>-15</v>
      </c>
      <c r="AM165" s="120"/>
      <c r="AN165" s="125">
        <v>-16</v>
      </c>
      <c r="AO165" s="103"/>
      <c r="AQ165" s="120"/>
      <c r="AR165" s="103"/>
      <c r="AS165" s="120"/>
      <c r="AT165" s="120"/>
      <c r="AU165" s="120"/>
      <c r="AV165" s="103"/>
      <c r="AW165" s="120"/>
      <c r="AX165" s="120"/>
      <c r="AY165" s="120"/>
    </row>
    <row r="166" spans="7:51" x14ac:dyDescent="0.2">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Q166" s="103"/>
      <c r="AR166" s="103"/>
      <c r="AS166" s="103"/>
      <c r="AT166" s="103"/>
      <c r="AU166" s="103"/>
      <c r="AV166" s="103"/>
      <c r="AW166" s="103"/>
      <c r="AX166" s="103"/>
      <c r="AY166" s="103"/>
    </row>
    <row r="167" spans="7:51" x14ac:dyDescent="0.2">
      <c r="J167" s="103" t="s">
        <v>516</v>
      </c>
      <c r="K167" s="103"/>
      <c r="L167" s="121">
        <v>1</v>
      </c>
      <c r="M167" s="103"/>
      <c r="N167" s="109">
        <v>262484</v>
      </c>
      <c r="O167" s="103"/>
      <c r="P167" s="109">
        <f>ROUND(+N167*$L167,0)</f>
        <v>262484</v>
      </c>
      <c r="Q167" s="103"/>
      <c r="R167" s="109">
        <v>7892</v>
      </c>
      <c r="S167" s="103"/>
      <c r="T167" s="109">
        <f>ROUND(+R167*$L167,0)</f>
        <v>7892</v>
      </c>
      <c r="U167" s="103"/>
      <c r="V167" s="109">
        <v>272</v>
      </c>
      <c r="W167" s="103"/>
      <c r="X167" s="109">
        <f>ROUND(+V167*$L167,0)</f>
        <v>272</v>
      </c>
      <c r="Y167" s="103"/>
      <c r="Z167" s="109">
        <v>299</v>
      </c>
      <c r="AA167" s="103"/>
      <c r="AB167" s="109">
        <f>ROUND(+Z167*$L167,0)</f>
        <v>299</v>
      </c>
      <c r="AC167" s="103"/>
      <c r="AD167" s="109">
        <v>0</v>
      </c>
      <c r="AE167" s="103"/>
      <c r="AF167" s="109">
        <f>ROUND(+AD167*$L167,0)</f>
        <v>0</v>
      </c>
      <c r="AG167" s="103"/>
      <c r="AH167" s="109">
        <v>0</v>
      </c>
      <c r="AI167" s="103"/>
      <c r="AJ167" s="109">
        <f>ROUND(+AH167*$L167,0)</f>
        <v>0</v>
      </c>
      <c r="AK167" s="103"/>
      <c r="AL167" s="109">
        <f>N167+R167+V167+Z167+AD167+AH167</f>
        <v>270947</v>
      </c>
      <c r="AM167" s="103"/>
      <c r="AN167" s="109">
        <f>P167+T167+X167+AB167+AF167+AJ167</f>
        <v>270947</v>
      </c>
      <c r="AO167" s="103"/>
      <c r="AQ167" s="104"/>
      <c r="AR167" s="103"/>
      <c r="AS167" s="109"/>
      <c r="AT167" s="109"/>
      <c r="AU167" s="109"/>
      <c r="AV167" s="109"/>
      <c r="AW167" s="109"/>
      <c r="AX167" s="121"/>
      <c r="AY167" s="121"/>
    </row>
    <row r="168" spans="7:51" x14ac:dyDescent="0.2">
      <c r="J168" s="103"/>
      <c r="K168" s="103"/>
      <c r="L168" s="121"/>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Q168" s="104"/>
      <c r="AR168" s="103"/>
      <c r="AS168" s="109"/>
      <c r="AT168" s="109"/>
      <c r="AU168" s="109"/>
      <c r="AV168" s="109"/>
      <c r="AW168" s="109"/>
      <c r="AX168" s="121"/>
      <c r="AY168" s="121"/>
    </row>
    <row r="169" spans="7:51" x14ac:dyDescent="0.2">
      <c r="G169" s="121"/>
      <c r="J169" s="103" t="s">
        <v>517</v>
      </c>
      <c r="K169" s="103"/>
      <c r="L169" s="121">
        <v>1.19</v>
      </c>
      <c r="M169" s="103"/>
      <c r="N169" s="109">
        <v>4546</v>
      </c>
      <c r="O169" s="103"/>
      <c r="P169" s="109">
        <f>ROUND(+N169*$L169,0)</f>
        <v>5410</v>
      </c>
      <c r="Q169" s="103"/>
      <c r="R169" s="109">
        <v>2180</v>
      </c>
      <c r="S169" s="103"/>
      <c r="T169" s="109">
        <f>ROUND(+R169*$L169,0)</f>
        <v>2594</v>
      </c>
      <c r="U169" s="103"/>
      <c r="V169" s="109">
        <v>146</v>
      </c>
      <c r="W169" s="103"/>
      <c r="X169" s="109">
        <f>ROUND(+V169*$L169,0)</f>
        <v>174</v>
      </c>
      <c r="Y169" s="103"/>
      <c r="Z169" s="109">
        <v>179</v>
      </c>
      <c r="AA169" s="103"/>
      <c r="AB169" s="109">
        <f>ROUND(+Z169*$L169,0)</f>
        <v>213</v>
      </c>
      <c r="AC169" s="103"/>
      <c r="AD169" s="109">
        <v>1</v>
      </c>
      <c r="AE169" s="103"/>
      <c r="AF169" s="109">
        <f>ROUND(+AD169*$L169,0)</f>
        <v>1</v>
      </c>
      <c r="AG169" s="103"/>
      <c r="AH169" s="109">
        <v>2</v>
      </c>
      <c r="AI169" s="103"/>
      <c r="AJ169" s="109">
        <f>ROUND(+AH169*$L169,0)</f>
        <v>2</v>
      </c>
      <c r="AK169" s="103"/>
      <c r="AL169" s="109">
        <f>N169+R169+V169+Z169+AD169+AH169</f>
        <v>7054</v>
      </c>
      <c r="AM169" s="103"/>
      <c r="AN169" s="109">
        <f>P169+T169+X169+AB169+AF169+AJ169</f>
        <v>8394</v>
      </c>
      <c r="AO169" s="103"/>
      <c r="AQ169" s="104"/>
      <c r="AR169" s="103"/>
      <c r="AS169" s="109"/>
      <c r="AT169" s="109"/>
      <c r="AU169" s="109"/>
      <c r="AV169" s="109"/>
      <c r="AW169" s="109"/>
      <c r="AX169" s="121"/>
      <c r="AY169" s="121"/>
    </row>
    <row r="170" spans="7:51" x14ac:dyDescent="0.2">
      <c r="G170" s="121"/>
      <c r="J170" s="103"/>
      <c r="K170" s="103"/>
      <c r="L170" s="121"/>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Q170" s="104"/>
      <c r="AR170" s="103"/>
      <c r="AS170" s="109"/>
      <c r="AT170" s="109"/>
      <c r="AU170" s="109"/>
      <c r="AV170" s="109"/>
      <c r="AW170" s="109"/>
      <c r="AX170" s="121"/>
      <c r="AY170" s="121"/>
    </row>
    <row r="171" spans="7:51" x14ac:dyDescent="0.2">
      <c r="G171" s="121"/>
      <c r="J171" s="103" t="s">
        <v>518</v>
      </c>
      <c r="K171" s="103"/>
      <c r="L171" s="121">
        <v>1.72</v>
      </c>
      <c r="M171" s="103"/>
      <c r="N171" s="109">
        <v>149</v>
      </c>
      <c r="O171" s="103"/>
      <c r="P171" s="109">
        <f>ROUND(+N171*$L171,0)</f>
        <v>256</v>
      </c>
      <c r="Q171" s="103"/>
      <c r="R171" s="109">
        <v>1409</v>
      </c>
      <c r="S171" s="103"/>
      <c r="T171" s="109">
        <f>ROUND(+R171*$L171,0)</f>
        <v>2423</v>
      </c>
      <c r="U171" s="103"/>
      <c r="V171" s="109">
        <v>53</v>
      </c>
      <c r="W171" s="103"/>
      <c r="X171" s="109">
        <f>ROUND(+V171*$L171,0)</f>
        <v>91</v>
      </c>
      <c r="Y171" s="103"/>
      <c r="Z171" s="109">
        <v>64</v>
      </c>
      <c r="AA171" s="103"/>
      <c r="AB171" s="109">
        <f>ROUND(+Z171*$L171,0)</f>
        <v>110</v>
      </c>
      <c r="AC171" s="103"/>
      <c r="AD171" s="109">
        <v>0</v>
      </c>
      <c r="AE171" s="103"/>
      <c r="AF171" s="109">
        <f>ROUND(+AD171*$L171,0)</f>
        <v>0</v>
      </c>
      <c r="AG171" s="103"/>
      <c r="AH171" s="109">
        <v>61</v>
      </c>
      <c r="AI171" s="103"/>
      <c r="AJ171" s="109">
        <f>ROUND(+AH171*$L171,0)</f>
        <v>105</v>
      </c>
      <c r="AK171" s="103"/>
      <c r="AL171" s="109">
        <f>N171+R171+V171+Z171+AD171+AH171</f>
        <v>1736</v>
      </c>
      <c r="AM171" s="103"/>
      <c r="AN171" s="109">
        <f>P171+T171+X171+AB171+AF171+AJ171</f>
        <v>2985</v>
      </c>
      <c r="AO171" s="103"/>
      <c r="AQ171" s="104"/>
      <c r="AR171" s="103"/>
      <c r="AS171" s="109"/>
      <c r="AT171" s="109"/>
      <c r="AU171" s="109"/>
      <c r="AV171" s="109"/>
      <c r="AW171" s="109"/>
      <c r="AX171" s="121"/>
      <c r="AY171" s="121"/>
    </row>
    <row r="172" spans="7:51" x14ac:dyDescent="0.2">
      <c r="G172" s="121"/>
      <c r="J172" s="103"/>
      <c r="K172" s="103"/>
      <c r="L172" s="121"/>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Q172" s="104"/>
      <c r="AR172" s="103"/>
      <c r="AS172" s="109"/>
      <c r="AT172" s="109"/>
      <c r="AU172" s="109"/>
      <c r="AV172" s="109"/>
      <c r="AW172" s="109"/>
      <c r="AX172" s="121"/>
      <c r="AY172" s="121"/>
    </row>
    <row r="173" spans="7:51" x14ac:dyDescent="0.2">
      <c r="G173" s="121"/>
      <c r="J173" s="103" t="s">
        <v>519</v>
      </c>
      <c r="K173" s="103"/>
      <c r="L173" s="121">
        <v>2.38</v>
      </c>
      <c r="M173" s="103"/>
      <c r="N173" s="109">
        <v>79</v>
      </c>
      <c r="O173" s="103"/>
      <c r="P173" s="109">
        <f>ROUND(+N173*$L173,0)</f>
        <v>188</v>
      </c>
      <c r="Q173" s="103"/>
      <c r="R173" s="109">
        <v>1311</v>
      </c>
      <c r="S173" s="103"/>
      <c r="T173" s="109">
        <f>ROUND(+R173*$L173,0)</f>
        <v>3120</v>
      </c>
      <c r="U173" s="103"/>
      <c r="V173" s="109">
        <v>123</v>
      </c>
      <c r="W173" s="103"/>
      <c r="X173" s="109">
        <f>ROUND(+V173*$L173,0)</f>
        <v>293</v>
      </c>
      <c r="Y173" s="103"/>
      <c r="Z173" s="109">
        <v>115</v>
      </c>
      <c r="AA173" s="103"/>
      <c r="AB173" s="109">
        <f>ROUND(+Z173*$L173,0)</f>
        <v>274</v>
      </c>
      <c r="AC173" s="103"/>
      <c r="AD173" s="109">
        <v>1</v>
      </c>
      <c r="AE173" s="103"/>
      <c r="AF173" s="109">
        <f>ROUND(+AD173*$L173,0)</f>
        <v>2</v>
      </c>
      <c r="AG173" s="103"/>
      <c r="AH173" s="109">
        <v>51</v>
      </c>
      <c r="AI173" s="103"/>
      <c r="AJ173" s="109">
        <f>ROUND(+AH173*$L173,0)</f>
        <v>121</v>
      </c>
      <c r="AK173" s="103"/>
      <c r="AL173" s="109">
        <f>N173+R173+V173+Z173+AD173+AH173</f>
        <v>1680</v>
      </c>
      <c r="AM173" s="103"/>
      <c r="AN173" s="109">
        <f>P173+T173+X173+AB173+AF173+AJ173</f>
        <v>3998</v>
      </c>
      <c r="AO173" s="103"/>
      <c r="AQ173" s="104"/>
      <c r="AR173" s="103"/>
      <c r="AS173" s="109"/>
      <c r="AT173" s="109"/>
      <c r="AU173" s="109"/>
      <c r="AV173" s="109"/>
      <c r="AW173" s="109"/>
      <c r="AX173" s="121"/>
      <c r="AY173" s="121"/>
    </row>
    <row r="174" spans="7:51" x14ac:dyDescent="0.2">
      <c r="G174" s="121"/>
      <c r="J174" s="103"/>
      <c r="K174" s="103"/>
      <c r="L174" s="121"/>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Q174" s="104"/>
      <c r="AR174" s="103"/>
      <c r="AS174" s="109"/>
      <c r="AT174" s="109"/>
      <c r="AU174" s="109"/>
      <c r="AV174" s="109"/>
      <c r="AW174" s="109"/>
      <c r="AX174" s="121"/>
      <c r="AY174" s="121"/>
    </row>
    <row r="175" spans="7:51" x14ac:dyDescent="0.2">
      <c r="G175" s="121"/>
      <c r="J175" s="103" t="s">
        <v>520</v>
      </c>
      <c r="K175" s="103"/>
      <c r="L175" s="121">
        <v>2.92</v>
      </c>
      <c r="M175" s="103"/>
      <c r="N175" s="109">
        <v>2</v>
      </c>
      <c r="O175" s="103"/>
      <c r="P175" s="109">
        <f>ROUND(+N175*$L175,0)</f>
        <v>6</v>
      </c>
      <c r="Q175" s="103"/>
      <c r="R175" s="109">
        <v>530</v>
      </c>
      <c r="S175" s="103"/>
      <c r="T175" s="109">
        <f>ROUND(+R175*$L175,0)</f>
        <v>1548</v>
      </c>
      <c r="U175" s="103"/>
      <c r="V175" s="109">
        <v>82</v>
      </c>
      <c r="W175" s="103"/>
      <c r="X175" s="109">
        <f>ROUND(+V175*$L175,0)</f>
        <v>239</v>
      </c>
      <c r="Y175" s="103"/>
      <c r="Z175" s="109">
        <v>123</v>
      </c>
      <c r="AA175" s="103"/>
      <c r="AB175" s="109">
        <f>ROUND(+Z175*$L175,0)</f>
        <v>359</v>
      </c>
      <c r="AC175" s="103"/>
      <c r="AD175" s="109">
        <v>6</v>
      </c>
      <c r="AE175" s="103"/>
      <c r="AF175" s="109">
        <f>ROUND(+AD175*$L175,0)</f>
        <v>18</v>
      </c>
      <c r="AG175" s="103"/>
      <c r="AH175" s="109">
        <v>622</v>
      </c>
      <c r="AI175" s="103"/>
      <c r="AJ175" s="109">
        <f>ROUND(+AH175*$L175,0)</f>
        <v>1816</v>
      </c>
      <c r="AK175" s="103"/>
      <c r="AL175" s="109">
        <f>N175+R175+V175+Z175+AD175+AH175</f>
        <v>1365</v>
      </c>
      <c r="AM175" s="103"/>
      <c r="AN175" s="109">
        <f>P175+T175+X175+AB175+AF175+AJ175</f>
        <v>3986</v>
      </c>
      <c r="AO175" s="103"/>
      <c r="AQ175" s="104"/>
      <c r="AR175" s="103"/>
      <c r="AS175" s="109"/>
      <c r="AT175" s="109"/>
      <c r="AU175" s="109"/>
      <c r="AV175" s="109"/>
      <c r="AW175" s="109"/>
      <c r="AX175" s="121"/>
      <c r="AY175" s="121"/>
    </row>
    <row r="176" spans="7:51" x14ac:dyDescent="0.2">
      <c r="G176" s="121"/>
      <c r="J176" s="103"/>
      <c r="K176" s="103"/>
      <c r="L176" s="121"/>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Q176" s="104"/>
      <c r="AR176" s="103"/>
      <c r="AS176" s="109"/>
      <c r="AT176" s="109"/>
      <c r="AU176" s="109"/>
      <c r="AV176" s="109"/>
      <c r="AW176" s="109"/>
      <c r="AX176" s="121"/>
      <c r="AY176" s="121"/>
    </row>
    <row r="177" spans="7:51" x14ac:dyDescent="0.2">
      <c r="G177" s="121"/>
      <c r="J177" s="103" t="s">
        <v>521</v>
      </c>
      <c r="K177" s="103"/>
      <c r="L177" s="121">
        <v>3.96</v>
      </c>
      <c r="M177" s="103"/>
      <c r="N177" s="109">
        <v>16</v>
      </c>
      <c r="O177" s="103"/>
      <c r="P177" s="109">
        <f>ROUND(+N177*$L177,0)</f>
        <v>63</v>
      </c>
      <c r="Q177" s="103"/>
      <c r="R177" s="109">
        <v>144</v>
      </c>
      <c r="S177" s="103"/>
      <c r="T177" s="109">
        <f>ROUND(+R177*$L177,0)</f>
        <v>570</v>
      </c>
      <c r="U177" s="103"/>
      <c r="V177" s="109">
        <v>61</v>
      </c>
      <c r="W177" s="103"/>
      <c r="X177" s="109">
        <f>ROUND(+V177*$L177,0)</f>
        <v>242</v>
      </c>
      <c r="Y177" s="103"/>
      <c r="Z177" s="109">
        <v>9</v>
      </c>
      <c r="AA177" s="103"/>
      <c r="AB177" s="109">
        <f>ROUND(+Z177*$L177,0)</f>
        <v>36</v>
      </c>
      <c r="AC177" s="103"/>
      <c r="AD177" s="109">
        <v>2</v>
      </c>
      <c r="AE177" s="103"/>
      <c r="AF177" s="109">
        <f>ROUND(+AD177*$L177,0)</f>
        <v>8</v>
      </c>
      <c r="AG177" s="103"/>
      <c r="AH177" s="109">
        <v>988</v>
      </c>
      <c r="AI177" s="103"/>
      <c r="AJ177" s="109">
        <f>ROUND(+AH177*$L177,0)</f>
        <v>3912</v>
      </c>
      <c r="AK177" s="103"/>
      <c r="AL177" s="109">
        <f>N177+R177+V177+Z177+AD177+AH177</f>
        <v>1220</v>
      </c>
      <c r="AM177" s="103"/>
      <c r="AN177" s="109">
        <f>P177+T177+X177+AB177+AF177+AJ177</f>
        <v>4831</v>
      </c>
      <c r="AO177" s="103"/>
      <c r="AQ177" s="104"/>
      <c r="AR177" s="103"/>
      <c r="AS177" s="109"/>
      <c r="AT177" s="109"/>
      <c r="AU177" s="109"/>
      <c r="AV177" s="109"/>
      <c r="AW177" s="109"/>
      <c r="AX177" s="121"/>
      <c r="AY177" s="121"/>
    </row>
    <row r="178" spans="7:51" x14ac:dyDescent="0.2">
      <c r="G178" s="121"/>
      <c r="J178" s="103"/>
      <c r="K178" s="103"/>
      <c r="L178" s="121"/>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Q178" s="104"/>
      <c r="AR178" s="103"/>
      <c r="AS178" s="109"/>
      <c r="AT178" s="109"/>
      <c r="AU178" s="109"/>
      <c r="AV178" s="109"/>
      <c r="AW178" s="109"/>
      <c r="AX178" s="121"/>
      <c r="AY178" s="121"/>
    </row>
    <row r="179" spans="7:51" x14ac:dyDescent="0.2">
      <c r="G179" s="121"/>
      <c r="J179" s="103" t="s">
        <v>522</v>
      </c>
      <c r="K179" s="103"/>
      <c r="L179" s="121">
        <v>6.46</v>
      </c>
      <c r="M179" s="103"/>
      <c r="N179" s="109">
        <v>1</v>
      </c>
      <c r="O179" s="103"/>
      <c r="P179" s="109">
        <f>ROUND(+N179*$L179,0)</f>
        <v>6</v>
      </c>
      <c r="Q179" s="103"/>
      <c r="R179" s="109">
        <v>12</v>
      </c>
      <c r="S179" s="103"/>
      <c r="T179" s="109">
        <f>ROUND(+R179*$L179,0)</f>
        <v>78</v>
      </c>
      <c r="U179" s="103"/>
      <c r="V179" s="109">
        <v>10</v>
      </c>
      <c r="W179" s="103"/>
      <c r="X179" s="109">
        <f>ROUND(+V179*$L179,0)</f>
        <v>65</v>
      </c>
      <c r="Y179" s="103"/>
      <c r="Z179" s="109">
        <v>0</v>
      </c>
      <c r="AA179" s="103"/>
      <c r="AB179" s="109">
        <f>ROUND(+Z179*$L179,0)</f>
        <v>0</v>
      </c>
      <c r="AC179" s="103"/>
      <c r="AD179" s="109">
        <v>1</v>
      </c>
      <c r="AE179" s="103"/>
      <c r="AF179" s="109">
        <f>ROUND(+AD179*$L179,0)</f>
        <v>6</v>
      </c>
      <c r="AG179" s="103"/>
      <c r="AH179" s="109">
        <v>445</v>
      </c>
      <c r="AI179" s="103"/>
      <c r="AJ179" s="109">
        <f>ROUND(+AH179*$L179,0)</f>
        <v>2875</v>
      </c>
      <c r="AK179" s="103"/>
      <c r="AL179" s="109">
        <f>N179+R179+V179+Z179+AD179+AH179</f>
        <v>469</v>
      </c>
      <c r="AM179" s="103"/>
      <c r="AN179" s="109">
        <f>P179+T179+X179+AB179+AF179+AJ179</f>
        <v>3030</v>
      </c>
      <c r="AO179" s="103"/>
      <c r="AQ179" s="104"/>
      <c r="AR179" s="103"/>
      <c r="AS179" s="109"/>
      <c r="AT179" s="109"/>
      <c r="AU179" s="109"/>
      <c r="AV179" s="109"/>
      <c r="AW179" s="109"/>
      <c r="AX179" s="121"/>
      <c r="AY179" s="121"/>
    </row>
    <row r="180" spans="7:51" x14ac:dyDescent="0.2">
      <c r="G180" s="121"/>
      <c r="J180" s="103"/>
      <c r="K180" s="103"/>
      <c r="L180" s="121"/>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Q180" s="104"/>
      <c r="AR180" s="103"/>
      <c r="AS180" s="109"/>
      <c r="AT180" s="109"/>
      <c r="AU180" s="109"/>
      <c r="AV180" s="109"/>
      <c r="AW180" s="109"/>
      <c r="AX180" s="121"/>
      <c r="AY180" s="121"/>
    </row>
    <row r="181" spans="7:51" x14ac:dyDescent="0.2">
      <c r="G181" s="121"/>
      <c r="J181" s="103" t="s">
        <v>523</v>
      </c>
      <c r="K181" s="103"/>
      <c r="L181" s="121">
        <v>8.68</v>
      </c>
      <c r="M181" s="103"/>
      <c r="N181" s="109">
        <v>0</v>
      </c>
      <c r="O181" s="103"/>
      <c r="P181" s="109">
        <f>ROUND(+N181*$L181,0)</f>
        <v>0</v>
      </c>
      <c r="Q181" s="103"/>
      <c r="R181" s="109">
        <v>12</v>
      </c>
      <c r="S181" s="103"/>
      <c r="T181" s="109">
        <f>ROUND(+R181*$L181,0)</f>
        <v>104</v>
      </c>
      <c r="U181" s="103"/>
      <c r="V181" s="109">
        <v>10</v>
      </c>
      <c r="W181" s="103"/>
      <c r="X181" s="109">
        <f>ROUND(+V181*$L181,0)</f>
        <v>87</v>
      </c>
      <c r="Y181" s="103"/>
      <c r="Z181" s="109">
        <v>0</v>
      </c>
      <c r="AA181" s="103"/>
      <c r="AB181" s="109">
        <f>ROUND(+Z181*$L181,0)</f>
        <v>0</v>
      </c>
      <c r="AC181" s="103"/>
      <c r="AD181" s="109">
        <v>1</v>
      </c>
      <c r="AE181" s="103"/>
      <c r="AF181" s="109">
        <f>ROUND(+AD181*$L181,0)</f>
        <v>9</v>
      </c>
      <c r="AG181" s="103"/>
      <c r="AH181" s="109">
        <v>20</v>
      </c>
      <c r="AI181" s="103"/>
      <c r="AJ181" s="109">
        <f>ROUND(+AH181*$L181,0)</f>
        <v>174</v>
      </c>
      <c r="AK181" s="103"/>
      <c r="AL181" s="109">
        <f>N181+R181+V181+Z181+AD181+AH181</f>
        <v>43</v>
      </c>
      <c r="AM181" s="103"/>
      <c r="AN181" s="109">
        <f>P181+T181+X181+AB181+AF181+AJ181</f>
        <v>374</v>
      </c>
      <c r="AO181" s="103"/>
      <c r="AQ181" s="104"/>
      <c r="AR181" s="103"/>
      <c r="AS181" s="109"/>
      <c r="AT181" s="109"/>
      <c r="AU181" s="109"/>
      <c r="AV181" s="109"/>
      <c r="AW181" s="109"/>
      <c r="AX181" s="121"/>
      <c r="AY181" s="121"/>
    </row>
    <row r="182" spans="7:51" x14ac:dyDescent="0.2">
      <c r="G182" s="121"/>
      <c r="J182" s="103"/>
      <c r="K182" s="103"/>
      <c r="L182" s="121"/>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Q182" s="104"/>
      <c r="AR182" s="103"/>
      <c r="AS182" s="109"/>
      <c r="AT182" s="109"/>
      <c r="AU182" s="109"/>
      <c r="AV182" s="109"/>
      <c r="AW182" s="109"/>
      <c r="AX182" s="121"/>
      <c r="AY182" s="121"/>
    </row>
    <row r="183" spans="7:51" x14ac:dyDescent="0.2">
      <c r="G183" s="121"/>
      <c r="J183" s="103" t="s">
        <v>524</v>
      </c>
      <c r="K183" s="103"/>
      <c r="L183" s="121">
        <v>11.11</v>
      </c>
      <c r="M183" s="103"/>
      <c r="N183" s="109">
        <v>0</v>
      </c>
      <c r="O183" s="103"/>
      <c r="P183" s="109">
        <f>ROUND(+N183*$L183,0)</f>
        <v>0</v>
      </c>
      <c r="Q183" s="103"/>
      <c r="R183" s="109">
        <v>0</v>
      </c>
      <c r="S183" s="103"/>
      <c r="T183" s="109">
        <f>ROUND(+R183*$L183,0)</f>
        <v>0</v>
      </c>
      <c r="U183" s="103"/>
      <c r="V183" s="109">
        <v>0</v>
      </c>
      <c r="W183" s="103"/>
      <c r="X183" s="109">
        <f>ROUND(+V183*$L183,0)</f>
        <v>0</v>
      </c>
      <c r="Y183" s="103"/>
      <c r="Z183" s="109">
        <v>0</v>
      </c>
      <c r="AA183" s="103"/>
      <c r="AB183" s="109">
        <f>ROUND(+Z183*$L183,0)</f>
        <v>0</v>
      </c>
      <c r="AC183" s="103"/>
      <c r="AD183" s="109">
        <v>1</v>
      </c>
      <c r="AE183" s="103"/>
      <c r="AF183" s="109">
        <f>ROUND(+AD183*$L183,0)</f>
        <v>11</v>
      </c>
      <c r="AG183" s="103"/>
      <c r="AH183" s="109">
        <v>0</v>
      </c>
      <c r="AI183" s="103"/>
      <c r="AJ183" s="109">
        <f>ROUND(+AH183*$L183,0)</f>
        <v>0</v>
      </c>
      <c r="AK183" s="103"/>
      <c r="AL183" s="109">
        <f>N183+R183+V183+Z183+AD183+AH183</f>
        <v>1</v>
      </c>
      <c r="AM183" s="103"/>
      <c r="AN183" s="109">
        <f>P183+T183+X183+AB183+AF183+AJ183</f>
        <v>11</v>
      </c>
      <c r="AO183" s="103"/>
      <c r="AQ183" s="104"/>
      <c r="AR183" s="103"/>
      <c r="AS183" s="109"/>
      <c r="AT183" s="109"/>
      <c r="AU183" s="109"/>
      <c r="AV183" s="109"/>
      <c r="AW183" s="109"/>
      <c r="AX183" s="121"/>
      <c r="AY183" s="121"/>
    </row>
    <row r="184" spans="7:51" x14ac:dyDescent="0.2">
      <c r="G184" s="121"/>
      <c r="J184" s="103"/>
      <c r="K184" s="103"/>
      <c r="L184" s="121"/>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Q184" s="104"/>
      <c r="AR184" s="103"/>
      <c r="AS184" s="109"/>
      <c r="AT184" s="109"/>
      <c r="AU184" s="109"/>
      <c r="AV184" s="109"/>
      <c r="AW184" s="109"/>
      <c r="AX184" s="121"/>
      <c r="AY184" s="121"/>
    </row>
    <row r="185" spans="7:51" x14ac:dyDescent="0.2">
      <c r="G185" s="121"/>
      <c r="I185" s="126"/>
      <c r="J185" s="103" t="s">
        <v>525</v>
      </c>
      <c r="K185" s="103"/>
      <c r="L185" s="121">
        <v>15.97</v>
      </c>
      <c r="M185" s="103"/>
      <c r="N185" s="109">
        <v>0</v>
      </c>
      <c r="O185" s="103"/>
      <c r="P185" s="109">
        <f>ROUND(+N185*$L185,0)</f>
        <v>0</v>
      </c>
      <c r="Q185" s="103"/>
      <c r="R185" s="109">
        <v>0</v>
      </c>
      <c r="S185" s="103"/>
      <c r="T185" s="109">
        <f>ROUND(+R185*$L185,0)</f>
        <v>0</v>
      </c>
      <c r="U185" s="103"/>
      <c r="V185" s="109">
        <v>0</v>
      </c>
      <c r="W185" s="103"/>
      <c r="X185" s="109">
        <f>ROUND(+V185*$L185,0)</f>
        <v>0</v>
      </c>
      <c r="Y185" s="103"/>
      <c r="Z185" s="109">
        <v>0</v>
      </c>
      <c r="AA185" s="103"/>
      <c r="AB185" s="109">
        <f>ROUND(+Z185*$L185,0)</f>
        <v>0</v>
      </c>
      <c r="AC185" s="103"/>
      <c r="AD185" s="109">
        <v>1</v>
      </c>
      <c r="AE185" s="103"/>
      <c r="AF185" s="109">
        <f>ROUND(+AD185*$L185,0)</f>
        <v>16</v>
      </c>
      <c r="AG185" s="103"/>
      <c r="AH185" s="109">
        <v>0</v>
      </c>
      <c r="AI185" s="103"/>
      <c r="AJ185" s="109">
        <f>ROUND(+AH185*$L185,0)</f>
        <v>0</v>
      </c>
      <c r="AK185" s="103"/>
      <c r="AL185" s="109">
        <f>N185+R185+V185+Z185+AD185+AH185</f>
        <v>1</v>
      </c>
      <c r="AM185" s="103"/>
      <c r="AN185" s="109">
        <f>P185+T185+X185+AB185+AF185+AJ185</f>
        <v>16</v>
      </c>
      <c r="AO185" s="103"/>
      <c r="AQ185" s="104"/>
      <c r="AR185" s="103"/>
      <c r="AS185" s="109"/>
      <c r="AT185" s="109"/>
      <c r="AU185" s="109"/>
      <c r="AV185" s="109"/>
      <c r="AW185" s="109"/>
      <c r="AX185" s="121"/>
      <c r="AY185" s="121"/>
    </row>
    <row r="186" spans="7:51" x14ac:dyDescent="0.2">
      <c r="J186" s="103"/>
      <c r="K186" s="103"/>
      <c r="L186" s="103"/>
      <c r="M186" s="103"/>
      <c r="N186" s="127"/>
      <c r="O186" s="103"/>
      <c r="P186" s="127"/>
      <c r="Q186" s="103"/>
      <c r="R186" s="127"/>
      <c r="S186" s="103"/>
      <c r="T186" s="127"/>
      <c r="U186" s="103"/>
      <c r="V186" s="127"/>
      <c r="W186" s="103"/>
      <c r="X186" s="127"/>
      <c r="Y186" s="103"/>
      <c r="Z186" s="127"/>
      <c r="AA186" s="103"/>
      <c r="AB186" s="127"/>
      <c r="AC186" s="103"/>
      <c r="AD186" s="127"/>
      <c r="AE186" s="103"/>
      <c r="AF186" s="127"/>
      <c r="AG186" s="103"/>
      <c r="AH186" s="127"/>
      <c r="AI186" s="103"/>
      <c r="AJ186" s="127"/>
      <c r="AK186" s="103"/>
      <c r="AL186" s="127"/>
      <c r="AM186" s="103"/>
      <c r="AN186" s="127"/>
      <c r="AO186" s="103"/>
      <c r="AQ186" s="103"/>
      <c r="AR186" s="103"/>
      <c r="AS186" s="109"/>
      <c r="AT186" s="109"/>
      <c r="AU186" s="109"/>
      <c r="AV186" s="109"/>
      <c r="AW186" s="109"/>
      <c r="AX186" s="103"/>
      <c r="AY186" s="103"/>
    </row>
    <row r="187" spans="7:51" x14ac:dyDescent="0.2">
      <c r="J187" s="103" t="s">
        <v>507</v>
      </c>
      <c r="K187" s="103"/>
      <c r="L187" s="103"/>
      <c r="M187" s="103"/>
      <c r="N187" s="109">
        <f>SUM(N167:N185)</f>
        <v>267277</v>
      </c>
      <c r="O187" s="103"/>
      <c r="P187" s="109">
        <f>SUM(P167:P185)</f>
        <v>268413</v>
      </c>
      <c r="Q187" s="103"/>
      <c r="R187" s="109">
        <f>SUM(R167:R185)</f>
        <v>13490</v>
      </c>
      <c r="S187" s="103"/>
      <c r="T187" s="109">
        <f>SUM(T167:T185)</f>
        <v>18329</v>
      </c>
      <c r="U187" s="103"/>
      <c r="V187" s="109">
        <f>SUM(V167:V185)</f>
        <v>757</v>
      </c>
      <c r="W187" s="103"/>
      <c r="X187" s="109">
        <f>SUM(X167:X185)</f>
        <v>1463</v>
      </c>
      <c r="Y187" s="103"/>
      <c r="Z187" s="109">
        <f>SUM(Z167:Z185)</f>
        <v>789</v>
      </c>
      <c r="AA187" s="103"/>
      <c r="AB187" s="109">
        <f>SUM(AB167:AB185)</f>
        <v>1291</v>
      </c>
      <c r="AC187" s="103"/>
      <c r="AD187" s="109">
        <f>SUM(AD167:AD185)</f>
        <v>14</v>
      </c>
      <c r="AE187" s="103"/>
      <c r="AF187" s="109">
        <f>SUM(AF167:AF185)</f>
        <v>71</v>
      </c>
      <c r="AG187" s="103"/>
      <c r="AH187" s="109">
        <f>SUM(AH167:AH185)</f>
        <v>2189</v>
      </c>
      <c r="AI187" s="103"/>
      <c r="AJ187" s="109">
        <f>SUM(AJ167:AJ185)</f>
        <v>9005</v>
      </c>
      <c r="AK187" s="103"/>
      <c r="AL187" s="109">
        <f>SUM(AL167:AL185)</f>
        <v>284516</v>
      </c>
      <c r="AM187" s="103"/>
      <c r="AN187" s="109">
        <f>SUM(AN167:AN185)</f>
        <v>298572</v>
      </c>
      <c r="AO187" s="103"/>
      <c r="AQ187" s="103"/>
      <c r="AR187" s="103"/>
      <c r="AS187" s="103"/>
      <c r="AT187" s="103"/>
      <c r="AU187" s="103"/>
      <c r="AV187" s="103"/>
      <c r="AW187" s="103"/>
      <c r="AX187" s="103"/>
      <c r="AY187" s="103"/>
    </row>
    <row r="188" spans="7:51" x14ac:dyDescent="0.2">
      <c r="J188" s="103"/>
      <c r="K188" s="103"/>
      <c r="L188" s="103"/>
      <c r="M188" s="103"/>
      <c r="N188" s="116"/>
      <c r="O188" s="103"/>
      <c r="P188" s="116"/>
      <c r="Q188" s="103"/>
      <c r="R188" s="116"/>
      <c r="S188" s="103"/>
      <c r="T188" s="116"/>
      <c r="U188" s="103"/>
      <c r="V188" s="116"/>
      <c r="W188" s="103"/>
      <c r="X188" s="116"/>
      <c r="Y188" s="103"/>
      <c r="Z188" s="116"/>
      <c r="AA188" s="103"/>
      <c r="AB188" s="116"/>
      <c r="AC188" s="103"/>
      <c r="AD188" s="116"/>
      <c r="AE188" s="103"/>
      <c r="AF188" s="116"/>
      <c r="AG188" s="103"/>
      <c r="AH188" s="116"/>
      <c r="AI188" s="103"/>
      <c r="AJ188" s="116"/>
      <c r="AK188" s="103"/>
      <c r="AL188" s="116"/>
      <c r="AM188" s="103"/>
      <c r="AN188" s="116"/>
      <c r="AO188" s="103"/>
    </row>
    <row r="189" spans="7:51" x14ac:dyDescent="0.2">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row>
    <row r="190" spans="7:51" x14ac:dyDescent="0.2">
      <c r="J190" s="103"/>
      <c r="K190" s="103"/>
      <c r="L190" s="103"/>
      <c r="M190" s="103"/>
      <c r="N190" s="103"/>
      <c r="O190" s="103"/>
      <c r="P190" s="122"/>
      <c r="Q190" s="103"/>
      <c r="R190" s="103"/>
      <c r="S190" s="103"/>
      <c r="T190" s="122"/>
      <c r="U190" s="103"/>
      <c r="V190" s="103"/>
      <c r="W190" s="103"/>
      <c r="X190" s="122"/>
      <c r="Y190" s="103"/>
      <c r="Z190" s="103"/>
      <c r="AA190" s="103"/>
      <c r="AB190" s="122"/>
      <c r="AC190" s="103"/>
      <c r="AD190" s="103"/>
      <c r="AE190" s="103"/>
      <c r="AF190" s="122"/>
      <c r="AG190" s="103"/>
      <c r="AH190" s="103"/>
      <c r="AI190" s="103"/>
      <c r="AJ190" s="122"/>
      <c r="AK190" s="103"/>
      <c r="AL190" s="103"/>
      <c r="AM190" s="103"/>
      <c r="AN190" s="122"/>
      <c r="AO190" s="103"/>
    </row>
    <row r="191" spans="7:51" x14ac:dyDescent="0.2">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row>
    <row r="192" spans="7:51" x14ac:dyDescent="0.2">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row>
    <row r="193" spans="10:41" x14ac:dyDescent="0.2">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row>
    <row r="194" spans="10:41" x14ac:dyDescent="0.2">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row>
    <row r="195" spans="10:41" x14ac:dyDescent="0.2">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row>
    <row r="196" spans="10:41" x14ac:dyDescent="0.2">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row>
    <row r="197" spans="10:41" x14ac:dyDescent="0.2">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row>
  </sheetData>
  <mergeCells count="4">
    <mergeCell ref="A23:G23"/>
    <mergeCell ref="A46:F46"/>
    <mergeCell ref="A4:G4"/>
    <mergeCell ref="A41:G41"/>
  </mergeCells>
  <phoneticPr fontId="12" type="noConversion"/>
  <printOptions horizontalCentered="1"/>
  <pageMargins left="1" right="1" top="1" bottom="0.5" header="0.5" footer="0.5"/>
  <headerFooter alignWithMargins="0"/>
  <rowBreaks count="1" manualBreakCount="1">
    <brk id="37" max="6"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workbookViewId="0">
      <selection activeCell="T37" sqref="T37"/>
    </sheetView>
  </sheetViews>
  <sheetFormatPr defaultColWidth="8.6640625" defaultRowHeight="12.75" x14ac:dyDescent="0.2"/>
  <cols>
    <col min="2" max="2" width="6.6640625" style="137" customWidth="1"/>
    <col min="3" max="3" width="1.6640625" style="137" customWidth="1"/>
    <col min="4" max="4" width="7.6640625" style="137" customWidth="1"/>
    <col min="5" max="5" width="1.6640625" style="137" customWidth="1"/>
    <col min="6" max="6" width="7.6640625" style="137" customWidth="1"/>
    <col min="7" max="7" width="1.6640625" style="137" customWidth="1"/>
    <col min="8" max="8" width="8.88671875" style="137" customWidth="1"/>
    <col min="9" max="9" width="1.6640625" style="137" customWidth="1"/>
    <col min="10" max="10" width="7.6640625" style="137" customWidth="1"/>
    <col min="11" max="11" width="1.6640625" style="137" customWidth="1"/>
    <col min="12" max="12" width="7.6640625" style="137" customWidth="1"/>
    <col min="13" max="13" width="1.6640625" style="137" customWidth="1"/>
    <col min="14" max="14" width="7.6640625" style="137" customWidth="1"/>
    <col min="15" max="15" width="1.6640625" style="137" customWidth="1"/>
    <col min="16" max="16" width="7.6640625" style="137" customWidth="1"/>
    <col min="17" max="17" width="1.6640625" style="137" customWidth="1"/>
    <col min="18" max="18" width="7.6640625" style="137" customWidth="1"/>
    <col min="19" max="19" width="1.6640625" style="137" customWidth="1"/>
    <col min="20" max="20" width="7.6640625" style="137" customWidth="1"/>
    <col min="21" max="21" width="1.6640625" style="137" customWidth="1"/>
    <col min="22" max="22" width="7.6640625" style="137" customWidth="1"/>
    <col min="23" max="23" width="1.6640625" style="137" customWidth="1"/>
    <col min="24" max="24" width="7.6640625" style="137" customWidth="1"/>
    <col min="25" max="25" width="1.6640625" style="137" customWidth="1"/>
    <col min="26" max="26" width="7.6640625" style="137" customWidth="1"/>
    <col min="27" max="27" width="1.6640625" style="137" customWidth="1"/>
    <col min="28" max="28" width="7.6640625" style="137" customWidth="1"/>
    <col min="29" max="29" width="1.6640625" style="137" customWidth="1"/>
    <col min="30" max="30" width="7.6640625" style="137" customWidth="1"/>
    <col min="31" max="31" width="1.6640625" style="137" customWidth="1"/>
    <col min="32" max="32" width="8.88671875" style="137" customWidth="1"/>
    <col min="33" max="33" width="9.6640625" customWidth="1"/>
    <col min="38" max="38" width="1.6640625" customWidth="1"/>
    <col min="43" max="43" width="1.88671875" customWidth="1"/>
    <col min="45" max="45" width="10.109375" customWidth="1"/>
  </cols>
  <sheetData>
    <row r="1" spans="1:48" ht="15" x14ac:dyDescent="0.2">
      <c r="B1" s="290" t="s">
        <v>371</v>
      </c>
      <c r="C1" s="275"/>
      <c r="D1" s="275"/>
      <c r="E1" s="275"/>
      <c r="F1" s="275"/>
      <c r="G1" s="275"/>
      <c r="H1" s="275"/>
      <c r="I1" s="275"/>
      <c r="J1" s="275"/>
      <c r="K1" s="275"/>
      <c r="L1" s="275"/>
      <c r="M1" s="275"/>
      <c r="N1" s="290"/>
      <c r="O1" s="275"/>
      <c r="P1" s="275"/>
      <c r="Q1" s="275"/>
      <c r="R1" s="275"/>
      <c r="S1" s="275"/>
      <c r="T1" s="275"/>
      <c r="U1" s="275"/>
      <c r="V1" s="275"/>
      <c r="W1" s="275"/>
      <c r="X1" s="275"/>
      <c r="Y1" s="275"/>
      <c r="Z1" s="275"/>
      <c r="AA1" s="275"/>
      <c r="AB1" s="275"/>
      <c r="AC1" s="275"/>
      <c r="AD1" s="275"/>
      <c r="AE1" s="275"/>
      <c r="AF1" s="275"/>
      <c r="AG1" s="365"/>
    </row>
    <row r="2" spans="1:48" ht="15" x14ac:dyDescent="0.2">
      <c r="B2" s="290" t="s">
        <v>372</v>
      </c>
      <c r="C2" s="275"/>
      <c r="D2" s="275"/>
      <c r="E2" s="275"/>
      <c r="F2" s="275"/>
      <c r="G2" s="275"/>
      <c r="H2" s="275"/>
      <c r="I2" s="275"/>
      <c r="J2" s="275"/>
      <c r="K2" s="275"/>
      <c r="L2" s="275"/>
      <c r="M2" s="275"/>
      <c r="N2" s="290"/>
      <c r="O2" s="275"/>
      <c r="P2" s="275"/>
      <c r="Q2" s="275"/>
      <c r="R2" s="275"/>
      <c r="S2" s="275"/>
      <c r="T2" s="275"/>
      <c r="U2" s="275"/>
      <c r="V2" s="275"/>
      <c r="W2" s="275"/>
      <c r="X2" s="275"/>
      <c r="Y2" s="275"/>
      <c r="Z2" s="275"/>
      <c r="AA2" s="275"/>
      <c r="AB2" s="275"/>
      <c r="AC2" s="275"/>
      <c r="AD2" s="275"/>
      <c r="AE2" s="275"/>
      <c r="AF2" s="275"/>
      <c r="AG2" s="365"/>
    </row>
    <row r="3" spans="1:48" ht="15" x14ac:dyDescent="0.2">
      <c r="B3" s="275" t="s">
        <v>561</v>
      </c>
      <c r="C3" s="275"/>
      <c r="D3" s="275"/>
      <c r="E3" s="275"/>
      <c r="F3" s="275"/>
      <c r="G3" s="275"/>
      <c r="H3" s="275"/>
      <c r="I3" s="275"/>
      <c r="J3" s="290"/>
      <c r="K3" s="275"/>
      <c r="L3" s="275"/>
      <c r="M3" s="275"/>
      <c r="N3" s="275"/>
      <c r="O3" s="275"/>
      <c r="P3" s="275"/>
      <c r="Q3" s="275"/>
      <c r="R3" s="275"/>
      <c r="S3" s="275"/>
      <c r="T3" s="275"/>
      <c r="U3" s="275"/>
      <c r="V3" s="275"/>
      <c r="W3" s="275"/>
      <c r="X3" s="275"/>
      <c r="Y3" s="275"/>
      <c r="Z3" s="275"/>
      <c r="AA3" s="275"/>
      <c r="AB3" s="275"/>
      <c r="AC3" s="275"/>
      <c r="AD3" s="275"/>
      <c r="AE3" s="275"/>
      <c r="AF3" s="275"/>
      <c r="AG3" s="365"/>
    </row>
    <row r="4" spans="1:48" ht="15" x14ac:dyDescent="0.2">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365"/>
    </row>
    <row r="5" spans="1:48" ht="15" x14ac:dyDescent="0.2">
      <c r="B5" s="277"/>
      <c r="C5" s="277"/>
      <c r="D5" s="277"/>
      <c r="E5" s="277"/>
      <c r="F5" s="276"/>
      <c r="G5" s="277"/>
      <c r="H5" s="277"/>
      <c r="I5" s="277"/>
      <c r="J5" s="276"/>
      <c r="K5" s="277"/>
      <c r="L5" s="277"/>
      <c r="M5" s="277"/>
      <c r="N5" s="276"/>
      <c r="O5" s="277"/>
      <c r="P5" s="277"/>
      <c r="Q5" s="277"/>
      <c r="R5" s="276"/>
      <c r="S5" s="277"/>
      <c r="T5" s="277"/>
      <c r="U5" s="277"/>
      <c r="V5" s="276"/>
      <c r="W5" s="277"/>
      <c r="X5" s="277"/>
      <c r="Y5" s="277"/>
      <c r="Z5" s="276"/>
      <c r="AA5" s="277"/>
      <c r="AB5" s="277"/>
      <c r="AC5" s="277"/>
      <c r="AD5" s="276"/>
      <c r="AE5" s="277"/>
      <c r="AF5" s="277"/>
      <c r="AG5" s="566"/>
      <c r="AH5" s="146"/>
      <c r="AI5" s="146"/>
      <c r="AJ5" s="146"/>
      <c r="AK5" s="146"/>
      <c r="AL5" s="146"/>
      <c r="AM5" s="146"/>
      <c r="AN5" s="146"/>
      <c r="AO5" s="146"/>
      <c r="AP5" s="146"/>
      <c r="AQ5" s="146"/>
      <c r="AR5" s="146"/>
      <c r="AS5" s="146"/>
      <c r="AT5" s="146"/>
      <c r="AU5" s="146"/>
      <c r="AV5" s="146"/>
    </row>
    <row r="6" spans="1:48" ht="15" x14ac:dyDescent="0.2">
      <c r="B6" s="278"/>
      <c r="C6" s="278"/>
      <c r="D6" s="278" t="s">
        <v>562</v>
      </c>
      <c r="E6" s="278"/>
      <c r="F6" s="275" t="s">
        <v>385</v>
      </c>
      <c r="G6" s="275"/>
      <c r="H6" s="275"/>
      <c r="I6" s="278"/>
      <c r="J6" s="275" t="s">
        <v>386</v>
      </c>
      <c r="K6" s="275"/>
      <c r="L6" s="275"/>
      <c r="M6" s="278"/>
      <c r="N6" s="275" t="s">
        <v>387</v>
      </c>
      <c r="O6" s="275"/>
      <c r="P6" s="275"/>
      <c r="Q6" s="278"/>
      <c r="R6" s="275" t="s">
        <v>389</v>
      </c>
      <c r="S6" s="275"/>
      <c r="T6" s="275"/>
      <c r="U6" s="278"/>
      <c r="V6" s="275" t="s">
        <v>503</v>
      </c>
      <c r="W6" s="275"/>
      <c r="X6" s="275"/>
      <c r="Y6" s="278"/>
      <c r="Z6" s="275" t="s">
        <v>391</v>
      </c>
      <c r="AA6" s="275"/>
      <c r="AB6" s="275"/>
      <c r="AC6" s="278"/>
      <c r="AD6" s="275" t="s">
        <v>507</v>
      </c>
      <c r="AE6" s="275"/>
      <c r="AF6" s="275"/>
      <c r="AG6" s="566"/>
      <c r="AH6" s="146"/>
      <c r="AI6" s="146"/>
      <c r="AJ6" s="146"/>
      <c r="AK6" s="146"/>
      <c r="AL6" s="146"/>
      <c r="AM6" s="146"/>
      <c r="AN6" s="146"/>
      <c r="AO6" s="146"/>
      <c r="AP6" s="146"/>
      <c r="AQ6" s="146"/>
      <c r="AR6" s="146"/>
      <c r="AS6" s="146"/>
      <c r="AT6" s="146"/>
      <c r="AU6" s="146"/>
      <c r="AV6" s="146"/>
    </row>
    <row r="7" spans="1:48" ht="15" x14ac:dyDescent="0.2">
      <c r="B7" s="278" t="s">
        <v>563</v>
      </c>
      <c r="C7" s="278"/>
      <c r="D7" s="278" t="s">
        <v>396</v>
      </c>
      <c r="E7" s="278"/>
      <c r="F7" s="279" t="s">
        <v>364</v>
      </c>
      <c r="G7" s="279"/>
      <c r="H7" s="279"/>
      <c r="I7" s="278"/>
      <c r="J7" s="279" t="s">
        <v>364</v>
      </c>
      <c r="K7" s="279"/>
      <c r="L7" s="279"/>
      <c r="M7" s="278"/>
      <c r="N7" s="279" t="s">
        <v>364</v>
      </c>
      <c r="O7" s="279"/>
      <c r="P7" s="279"/>
      <c r="Q7" s="278"/>
      <c r="R7" s="279" t="s">
        <v>364</v>
      </c>
      <c r="S7" s="279"/>
      <c r="T7" s="279"/>
      <c r="U7" s="278"/>
      <c r="V7" s="279" t="s">
        <v>364</v>
      </c>
      <c r="W7" s="279"/>
      <c r="X7" s="279"/>
      <c r="Y7" s="278"/>
      <c r="Z7" s="279" t="s">
        <v>364</v>
      </c>
      <c r="AA7" s="279"/>
      <c r="AB7" s="279"/>
      <c r="AC7" s="278"/>
      <c r="AD7" s="279" t="s">
        <v>364</v>
      </c>
      <c r="AE7" s="279"/>
      <c r="AF7" s="279"/>
      <c r="AG7" s="566"/>
      <c r="AH7" s="146"/>
      <c r="AI7" s="146"/>
      <c r="AJ7" s="146"/>
      <c r="AK7" s="146"/>
      <c r="AL7" s="146"/>
      <c r="AM7" s="146"/>
      <c r="AN7" s="146"/>
      <c r="AO7" s="146"/>
      <c r="AP7" s="146"/>
      <c r="AQ7" s="146"/>
      <c r="AR7" s="146"/>
      <c r="AS7" s="146"/>
      <c r="AT7" s="146"/>
      <c r="AU7" s="146"/>
      <c r="AV7" s="146"/>
    </row>
    <row r="8" spans="1:48" ht="15" x14ac:dyDescent="0.2">
      <c r="B8" s="278" t="s">
        <v>397</v>
      </c>
      <c r="C8" s="278"/>
      <c r="D8" s="278" t="s">
        <v>398</v>
      </c>
      <c r="E8" s="278"/>
      <c r="F8" s="278" t="s">
        <v>564</v>
      </c>
      <c r="G8" s="278"/>
      <c r="H8" s="278" t="s">
        <v>509</v>
      </c>
      <c r="I8" s="278"/>
      <c r="J8" s="278" t="s">
        <v>564</v>
      </c>
      <c r="K8" s="278"/>
      <c r="L8" s="278" t="s">
        <v>509</v>
      </c>
      <c r="M8" s="278"/>
      <c r="N8" s="278" t="s">
        <v>564</v>
      </c>
      <c r="O8" s="278"/>
      <c r="P8" s="278" t="s">
        <v>509</v>
      </c>
      <c r="Q8" s="278"/>
      <c r="R8" s="278" t="s">
        <v>564</v>
      </c>
      <c r="S8" s="278"/>
      <c r="T8" s="278" t="s">
        <v>509</v>
      </c>
      <c r="U8" s="278"/>
      <c r="V8" s="278" t="s">
        <v>564</v>
      </c>
      <c r="W8" s="278"/>
      <c r="X8" s="278" t="s">
        <v>509</v>
      </c>
      <c r="Y8" s="278"/>
      <c r="Z8" s="278" t="s">
        <v>564</v>
      </c>
      <c r="AA8" s="278"/>
      <c r="AB8" s="278" t="s">
        <v>509</v>
      </c>
      <c r="AC8" s="278"/>
      <c r="AD8" s="278" t="s">
        <v>564</v>
      </c>
      <c r="AE8" s="278"/>
      <c r="AF8" s="278" t="s">
        <v>509</v>
      </c>
      <c r="AG8" s="566"/>
      <c r="AH8" s="146"/>
      <c r="AI8" s="146"/>
      <c r="AJ8" s="387"/>
      <c r="AK8" s="146"/>
      <c r="AL8" s="146"/>
      <c r="AM8" s="146"/>
      <c r="AN8" s="146"/>
      <c r="AO8" s="146"/>
      <c r="AP8" s="146"/>
      <c r="AQ8" s="146"/>
      <c r="AR8" s="146"/>
      <c r="AS8" s="146"/>
      <c r="AT8" s="146"/>
      <c r="AU8" s="146"/>
      <c r="AV8" s="146"/>
    </row>
    <row r="9" spans="1:48" ht="15" x14ac:dyDescent="0.2">
      <c r="B9" s="280">
        <v>-1</v>
      </c>
      <c r="C9" s="281"/>
      <c r="D9" s="280">
        <v>-2</v>
      </c>
      <c r="E9" s="281"/>
      <c r="F9" s="280">
        <v>-3</v>
      </c>
      <c r="G9" s="282"/>
      <c r="H9" s="283" t="s">
        <v>510</v>
      </c>
      <c r="I9" s="282"/>
      <c r="J9" s="280">
        <v>-5</v>
      </c>
      <c r="K9" s="281"/>
      <c r="L9" s="280" t="s">
        <v>511</v>
      </c>
      <c r="M9" s="281"/>
      <c r="N9" s="280">
        <v>-7</v>
      </c>
      <c r="O9" s="281"/>
      <c r="P9" s="280" t="s">
        <v>512</v>
      </c>
      <c r="Q9" s="281"/>
      <c r="R9" s="280">
        <v>-9</v>
      </c>
      <c r="S9" s="281"/>
      <c r="T9" s="280" t="s">
        <v>513</v>
      </c>
      <c r="U9" s="281"/>
      <c r="V9" s="280">
        <v>-11</v>
      </c>
      <c r="W9" s="281"/>
      <c r="X9" s="280" t="s">
        <v>514</v>
      </c>
      <c r="Y9" s="281"/>
      <c r="Z9" s="280">
        <v>-13</v>
      </c>
      <c r="AA9" s="281"/>
      <c r="AB9" s="280" t="s">
        <v>515</v>
      </c>
      <c r="AC9" s="281"/>
      <c r="AD9" s="280">
        <v>-15</v>
      </c>
      <c r="AE9" s="281"/>
      <c r="AF9" s="280">
        <v>-16</v>
      </c>
      <c r="AG9" s="566"/>
      <c r="AH9" s="670"/>
      <c r="AI9" s="670"/>
      <c r="AJ9" s="670"/>
      <c r="AK9" s="670"/>
      <c r="AL9" s="146"/>
      <c r="AM9" s="670"/>
      <c r="AN9" s="670"/>
      <c r="AO9" s="670"/>
      <c r="AP9" s="670"/>
      <c r="AQ9" s="146"/>
      <c r="AR9" s="534"/>
      <c r="AS9" s="534"/>
      <c r="AT9" s="534"/>
      <c r="AU9" s="146"/>
      <c r="AV9" s="146"/>
    </row>
    <row r="10" spans="1:48" ht="15" x14ac:dyDescent="0.2">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566"/>
      <c r="AH10" s="534"/>
      <c r="AI10" s="534"/>
      <c r="AJ10" s="534"/>
      <c r="AK10" s="534"/>
      <c r="AL10" s="146"/>
      <c r="AM10" s="534"/>
      <c r="AN10" s="534"/>
      <c r="AO10" s="534"/>
      <c r="AP10" s="534"/>
      <c r="AQ10" s="146"/>
      <c r="AR10" s="146"/>
      <c r="AS10" s="146"/>
      <c r="AT10" s="146"/>
      <c r="AU10" s="146"/>
      <c r="AV10" s="146"/>
    </row>
    <row r="11" spans="1:48" ht="15" x14ac:dyDescent="0.2">
      <c r="A11" s="366">
        <v>1</v>
      </c>
      <c r="B11" s="278" t="s">
        <v>565</v>
      </c>
      <c r="C11" s="277"/>
      <c r="D11" s="284">
        <v>1</v>
      </c>
      <c r="E11" s="277"/>
      <c r="F11" s="285">
        <v>110047</v>
      </c>
      <c r="G11" s="277"/>
      <c r="H11" s="285">
        <f>ROUND(+F11*$D11,0)</f>
        <v>110047</v>
      </c>
      <c r="I11" s="277"/>
      <c r="J11" s="285">
        <v>4536</v>
      </c>
      <c r="K11" s="277"/>
      <c r="L11" s="285">
        <f>ROUND(+J11*$D11,0)</f>
        <v>4536</v>
      </c>
      <c r="M11" s="277"/>
      <c r="N11" s="285">
        <v>7</v>
      </c>
      <c r="P11" s="285">
        <f>ROUND(+N11*$D11,0)</f>
        <v>7</v>
      </c>
      <c r="Q11" s="277"/>
      <c r="R11" s="285">
        <v>139</v>
      </c>
      <c r="S11" s="277"/>
      <c r="T11" s="285">
        <f>ROUND(+R11*$D11,0)</f>
        <v>139</v>
      </c>
      <c r="U11" s="277"/>
      <c r="V11" s="285">
        <v>0</v>
      </c>
      <c r="W11" s="277"/>
      <c r="X11" s="285">
        <f>ROUND(+V11*$D11,0)</f>
        <v>0</v>
      </c>
      <c r="Y11" s="277"/>
      <c r="Z11" s="285">
        <v>1595</v>
      </c>
      <c r="AA11" s="277"/>
      <c r="AB11" s="285">
        <f>ROUND(+Z11*$D11,0)</f>
        <v>1595</v>
      </c>
      <c r="AC11" s="277"/>
      <c r="AD11" s="285">
        <f>F11+J11+N11+R11+V11+Z11</f>
        <v>116324</v>
      </c>
      <c r="AE11" s="277"/>
      <c r="AF11" s="285">
        <f>H11+L11+P11+T11+X11+AB11</f>
        <v>116324</v>
      </c>
      <c r="AG11" s="566"/>
      <c r="AH11" s="387"/>
      <c r="AI11" s="387"/>
      <c r="AJ11" s="387"/>
      <c r="AK11" s="146"/>
      <c r="AL11" s="146"/>
      <c r="AM11" s="387"/>
      <c r="AN11" s="387"/>
      <c r="AO11" s="387"/>
      <c r="AP11" s="146"/>
      <c r="AQ11" s="146"/>
      <c r="AR11" s="387"/>
      <c r="AS11" s="387"/>
      <c r="AT11" s="387"/>
      <c r="AU11" s="146"/>
      <c r="AV11" s="146"/>
    </row>
    <row r="12" spans="1:48" ht="15" x14ac:dyDescent="0.2">
      <c r="A12" s="366"/>
      <c r="B12" s="278"/>
      <c r="C12" s="277"/>
      <c r="D12" s="284"/>
      <c r="E12" s="277"/>
      <c r="F12" s="277"/>
      <c r="G12" s="277"/>
      <c r="H12" s="277"/>
      <c r="I12" s="277"/>
      <c r="J12" s="277"/>
      <c r="K12" s="277"/>
      <c r="L12" s="277"/>
      <c r="M12" s="277"/>
      <c r="N12" s="277"/>
      <c r="O12" s="277"/>
      <c r="P12" s="277"/>
      <c r="Q12" s="277"/>
      <c r="R12" s="277"/>
      <c r="S12" s="277"/>
      <c r="T12" s="277"/>
      <c r="U12" s="277"/>
      <c r="V12" s="277"/>
      <c r="W12" s="277"/>
      <c r="X12" s="277"/>
      <c r="Y12" s="277"/>
      <c r="Z12" s="285"/>
      <c r="AA12" s="277"/>
      <c r="AB12" s="277"/>
      <c r="AC12" s="277"/>
      <c r="AD12" s="277"/>
      <c r="AE12" s="277"/>
      <c r="AF12" s="277"/>
      <c r="AG12" s="566"/>
      <c r="AH12" s="387"/>
      <c r="AI12" s="387"/>
      <c r="AJ12" s="387"/>
      <c r="AK12" s="146"/>
      <c r="AL12" s="146"/>
      <c r="AM12" s="387"/>
      <c r="AN12" s="387"/>
      <c r="AO12" s="387"/>
      <c r="AP12" s="146"/>
      <c r="AQ12" s="146"/>
      <c r="AR12" s="387"/>
      <c r="AS12" s="387"/>
      <c r="AT12" s="387"/>
      <c r="AU12" s="146"/>
      <c r="AV12" s="146"/>
    </row>
    <row r="13" spans="1:48" s="464" customFormat="1" ht="15" x14ac:dyDescent="0.2">
      <c r="A13" s="366"/>
      <c r="B13" s="469" t="s">
        <v>698</v>
      </c>
      <c r="C13" s="277"/>
      <c r="D13" s="284">
        <v>1.4</v>
      </c>
      <c r="E13" s="277"/>
      <c r="F13" s="285">
        <v>1</v>
      </c>
      <c r="G13" s="277"/>
      <c r="H13" s="285">
        <f>ROUND(+F13*$D13,0)</f>
        <v>1</v>
      </c>
      <c r="I13" s="277"/>
      <c r="J13" s="285">
        <v>0</v>
      </c>
      <c r="K13" s="277"/>
      <c r="L13" s="285">
        <f>ROUND(+J13*$D13,0)</f>
        <v>0</v>
      </c>
      <c r="M13" s="277"/>
      <c r="N13" s="285">
        <v>1</v>
      </c>
      <c r="O13" s="277"/>
      <c r="P13" s="285">
        <f>ROUND(+N13*$D13,0)</f>
        <v>1</v>
      </c>
      <c r="Q13" s="277"/>
      <c r="R13" s="285">
        <v>0</v>
      </c>
      <c r="S13" s="277"/>
      <c r="T13" s="285">
        <f>ROUND(+R13*$D13,0)</f>
        <v>0</v>
      </c>
      <c r="U13" s="277"/>
      <c r="V13" s="285">
        <v>0</v>
      </c>
      <c r="W13" s="277"/>
      <c r="X13" s="285">
        <f>ROUND(+V13*$D13,0)</f>
        <v>0</v>
      </c>
      <c r="Y13" s="277"/>
      <c r="Z13" s="285">
        <v>0</v>
      </c>
      <c r="AA13" s="277"/>
      <c r="AB13" s="285">
        <f>ROUND(+Z13*$D13,0)</f>
        <v>0</v>
      </c>
      <c r="AC13" s="277"/>
      <c r="AD13" s="285">
        <f>F13+J13+N13+R13+V13+Z13</f>
        <v>2</v>
      </c>
      <c r="AE13" s="277"/>
      <c r="AF13" s="285">
        <f>H13+L13+P13+T13+X13+AB13</f>
        <v>2</v>
      </c>
      <c r="AG13" s="566"/>
      <c r="AH13" s="387"/>
      <c r="AI13" s="387"/>
      <c r="AJ13" s="387"/>
      <c r="AK13" s="146"/>
      <c r="AL13" s="146"/>
      <c r="AM13" s="387"/>
      <c r="AN13" s="387"/>
      <c r="AO13" s="387"/>
      <c r="AP13" s="146"/>
      <c r="AQ13" s="146"/>
      <c r="AR13" s="387"/>
      <c r="AS13" s="387"/>
      <c r="AT13" s="387"/>
      <c r="AU13" s="146"/>
      <c r="AV13" s="146"/>
    </row>
    <row r="14" spans="1:48" s="464" customFormat="1" ht="15" x14ac:dyDescent="0.2">
      <c r="A14" s="366"/>
      <c r="B14" s="278"/>
      <c r="C14" s="277"/>
      <c r="D14" s="284"/>
      <c r="E14" s="277"/>
      <c r="F14" s="285"/>
      <c r="G14" s="277"/>
      <c r="H14" s="285"/>
      <c r="I14" s="277"/>
      <c r="J14" s="285"/>
      <c r="K14" s="277"/>
      <c r="L14" s="285"/>
      <c r="M14" s="277"/>
      <c r="N14" s="285"/>
      <c r="O14" s="277"/>
      <c r="P14" s="285"/>
      <c r="Q14" s="277"/>
      <c r="R14" s="285"/>
      <c r="S14" s="277"/>
      <c r="T14" s="285"/>
      <c r="U14" s="277"/>
      <c r="V14" s="285"/>
      <c r="W14" s="277"/>
      <c r="X14" s="285"/>
      <c r="Y14" s="277"/>
      <c r="Z14" s="285"/>
      <c r="AA14" s="277"/>
      <c r="AB14" s="285"/>
      <c r="AC14" s="277"/>
      <c r="AD14" s="285"/>
      <c r="AE14" s="277"/>
      <c r="AF14" s="285"/>
      <c r="AG14" s="566"/>
      <c r="AH14" s="387"/>
      <c r="AI14" s="387"/>
      <c r="AJ14" s="387"/>
      <c r="AK14" s="146"/>
      <c r="AL14" s="146"/>
      <c r="AM14" s="387"/>
      <c r="AN14" s="387"/>
      <c r="AO14" s="387"/>
      <c r="AP14" s="146"/>
      <c r="AQ14" s="146"/>
      <c r="AR14" s="387"/>
      <c r="AS14" s="387"/>
      <c r="AT14" s="387"/>
      <c r="AU14" s="146"/>
      <c r="AV14" s="146"/>
    </row>
    <row r="15" spans="1:48" ht="15" x14ac:dyDescent="0.2">
      <c r="A15" s="366">
        <v>2</v>
      </c>
      <c r="B15" s="278" t="s">
        <v>566</v>
      </c>
      <c r="C15" s="277"/>
      <c r="D15" s="284">
        <v>1.8</v>
      </c>
      <c r="E15" s="277"/>
      <c r="F15" s="285">
        <v>1818</v>
      </c>
      <c r="G15" s="277"/>
      <c r="H15" s="285">
        <f>ROUND(+F15*$D15,0)</f>
        <v>3272</v>
      </c>
      <c r="I15" s="277"/>
      <c r="J15" s="285">
        <v>2340</v>
      </c>
      <c r="K15" s="277"/>
      <c r="L15" s="285">
        <f>ROUND(+J15*$D15,0)</f>
        <v>4212</v>
      </c>
      <c r="M15" s="277"/>
      <c r="N15" s="285">
        <v>2</v>
      </c>
      <c r="O15" s="277"/>
      <c r="P15" s="285">
        <f>ROUND(+N15*$D15,0)</f>
        <v>4</v>
      </c>
      <c r="Q15" s="277"/>
      <c r="R15" s="285">
        <v>173</v>
      </c>
      <c r="S15" s="277"/>
      <c r="T15" s="285">
        <f>ROUND(+R15*$D15,0)</f>
        <v>311</v>
      </c>
      <c r="U15" s="277"/>
      <c r="V15" s="285">
        <v>0</v>
      </c>
      <c r="W15" s="277"/>
      <c r="X15" s="285">
        <f>ROUND(+V15*$D15,0)</f>
        <v>0</v>
      </c>
      <c r="Y15" s="277"/>
      <c r="Z15" s="277">
        <v>0</v>
      </c>
      <c r="AA15" s="277"/>
      <c r="AB15" s="285">
        <f>ROUND(+Z15*$D15,0)</f>
        <v>0</v>
      </c>
      <c r="AC15" s="277"/>
      <c r="AD15" s="285">
        <f>F15+J15+N15+R15+V15+Z15</f>
        <v>4333</v>
      </c>
      <c r="AE15" s="277"/>
      <c r="AF15" s="285">
        <f>H15+L15+P15+T15+X15+AB15</f>
        <v>7799</v>
      </c>
      <c r="AG15" s="566"/>
      <c r="AH15" s="387"/>
      <c r="AI15" s="387"/>
      <c r="AJ15" s="387"/>
      <c r="AK15" s="146"/>
      <c r="AL15" s="146"/>
      <c r="AM15" s="387"/>
      <c r="AN15" s="387"/>
      <c r="AO15" s="387"/>
      <c r="AP15" s="146"/>
      <c r="AQ15" s="146"/>
      <c r="AR15" s="387"/>
      <c r="AS15" s="387"/>
      <c r="AT15" s="387"/>
      <c r="AU15" s="146"/>
      <c r="AV15" s="146"/>
    </row>
    <row r="16" spans="1:48" ht="15" x14ac:dyDescent="0.2">
      <c r="A16" s="366"/>
      <c r="B16" s="278"/>
      <c r="C16" s="277"/>
      <c r="D16" s="284"/>
      <c r="E16" s="277"/>
      <c r="F16" s="285"/>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566"/>
      <c r="AH16" s="387"/>
      <c r="AI16" s="387"/>
      <c r="AJ16" s="387"/>
      <c r="AK16" s="146"/>
      <c r="AL16" s="146"/>
      <c r="AM16" s="387"/>
      <c r="AN16" s="387"/>
      <c r="AO16" s="387"/>
      <c r="AP16" s="146"/>
      <c r="AQ16" s="146"/>
      <c r="AR16" s="387"/>
      <c r="AS16" s="387"/>
      <c r="AT16" s="387"/>
      <c r="AU16" s="146"/>
      <c r="AV16" s="146"/>
    </row>
    <row r="17" spans="1:48" ht="15" x14ac:dyDescent="0.2">
      <c r="A17" s="366">
        <v>7.4</v>
      </c>
      <c r="B17" s="278" t="s">
        <v>567</v>
      </c>
      <c r="C17" s="277"/>
      <c r="D17" s="284">
        <v>3</v>
      </c>
      <c r="E17" s="277"/>
      <c r="F17" s="285">
        <v>14</v>
      </c>
      <c r="G17" s="277"/>
      <c r="H17" s="285">
        <f>ROUND(+F17*$D17,0)</f>
        <v>42</v>
      </c>
      <c r="I17" s="277"/>
      <c r="J17" s="285">
        <v>172</v>
      </c>
      <c r="K17" s="277"/>
      <c r="L17" s="285">
        <f>ROUND(+J17*$D17,0)</f>
        <v>516</v>
      </c>
      <c r="M17" s="277"/>
      <c r="N17" s="285">
        <v>2</v>
      </c>
      <c r="O17" s="277"/>
      <c r="P17" s="285">
        <f>ROUND(+N17*$D17,0)</f>
        <v>6</v>
      </c>
      <c r="Q17" s="277"/>
      <c r="R17" s="285">
        <v>28</v>
      </c>
      <c r="S17" s="277"/>
      <c r="T17" s="285">
        <f>ROUND(+R17*$D17,0)</f>
        <v>84</v>
      </c>
      <c r="U17" s="277"/>
      <c r="V17" s="285">
        <v>4</v>
      </c>
      <c r="W17" s="277"/>
      <c r="X17" s="285">
        <f>ROUND(+V17*$D17,0)</f>
        <v>12</v>
      </c>
      <c r="Y17" s="277"/>
      <c r="Z17" s="277">
        <v>0</v>
      </c>
      <c r="AA17" s="277"/>
      <c r="AB17" s="285">
        <f>ROUND(+Z17*$D17,0)</f>
        <v>0</v>
      </c>
      <c r="AC17" s="277"/>
      <c r="AD17" s="285">
        <f>F17+J17+N17+R17+V17+Z17</f>
        <v>220</v>
      </c>
      <c r="AE17" s="277"/>
      <c r="AF17" s="285">
        <f>H17+L17+P17+T17+X17+AB17</f>
        <v>660</v>
      </c>
      <c r="AG17" s="566"/>
      <c r="AH17" s="387"/>
      <c r="AI17" s="387"/>
      <c r="AJ17" s="387"/>
      <c r="AK17" s="146"/>
      <c r="AL17" s="146"/>
      <c r="AM17" s="387"/>
      <c r="AN17" s="387"/>
      <c r="AO17" s="387"/>
      <c r="AP17" s="146"/>
      <c r="AQ17" s="146"/>
      <c r="AR17" s="387"/>
      <c r="AS17" s="387"/>
      <c r="AT17" s="387"/>
      <c r="AU17" s="146"/>
      <c r="AV17" s="146"/>
    </row>
    <row r="18" spans="1:48" ht="15" x14ac:dyDescent="0.2">
      <c r="A18" s="366"/>
      <c r="B18" s="278"/>
      <c r="C18" s="277"/>
      <c r="D18" s="284"/>
      <c r="E18" s="277"/>
      <c r="F18" s="285"/>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566"/>
      <c r="AH18" s="387"/>
      <c r="AI18" s="387"/>
      <c r="AJ18" s="387"/>
      <c r="AK18" s="146"/>
      <c r="AL18" s="146"/>
      <c r="AM18" s="387"/>
      <c r="AN18" s="387"/>
      <c r="AO18" s="387"/>
      <c r="AP18" s="146"/>
      <c r="AQ18" s="146"/>
      <c r="AR18" s="387"/>
      <c r="AS18" s="387"/>
      <c r="AT18" s="387"/>
      <c r="AU18" s="146"/>
      <c r="AV18" s="146"/>
    </row>
    <row r="19" spans="1:48" ht="15" x14ac:dyDescent="0.2">
      <c r="A19" s="366">
        <v>7.7</v>
      </c>
      <c r="B19" s="278" t="s">
        <v>568</v>
      </c>
      <c r="C19" s="277"/>
      <c r="D19" s="284">
        <v>4</v>
      </c>
      <c r="E19" s="277"/>
      <c r="F19" s="285">
        <v>77</v>
      </c>
      <c r="G19" s="277"/>
      <c r="H19" s="285">
        <f>ROUND(+F19*$D19,0)</f>
        <v>308</v>
      </c>
      <c r="I19" s="277"/>
      <c r="J19" s="285">
        <v>1817</v>
      </c>
      <c r="K19" s="277"/>
      <c r="L19" s="285">
        <f>ROUND(+J19*$D19,0)</f>
        <v>7268</v>
      </c>
      <c r="M19" s="277"/>
      <c r="N19" s="285">
        <v>23</v>
      </c>
      <c r="O19" s="277"/>
      <c r="P19" s="285">
        <f>ROUND(+N19*$D19,0)</f>
        <v>92</v>
      </c>
      <c r="Q19" s="277"/>
      <c r="R19" s="285">
        <v>371</v>
      </c>
      <c r="S19" s="277"/>
      <c r="T19" s="285">
        <f>ROUND(+R19*$D19,0)</f>
        <v>1484</v>
      </c>
      <c r="U19" s="277"/>
      <c r="V19" s="285">
        <v>8</v>
      </c>
      <c r="W19" s="277"/>
      <c r="X19" s="285">
        <f>ROUND(+V19*$D19,0)</f>
        <v>32</v>
      </c>
      <c r="Y19" s="277"/>
      <c r="Z19" s="277">
        <v>0</v>
      </c>
      <c r="AA19" s="277"/>
      <c r="AB19" s="285">
        <f>ROUND(+Z19*$D19,0)</f>
        <v>0</v>
      </c>
      <c r="AC19" s="277"/>
      <c r="AD19" s="285">
        <f>F19+J19+N19+R19+V19+Z19</f>
        <v>2296</v>
      </c>
      <c r="AE19" s="277"/>
      <c r="AF19" s="285">
        <f>H19+L19+P19+T19+X19+AB19</f>
        <v>9184</v>
      </c>
      <c r="AG19" s="566"/>
      <c r="AH19" s="387"/>
      <c r="AI19" s="387"/>
      <c r="AJ19" s="387"/>
      <c r="AK19" s="146"/>
      <c r="AL19" s="146"/>
      <c r="AM19" s="387"/>
      <c r="AN19" s="387"/>
      <c r="AO19" s="387"/>
      <c r="AP19" s="146"/>
      <c r="AQ19" s="146"/>
      <c r="AR19" s="387"/>
      <c r="AS19" s="387"/>
      <c r="AT19" s="387"/>
      <c r="AU19" s="146"/>
      <c r="AV19" s="146"/>
    </row>
    <row r="20" spans="1:48" ht="15" x14ac:dyDescent="0.2">
      <c r="A20" s="366"/>
      <c r="B20" s="278"/>
      <c r="C20" s="277"/>
      <c r="D20" s="284"/>
      <c r="E20" s="277"/>
      <c r="F20" s="285"/>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566"/>
      <c r="AH20" s="387"/>
      <c r="AI20" s="387"/>
      <c r="AJ20" s="387"/>
      <c r="AK20" s="146"/>
      <c r="AL20" s="146"/>
      <c r="AM20" s="387"/>
      <c r="AN20" s="387"/>
      <c r="AO20" s="387"/>
      <c r="AP20" s="146"/>
      <c r="AQ20" s="146"/>
      <c r="AR20" s="387"/>
      <c r="AS20" s="387"/>
      <c r="AT20" s="387"/>
      <c r="AU20" s="146"/>
      <c r="AV20" s="146"/>
    </row>
    <row r="21" spans="1:48" ht="15" x14ac:dyDescent="0.2">
      <c r="A21" s="366">
        <v>12.7</v>
      </c>
      <c r="B21" s="278" t="s">
        <v>569</v>
      </c>
      <c r="C21" s="277"/>
      <c r="D21" s="284">
        <v>12</v>
      </c>
      <c r="E21" s="277"/>
      <c r="F21" s="285">
        <v>0</v>
      </c>
      <c r="G21" s="277"/>
      <c r="H21" s="285">
        <f>ROUND(+F21*$D21,0)</f>
        <v>0</v>
      </c>
      <c r="I21" s="277"/>
      <c r="J21" s="285">
        <v>13</v>
      </c>
      <c r="K21" s="277"/>
      <c r="L21" s="285">
        <f>ROUND(+J21*$D21,0)</f>
        <v>156</v>
      </c>
      <c r="M21" s="277"/>
      <c r="N21" s="285">
        <v>0</v>
      </c>
      <c r="O21" s="277"/>
      <c r="P21" s="285">
        <f>ROUND(+N21*$D21,0)</f>
        <v>0</v>
      </c>
      <c r="Q21" s="277"/>
      <c r="R21" s="285">
        <v>1</v>
      </c>
      <c r="S21" s="277"/>
      <c r="T21" s="285">
        <f>ROUND(+R21*$D21,0)</f>
        <v>12</v>
      </c>
      <c r="U21" s="277"/>
      <c r="V21" s="285">
        <v>0</v>
      </c>
      <c r="W21" s="277"/>
      <c r="X21" s="285">
        <f>ROUND(+V21*$D21,0)</f>
        <v>0</v>
      </c>
      <c r="Y21" s="277"/>
      <c r="Z21" s="277">
        <v>0</v>
      </c>
      <c r="AA21" s="277"/>
      <c r="AB21" s="285">
        <f>ROUND(+Z21*$D21,0)</f>
        <v>0</v>
      </c>
      <c r="AC21" s="277"/>
      <c r="AD21" s="285">
        <f>F21+J21+N21+R21+V21+Z21</f>
        <v>14</v>
      </c>
      <c r="AE21" s="277"/>
      <c r="AF21" s="285">
        <f>H21+L21+P21+T21+X21+AB21</f>
        <v>168</v>
      </c>
      <c r="AG21" s="566"/>
      <c r="AH21" s="387"/>
      <c r="AI21" s="387"/>
      <c r="AJ21" s="387"/>
      <c r="AK21" s="146"/>
      <c r="AL21" s="146"/>
      <c r="AM21" s="387"/>
      <c r="AN21" s="387"/>
      <c r="AO21" s="387"/>
      <c r="AP21" s="146"/>
      <c r="AQ21" s="146"/>
      <c r="AR21" s="387"/>
      <c r="AS21" s="387"/>
      <c r="AT21" s="387"/>
      <c r="AU21" s="146"/>
      <c r="AV21" s="146"/>
    </row>
    <row r="22" spans="1:48" ht="15" x14ac:dyDescent="0.2">
      <c r="A22" s="366"/>
      <c r="B22" s="278"/>
      <c r="C22" s="277"/>
      <c r="D22" s="284"/>
      <c r="E22" s="277"/>
      <c r="F22" s="285"/>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566"/>
      <c r="AH22" s="387"/>
      <c r="AI22" s="387"/>
      <c r="AJ22" s="387"/>
      <c r="AK22" s="146"/>
      <c r="AL22" s="146"/>
      <c r="AM22" s="387"/>
      <c r="AN22" s="387"/>
      <c r="AO22" s="387"/>
      <c r="AP22" s="146"/>
      <c r="AQ22" s="146"/>
      <c r="AR22" s="387"/>
      <c r="AS22" s="387"/>
      <c r="AT22" s="387"/>
      <c r="AU22" s="146"/>
      <c r="AV22" s="146"/>
    </row>
    <row r="23" spans="1:48" ht="15" x14ac:dyDescent="0.2">
      <c r="A23" s="366">
        <v>17.600000000000001</v>
      </c>
      <c r="B23" s="278" t="s">
        <v>570</v>
      </c>
      <c r="C23" s="277"/>
      <c r="D23" s="284">
        <v>20</v>
      </c>
      <c r="E23" s="277"/>
      <c r="F23" s="285">
        <v>0</v>
      </c>
      <c r="G23" s="277"/>
      <c r="H23" s="285">
        <f>ROUND(+F23*$D23,0)</f>
        <v>0</v>
      </c>
      <c r="I23" s="277"/>
      <c r="J23" s="285">
        <v>28</v>
      </c>
      <c r="K23" s="277"/>
      <c r="L23" s="285">
        <f>ROUND(+J23*$D23,0)</f>
        <v>560</v>
      </c>
      <c r="M23" s="277"/>
      <c r="N23" s="285">
        <v>11</v>
      </c>
      <c r="O23" s="277"/>
      <c r="P23" s="285">
        <f>ROUND(+N23*$D23,0)</f>
        <v>220</v>
      </c>
      <c r="Q23" s="277"/>
      <c r="R23" s="285">
        <v>41</v>
      </c>
      <c r="S23" s="277"/>
      <c r="T23" s="285">
        <f>ROUND(+R23*$D23,0)</f>
        <v>820</v>
      </c>
      <c r="U23" s="277"/>
      <c r="V23" s="285">
        <v>7</v>
      </c>
      <c r="W23" s="277"/>
      <c r="X23" s="285">
        <f>ROUND(+V23*$D23,0)</f>
        <v>140</v>
      </c>
      <c r="Y23" s="277"/>
      <c r="Z23" s="277">
        <v>0</v>
      </c>
      <c r="AA23" s="277"/>
      <c r="AB23" s="285">
        <f>ROUND(+Z23*$D23,0)</f>
        <v>0</v>
      </c>
      <c r="AC23" s="277"/>
      <c r="AD23" s="285">
        <f>F23+J23+N23+R23+V23+Z23</f>
        <v>87</v>
      </c>
      <c r="AE23" s="277"/>
      <c r="AF23" s="285">
        <f>H23+L23+P23+T23+X23+AB23</f>
        <v>1740</v>
      </c>
      <c r="AG23" s="566"/>
      <c r="AH23" s="387"/>
      <c r="AI23" s="387"/>
      <c r="AJ23" s="387"/>
      <c r="AK23" s="146"/>
      <c r="AL23" s="146"/>
      <c r="AM23" s="387"/>
      <c r="AN23" s="387"/>
      <c r="AO23" s="387"/>
      <c r="AP23" s="146"/>
      <c r="AQ23" s="146"/>
      <c r="AR23" s="387"/>
      <c r="AS23" s="387"/>
      <c r="AT23" s="387"/>
      <c r="AU23" s="146"/>
      <c r="AV23" s="146"/>
    </row>
    <row r="24" spans="1:48" ht="15" x14ac:dyDescent="0.2">
      <c r="A24" s="366"/>
      <c r="B24" s="278"/>
      <c r="C24" s="277"/>
      <c r="D24" s="284"/>
      <c r="E24" s="277"/>
      <c r="F24" s="285"/>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566"/>
      <c r="AH24" s="387"/>
      <c r="AI24" s="387"/>
      <c r="AJ24" s="387"/>
      <c r="AK24" s="146"/>
      <c r="AL24" s="146"/>
      <c r="AM24" s="387"/>
      <c r="AN24" s="387"/>
      <c r="AO24" s="387"/>
      <c r="AP24" s="146"/>
      <c r="AQ24" s="146"/>
      <c r="AR24" s="387"/>
      <c r="AS24" s="387"/>
      <c r="AT24" s="387"/>
      <c r="AU24" s="146"/>
      <c r="AV24" s="146"/>
    </row>
    <row r="25" spans="1:48" ht="15" x14ac:dyDescent="0.2">
      <c r="A25" s="366">
        <v>74.8</v>
      </c>
      <c r="B25" s="278" t="s">
        <v>571</v>
      </c>
      <c r="C25" s="277"/>
      <c r="D25" s="284">
        <v>30</v>
      </c>
      <c r="E25" s="277"/>
      <c r="F25" s="285">
        <v>2</v>
      </c>
      <c r="G25" s="277"/>
      <c r="H25" s="285">
        <f>ROUND(+F25*$D25,0)</f>
        <v>60</v>
      </c>
      <c r="I25" s="277"/>
      <c r="J25" s="285">
        <v>12</v>
      </c>
      <c r="K25" s="277"/>
      <c r="L25" s="285">
        <f>ROUND(+J25*$D25,0)</f>
        <v>360</v>
      </c>
      <c r="M25" s="277"/>
      <c r="N25" s="285">
        <v>8</v>
      </c>
      <c r="O25" s="277"/>
      <c r="P25" s="285">
        <f>ROUND(+N25*$D25,0)</f>
        <v>240</v>
      </c>
      <c r="Q25" s="277"/>
      <c r="R25" s="285">
        <v>11</v>
      </c>
      <c r="S25" s="277"/>
      <c r="T25" s="285">
        <f>ROUND(+R25*$D25,0)</f>
        <v>330</v>
      </c>
      <c r="U25" s="277"/>
      <c r="V25" s="285">
        <v>5</v>
      </c>
      <c r="W25" s="277"/>
      <c r="X25" s="285">
        <f>ROUND(+V25*$D25,0)</f>
        <v>150</v>
      </c>
      <c r="Y25" s="277"/>
      <c r="Z25" s="277">
        <v>0</v>
      </c>
      <c r="AA25" s="277"/>
      <c r="AB25" s="285">
        <f>ROUND(+Z25*$D25,0)</f>
        <v>0</v>
      </c>
      <c r="AC25" s="277"/>
      <c r="AD25" s="285">
        <f>F25+J25+N25+R25+V25+Z25</f>
        <v>38</v>
      </c>
      <c r="AE25" s="277"/>
      <c r="AF25" s="285">
        <f>H25+L25+P25+T25+X25+AB25</f>
        <v>1140</v>
      </c>
      <c r="AG25" s="566"/>
      <c r="AH25" s="387"/>
      <c r="AI25" s="387"/>
      <c r="AJ25" s="387"/>
      <c r="AK25" s="146"/>
      <c r="AL25" s="146"/>
      <c r="AM25" s="387"/>
      <c r="AN25" s="387"/>
      <c r="AO25" s="387"/>
      <c r="AP25" s="146"/>
      <c r="AQ25" s="146"/>
      <c r="AR25" s="387"/>
      <c r="AS25" s="387"/>
      <c r="AT25" s="387"/>
      <c r="AU25" s="146"/>
      <c r="AV25" s="146"/>
    </row>
    <row r="26" spans="1:48" ht="15" x14ac:dyDescent="0.2">
      <c r="A26" s="366"/>
      <c r="B26" s="278"/>
      <c r="C26" s="277"/>
      <c r="D26" s="284"/>
      <c r="E26" s="277"/>
      <c r="F26" s="285"/>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566"/>
      <c r="AH26" s="387"/>
      <c r="AI26" s="387"/>
      <c r="AJ26" s="387"/>
      <c r="AK26" s="146"/>
      <c r="AL26" s="146"/>
      <c r="AM26" s="387"/>
      <c r="AN26" s="387"/>
      <c r="AO26" s="387"/>
      <c r="AP26" s="146"/>
      <c r="AQ26" s="146"/>
      <c r="AR26" s="387"/>
      <c r="AS26" s="387"/>
      <c r="AT26" s="387"/>
      <c r="AU26" s="146"/>
      <c r="AV26" s="146"/>
    </row>
    <row r="27" spans="1:48" ht="15" x14ac:dyDescent="0.2">
      <c r="A27" s="366">
        <v>133</v>
      </c>
      <c r="B27" s="278" t="s">
        <v>572</v>
      </c>
      <c r="C27" s="277"/>
      <c r="D27" s="284">
        <v>40</v>
      </c>
      <c r="E27" s="277"/>
      <c r="F27" s="285">
        <v>0</v>
      </c>
      <c r="G27" s="277"/>
      <c r="H27" s="285">
        <f>ROUND(+F27*$D27,0)</f>
        <v>0</v>
      </c>
      <c r="I27" s="277"/>
      <c r="J27" s="285">
        <v>11</v>
      </c>
      <c r="K27" s="277"/>
      <c r="L27" s="285">
        <f>ROUND(+J27*$D27,0)</f>
        <v>440</v>
      </c>
      <c r="M27" s="277"/>
      <c r="N27" s="285">
        <v>0</v>
      </c>
      <c r="O27" s="277"/>
      <c r="P27" s="285">
        <f>ROUND(+N27*$D27,0)</f>
        <v>0</v>
      </c>
      <c r="Q27" s="277"/>
      <c r="R27" s="285">
        <v>2</v>
      </c>
      <c r="S27" s="277"/>
      <c r="T27" s="285">
        <f>ROUND(+R27*$D27,0)</f>
        <v>80</v>
      </c>
      <c r="U27" s="277"/>
      <c r="V27" s="285">
        <v>0</v>
      </c>
      <c r="W27" s="277"/>
      <c r="X27" s="285">
        <f>ROUND(+V27*$D27,0)</f>
        <v>0</v>
      </c>
      <c r="Y27" s="277"/>
      <c r="Z27" s="277">
        <v>0</v>
      </c>
      <c r="AA27" s="277"/>
      <c r="AB27" s="285">
        <f>ROUND(+Z27*$D27,0)</f>
        <v>0</v>
      </c>
      <c r="AC27" s="277"/>
      <c r="AD27" s="285">
        <f>F27+J27+N27+R27+V27+Z27</f>
        <v>13</v>
      </c>
      <c r="AE27" s="277"/>
      <c r="AF27" s="285">
        <f>H27+L27+P27+T27+X27+AB27</f>
        <v>520</v>
      </c>
      <c r="AG27" s="566"/>
      <c r="AH27" s="387"/>
      <c r="AI27" s="387"/>
      <c r="AJ27" s="387"/>
      <c r="AK27" s="146"/>
      <c r="AL27" s="146"/>
      <c r="AM27" s="387"/>
      <c r="AN27" s="387"/>
      <c r="AO27" s="387"/>
      <c r="AP27" s="146"/>
      <c r="AQ27" s="146"/>
      <c r="AR27" s="387"/>
      <c r="AS27" s="387"/>
      <c r="AT27" s="387"/>
      <c r="AU27" s="146"/>
      <c r="AV27" s="146"/>
    </row>
    <row r="28" spans="1:48" ht="15" x14ac:dyDescent="0.2">
      <c r="A28" s="367"/>
      <c r="B28" s="277"/>
      <c r="C28" s="277"/>
      <c r="D28" s="277"/>
      <c r="E28" s="277"/>
      <c r="F28" s="286"/>
      <c r="G28" s="277"/>
      <c r="H28" s="286"/>
      <c r="I28" s="277"/>
      <c r="J28" s="286"/>
      <c r="K28" s="277"/>
      <c r="L28" s="286"/>
      <c r="M28" s="277"/>
      <c r="N28" s="286"/>
      <c r="O28" s="277"/>
      <c r="P28" s="286"/>
      <c r="Q28" s="277"/>
      <c r="R28" s="286"/>
      <c r="S28" s="277"/>
      <c r="T28" s="286"/>
      <c r="U28" s="277"/>
      <c r="V28" s="286"/>
      <c r="W28" s="277"/>
      <c r="X28" s="286"/>
      <c r="Y28" s="277"/>
      <c r="Z28" s="286"/>
      <c r="AA28" s="277"/>
      <c r="AB28" s="286"/>
      <c r="AC28" s="277"/>
      <c r="AD28" s="286"/>
      <c r="AE28" s="277"/>
      <c r="AF28" s="286"/>
      <c r="AG28" s="566"/>
      <c r="AH28" s="146"/>
      <c r="AI28" s="146"/>
      <c r="AJ28" s="146"/>
      <c r="AK28" s="146"/>
      <c r="AL28" s="146"/>
      <c r="AM28" s="146"/>
      <c r="AN28" s="146"/>
      <c r="AO28" s="146"/>
      <c r="AP28" s="146"/>
      <c r="AQ28" s="146"/>
      <c r="AR28" s="146"/>
      <c r="AS28" s="146"/>
      <c r="AT28" s="146"/>
      <c r="AU28" s="146"/>
      <c r="AV28" s="146"/>
    </row>
    <row r="29" spans="1:48" ht="15.75" thickBot="1" x14ac:dyDescent="0.25">
      <c r="B29" s="277" t="s">
        <v>507</v>
      </c>
      <c r="C29" s="277"/>
      <c r="D29" s="277"/>
      <c r="E29" s="277"/>
      <c r="F29" s="285">
        <f>SUM(F11:F27)</f>
        <v>111959</v>
      </c>
      <c r="G29" s="277"/>
      <c r="H29" s="285">
        <f>SUM(H11:H27)</f>
        <v>113730</v>
      </c>
      <c r="I29" s="277"/>
      <c r="J29" s="285">
        <f>SUM(J11:J27)</f>
        <v>8929</v>
      </c>
      <c r="K29" s="277"/>
      <c r="L29" s="287">
        <f>SUM(L11:L27)</f>
        <v>18048</v>
      </c>
      <c r="M29" s="277"/>
      <c r="N29" s="285">
        <f>SUM(N11:N27)</f>
        <v>54</v>
      </c>
      <c r="O29" s="277"/>
      <c r="P29" s="285">
        <f>SUM(P11:P27)</f>
        <v>570</v>
      </c>
      <c r="Q29" s="277"/>
      <c r="R29" s="285">
        <f>SUM(R11:R27)</f>
        <v>766</v>
      </c>
      <c r="S29" s="277"/>
      <c r="T29" s="285">
        <f>SUM(T11:T27)</f>
        <v>3260</v>
      </c>
      <c r="U29" s="277"/>
      <c r="V29" s="285">
        <f>SUM(V11:V27)</f>
        <v>24</v>
      </c>
      <c r="W29" s="277"/>
      <c r="X29" s="285">
        <f>SUM(X11:X27)</f>
        <v>334</v>
      </c>
      <c r="Y29" s="277"/>
      <c r="Z29" s="285">
        <f>SUM(Z11:Z27)</f>
        <v>1595</v>
      </c>
      <c r="AA29" s="277"/>
      <c r="AB29" s="285">
        <f>SUM(AB11:AB27)</f>
        <v>1595</v>
      </c>
      <c r="AC29" s="277"/>
      <c r="AD29" s="285">
        <f>SUM(AD11:AD27)</f>
        <v>123327</v>
      </c>
      <c r="AE29" s="277"/>
      <c r="AF29" s="285">
        <f>SUM(AF11:AF27)</f>
        <v>137537</v>
      </c>
      <c r="AG29" s="566"/>
      <c r="AH29" s="567"/>
      <c r="AI29" s="567"/>
      <c r="AJ29" s="567"/>
      <c r="AK29" s="146"/>
      <c r="AL29" s="146"/>
      <c r="AM29" s="567"/>
      <c r="AN29" s="146"/>
      <c r="AO29" s="146"/>
      <c r="AP29" s="146"/>
      <c r="AQ29" s="146"/>
      <c r="AR29" s="567"/>
      <c r="AS29" s="567"/>
      <c r="AT29" s="567"/>
      <c r="AU29" s="146"/>
      <c r="AV29" s="146"/>
    </row>
    <row r="30" spans="1:48" ht="15.75" thickTop="1" x14ac:dyDescent="0.2">
      <c r="B30" s="277"/>
      <c r="C30" s="277"/>
      <c r="D30" s="277"/>
      <c r="E30" s="277"/>
      <c r="F30" s="288"/>
      <c r="G30" s="277"/>
      <c r="H30" s="288"/>
      <c r="I30" s="277"/>
      <c r="J30" s="288"/>
      <c r="K30" s="277"/>
      <c r="L30" s="289"/>
      <c r="M30" s="277"/>
      <c r="N30" s="288"/>
      <c r="O30" s="277"/>
      <c r="P30" s="288"/>
      <c r="Q30" s="277"/>
      <c r="R30" s="288"/>
      <c r="S30" s="277"/>
      <c r="T30" s="288"/>
      <c r="U30" s="277"/>
      <c r="V30" s="288"/>
      <c r="W30" s="277"/>
      <c r="X30" s="288"/>
      <c r="Y30" s="277"/>
      <c r="Z30" s="288"/>
      <c r="AA30" s="277"/>
      <c r="AB30" s="288"/>
      <c r="AC30" s="277"/>
      <c r="AD30" s="288"/>
      <c r="AE30" s="277"/>
      <c r="AF30" s="288"/>
      <c r="AG30" s="566"/>
      <c r="AH30" s="146"/>
      <c r="AI30" s="146"/>
      <c r="AJ30" s="146"/>
      <c r="AK30" s="146"/>
      <c r="AL30" s="146"/>
      <c r="AM30" s="146"/>
      <c r="AN30" s="146"/>
      <c r="AO30" s="146"/>
      <c r="AP30" s="146"/>
      <c r="AQ30" s="146"/>
      <c r="AR30" s="146"/>
      <c r="AS30" s="146"/>
      <c r="AT30" s="146"/>
      <c r="AU30" s="146"/>
      <c r="AV30" s="146"/>
    </row>
    <row r="31" spans="1:48" ht="15" x14ac:dyDescent="0.2">
      <c r="B31" s="290" t="s">
        <v>371</v>
      </c>
      <c r="C31" s="275"/>
      <c r="D31" s="275"/>
      <c r="E31" s="275"/>
      <c r="F31" s="275"/>
      <c r="G31" s="275"/>
      <c r="H31" s="275"/>
      <c r="I31" s="275"/>
      <c r="J31" s="275"/>
      <c r="K31" s="275"/>
      <c r="L31" s="275"/>
      <c r="M31" s="275"/>
      <c r="N31" s="290"/>
      <c r="O31" s="275"/>
      <c r="P31" s="275"/>
      <c r="Q31" s="275"/>
      <c r="R31" s="275"/>
      <c r="S31" s="275"/>
      <c r="T31" s="275"/>
      <c r="U31" s="275"/>
      <c r="V31" s="275"/>
      <c r="W31" s="275"/>
      <c r="X31" s="275"/>
      <c r="Y31" s="275"/>
      <c r="Z31" s="275"/>
      <c r="AA31" s="275"/>
      <c r="AB31" s="275"/>
      <c r="AC31" s="275"/>
      <c r="AD31" s="275"/>
      <c r="AE31" s="275"/>
      <c r="AF31" s="275"/>
      <c r="AG31" s="566"/>
      <c r="AH31" s="146"/>
      <c r="AI31" s="146"/>
      <c r="AJ31" s="146"/>
      <c r="AK31" s="146"/>
      <c r="AL31" s="146"/>
      <c r="AM31" s="146"/>
      <c r="AN31" s="146"/>
      <c r="AO31" s="146"/>
      <c r="AP31" s="146"/>
      <c r="AQ31" s="146"/>
      <c r="AR31" s="146"/>
      <c r="AS31" s="146"/>
      <c r="AT31" s="146"/>
      <c r="AU31" s="146"/>
      <c r="AV31" s="146"/>
    </row>
    <row r="32" spans="1:48" ht="15" x14ac:dyDescent="0.2">
      <c r="B32" s="290" t="s">
        <v>372</v>
      </c>
      <c r="C32" s="275"/>
      <c r="D32" s="275"/>
      <c r="E32" s="275"/>
      <c r="F32" s="275"/>
      <c r="G32" s="275"/>
      <c r="H32" s="275"/>
      <c r="I32" s="275"/>
      <c r="J32" s="275"/>
      <c r="K32" s="275"/>
      <c r="L32" s="275"/>
      <c r="M32" s="275"/>
      <c r="N32" s="290"/>
      <c r="O32" s="275"/>
      <c r="P32" s="275"/>
      <c r="Q32" s="275"/>
      <c r="R32" s="275"/>
      <c r="S32" s="275"/>
      <c r="T32" s="275"/>
      <c r="U32" s="275"/>
      <c r="V32" s="275"/>
      <c r="W32" s="275"/>
      <c r="X32" s="275"/>
      <c r="Y32" s="275"/>
      <c r="Z32" s="275"/>
      <c r="AA32" s="275"/>
      <c r="AB32" s="275"/>
      <c r="AC32" s="275"/>
      <c r="AD32" s="275"/>
      <c r="AE32" s="275"/>
      <c r="AF32" s="275"/>
      <c r="AG32" s="566"/>
      <c r="AH32" s="146"/>
      <c r="AI32" s="146"/>
      <c r="AJ32" s="146"/>
      <c r="AK32" s="146"/>
      <c r="AL32" s="146"/>
      <c r="AM32" s="146"/>
      <c r="AN32" s="146"/>
      <c r="AO32" s="146"/>
      <c r="AP32" s="146"/>
      <c r="AQ32" s="146"/>
      <c r="AR32" s="146"/>
      <c r="AS32" s="146"/>
      <c r="AT32" s="146"/>
      <c r="AU32" s="146"/>
      <c r="AV32" s="146"/>
    </row>
    <row r="33" spans="1:48" ht="15" x14ac:dyDescent="0.2">
      <c r="B33" s="275" t="s">
        <v>501</v>
      </c>
      <c r="C33" s="275"/>
      <c r="D33" s="275"/>
      <c r="E33" s="275"/>
      <c r="F33" s="275"/>
      <c r="G33" s="275"/>
      <c r="H33" s="275"/>
      <c r="I33" s="275"/>
      <c r="J33" s="275"/>
      <c r="K33" s="275"/>
      <c r="L33" s="290"/>
      <c r="M33" s="275"/>
      <c r="N33" s="275"/>
      <c r="O33" s="275"/>
      <c r="P33" s="275"/>
      <c r="Q33" s="275"/>
      <c r="R33" s="275"/>
      <c r="S33" s="275"/>
      <c r="T33" s="275"/>
      <c r="U33" s="275"/>
      <c r="V33" s="275"/>
      <c r="W33" s="275"/>
      <c r="X33" s="275"/>
      <c r="Y33" s="275"/>
      <c r="Z33" s="275"/>
      <c r="AA33" s="275"/>
      <c r="AB33" s="275"/>
      <c r="AC33" s="275"/>
      <c r="AD33" s="275"/>
      <c r="AE33" s="275"/>
      <c r="AF33" s="275"/>
      <c r="AG33" s="566"/>
      <c r="AH33" s="146"/>
      <c r="AI33" s="146"/>
      <c r="AJ33" s="146"/>
      <c r="AK33" s="146"/>
      <c r="AL33" s="146"/>
      <c r="AM33" s="146"/>
      <c r="AN33" s="146"/>
      <c r="AO33" s="146"/>
      <c r="AP33" s="146"/>
      <c r="AQ33" s="146"/>
      <c r="AR33" s="146"/>
      <c r="AS33" s="146"/>
      <c r="AT33" s="146"/>
      <c r="AU33" s="146"/>
      <c r="AV33" s="146"/>
    </row>
    <row r="34" spans="1:48" ht="15" x14ac:dyDescent="0.2">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365"/>
    </row>
    <row r="35" spans="1:48" ht="15" x14ac:dyDescent="0.2">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365"/>
    </row>
    <row r="36" spans="1:48" ht="15" x14ac:dyDescent="0.2">
      <c r="B36" s="278"/>
      <c r="C36" s="278"/>
      <c r="D36" s="278" t="s">
        <v>502</v>
      </c>
      <c r="E36" s="278"/>
      <c r="F36" s="275" t="s">
        <v>385</v>
      </c>
      <c r="G36" s="275"/>
      <c r="H36" s="275"/>
      <c r="I36" s="278"/>
      <c r="J36" s="275" t="s">
        <v>386</v>
      </c>
      <c r="K36" s="275"/>
      <c r="L36" s="275"/>
      <c r="M36" s="278"/>
      <c r="N36" s="275" t="s">
        <v>387</v>
      </c>
      <c r="O36" s="275"/>
      <c r="P36" s="275"/>
      <c r="Q36" s="278"/>
      <c r="R36" s="275" t="s">
        <v>389</v>
      </c>
      <c r="S36" s="275"/>
      <c r="T36" s="275"/>
      <c r="U36" s="278"/>
      <c r="V36" s="275" t="s">
        <v>503</v>
      </c>
      <c r="W36" s="275"/>
      <c r="X36" s="275"/>
      <c r="Y36" s="278"/>
      <c r="Z36" s="275" t="s">
        <v>391</v>
      </c>
      <c r="AA36" s="275"/>
      <c r="AB36" s="275"/>
      <c r="AC36" s="278"/>
      <c r="AD36" s="275" t="s">
        <v>507</v>
      </c>
      <c r="AE36" s="275"/>
      <c r="AF36" s="275"/>
      <c r="AG36" s="365"/>
    </row>
    <row r="37" spans="1:48" ht="15" x14ac:dyDescent="0.2">
      <c r="B37" s="278" t="s">
        <v>395</v>
      </c>
      <c r="C37" s="278"/>
      <c r="D37" s="278" t="s">
        <v>396</v>
      </c>
      <c r="E37" s="278"/>
      <c r="F37" s="279" t="s">
        <v>364</v>
      </c>
      <c r="G37" s="279"/>
      <c r="H37" s="279"/>
      <c r="I37" s="278"/>
      <c r="J37" s="279" t="s">
        <v>364</v>
      </c>
      <c r="K37" s="279"/>
      <c r="L37" s="279"/>
      <c r="M37" s="278"/>
      <c r="N37" s="279" t="s">
        <v>364</v>
      </c>
      <c r="O37" s="279"/>
      <c r="P37" s="279"/>
      <c r="Q37" s="278"/>
      <c r="R37" s="279" t="s">
        <v>364</v>
      </c>
      <c r="S37" s="279"/>
      <c r="T37" s="279"/>
      <c r="U37" s="278"/>
      <c r="V37" s="279" t="s">
        <v>364</v>
      </c>
      <c r="W37" s="279"/>
      <c r="X37" s="279"/>
      <c r="Y37" s="278"/>
      <c r="Z37" s="279" t="s">
        <v>364</v>
      </c>
      <c r="AA37" s="279"/>
      <c r="AB37" s="279"/>
      <c r="AC37" s="278"/>
      <c r="AD37" s="279" t="s">
        <v>364</v>
      </c>
      <c r="AE37" s="279"/>
      <c r="AF37" s="279"/>
      <c r="AG37" s="365"/>
    </row>
    <row r="38" spans="1:48" ht="15" x14ac:dyDescent="0.2">
      <c r="B38" s="278" t="s">
        <v>397</v>
      </c>
      <c r="C38" s="278"/>
      <c r="D38" s="278" t="s">
        <v>398</v>
      </c>
      <c r="E38" s="278"/>
      <c r="F38" s="278" t="s">
        <v>508</v>
      </c>
      <c r="G38" s="278"/>
      <c r="H38" s="278" t="s">
        <v>509</v>
      </c>
      <c r="I38" s="278"/>
      <c r="J38" s="278" t="s">
        <v>508</v>
      </c>
      <c r="K38" s="278"/>
      <c r="L38" s="278" t="s">
        <v>509</v>
      </c>
      <c r="M38" s="278"/>
      <c r="N38" s="278" t="s">
        <v>508</v>
      </c>
      <c r="O38" s="278"/>
      <c r="P38" s="278" t="s">
        <v>509</v>
      </c>
      <c r="Q38" s="278"/>
      <c r="R38" s="278" t="s">
        <v>508</v>
      </c>
      <c r="S38" s="278"/>
      <c r="T38" s="278" t="s">
        <v>509</v>
      </c>
      <c r="U38" s="278"/>
      <c r="V38" s="278" t="s">
        <v>508</v>
      </c>
      <c r="W38" s="278"/>
      <c r="X38" s="278" t="s">
        <v>509</v>
      </c>
      <c r="Y38" s="278"/>
      <c r="Z38" s="278" t="s">
        <v>508</v>
      </c>
      <c r="AA38" s="278"/>
      <c r="AB38" s="278" t="s">
        <v>509</v>
      </c>
      <c r="AC38" s="278"/>
      <c r="AD38" s="278" t="s">
        <v>508</v>
      </c>
      <c r="AE38" s="278"/>
      <c r="AF38" s="278" t="s">
        <v>509</v>
      </c>
      <c r="AG38" s="365"/>
    </row>
    <row r="39" spans="1:48" ht="15" x14ac:dyDescent="0.2">
      <c r="B39" s="280">
        <v>-1</v>
      </c>
      <c r="C39" s="281"/>
      <c r="D39" s="280">
        <v>-2</v>
      </c>
      <c r="E39" s="281"/>
      <c r="F39" s="517">
        <v>-3</v>
      </c>
      <c r="G39" s="281"/>
      <c r="H39" s="280" t="s">
        <v>510</v>
      </c>
      <c r="I39" s="281"/>
      <c r="J39" s="280">
        <v>-5</v>
      </c>
      <c r="K39" s="281"/>
      <c r="L39" s="280" t="s">
        <v>511</v>
      </c>
      <c r="M39" s="281"/>
      <c r="N39" s="280">
        <v>-7</v>
      </c>
      <c r="O39" s="281"/>
      <c r="P39" s="280" t="s">
        <v>512</v>
      </c>
      <c r="Q39" s="281"/>
      <c r="R39" s="280">
        <v>-9</v>
      </c>
      <c r="S39" s="281"/>
      <c r="T39" s="280" t="s">
        <v>513</v>
      </c>
      <c r="U39" s="281"/>
      <c r="V39" s="280">
        <v>-11</v>
      </c>
      <c r="W39" s="281"/>
      <c r="X39" s="280" t="s">
        <v>514</v>
      </c>
      <c r="Y39" s="281"/>
      <c r="Z39" s="280">
        <v>-13</v>
      </c>
      <c r="AA39" s="281"/>
      <c r="AB39" s="280" t="s">
        <v>515</v>
      </c>
      <c r="AC39" s="281"/>
      <c r="AD39" s="280">
        <v>-15</v>
      </c>
      <c r="AE39" s="281"/>
      <c r="AF39" s="280">
        <v>-16</v>
      </c>
      <c r="AG39" s="365"/>
    </row>
    <row r="40" spans="1:48" ht="15" x14ac:dyDescent="0.2">
      <c r="B40" s="277"/>
      <c r="C40" s="277"/>
      <c r="D40" s="277"/>
      <c r="E40" s="277"/>
      <c r="F40" s="518"/>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365"/>
    </row>
    <row r="41" spans="1:48" ht="15" x14ac:dyDescent="0.2">
      <c r="A41" s="368">
        <v>1</v>
      </c>
      <c r="B41" s="277" t="s">
        <v>516</v>
      </c>
      <c r="C41" s="277"/>
      <c r="D41" s="291">
        <v>1</v>
      </c>
      <c r="E41" s="277"/>
      <c r="F41" s="502">
        <f>F11-30000-2264-F72+F13</f>
        <v>75478</v>
      </c>
      <c r="G41" s="277" t="s">
        <v>144</v>
      </c>
      <c r="H41" s="285">
        <f>ROUND(+F41*$D41,0)</f>
        <v>75478</v>
      </c>
      <c r="I41" s="277"/>
      <c r="J41" s="285">
        <f>J11</f>
        <v>4536</v>
      </c>
      <c r="K41" s="277"/>
      <c r="L41" s="285">
        <f>ROUND(+J41*$D41,0)</f>
        <v>4536</v>
      </c>
      <c r="M41" s="277"/>
      <c r="N41" s="285">
        <f>N11</f>
        <v>7</v>
      </c>
      <c r="O41" s="277"/>
      <c r="P41" s="285">
        <f>ROUND(+N41*$D41,0)</f>
        <v>7</v>
      </c>
      <c r="Q41" s="277"/>
      <c r="R41" s="285">
        <f>R11</f>
        <v>139</v>
      </c>
      <c r="S41" s="277"/>
      <c r="T41" s="285">
        <f>ROUND(+R41*$D41,0)</f>
        <v>139</v>
      </c>
      <c r="U41" s="277"/>
      <c r="V41" s="285">
        <f>V11</f>
        <v>0</v>
      </c>
      <c r="W41" s="277"/>
      <c r="X41" s="285">
        <f>ROUND(+V41*$D41,0)</f>
        <v>0</v>
      </c>
      <c r="Y41" s="277"/>
      <c r="Z41" s="285">
        <v>0</v>
      </c>
      <c r="AA41" s="277"/>
      <c r="AB41" s="285">
        <f>ROUND(+Z41*$D41,0)</f>
        <v>0</v>
      </c>
      <c r="AC41" s="277"/>
      <c r="AD41" s="285">
        <f>F41+J41+N41+R41+V41+Z41</f>
        <v>80160</v>
      </c>
      <c r="AE41" s="277"/>
      <c r="AF41" s="285">
        <f>H41+L41+P41+T41+X41+AB41</f>
        <v>80160</v>
      </c>
      <c r="AG41" s="365"/>
    </row>
    <row r="42" spans="1:48" ht="10.7" customHeight="1" x14ac:dyDescent="0.2">
      <c r="A42" s="368"/>
      <c r="B42" s="277"/>
      <c r="C42" s="277"/>
      <c r="D42" s="291"/>
      <c r="E42" s="277"/>
      <c r="F42" s="518"/>
      <c r="G42" s="277"/>
      <c r="H42" s="285"/>
      <c r="I42" s="277"/>
      <c r="J42" s="277"/>
      <c r="K42" s="277"/>
      <c r="L42" s="285"/>
      <c r="M42" s="277"/>
      <c r="N42" s="277"/>
      <c r="O42" s="277"/>
      <c r="P42" s="285"/>
      <c r="Q42" s="277"/>
      <c r="R42" s="277"/>
      <c r="S42" s="277"/>
      <c r="T42" s="285"/>
      <c r="U42" s="277"/>
      <c r="V42" s="277"/>
      <c r="W42" s="277"/>
      <c r="X42" s="285"/>
      <c r="Y42" s="277"/>
      <c r="Z42" s="277"/>
      <c r="AA42" s="277"/>
      <c r="AB42" s="285"/>
      <c r="AC42" s="277"/>
      <c r="AD42" s="277"/>
      <c r="AE42" s="277"/>
      <c r="AF42" s="277"/>
      <c r="AG42" s="365"/>
    </row>
    <row r="43" spans="1:48" ht="15" x14ac:dyDescent="0.2">
      <c r="A43" s="368">
        <v>1.17</v>
      </c>
      <c r="B43" s="277" t="s">
        <v>517</v>
      </c>
      <c r="C43" s="277"/>
      <c r="D43" s="291">
        <v>2</v>
      </c>
      <c r="E43" s="277"/>
      <c r="F43" s="502">
        <f>F15+15000+1132+1153</f>
        <v>19103</v>
      </c>
      <c r="G43" s="277" t="s">
        <v>144</v>
      </c>
      <c r="H43" s="285">
        <f>ROUND(+F43*$D43,0)</f>
        <v>38206</v>
      </c>
      <c r="I43" s="277"/>
      <c r="J43" s="285">
        <f>J15</f>
        <v>2340</v>
      </c>
      <c r="K43" s="277"/>
      <c r="L43" s="285">
        <f>ROUND(+J43*$D43,0)</f>
        <v>4680</v>
      </c>
      <c r="M43" s="277"/>
      <c r="N43" s="285">
        <f>N15</f>
        <v>2</v>
      </c>
      <c r="O43" s="277"/>
      <c r="P43" s="285">
        <f>ROUND(+N43*$D43,0)</f>
        <v>4</v>
      </c>
      <c r="Q43" s="277"/>
      <c r="R43" s="285">
        <f>R15</f>
        <v>173</v>
      </c>
      <c r="S43" s="277"/>
      <c r="T43" s="285">
        <f>ROUND(+R43*$D43,0)</f>
        <v>346</v>
      </c>
      <c r="U43" s="277"/>
      <c r="V43" s="285">
        <f>V15</f>
        <v>0</v>
      </c>
      <c r="W43" s="277"/>
      <c r="X43" s="285">
        <f>ROUND(+V43*$D43,0)</f>
        <v>0</v>
      </c>
      <c r="Y43" s="277"/>
      <c r="Z43" s="285">
        <f>Z15</f>
        <v>0</v>
      </c>
      <c r="AA43" s="277"/>
      <c r="AB43" s="285">
        <f>ROUND(+Z43*$D43,0)</f>
        <v>0</v>
      </c>
      <c r="AC43" s="277"/>
      <c r="AD43" s="285">
        <f>F43+J43+N43+R43+V43+Z43</f>
        <v>21618</v>
      </c>
      <c r="AE43" s="277"/>
      <c r="AF43" s="285">
        <f>H43+L43+P43+T43+X43+AB43</f>
        <v>43236</v>
      </c>
      <c r="AG43" s="365"/>
    </row>
    <row r="44" spans="1:48" ht="10.7" customHeight="1" x14ac:dyDescent="0.2">
      <c r="A44" s="368"/>
      <c r="B44" s="277"/>
      <c r="C44" s="277"/>
      <c r="D44" s="291"/>
      <c r="E44" s="277"/>
      <c r="F44" s="285"/>
      <c r="G44" s="277"/>
      <c r="H44" s="285"/>
      <c r="I44" s="277"/>
      <c r="J44" s="285"/>
      <c r="K44" s="277"/>
      <c r="L44" s="285"/>
      <c r="M44" s="277"/>
      <c r="N44" s="285"/>
      <c r="O44" s="277"/>
      <c r="P44" s="285"/>
      <c r="Q44" s="277"/>
      <c r="R44" s="285"/>
      <c r="S44" s="277"/>
      <c r="T44" s="285"/>
      <c r="U44" s="277"/>
      <c r="V44" s="285"/>
      <c r="W44" s="277"/>
      <c r="X44" s="285"/>
      <c r="Y44" s="277"/>
      <c r="Z44" s="285"/>
      <c r="AA44" s="277"/>
      <c r="AB44" s="285"/>
      <c r="AC44" s="277"/>
      <c r="AD44" s="285"/>
      <c r="AE44" s="277"/>
      <c r="AF44" s="277"/>
      <c r="AG44" s="365"/>
    </row>
    <row r="45" spans="1:48" ht="15" x14ac:dyDescent="0.2">
      <c r="A45" s="368">
        <v>1.58</v>
      </c>
      <c r="B45" s="277" t="s">
        <v>518</v>
      </c>
      <c r="C45" s="277"/>
      <c r="D45" s="291">
        <v>2.2000000000000002</v>
      </c>
      <c r="E45" s="277"/>
      <c r="F45" s="285">
        <f>F17</f>
        <v>14</v>
      </c>
      <c r="G45" s="277"/>
      <c r="H45" s="285">
        <f>ROUND(+F45*$D45,0)</f>
        <v>31</v>
      </c>
      <c r="I45" s="277"/>
      <c r="J45" s="285">
        <f>J17</f>
        <v>172</v>
      </c>
      <c r="K45" s="277"/>
      <c r="L45" s="285">
        <f>ROUND(+J45*$D45,0)</f>
        <v>378</v>
      </c>
      <c r="M45" s="277"/>
      <c r="N45" s="285">
        <f>N17</f>
        <v>2</v>
      </c>
      <c r="O45" s="277"/>
      <c r="P45" s="285">
        <f>ROUND(+N45*$D45,0)</f>
        <v>4</v>
      </c>
      <c r="Q45" s="277"/>
      <c r="R45" s="285">
        <f>R17</f>
        <v>28</v>
      </c>
      <c r="S45" s="277"/>
      <c r="T45" s="285">
        <f>ROUND(+R45*$D45,0)</f>
        <v>62</v>
      </c>
      <c r="U45" s="277"/>
      <c r="V45" s="285">
        <f>V17</f>
        <v>4</v>
      </c>
      <c r="W45" s="277"/>
      <c r="X45" s="285">
        <f>ROUND(+V45*$D45,0)</f>
        <v>9</v>
      </c>
      <c r="Y45" s="277"/>
      <c r="Z45" s="285">
        <f>Z17</f>
        <v>0</v>
      </c>
      <c r="AA45" s="277"/>
      <c r="AB45" s="285">
        <f>ROUND(+Z45*$D45,0)</f>
        <v>0</v>
      </c>
      <c r="AC45" s="277"/>
      <c r="AD45" s="285">
        <f>F45+J45+N45+R45+V45+Z45</f>
        <v>220</v>
      </c>
      <c r="AE45" s="277"/>
      <c r="AF45" s="285">
        <f>H45+L45+P45+T45+X45+AB45</f>
        <v>484</v>
      </c>
      <c r="AG45" s="365"/>
    </row>
    <row r="46" spans="1:48" ht="9.75" customHeight="1" x14ac:dyDescent="0.2">
      <c r="A46" s="368"/>
      <c r="B46" s="277"/>
      <c r="C46" s="277"/>
      <c r="D46" s="291"/>
      <c r="E46" s="277"/>
      <c r="F46" s="285"/>
      <c r="G46" s="277"/>
      <c r="H46" s="285"/>
      <c r="I46" s="277"/>
      <c r="J46" s="285"/>
      <c r="K46" s="277"/>
      <c r="L46" s="285"/>
      <c r="M46" s="277"/>
      <c r="N46" s="285"/>
      <c r="O46" s="277"/>
      <c r="P46" s="285"/>
      <c r="Q46" s="277"/>
      <c r="R46" s="285"/>
      <c r="S46" s="277"/>
      <c r="T46" s="285"/>
      <c r="U46" s="277"/>
      <c r="V46" s="285"/>
      <c r="W46" s="277"/>
      <c r="X46" s="285"/>
      <c r="Y46" s="277"/>
      <c r="Z46" s="285"/>
      <c r="AA46" s="277"/>
      <c r="AB46" s="285"/>
      <c r="AC46" s="277"/>
      <c r="AD46" s="285"/>
      <c r="AE46" s="277"/>
      <c r="AF46" s="277"/>
      <c r="AG46" s="365"/>
    </row>
    <row r="47" spans="1:48" ht="15" x14ac:dyDescent="0.2">
      <c r="A47" s="368">
        <v>2.04</v>
      </c>
      <c r="B47" s="277" t="s">
        <v>519</v>
      </c>
      <c r="C47" s="277"/>
      <c r="D47" s="291">
        <v>3.2</v>
      </c>
      <c r="E47" s="277"/>
      <c r="F47" s="285">
        <f>F19</f>
        <v>77</v>
      </c>
      <c r="G47" s="277"/>
      <c r="H47" s="285">
        <f>ROUND(+F47*$D47,0)</f>
        <v>246</v>
      </c>
      <c r="I47" s="277"/>
      <c r="J47" s="285">
        <f>J19</f>
        <v>1817</v>
      </c>
      <c r="K47" s="277"/>
      <c r="L47" s="285">
        <f>ROUND(+J47*$D47,0)</f>
        <v>5814</v>
      </c>
      <c r="M47" s="277"/>
      <c r="N47" s="285">
        <f>N19</f>
        <v>23</v>
      </c>
      <c r="O47" s="277"/>
      <c r="P47" s="285">
        <f>ROUND(+N47*$D47,0)</f>
        <v>74</v>
      </c>
      <c r="Q47" s="277"/>
      <c r="R47" s="285">
        <f>R19</f>
        <v>371</v>
      </c>
      <c r="S47" s="277"/>
      <c r="T47" s="285">
        <f>ROUND(+R47*$D47,0)</f>
        <v>1187</v>
      </c>
      <c r="U47" s="277"/>
      <c r="V47" s="285">
        <f>V19</f>
        <v>8</v>
      </c>
      <c r="W47" s="277"/>
      <c r="X47" s="285">
        <f>ROUND(+V47*$D47,0)</f>
        <v>26</v>
      </c>
      <c r="Y47" s="277"/>
      <c r="Z47" s="285">
        <f>Fire!K15</f>
        <v>64</v>
      </c>
      <c r="AA47" s="277"/>
      <c r="AB47" s="285">
        <f>ROUND(+Z47*$D47,0)</f>
        <v>205</v>
      </c>
      <c r="AC47" s="277"/>
      <c r="AD47" s="285">
        <f>F47+J47+N47+R47+V47+Z47</f>
        <v>2360</v>
      </c>
      <c r="AE47" s="277"/>
      <c r="AF47" s="285">
        <f>H47+L47+P47+T47+X47+AB47</f>
        <v>7552</v>
      </c>
      <c r="AG47" s="365"/>
    </row>
    <row r="48" spans="1:48" ht="9.75" customHeight="1" x14ac:dyDescent="0.2">
      <c r="A48" s="368"/>
      <c r="B48" s="277"/>
      <c r="C48" s="277"/>
      <c r="D48" s="291"/>
      <c r="E48" s="277"/>
      <c r="F48" s="285"/>
      <c r="G48" s="277"/>
      <c r="H48" s="285"/>
      <c r="I48" s="277"/>
      <c r="J48" s="285"/>
      <c r="K48" s="277"/>
      <c r="L48" s="285"/>
      <c r="M48" s="277"/>
      <c r="N48" s="285"/>
      <c r="O48" s="277"/>
      <c r="P48" s="285"/>
      <c r="Q48" s="277"/>
      <c r="R48" s="285"/>
      <c r="S48" s="277"/>
      <c r="T48" s="285"/>
      <c r="U48" s="277"/>
      <c r="V48" s="285"/>
      <c r="W48" s="277"/>
      <c r="X48" s="285"/>
      <c r="Y48" s="277"/>
      <c r="Z48" s="285"/>
      <c r="AA48" s="277"/>
      <c r="AB48" s="285"/>
      <c r="AC48" s="277"/>
      <c r="AD48" s="285"/>
      <c r="AE48" s="277"/>
      <c r="AF48" s="277"/>
      <c r="AG48" s="365"/>
    </row>
    <row r="49" spans="1:33" ht="15" x14ac:dyDescent="0.2">
      <c r="A49" s="368">
        <v>2.88</v>
      </c>
      <c r="B49" s="277" t="s">
        <v>520</v>
      </c>
      <c r="C49" s="277"/>
      <c r="D49" s="291">
        <v>3.5</v>
      </c>
      <c r="E49" s="277"/>
      <c r="F49" s="285">
        <f>F21+F23</f>
        <v>0</v>
      </c>
      <c r="G49" s="277"/>
      <c r="H49" s="285">
        <f>ROUND(+F49*$D49,0)</f>
        <v>0</v>
      </c>
      <c r="I49" s="277"/>
      <c r="J49" s="285">
        <f>J21+J23</f>
        <v>41</v>
      </c>
      <c r="K49" s="277"/>
      <c r="L49" s="285">
        <f>ROUND(+J49*$D49,0)</f>
        <v>144</v>
      </c>
      <c r="M49" s="277"/>
      <c r="N49" s="285">
        <f>N21+N23</f>
        <v>11</v>
      </c>
      <c r="O49" s="277"/>
      <c r="P49" s="285">
        <f>ROUND(+N49*$D49,0)</f>
        <v>39</v>
      </c>
      <c r="Q49" s="277"/>
      <c r="R49" s="285">
        <f>R21+R23</f>
        <v>42</v>
      </c>
      <c r="S49" s="277"/>
      <c r="T49" s="285">
        <f>ROUND(+R49*$D49,0)</f>
        <v>147</v>
      </c>
      <c r="U49" s="277"/>
      <c r="V49" s="285">
        <f>V21+V23</f>
        <v>7</v>
      </c>
      <c r="W49" s="277"/>
      <c r="X49" s="285">
        <f>ROUND(+V49*$D49,0)</f>
        <v>25</v>
      </c>
      <c r="Y49" s="277"/>
      <c r="Z49" s="285">
        <f>Fire!K17</f>
        <v>390</v>
      </c>
      <c r="AA49" s="277"/>
      <c r="AB49" s="285">
        <f>ROUND(+Z49*$D49,0)</f>
        <v>1365</v>
      </c>
      <c r="AC49" s="277"/>
      <c r="AD49" s="285">
        <f>F49+J49+N49+R49+V49+Z49</f>
        <v>491</v>
      </c>
      <c r="AE49" s="277"/>
      <c r="AF49" s="285">
        <f>H49+L49+P49+T49+X49+AB49</f>
        <v>1720</v>
      </c>
      <c r="AG49" s="365"/>
    </row>
    <row r="50" spans="1:33" ht="9.75" customHeight="1" x14ac:dyDescent="0.2">
      <c r="A50" s="368"/>
      <c r="B50" s="277"/>
      <c r="C50" s="277"/>
      <c r="D50" s="291"/>
      <c r="E50" s="277"/>
      <c r="F50" s="285"/>
      <c r="G50" s="277"/>
      <c r="H50" s="285"/>
      <c r="I50" s="277"/>
      <c r="J50" s="285"/>
      <c r="K50" s="277"/>
      <c r="L50" s="285"/>
      <c r="M50" s="277"/>
      <c r="N50" s="285"/>
      <c r="O50" s="277"/>
      <c r="P50" s="285"/>
      <c r="Q50" s="277"/>
      <c r="R50" s="285"/>
      <c r="S50" s="277"/>
      <c r="T50" s="285"/>
      <c r="U50" s="277"/>
      <c r="V50" s="285"/>
      <c r="W50" s="277"/>
      <c r="X50" s="285"/>
      <c r="Y50" s="277"/>
      <c r="Z50" s="285"/>
      <c r="AA50" s="277"/>
      <c r="AB50" s="285"/>
      <c r="AC50" s="277"/>
      <c r="AD50" s="285"/>
      <c r="AE50" s="277"/>
      <c r="AF50" s="277"/>
      <c r="AG50" s="365"/>
    </row>
    <row r="51" spans="1:33" ht="15" x14ac:dyDescent="0.2">
      <c r="A51" s="368">
        <v>4.24</v>
      </c>
      <c r="B51" s="277" t="s">
        <v>521</v>
      </c>
      <c r="C51" s="277"/>
      <c r="D51" s="291">
        <v>4</v>
      </c>
      <c r="E51" s="277"/>
      <c r="F51" s="285">
        <f>F25</f>
        <v>2</v>
      </c>
      <c r="G51" s="277"/>
      <c r="H51" s="285">
        <f>ROUND(+F51*$D51,0)</f>
        <v>8</v>
      </c>
      <c r="I51" s="277"/>
      <c r="J51" s="285">
        <f>J25</f>
        <v>12</v>
      </c>
      <c r="K51" s="277"/>
      <c r="L51" s="285">
        <f>ROUND(+J51*$D51,0)</f>
        <v>48</v>
      </c>
      <c r="M51" s="277"/>
      <c r="N51" s="285">
        <f>N25</f>
        <v>8</v>
      </c>
      <c r="O51" s="277"/>
      <c r="P51" s="285">
        <f>ROUND(+N51*$D51,0)</f>
        <v>32</v>
      </c>
      <c r="Q51" s="277"/>
      <c r="R51" s="285">
        <f>R25</f>
        <v>11</v>
      </c>
      <c r="S51" s="277"/>
      <c r="T51" s="285">
        <f>ROUND(+R51*$D51,0)</f>
        <v>44</v>
      </c>
      <c r="U51" s="277"/>
      <c r="V51" s="285">
        <f>V25</f>
        <v>5</v>
      </c>
      <c r="W51" s="277"/>
      <c r="X51" s="285">
        <f>ROUND(+V51*$D51,0)</f>
        <v>20</v>
      </c>
      <c r="Y51" s="277"/>
      <c r="Z51" s="285">
        <f>Fire!K18</f>
        <v>862</v>
      </c>
      <c r="AA51" s="277"/>
      <c r="AB51" s="285">
        <f>ROUND(+Z51*$D51,0)</f>
        <v>3448</v>
      </c>
      <c r="AC51" s="277"/>
      <c r="AD51" s="285">
        <f>F51+J51+N51+R51+V51+Z51</f>
        <v>900</v>
      </c>
      <c r="AE51" s="277"/>
      <c r="AF51" s="285">
        <f>H51+L51+P51+T51+X51+AB51</f>
        <v>3600</v>
      </c>
      <c r="AG51" s="365"/>
    </row>
    <row r="52" spans="1:33" ht="9.75" customHeight="1" x14ac:dyDescent="0.2">
      <c r="A52" s="368"/>
      <c r="B52" s="277"/>
      <c r="C52" s="277"/>
      <c r="D52" s="291"/>
      <c r="E52" s="277"/>
      <c r="F52" s="285"/>
      <c r="G52" s="277"/>
      <c r="H52" s="285"/>
      <c r="I52" s="277"/>
      <c r="J52" s="285"/>
      <c r="K52" s="277"/>
      <c r="L52" s="285"/>
      <c r="M52" s="277"/>
      <c r="N52" s="285"/>
      <c r="O52" s="277"/>
      <c r="P52" s="285"/>
      <c r="Q52" s="277"/>
      <c r="R52" s="285"/>
      <c r="S52" s="277"/>
      <c r="T52" s="285"/>
      <c r="U52" s="277"/>
      <c r="V52" s="285"/>
      <c r="W52" s="277"/>
      <c r="X52" s="285"/>
      <c r="Y52" s="277"/>
      <c r="Z52" s="285"/>
      <c r="AA52" s="277"/>
      <c r="AB52" s="285"/>
      <c r="AC52" s="277"/>
      <c r="AD52" s="285"/>
      <c r="AE52" s="277"/>
      <c r="AF52" s="277"/>
      <c r="AG52" s="365"/>
    </row>
    <row r="53" spans="1:33" ht="15" x14ac:dyDescent="0.2">
      <c r="A53" s="368">
        <v>6.98</v>
      </c>
      <c r="B53" s="277" t="s">
        <v>522</v>
      </c>
      <c r="C53" s="277"/>
      <c r="D53" s="291">
        <v>5.0999999999999996</v>
      </c>
      <c r="E53" s="277"/>
      <c r="F53" s="285">
        <f>F27</f>
        <v>0</v>
      </c>
      <c r="G53" s="277"/>
      <c r="H53" s="285">
        <f>ROUND(+F53*$D53,0)</f>
        <v>0</v>
      </c>
      <c r="I53" s="277"/>
      <c r="J53" s="285">
        <f>J27</f>
        <v>11</v>
      </c>
      <c r="K53" s="277"/>
      <c r="L53" s="285">
        <f>ROUND(+J53*$D53,0)</f>
        <v>56</v>
      </c>
      <c r="M53" s="277"/>
      <c r="N53" s="285">
        <f>N27</f>
        <v>0</v>
      </c>
      <c r="O53" s="277"/>
      <c r="P53" s="285">
        <f>ROUND(+N53*$D53,0)</f>
        <v>0</v>
      </c>
      <c r="Q53" s="277"/>
      <c r="R53" s="285">
        <f>R27</f>
        <v>2</v>
      </c>
      <c r="S53" s="277"/>
      <c r="T53" s="285">
        <f>ROUND(+R53*$D53,0)</f>
        <v>10</v>
      </c>
      <c r="U53" s="277"/>
      <c r="V53" s="285">
        <f>V27</f>
        <v>0</v>
      </c>
      <c r="W53" s="277"/>
      <c r="X53" s="285">
        <f>ROUND(+V53*$D53,0)</f>
        <v>0</v>
      </c>
      <c r="Y53" s="277"/>
      <c r="Z53" s="285">
        <f>Fire!K19</f>
        <v>266</v>
      </c>
      <c r="AA53" s="277"/>
      <c r="AB53" s="285">
        <f>ROUND(+Z53*$D53,0)</f>
        <v>1357</v>
      </c>
      <c r="AC53" s="277"/>
      <c r="AD53" s="285">
        <f>F53+J53+N53+R53+V53+Z53</f>
        <v>279</v>
      </c>
      <c r="AE53" s="277"/>
      <c r="AF53" s="285">
        <f>H53+L53+P53+T53+X53+AB53</f>
        <v>1423</v>
      </c>
      <c r="AG53" s="365"/>
    </row>
    <row r="54" spans="1:33" ht="9.75" customHeight="1" x14ac:dyDescent="0.2">
      <c r="A54" s="369"/>
      <c r="B54" s="277"/>
      <c r="C54" s="277"/>
      <c r="D54" s="291"/>
      <c r="E54" s="277"/>
      <c r="F54" s="285"/>
      <c r="G54" s="277"/>
      <c r="H54" s="285"/>
      <c r="I54" s="277"/>
      <c r="J54" s="285"/>
      <c r="K54" s="277"/>
      <c r="L54" s="285"/>
      <c r="M54" s="277"/>
      <c r="N54" s="285"/>
      <c r="O54" s="277"/>
      <c r="P54" s="285"/>
      <c r="Q54" s="277"/>
      <c r="R54" s="285"/>
      <c r="S54" s="277"/>
      <c r="T54" s="285"/>
      <c r="U54" s="277"/>
      <c r="V54" s="285"/>
      <c r="W54" s="277"/>
      <c r="X54" s="285"/>
      <c r="Y54" s="277"/>
      <c r="Z54" s="285"/>
      <c r="AA54" s="277"/>
      <c r="AB54" s="285"/>
      <c r="AC54" s="277"/>
      <c r="AD54" s="285"/>
      <c r="AE54" s="277"/>
      <c r="AF54" s="285"/>
      <c r="AG54" s="365"/>
    </row>
    <row r="55" spans="1:33" ht="15" x14ac:dyDescent="0.2">
      <c r="A55" s="368">
        <v>9.5</v>
      </c>
      <c r="B55" s="370">
        <v>10</v>
      </c>
      <c r="C55" s="277"/>
      <c r="D55" s="291">
        <v>8.9</v>
      </c>
      <c r="E55" s="277"/>
      <c r="F55" s="285">
        <v>0</v>
      </c>
      <c r="G55" s="277"/>
      <c r="H55" s="285">
        <v>0</v>
      </c>
      <c r="I55" s="277"/>
      <c r="J55" s="285">
        <v>0</v>
      </c>
      <c r="K55" s="277"/>
      <c r="L55" s="285">
        <v>0</v>
      </c>
      <c r="M55" s="277"/>
      <c r="N55" s="285">
        <v>0</v>
      </c>
      <c r="O55" s="277"/>
      <c r="P55" s="285">
        <v>0</v>
      </c>
      <c r="Q55" s="277"/>
      <c r="R55" s="285">
        <v>0</v>
      </c>
      <c r="S55" s="277"/>
      <c r="T55" s="285">
        <v>0</v>
      </c>
      <c r="U55" s="277"/>
      <c r="V55" s="285">
        <v>0</v>
      </c>
      <c r="W55" s="277"/>
      <c r="X55" s="285">
        <v>0</v>
      </c>
      <c r="Y55" s="277"/>
      <c r="Z55" s="285">
        <f>Fire!K20</f>
        <v>8</v>
      </c>
      <c r="AA55" s="277"/>
      <c r="AB55" s="285">
        <f>ROUND(+Z55*$D55,0)</f>
        <v>71</v>
      </c>
      <c r="AC55" s="277"/>
      <c r="AD55" s="285">
        <f>F55+J55+N55+R55+V55+Z55</f>
        <v>8</v>
      </c>
      <c r="AE55" s="277"/>
      <c r="AF55" s="285">
        <f>H55+L55+P55+T55+X55+AB55</f>
        <v>71</v>
      </c>
      <c r="AG55" s="365"/>
    </row>
    <row r="56" spans="1:33" ht="10.7" customHeight="1" x14ac:dyDescent="0.2">
      <c r="A56" s="368"/>
      <c r="B56" s="370"/>
      <c r="C56" s="277"/>
      <c r="D56" s="291"/>
      <c r="E56" s="277"/>
      <c r="F56" s="285"/>
      <c r="G56" s="277"/>
      <c r="H56" s="285"/>
      <c r="I56" s="277"/>
      <c r="J56" s="285"/>
      <c r="K56" s="277"/>
      <c r="L56" s="285"/>
      <c r="M56" s="277"/>
      <c r="N56" s="285"/>
      <c r="O56" s="277"/>
      <c r="P56" s="285"/>
      <c r="Q56" s="277"/>
      <c r="R56" s="285"/>
      <c r="S56" s="277"/>
      <c r="T56" s="285"/>
      <c r="U56" s="277"/>
      <c r="V56" s="285"/>
      <c r="W56" s="277"/>
      <c r="X56" s="285"/>
      <c r="Y56" s="277"/>
      <c r="Z56" s="285"/>
      <c r="AA56" s="277"/>
      <c r="AB56" s="285"/>
      <c r="AC56" s="277"/>
      <c r="AD56" s="285"/>
      <c r="AE56" s="277"/>
      <c r="AF56" s="285"/>
      <c r="AG56" s="365"/>
    </row>
    <row r="57" spans="1:33" ht="15" x14ac:dyDescent="0.2">
      <c r="A57" s="368">
        <v>12.16</v>
      </c>
      <c r="B57" s="370">
        <v>12</v>
      </c>
      <c r="C57" s="277"/>
      <c r="D57" s="291">
        <v>9.5</v>
      </c>
      <c r="E57" s="277"/>
      <c r="F57" s="285">
        <v>0</v>
      </c>
      <c r="G57" s="277"/>
      <c r="H57" s="285">
        <v>0</v>
      </c>
      <c r="I57" s="277"/>
      <c r="J57" s="285">
        <v>0</v>
      </c>
      <c r="K57" s="277"/>
      <c r="L57" s="285">
        <v>0</v>
      </c>
      <c r="M57" s="277"/>
      <c r="N57" s="285">
        <v>0</v>
      </c>
      <c r="O57" s="277"/>
      <c r="P57" s="285">
        <v>0</v>
      </c>
      <c r="Q57" s="277"/>
      <c r="R57" s="285">
        <v>0</v>
      </c>
      <c r="S57" s="277"/>
      <c r="T57" s="285">
        <v>0</v>
      </c>
      <c r="U57" s="277"/>
      <c r="V57" s="285">
        <v>0</v>
      </c>
      <c r="W57" s="277"/>
      <c r="X57" s="285">
        <v>0</v>
      </c>
      <c r="Y57" s="277"/>
      <c r="Z57" s="285">
        <f>Fire!K21</f>
        <v>4</v>
      </c>
      <c r="AA57" s="277"/>
      <c r="AB57" s="285">
        <f>ROUND(+Z57*$D57,0)</f>
        <v>38</v>
      </c>
      <c r="AC57" s="277"/>
      <c r="AD57" s="285">
        <f>F57+J57+N57+R57+V57+Z57</f>
        <v>4</v>
      </c>
      <c r="AE57" s="277"/>
      <c r="AF57" s="285">
        <f>H57+L57+P57+T57+X57+AB57</f>
        <v>38</v>
      </c>
      <c r="AG57" s="365"/>
    </row>
    <row r="58" spans="1:33" ht="10.7" customHeight="1" x14ac:dyDescent="0.2">
      <c r="A58" s="368"/>
      <c r="B58" s="370"/>
      <c r="C58" s="277"/>
      <c r="D58" s="291"/>
      <c r="E58" s="277"/>
      <c r="F58" s="285"/>
      <c r="G58" s="277"/>
      <c r="H58" s="285"/>
      <c r="I58" s="277"/>
      <c r="J58" s="285"/>
      <c r="K58" s="277"/>
      <c r="L58" s="285"/>
      <c r="M58" s="277"/>
      <c r="N58" s="285"/>
      <c r="O58" s="277"/>
      <c r="P58" s="285"/>
      <c r="Q58" s="277"/>
      <c r="R58" s="285"/>
      <c r="S58" s="277"/>
      <c r="T58" s="285"/>
      <c r="U58" s="277"/>
      <c r="V58" s="285"/>
      <c r="W58" s="277"/>
      <c r="X58" s="285"/>
      <c r="Y58" s="277"/>
      <c r="Z58" s="285"/>
      <c r="AA58" s="277"/>
      <c r="AB58" s="285"/>
      <c r="AC58" s="277"/>
      <c r="AD58" s="285"/>
      <c r="AE58" s="277"/>
      <c r="AF58" s="285"/>
      <c r="AG58" s="365"/>
    </row>
    <row r="59" spans="1:33" ht="15" x14ac:dyDescent="0.2">
      <c r="A59" s="368">
        <v>16.690000000000001</v>
      </c>
      <c r="B59" s="370" t="s">
        <v>145</v>
      </c>
      <c r="C59" s="277"/>
      <c r="D59" s="291">
        <v>12.7</v>
      </c>
      <c r="E59" s="277"/>
      <c r="F59" s="285">
        <v>0</v>
      </c>
      <c r="G59" s="277"/>
      <c r="H59" s="285">
        <v>0</v>
      </c>
      <c r="I59" s="277"/>
      <c r="J59" s="285">
        <v>0</v>
      </c>
      <c r="K59" s="277"/>
      <c r="L59" s="285">
        <v>0</v>
      </c>
      <c r="M59" s="277"/>
      <c r="N59" s="285">
        <v>0</v>
      </c>
      <c r="O59" s="277"/>
      <c r="P59" s="285">
        <v>0</v>
      </c>
      <c r="Q59" s="277"/>
      <c r="R59" s="285">
        <v>0</v>
      </c>
      <c r="S59" s="277"/>
      <c r="T59" s="285">
        <v>0</v>
      </c>
      <c r="U59" s="277"/>
      <c r="V59" s="285">
        <v>0</v>
      </c>
      <c r="W59" s="277"/>
      <c r="X59" s="285">
        <v>0</v>
      </c>
      <c r="Y59" s="277"/>
      <c r="Z59" s="285">
        <f>Fire!K23</f>
        <v>1</v>
      </c>
      <c r="AA59" s="277"/>
      <c r="AB59" s="285">
        <f>ROUND(+Z59*$D59,0)</f>
        <v>13</v>
      </c>
      <c r="AC59" s="277"/>
      <c r="AD59" s="285">
        <f>F59+J59+N59+R59+V59+Z59</f>
        <v>1</v>
      </c>
      <c r="AE59" s="277"/>
      <c r="AF59" s="285">
        <f>H59+L59+P59+T59+X59+AB59</f>
        <v>13</v>
      </c>
      <c r="AG59" s="365"/>
    </row>
    <row r="60" spans="1:33" ht="15" x14ac:dyDescent="0.2">
      <c r="B60" s="277"/>
      <c r="C60" s="277"/>
      <c r="D60" s="277"/>
      <c r="E60" s="277"/>
      <c r="F60" s="286"/>
      <c r="G60" s="277"/>
      <c r="H60" s="286"/>
      <c r="I60" s="277"/>
      <c r="J60" s="286"/>
      <c r="K60" s="277"/>
      <c r="L60" s="286"/>
      <c r="M60" s="277"/>
      <c r="N60" s="286"/>
      <c r="O60" s="277"/>
      <c r="P60" s="286"/>
      <c r="Q60" s="277"/>
      <c r="R60" s="286"/>
      <c r="S60" s="277"/>
      <c r="T60" s="286"/>
      <c r="U60" s="277"/>
      <c r="V60" s="286"/>
      <c r="W60" s="277"/>
      <c r="X60" s="286"/>
      <c r="Y60" s="277"/>
      <c r="Z60" s="286"/>
      <c r="AA60" s="277"/>
      <c r="AB60" s="286"/>
      <c r="AC60" s="277"/>
      <c r="AD60" s="286"/>
      <c r="AE60" s="277"/>
      <c r="AF60" s="286"/>
      <c r="AG60" s="365"/>
    </row>
    <row r="61" spans="1:33" ht="15.75" thickBot="1" x14ac:dyDescent="0.25">
      <c r="B61" s="277" t="s">
        <v>507</v>
      </c>
      <c r="C61" s="277"/>
      <c r="D61" s="277"/>
      <c r="E61" s="277"/>
      <c r="F61" s="285">
        <f>SUM(F41:F53)</f>
        <v>94674</v>
      </c>
      <c r="G61" s="277"/>
      <c r="H61" s="285">
        <f>SUM(H41:H53)</f>
        <v>113969</v>
      </c>
      <c r="I61" s="277"/>
      <c r="J61" s="285">
        <f>SUM(J41:J53)</f>
        <v>8929</v>
      </c>
      <c r="K61" s="277"/>
      <c r="L61" s="285">
        <f>SUM(L41:L53)</f>
        <v>15656</v>
      </c>
      <c r="M61" s="277"/>
      <c r="N61" s="285">
        <f>SUM(N41:N53)</f>
        <v>53</v>
      </c>
      <c r="O61" s="277"/>
      <c r="P61" s="285">
        <f>SUM(P41:P53)</f>
        <v>160</v>
      </c>
      <c r="Q61" s="277"/>
      <c r="R61" s="285">
        <f>SUM(R41:R53)</f>
        <v>766</v>
      </c>
      <c r="S61" s="277"/>
      <c r="T61" s="285">
        <f>SUM(T41:T53)</f>
        <v>1935</v>
      </c>
      <c r="U61" s="277"/>
      <c r="V61" s="285">
        <f>SUM(V41:V53)</f>
        <v>24</v>
      </c>
      <c r="W61" s="277"/>
      <c r="X61" s="285">
        <f>SUM(X41:X53)</f>
        <v>80</v>
      </c>
      <c r="Y61" s="277"/>
      <c r="Z61" s="287">
        <f>SUM(Z41:Z60)</f>
        <v>1595</v>
      </c>
      <c r="AA61" s="277"/>
      <c r="AB61" s="285">
        <f>SUM(AB41:AB60)</f>
        <v>6497</v>
      </c>
      <c r="AC61" s="277"/>
      <c r="AD61" s="285">
        <f>SUM(AD41:AD60)</f>
        <v>106041</v>
      </c>
      <c r="AE61" s="277"/>
      <c r="AF61" s="285">
        <f>SUM(AF41:AF60)</f>
        <v>138297</v>
      </c>
      <c r="AG61" s="365"/>
    </row>
    <row r="62" spans="1:33" ht="15.75" thickTop="1" x14ac:dyDescent="0.2">
      <c r="B62" s="277"/>
      <c r="C62" s="277"/>
      <c r="D62" s="277"/>
      <c r="E62" s="277"/>
      <c r="F62" s="288"/>
      <c r="G62" s="277"/>
      <c r="H62" s="288"/>
      <c r="I62" s="277"/>
      <c r="J62" s="288"/>
      <c r="K62" s="277"/>
      <c r="L62" s="288"/>
      <c r="M62" s="277"/>
      <c r="N62" s="288"/>
      <c r="O62" s="277"/>
      <c r="P62" s="288"/>
      <c r="Q62" s="277"/>
      <c r="R62" s="288"/>
      <c r="S62" s="277"/>
      <c r="T62" s="288"/>
      <c r="U62" s="277"/>
      <c r="V62" s="288"/>
      <c r="W62" s="277"/>
      <c r="X62" s="288"/>
      <c r="Y62" s="277"/>
      <c r="Z62" s="289"/>
      <c r="AA62" s="277"/>
      <c r="AB62" s="288"/>
      <c r="AC62" s="277"/>
      <c r="AD62" s="288"/>
      <c r="AE62" s="277"/>
      <c r="AF62" s="288"/>
      <c r="AG62" s="365"/>
    </row>
    <row r="63" spans="1:33" ht="15" x14ac:dyDescent="0.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3"/>
      <c r="AF63" s="293"/>
      <c r="AG63" s="365"/>
    </row>
    <row r="64" spans="1:33" ht="15" x14ac:dyDescent="0.2">
      <c r="B64" s="292"/>
      <c r="C64" s="292"/>
      <c r="D64" s="292"/>
      <c r="E64" s="292"/>
      <c r="F64" s="516" t="s">
        <v>825</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76"/>
      <c r="AF64" s="276"/>
      <c r="AG64" s="365"/>
    </row>
    <row r="65" spans="2:33" ht="15" x14ac:dyDescent="0.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76"/>
      <c r="AF65" s="276"/>
      <c r="AG65" s="365"/>
    </row>
    <row r="66" spans="2:33" ht="15" x14ac:dyDescent="0.2">
      <c r="B66" s="292"/>
      <c r="C66" s="292"/>
      <c r="D66" s="292"/>
      <c r="E66" s="292"/>
      <c r="F66" s="371"/>
      <c r="G66" s="371"/>
      <c r="H66" s="371"/>
      <c r="I66" s="371"/>
      <c r="J66" s="372"/>
      <c r="K66" s="371"/>
      <c r="L66" s="371"/>
      <c r="M66" s="292"/>
      <c r="N66" s="292"/>
      <c r="O66" s="292"/>
      <c r="P66" s="292"/>
      <c r="Q66" s="292"/>
      <c r="R66" s="292"/>
      <c r="S66" s="292"/>
      <c r="T66" s="292"/>
      <c r="U66" s="292"/>
      <c r="V66" s="292"/>
      <c r="W66" s="292"/>
      <c r="X66" s="292"/>
      <c r="Y66" s="292"/>
      <c r="Z66" s="292"/>
      <c r="AA66" s="292"/>
      <c r="AB66" s="292"/>
      <c r="AC66" s="292"/>
      <c r="AD66" s="292"/>
      <c r="AE66" s="276"/>
      <c r="AF66" s="276"/>
      <c r="AG66" s="365"/>
    </row>
    <row r="67" spans="2:33" ht="15" x14ac:dyDescent="0.2">
      <c r="B67" s="292"/>
      <c r="C67" s="292"/>
      <c r="D67" s="292"/>
      <c r="E67" s="292"/>
      <c r="F67" s="373"/>
      <c r="G67" s="373"/>
      <c r="H67" s="373"/>
      <c r="I67" s="371"/>
      <c r="J67" s="374"/>
      <c r="K67" s="372"/>
      <c r="L67" s="374"/>
      <c r="M67" s="292"/>
      <c r="N67" s="292"/>
      <c r="O67" s="292"/>
      <c r="P67" s="292"/>
      <c r="Q67" s="292"/>
      <c r="R67" s="292"/>
      <c r="S67" s="292"/>
      <c r="T67" s="292"/>
      <c r="U67" s="292"/>
      <c r="V67" s="292"/>
      <c r="W67" s="292"/>
      <c r="X67" s="292"/>
      <c r="Y67" s="292"/>
      <c r="Z67" s="292"/>
      <c r="AA67" s="292"/>
      <c r="AB67" s="292"/>
      <c r="AC67" s="292"/>
      <c r="AD67" s="292"/>
      <c r="AE67" s="276"/>
      <c r="AF67" s="276"/>
      <c r="AG67" s="365"/>
    </row>
    <row r="68" spans="2:33" ht="15" x14ac:dyDescent="0.2">
      <c r="B68" s="292"/>
      <c r="C68" s="292"/>
      <c r="D68" s="292"/>
      <c r="E68" s="292"/>
      <c r="F68" s="373"/>
      <c r="G68" s="373"/>
      <c r="H68" s="373"/>
      <c r="I68" s="371"/>
      <c r="J68" s="374"/>
      <c r="K68" s="372"/>
      <c r="L68" s="374"/>
      <c r="M68" s="292"/>
      <c r="N68" s="292"/>
      <c r="O68" s="292"/>
      <c r="P68" s="292"/>
      <c r="Q68" s="292"/>
      <c r="R68" s="292"/>
      <c r="S68" s="292"/>
      <c r="T68" s="292"/>
      <c r="U68" s="292"/>
      <c r="V68" s="292"/>
      <c r="W68" s="292"/>
      <c r="X68" s="292"/>
      <c r="Y68" s="292"/>
      <c r="Z68" s="292"/>
      <c r="AA68" s="292"/>
      <c r="AB68" s="292"/>
      <c r="AC68" s="292"/>
      <c r="AD68" s="292"/>
      <c r="AE68" s="276"/>
      <c r="AF68" s="276"/>
      <c r="AG68" s="365"/>
    </row>
    <row r="69" spans="2:33" ht="15" x14ac:dyDescent="0.2">
      <c r="B69" s="292"/>
      <c r="C69" s="292"/>
      <c r="D69" s="292"/>
      <c r="E69" s="292"/>
      <c r="F69" s="371"/>
      <c r="G69" s="371"/>
      <c r="H69" s="371"/>
      <c r="I69" s="371"/>
      <c r="J69" s="371"/>
      <c r="K69" s="371"/>
      <c r="L69" s="371"/>
      <c r="M69" s="292"/>
      <c r="N69" s="292"/>
      <c r="O69" s="292"/>
      <c r="P69" s="292"/>
      <c r="Q69" s="292"/>
      <c r="R69" s="292"/>
      <c r="S69" s="292"/>
      <c r="T69" s="292"/>
      <c r="U69" s="292"/>
      <c r="V69" s="292"/>
      <c r="W69" s="292"/>
      <c r="X69" s="292"/>
      <c r="Y69" s="292"/>
      <c r="Z69" s="292"/>
      <c r="AA69" s="292"/>
      <c r="AB69" s="292"/>
      <c r="AC69" s="292"/>
      <c r="AD69" s="292"/>
      <c r="AE69" s="276"/>
      <c r="AF69" s="276"/>
      <c r="AG69" s="365"/>
    </row>
    <row r="70" spans="2:33" ht="15" x14ac:dyDescent="0.2">
      <c r="B70" s="292"/>
      <c r="C70" s="292"/>
      <c r="D70" s="396" t="s">
        <v>824</v>
      </c>
      <c r="E70" s="292"/>
      <c r="F70" s="278"/>
      <c r="G70" s="292"/>
      <c r="H70" s="277"/>
      <c r="I70" s="292"/>
      <c r="J70" s="277"/>
      <c r="K70" s="292"/>
      <c r="L70" s="291"/>
      <c r="M70" s="292"/>
      <c r="N70" s="292"/>
      <c r="O70" s="292"/>
      <c r="P70" s="277"/>
      <c r="Q70" s="292"/>
      <c r="R70" s="292"/>
      <c r="S70" s="292"/>
      <c r="T70" s="292"/>
      <c r="U70" s="292"/>
      <c r="V70" s="292"/>
      <c r="W70" s="292"/>
      <c r="X70" s="292"/>
      <c r="Y70" s="292"/>
      <c r="Z70" s="292"/>
      <c r="AA70" s="292"/>
      <c r="AB70" s="292"/>
      <c r="AC70" s="292"/>
      <c r="AD70" s="292"/>
      <c r="AE70" s="276"/>
      <c r="AF70" s="276"/>
      <c r="AG70" s="365"/>
    </row>
    <row r="71" spans="2:33" ht="15" x14ac:dyDescent="0.2">
      <c r="B71" s="292"/>
      <c r="C71" s="292"/>
      <c r="D71" s="292"/>
      <c r="E71" s="292"/>
      <c r="F71" s="278"/>
      <c r="G71" s="292"/>
      <c r="H71" s="277"/>
      <c r="I71" s="292"/>
      <c r="J71" s="277"/>
      <c r="K71" s="292"/>
      <c r="L71" s="291"/>
      <c r="M71" s="292"/>
      <c r="N71" s="292"/>
      <c r="O71" s="292"/>
      <c r="P71" s="277"/>
      <c r="Q71" s="292"/>
      <c r="R71" s="292"/>
      <c r="S71" s="292"/>
      <c r="T71" s="292"/>
      <c r="U71" s="292"/>
      <c r="V71" s="292"/>
      <c r="W71" s="292"/>
      <c r="X71" s="292"/>
      <c r="Y71" s="292"/>
      <c r="Z71" s="292"/>
      <c r="AA71" s="292"/>
      <c r="AB71" s="292"/>
      <c r="AC71" s="292"/>
      <c r="AD71" s="292"/>
      <c r="AE71" s="276"/>
      <c r="AF71" s="276"/>
      <c r="AG71" s="365"/>
    </row>
    <row r="72" spans="2:33" ht="15" x14ac:dyDescent="0.2">
      <c r="B72" s="292"/>
      <c r="C72" s="292"/>
      <c r="D72" s="292"/>
      <c r="E72" s="292"/>
      <c r="F72" s="278">
        <f>1153*2</f>
        <v>2306</v>
      </c>
      <c r="G72" s="292"/>
      <c r="H72" s="277"/>
      <c r="I72" s="292"/>
      <c r="J72" s="284"/>
      <c r="K72" s="292"/>
      <c r="L72" s="291"/>
      <c r="M72" s="292"/>
      <c r="N72" s="292"/>
      <c r="O72" s="292"/>
      <c r="P72" s="277"/>
      <c r="Q72" s="292"/>
      <c r="R72" s="292"/>
      <c r="S72" s="292"/>
      <c r="T72" s="292"/>
      <c r="U72" s="292"/>
      <c r="V72" s="292"/>
      <c r="W72" s="292"/>
      <c r="X72" s="292"/>
      <c r="Y72" s="292"/>
      <c r="Z72" s="292"/>
      <c r="AA72" s="292"/>
      <c r="AB72" s="292"/>
      <c r="AC72" s="292"/>
      <c r="AD72" s="292"/>
      <c r="AE72" s="276"/>
      <c r="AF72" s="276"/>
      <c r="AG72" s="365"/>
    </row>
    <row r="73" spans="2:33" ht="15" x14ac:dyDescent="0.2">
      <c r="B73" s="292"/>
      <c r="C73" s="292"/>
      <c r="D73" s="292"/>
      <c r="E73" s="292"/>
      <c r="F73" s="278">
        <v>32264</v>
      </c>
      <c r="G73" s="292"/>
      <c r="H73" s="277"/>
      <c r="I73" s="292"/>
      <c r="J73" s="284"/>
      <c r="K73" s="292"/>
      <c r="L73" s="291"/>
      <c r="M73" s="292"/>
      <c r="N73" s="292"/>
      <c r="O73" s="292"/>
      <c r="P73" s="277"/>
      <c r="Q73" s="292"/>
      <c r="R73" s="292"/>
      <c r="S73" s="292"/>
      <c r="T73" s="292"/>
      <c r="U73" s="292"/>
      <c r="V73" s="292"/>
      <c r="W73" s="292"/>
      <c r="X73" s="292"/>
      <c r="Y73" s="292"/>
      <c r="Z73" s="292"/>
      <c r="AA73" s="292"/>
      <c r="AB73" s="292"/>
      <c r="AC73" s="292"/>
      <c r="AD73" s="292"/>
      <c r="AE73" s="276"/>
      <c r="AF73" s="276"/>
      <c r="AG73" s="365"/>
    </row>
    <row r="74" spans="2:33" ht="15" x14ac:dyDescent="0.2">
      <c r="B74" s="375"/>
      <c r="C74" s="376"/>
      <c r="D74" s="377"/>
      <c r="E74" s="292"/>
      <c r="F74" s="278">
        <f>+F72+F73</f>
        <v>34570</v>
      </c>
      <c r="G74" s="292"/>
      <c r="H74" s="277"/>
      <c r="I74" s="292"/>
      <c r="J74" s="277"/>
      <c r="K74" s="292"/>
      <c r="L74" s="291"/>
      <c r="M74" s="292"/>
      <c r="N74" s="292"/>
      <c r="O74" s="292"/>
      <c r="P74" s="277"/>
      <c r="Q74" s="292"/>
      <c r="R74" s="292"/>
      <c r="S74" s="292"/>
      <c r="T74" s="292"/>
      <c r="U74" s="292"/>
      <c r="V74" s="292"/>
      <c r="W74" s="292"/>
      <c r="X74" s="292"/>
      <c r="Y74" s="292"/>
      <c r="Z74" s="292"/>
      <c r="AA74" s="292"/>
      <c r="AB74" s="292"/>
      <c r="AC74" s="292"/>
      <c r="AD74" s="292"/>
      <c r="AE74" s="276"/>
      <c r="AF74" s="276"/>
      <c r="AG74" s="365"/>
    </row>
    <row r="75" spans="2:33" ht="15" x14ac:dyDescent="0.2">
      <c r="B75" s="375"/>
      <c r="C75" s="376"/>
      <c r="D75" s="376"/>
      <c r="E75" s="292"/>
      <c r="F75" s="278"/>
      <c r="G75" s="292"/>
      <c r="H75" s="277"/>
      <c r="I75" s="292"/>
      <c r="J75" s="277"/>
      <c r="K75" s="292"/>
      <c r="L75" s="291"/>
      <c r="M75" s="292"/>
      <c r="N75" s="292"/>
      <c r="O75" s="292"/>
      <c r="P75" s="277"/>
      <c r="Q75" s="292"/>
      <c r="R75" s="292"/>
      <c r="S75" s="292"/>
      <c r="T75" s="292"/>
      <c r="U75" s="292"/>
      <c r="V75" s="292"/>
      <c r="W75" s="292"/>
      <c r="X75" s="292"/>
      <c r="Y75" s="292"/>
      <c r="Z75" s="292"/>
      <c r="AA75" s="292"/>
      <c r="AB75" s="292"/>
      <c r="AC75" s="292"/>
      <c r="AD75" s="292"/>
      <c r="AE75" s="276"/>
      <c r="AF75" s="276"/>
      <c r="AG75" s="365"/>
    </row>
    <row r="76" spans="2:33" ht="15" x14ac:dyDescent="0.2">
      <c r="B76" s="375"/>
      <c r="C76" s="376"/>
      <c r="D76" s="376"/>
      <c r="E76" s="292"/>
      <c r="F76" s="278"/>
      <c r="G76" s="292"/>
      <c r="H76" s="277"/>
      <c r="I76" s="292"/>
      <c r="J76" s="277"/>
      <c r="K76" s="292"/>
      <c r="L76" s="291"/>
      <c r="M76" s="292"/>
      <c r="N76" s="292"/>
      <c r="O76" s="292"/>
      <c r="P76" s="277"/>
      <c r="Q76" s="292"/>
      <c r="R76" s="292"/>
      <c r="S76" s="292"/>
      <c r="T76" s="292"/>
      <c r="U76" s="292"/>
      <c r="V76" s="292"/>
      <c r="W76" s="292"/>
      <c r="X76" s="292"/>
      <c r="Y76" s="292"/>
      <c r="Z76" s="292"/>
      <c r="AA76" s="292"/>
      <c r="AB76" s="292"/>
      <c r="AC76" s="292"/>
      <c r="AD76" s="292"/>
      <c r="AE76" s="276"/>
      <c r="AF76" s="276"/>
      <c r="AG76" s="365"/>
    </row>
    <row r="77" spans="2:33" ht="15" x14ac:dyDescent="0.2">
      <c r="B77" s="375"/>
      <c r="C77" s="376"/>
      <c r="D77" s="377"/>
      <c r="E77" s="292"/>
      <c r="F77" s="278"/>
      <c r="G77" s="292"/>
      <c r="H77" s="277"/>
      <c r="I77" s="292"/>
      <c r="J77" s="277"/>
      <c r="K77" s="292"/>
      <c r="L77" s="291"/>
      <c r="M77" s="292"/>
      <c r="N77" s="292"/>
      <c r="O77" s="292"/>
      <c r="P77" s="277"/>
      <c r="Q77" s="292"/>
      <c r="R77" s="292"/>
      <c r="S77" s="292"/>
      <c r="T77" s="292"/>
      <c r="U77" s="292"/>
      <c r="V77" s="292"/>
      <c r="W77" s="292"/>
      <c r="X77" s="292"/>
      <c r="Y77" s="292"/>
      <c r="Z77" s="292"/>
      <c r="AA77" s="292"/>
      <c r="AB77" s="292"/>
      <c r="AC77" s="292"/>
      <c r="AD77" s="292"/>
      <c r="AE77" s="276"/>
      <c r="AF77" s="276"/>
      <c r="AG77" s="365"/>
    </row>
    <row r="78" spans="2:33" ht="15" x14ac:dyDescent="0.2">
      <c r="B78" s="375"/>
      <c r="C78" s="376"/>
      <c r="D78" s="376"/>
      <c r="E78" s="292"/>
      <c r="F78" s="278"/>
      <c r="G78" s="292"/>
      <c r="H78" s="277"/>
      <c r="I78" s="292"/>
      <c r="J78" s="277"/>
      <c r="K78" s="292"/>
      <c r="L78" s="291"/>
      <c r="M78" s="292"/>
      <c r="N78" s="292"/>
      <c r="O78" s="292"/>
      <c r="P78" s="277"/>
      <c r="Q78" s="292"/>
      <c r="R78" s="292"/>
      <c r="S78" s="292"/>
      <c r="T78" s="292"/>
      <c r="U78" s="292"/>
      <c r="V78" s="292"/>
      <c r="W78" s="292"/>
      <c r="X78" s="292"/>
      <c r="Y78" s="292"/>
      <c r="Z78" s="292"/>
      <c r="AA78" s="292"/>
      <c r="AB78" s="292"/>
      <c r="AC78" s="292"/>
      <c r="AD78" s="292"/>
      <c r="AE78" s="276"/>
      <c r="AF78" s="276"/>
      <c r="AG78" s="365"/>
    </row>
    <row r="79" spans="2:33" ht="15" x14ac:dyDescent="0.2">
      <c r="B79" s="375"/>
      <c r="C79" s="376"/>
      <c r="D79" s="376"/>
      <c r="E79" s="292"/>
      <c r="F79" s="278"/>
      <c r="G79" s="292"/>
      <c r="H79" s="277"/>
      <c r="I79" s="292"/>
      <c r="J79" s="378"/>
      <c r="K79" s="292"/>
      <c r="L79" s="291"/>
      <c r="M79" s="292"/>
      <c r="N79" s="292"/>
      <c r="O79" s="292"/>
      <c r="P79" s="292"/>
      <c r="Q79" s="292"/>
      <c r="R79" s="292"/>
      <c r="S79" s="292"/>
      <c r="T79" s="292"/>
      <c r="U79" s="292"/>
      <c r="V79" s="292"/>
      <c r="W79" s="292"/>
      <c r="X79" s="292"/>
      <c r="Y79" s="292"/>
      <c r="Z79" s="292"/>
      <c r="AA79" s="292"/>
      <c r="AB79" s="292"/>
      <c r="AC79" s="292"/>
      <c r="AD79" s="292"/>
      <c r="AE79" s="276"/>
      <c r="AF79" s="276"/>
      <c r="AG79" s="365"/>
    </row>
    <row r="80" spans="2:33" ht="15" x14ac:dyDescent="0.2">
      <c r="B80" s="375"/>
      <c r="C80" s="376"/>
      <c r="D80" s="377"/>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76"/>
      <c r="AF80" s="276"/>
      <c r="AG80" s="365"/>
    </row>
    <row r="81" spans="2:33" ht="15" x14ac:dyDescent="0.2">
      <c r="B81" s="375"/>
      <c r="C81" s="376"/>
      <c r="D81" s="376"/>
      <c r="E81" s="292"/>
      <c r="F81" s="292"/>
      <c r="G81" s="292"/>
      <c r="H81" s="292"/>
      <c r="I81" s="292"/>
      <c r="J81" s="292"/>
      <c r="K81" s="292"/>
      <c r="L81" s="292"/>
      <c r="M81" s="292"/>
      <c r="N81" s="292"/>
      <c r="O81" s="292"/>
      <c r="P81" s="277"/>
      <c r="Q81" s="292"/>
      <c r="R81" s="292"/>
      <c r="S81" s="292"/>
      <c r="T81" s="292"/>
      <c r="U81" s="292"/>
      <c r="V81" s="292"/>
      <c r="W81" s="292"/>
      <c r="X81" s="292"/>
      <c r="Y81" s="292"/>
      <c r="Z81" s="292"/>
      <c r="AA81" s="292"/>
      <c r="AB81" s="292"/>
      <c r="AC81" s="292"/>
      <c r="AD81" s="292"/>
      <c r="AE81" s="276"/>
      <c r="AF81" s="276"/>
      <c r="AG81" s="365"/>
    </row>
    <row r="82" spans="2:33" ht="15" x14ac:dyDescent="0.2">
      <c r="B82" s="375"/>
      <c r="C82" s="376"/>
      <c r="D82" s="376"/>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76"/>
      <c r="AF82" s="276"/>
      <c r="AG82" s="365"/>
    </row>
    <row r="83" spans="2:33" ht="15" x14ac:dyDescent="0.2">
      <c r="B83" s="375"/>
      <c r="C83" s="376"/>
      <c r="D83" s="377"/>
      <c r="E83" s="292"/>
      <c r="F83" s="292"/>
      <c r="G83" s="292"/>
      <c r="H83" s="292"/>
      <c r="I83" s="292"/>
      <c r="J83" s="292"/>
      <c r="K83" s="292"/>
      <c r="L83" s="292"/>
      <c r="M83" s="292"/>
      <c r="N83" s="292"/>
      <c r="O83" s="292"/>
      <c r="P83" s="277"/>
      <c r="Q83" s="292"/>
      <c r="R83" s="292"/>
      <c r="S83" s="292"/>
      <c r="T83" s="292"/>
      <c r="U83" s="292"/>
      <c r="V83" s="292"/>
      <c r="W83" s="292"/>
      <c r="X83" s="292"/>
      <c r="Y83" s="292"/>
      <c r="Z83" s="292"/>
      <c r="AA83" s="292"/>
      <c r="AB83" s="292"/>
      <c r="AC83" s="292"/>
      <c r="AD83" s="292"/>
      <c r="AE83" s="276"/>
      <c r="AF83" s="276"/>
      <c r="AG83" s="365"/>
    </row>
    <row r="84" spans="2:33" ht="15" x14ac:dyDescent="0.2">
      <c r="B84" s="375"/>
      <c r="C84" s="376"/>
      <c r="D84" s="376"/>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76"/>
      <c r="AF84" s="276"/>
      <c r="AG84" s="365"/>
    </row>
    <row r="85" spans="2:33" ht="15" x14ac:dyDescent="0.2">
      <c r="B85" s="375"/>
      <c r="C85" s="376"/>
      <c r="D85" s="376"/>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76"/>
      <c r="AF85" s="276"/>
      <c r="AG85" s="365"/>
    </row>
    <row r="86" spans="2:33" x14ac:dyDescent="0.2">
      <c r="B86" s="375"/>
      <c r="C86" s="376"/>
      <c r="D86" s="377"/>
    </row>
  </sheetData>
  <mergeCells count="2">
    <mergeCell ref="AH9:AK9"/>
    <mergeCell ref="AM9:AP9"/>
  </mergeCells>
  <phoneticPr fontId="12" type="noConversion"/>
  <printOptions horizontalCentered="1"/>
  <pageMargins left="0.5" right="0.5" top="1" bottom="1" header="0.5" footer="0.5"/>
  <headerFooter alignWithMargins="0"/>
  <rowBreaks count="1" manualBreakCount="1">
    <brk id="30" min="1" max="31"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S72"/>
  <sheetViews>
    <sheetView workbookViewId="0"/>
  </sheetViews>
  <sheetFormatPr defaultColWidth="9.6640625" defaultRowHeight="15" x14ac:dyDescent="0.2"/>
  <cols>
    <col min="1" max="1" width="7.6640625" style="38" customWidth="1"/>
    <col min="2" max="2" width="9.109375" style="38" customWidth="1"/>
    <col min="3" max="3" width="11.33203125" style="38" customWidth="1"/>
    <col min="4" max="4" width="9.6640625" style="38" customWidth="1"/>
    <col min="5" max="5" width="11.44140625" style="38" customWidth="1"/>
    <col min="6" max="6" width="9.6640625" style="38" customWidth="1"/>
    <col min="7" max="7" width="10.109375" style="38" customWidth="1"/>
    <col min="8" max="16384" width="9.6640625" style="38"/>
  </cols>
  <sheetData>
    <row r="1" spans="1:9" x14ac:dyDescent="0.2">
      <c r="A1" s="37" t="s">
        <v>78</v>
      </c>
      <c r="B1" s="1"/>
      <c r="C1" s="37"/>
      <c r="D1" s="1"/>
      <c r="E1" s="1"/>
      <c r="F1" s="1"/>
      <c r="G1" s="1"/>
    </row>
    <row r="2" spans="1:9" x14ac:dyDescent="0.2">
      <c r="A2" s="178"/>
      <c r="B2" s="1"/>
      <c r="C2" s="37"/>
      <c r="D2" s="1"/>
      <c r="E2" s="1"/>
      <c r="F2" s="1"/>
      <c r="G2" s="1"/>
    </row>
    <row r="3" spans="1:9" x14ac:dyDescent="0.2">
      <c r="A3" s="1"/>
      <c r="B3" s="1"/>
      <c r="C3" s="1"/>
      <c r="D3" s="1"/>
      <c r="E3" s="1"/>
      <c r="F3" s="1"/>
      <c r="G3" s="1"/>
      <c r="I3" s="2"/>
    </row>
    <row r="4" spans="1:9" x14ac:dyDescent="0.2">
      <c r="A4" s="1" t="s">
        <v>181</v>
      </c>
      <c r="B4" s="1"/>
      <c r="C4" s="1"/>
      <c r="D4" s="1"/>
      <c r="E4" s="1"/>
      <c r="F4" s="1"/>
      <c r="G4" s="1"/>
    </row>
    <row r="5" spans="1:9" x14ac:dyDescent="0.2">
      <c r="A5" s="2"/>
      <c r="B5" s="2"/>
      <c r="C5" s="2"/>
      <c r="D5" s="2"/>
      <c r="E5" s="2"/>
      <c r="F5" s="2"/>
      <c r="G5" s="2"/>
    </row>
    <row r="6" spans="1:9" x14ac:dyDescent="0.2">
      <c r="A6" s="2"/>
      <c r="B6" s="133"/>
      <c r="C6" s="2"/>
      <c r="D6" s="2"/>
      <c r="E6" s="2"/>
      <c r="F6" s="2"/>
      <c r="G6" s="2"/>
    </row>
    <row r="7" spans="1:9" x14ac:dyDescent="0.2">
      <c r="A7" s="2" t="s">
        <v>301</v>
      </c>
      <c r="B7" s="2"/>
      <c r="C7" s="2"/>
      <c r="D7" s="2"/>
      <c r="E7" s="2"/>
      <c r="F7" s="2"/>
      <c r="G7" s="2"/>
    </row>
    <row r="8" spans="1:9" x14ac:dyDescent="0.2">
      <c r="A8" s="2" t="s">
        <v>233</v>
      </c>
      <c r="B8" s="2"/>
      <c r="C8" s="2"/>
      <c r="D8" s="2"/>
      <c r="E8" s="2"/>
      <c r="F8" s="2"/>
      <c r="G8" s="2"/>
    </row>
    <row r="9" spans="1:9" ht="9.1999999999999993" customHeight="1" x14ac:dyDescent="0.2">
      <c r="A9" s="2"/>
      <c r="B9" s="2"/>
      <c r="C9" s="2"/>
      <c r="D9" s="2"/>
      <c r="E9" s="2"/>
      <c r="F9" s="2"/>
      <c r="G9" s="2"/>
    </row>
    <row r="10" spans="1:9" ht="27.6" customHeight="1" x14ac:dyDescent="0.2">
      <c r="A10" s="656" t="s">
        <v>278</v>
      </c>
      <c r="B10" s="656"/>
      <c r="C10" s="656"/>
      <c r="D10" s="656"/>
      <c r="E10" s="656"/>
      <c r="F10" s="656"/>
      <c r="G10" s="656"/>
    </row>
    <row r="11" spans="1:9" ht="9.1999999999999993" customHeight="1" x14ac:dyDescent="0.2">
      <c r="A11" s="2"/>
      <c r="B11" s="2"/>
      <c r="C11" s="2"/>
      <c r="D11" s="2"/>
      <c r="E11" s="2"/>
      <c r="F11" s="2"/>
      <c r="G11" s="2"/>
    </row>
    <row r="12" spans="1:9" ht="13.35" customHeight="1" x14ac:dyDescent="0.2">
      <c r="A12" s="2"/>
      <c r="B12" s="2"/>
      <c r="C12" s="2"/>
      <c r="D12" s="12" t="s">
        <v>279</v>
      </c>
      <c r="E12" s="2"/>
      <c r="F12" s="2"/>
      <c r="G12" s="2"/>
    </row>
    <row r="13" spans="1:9" ht="13.35" customHeight="1" x14ac:dyDescent="0.2">
      <c r="A13" s="2"/>
      <c r="B13" s="2"/>
      <c r="C13" s="2"/>
      <c r="D13" s="12" t="s">
        <v>485</v>
      </c>
      <c r="E13" s="2"/>
      <c r="F13" s="2"/>
      <c r="G13" s="2"/>
    </row>
    <row r="14" spans="1:9" ht="13.35" customHeight="1" x14ac:dyDescent="0.2">
      <c r="A14" s="1" t="s">
        <v>377</v>
      </c>
      <c r="B14" s="37"/>
      <c r="C14" s="2"/>
      <c r="D14" s="12" t="s">
        <v>282</v>
      </c>
      <c r="E14" s="2"/>
      <c r="F14" s="12" t="s">
        <v>379</v>
      </c>
      <c r="G14" s="2"/>
    </row>
    <row r="15" spans="1:9" ht="13.35" customHeight="1" x14ac:dyDescent="0.2">
      <c r="A15" s="1" t="s">
        <v>380</v>
      </c>
      <c r="B15" s="37"/>
      <c r="C15" s="2"/>
      <c r="D15" s="12" t="s">
        <v>283</v>
      </c>
      <c r="E15" s="2"/>
      <c r="F15" s="12" t="s">
        <v>381</v>
      </c>
      <c r="G15" s="2"/>
    </row>
    <row r="16" spans="1:9" x14ac:dyDescent="0.2">
      <c r="A16" s="3" t="s">
        <v>382</v>
      </c>
      <c r="B16" s="134"/>
      <c r="C16" s="2"/>
      <c r="D16" s="11" t="s">
        <v>272</v>
      </c>
      <c r="E16" s="2" t="s">
        <v>496</v>
      </c>
      <c r="F16" s="11" t="s">
        <v>384</v>
      </c>
      <c r="G16" s="2"/>
    </row>
    <row r="17" spans="1:19" ht="8.1" customHeight="1" x14ac:dyDescent="0.2">
      <c r="A17" s="2"/>
      <c r="C17" s="2"/>
      <c r="D17" s="2"/>
      <c r="E17" s="2"/>
      <c r="F17" s="135"/>
      <c r="G17" s="2"/>
    </row>
    <row r="18" spans="1:19" ht="13.35" customHeight="1" x14ac:dyDescent="0.2">
      <c r="A18" s="2" t="s">
        <v>385</v>
      </c>
      <c r="C18" s="2"/>
      <c r="D18" s="223">
        <f>+'COS 1'!L361</f>
        <v>676762.29358736239</v>
      </c>
      <c r="E18" s="2"/>
      <c r="F18" s="135">
        <f>+'COS 1'!L362</f>
        <v>0.75270000000000004</v>
      </c>
      <c r="G18" s="135"/>
      <c r="H18" s="135"/>
      <c r="I18" s="135"/>
      <c r="J18" s="135"/>
      <c r="K18" s="135"/>
      <c r="M18" s="135"/>
      <c r="O18" s="135"/>
      <c r="Q18" s="135"/>
      <c r="S18" s="135"/>
    </row>
    <row r="19" spans="1:19" ht="13.35" customHeight="1" x14ac:dyDescent="0.2">
      <c r="A19" s="2" t="s">
        <v>386</v>
      </c>
      <c r="C19" s="2"/>
      <c r="D19" s="220">
        <f>+'COS 1'!N361</f>
        <v>145947.13712766199</v>
      </c>
      <c r="E19" s="2"/>
      <c r="F19" s="135">
        <f>+'COS 1'!N362</f>
        <v>0.1623</v>
      </c>
      <c r="G19" s="2"/>
    </row>
    <row r="20" spans="1:19" ht="13.35" customHeight="1" x14ac:dyDescent="0.2">
      <c r="A20" s="2" t="s">
        <v>387</v>
      </c>
      <c r="C20" s="2"/>
      <c r="D20" s="220">
        <f>+'COS 1'!P361</f>
        <v>9697.3660544942013</v>
      </c>
      <c r="E20" s="2"/>
      <c r="F20" s="135">
        <f>+'COS 1'!P362</f>
        <v>1.0800000000000001E-2</v>
      </c>
      <c r="G20" s="2"/>
    </row>
    <row r="21" spans="1:19" ht="13.35" customHeight="1" x14ac:dyDescent="0.2">
      <c r="A21" s="2" t="s">
        <v>389</v>
      </c>
      <c r="C21" s="2"/>
      <c r="D21" s="220">
        <f>+'COS 1'!R361</f>
        <v>33274.549707662991</v>
      </c>
      <c r="E21" s="2"/>
      <c r="F21" s="135">
        <f>+'COS 1'!R362</f>
        <v>3.6999999999999998E-2</v>
      </c>
      <c r="G21" s="2"/>
    </row>
    <row r="22" spans="1:19" ht="13.35" customHeight="1" x14ac:dyDescent="0.2">
      <c r="A22" s="2" t="s">
        <v>503</v>
      </c>
      <c r="C22" s="2"/>
      <c r="D22" s="220">
        <f>+'COS 1'!T361</f>
        <v>2872.0128225190215</v>
      </c>
      <c r="E22" s="2"/>
      <c r="F22" s="135">
        <f>+'COS 1'!T362</f>
        <v>3.2000000000000002E-3</v>
      </c>
      <c r="G22" s="2"/>
    </row>
    <row r="23" spans="1:19" ht="13.35" customHeight="1" x14ac:dyDescent="0.2">
      <c r="A23" s="2" t="s">
        <v>391</v>
      </c>
      <c r="C23" s="2"/>
      <c r="D23" s="220">
        <f>+'COS 1'!V361</f>
        <v>18326.277810028321</v>
      </c>
      <c r="E23" s="2"/>
      <c r="F23" s="135">
        <f>+'COS 1'!V362</f>
        <v>2.0400000000000001E-2</v>
      </c>
      <c r="G23" s="2"/>
    </row>
    <row r="24" spans="1:19" ht="13.35" customHeight="1" x14ac:dyDescent="0.2">
      <c r="A24" s="2" t="s">
        <v>392</v>
      </c>
      <c r="C24" s="2"/>
      <c r="D24" s="220">
        <f>+'COS 1'!X361</f>
        <v>12244.272993759363</v>
      </c>
      <c r="E24" s="2"/>
      <c r="F24" s="135">
        <f>+'COS 1'!X362</f>
        <v>1.3599999999999999E-2</v>
      </c>
      <c r="G24" s="2"/>
    </row>
    <row r="25" spans="1:19" ht="8.25" customHeight="1" x14ac:dyDescent="0.2">
      <c r="A25" s="2"/>
      <c r="C25" s="2"/>
      <c r="D25" s="221"/>
      <c r="E25" s="2"/>
      <c r="F25" s="7"/>
      <c r="G25" s="2"/>
    </row>
    <row r="26" spans="1:19" ht="15.75" thickBot="1" x14ac:dyDescent="0.25">
      <c r="A26" s="2" t="s">
        <v>393</v>
      </c>
      <c r="C26" s="2"/>
      <c r="D26" s="222">
        <f>SUM(D18:D25)</f>
        <v>899123.91010348825</v>
      </c>
      <c r="E26" s="2"/>
      <c r="F26" s="151">
        <f>SUM(F18:F25)</f>
        <v>1</v>
      </c>
      <c r="G26" s="2"/>
    </row>
    <row r="27" spans="1:19" ht="11.85" customHeight="1" thickTop="1" x14ac:dyDescent="0.2">
      <c r="A27" s="2"/>
      <c r="B27" s="2"/>
      <c r="C27"/>
      <c r="D27"/>
      <c r="E27"/>
      <c r="F27"/>
      <c r="G27"/>
      <c r="H27"/>
    </row>
    <row r="28" spans="1:19" ht="15" hidden="1" customHeight="1" x14ac:dyDescent="0.2">
      <c r="A28" s="2"/>
      <c r="B28" s="2"/>
      <c r="C28"/>
      <c r="D28"/>
      <c r="E28"/>
      <c r="F28"/>
      <c r="G28"/>
      <c r="H28"/>
    </row>
    <row r="29" spans="1:19" ht="15" hidden="1" customHeight="1" x14ac:dyDescent="0.2">
      <c r="A29" s="136" t="s">
        <v>284</v>
      </c>
      <c r="B29" s="2"/>
      <c r="C29"/>
      <c r="D29"/>
      <c r="E29"/>
      <c r="F29"/>
      <c r="G29"/>
      <c r="H29"/>
    </row>
    <row r="30" spans="1:19" ht="15" hidden="1" customHeight="1" x14ac:dyDescent="0.2">
      <c r="A30" s="136" t="s">
        <v>285</v>
      </c>
      <c r="B30" s="2"/>
      <c r="C30"/>
      <c r="D30"/>
      <c r="E30"/>
      <c r="F30"/>
      <c r="G30"/>
      <c r="H30"/>
    </row>
    <row r="31" spans="1:19" ht="15" hidden="1" customHeight="1" x14ac:dyDescent="0.2">
      <c r="A31" s="2"/>
      <c r="B31" s="2"/>
      <c r="C31"/>
      <c r="D31"/>
      <c r="E31"/>
      <c r="F31"/>
      <c r="G31"/>
      <c r="H31"/>
    </row>
    <row r="32" spans="1:19" ht="15" hidden="1" customHeight="1" x14ac:dyDescent="0.2">
      <c r="A32" s="2"/>
      <c r="B32" s="2" t="s">
        <v>432</v>
      </c>
      <c r="C32"/>
      <c r="D32"/>
      <c r="E32"/>
      <c r="F32"/>
      <c r="G32"/>
      <c r="H32"/>
    </row>
    <row r="33" spans="1:8" ht="15" hidden="1" customHeight="1" x14ac:dyDescent="0.2">
      <c r="A33" s="2" t="s">
        <v>433</v>
      </c>
      <c r="B33" s="2"/>
      <c r="C33"/>
      <c r="D33"/>
      <c r="E33"/>
      <c r="F33"/>
      <c r="G33"/>
      <c r="H33"/>
    </row>
    <row r="34" spans="1:8" ht="15" hidden="1" customHeight="1" x14ac:dyDescent="0.2">
      <c r="A34" s="2"/>
      <c r="B34" s="2"/>
      <c r="C34"/>
      <c r="D34"/>
      <c r="E34"/>
      <c r="F34"/>
      <c r="G34"/>
      <c r="H34"/>
    </row>
    <row r="35" spans="1:8" ht="12.75" hidden="1" customHeight="1" x14ac:dyDescent="0.2">
      <c r="A35" s="2"/>
      <c r="B35" s="2"/>
      <c r="C35"/>
      <c r="D35" t="s">
        <v>279</v>
      </c>
      <c r="E35"/>
      <c r="F35"/>
      <c r="G35"/>
      <c r="H35"/>
    </row>
    <row r="36" spans="1:8" ht="12.75" hidden="1" customHeight="1" x14ac:dyDescent="0.2">
      <c r="A36" s="2"/>
      <c r="B36" s="2"/>
      <c r="C36"/>
      <c r="D36" t="s">
        <v>280</v>
      </c>
      <c r="E36"/>
      <c r="F36"/>
      <c r="G36"/>
      <c r="H36"/>
    </row>
    <row r="37" spans="1:8" ht="12.75" hidden="1" customHeight="1" x14ac:dyDescent="0.2">
      <c r="A37" s="2"/>
      <c r="B37" s="2"/>
      <c r="C37"/>
      <c r="D37" t="s">
        <v>281</v>
      </c>
      <c r="E37"/>
      <c r="F37"/>
      <c r="G37"/>
      <c r="H37"/>
    </row>
    <row r="38" spans="1:8" ht="12.75" hidden="1" customHeight="1" x14ac:dyDescent="0.2">
      <c r="A38" s="1" t="s">
        <v>377</v>
      </c>
      <c r="B38" s="37"/>
      <c r="C38"/>
      <c r="D38" t="s">
        <v>434</v>
      </c>
      <c r="E38"/>
      <c r="F38" t="s">
        <v>379</v>
      </c>
      <c r="G38"/>
      <c r="H38"/>
    </row>
    <row r="39" spans="1:8" ht="12.75" hidden="1" customHeight="1" x14ac:dyDescent="0.2">
      <c r="A39" s="1" t="s">
        <v>380</v>
      </c>
      <c r="B39" s="37"/>
      <c r="C39"/>
      <c r="D39" t="s">
        <v>283</v>
      </c>
      <c r="E39"/>
      <c r="F39" t="s">
        <v>381</v>
      </c>
      <c r="G39"/>
      <c r="H39"/>
    </row>
    <row r="40" spans="1:8" ht="15" hidden="1" customHeight="1" x14ac:dyDescent="0.2">
      <c r="A40" s="3" t="s">
        <v>382</v>
      </c>
      <c r="B40" s="134"/>
      <c r="C40"/>
      <c r="D40" t="s">
        <v>272</v>
      </c>
      <c r="E40" t="s">
        <v>496</v>
      </c>
      <c r="F40" t="s">
        <v>384</v>
      </c>
      <c r="G40"/>
      <c r="H40"/>
    </row>
    <row r="41" spans="1:8" ht="12.75" hidden="1" customHeight="1" x14ac:dyDescent="0.2">
      <c r="A41" s="2"/>
      <c r="C41"/>
      <c r="D41"/>
      <c r="E41"/>
      <c r="F41"/>
      <c r="G41"/>
      <c r="H41"/>
    </row>
    <row r="42" spans="1:8" ht="12.75" hidden="1" customHeight="1" x14ac:dyDescent="0.2">
      <c r="A42" s="2" t="s">
        <v>385</v>
      </c>
      <c r="C42"/>
      <c r="D42">
        <v>3511291</v>
      </c>
      <c r="E42"/>
      <c r="F42">
        <f t="shared" ref="F42:F48" si="0">ROUND(D42/D$50,4)</f>
        <v>0.5907</v>
      </c>
      <c r="G42"/>
      <c r="H42"/>
    </row>
    <row r="43" spans="1:8" ht="12.75" hidden="1" customHeight="1" x14ac:dyDescent="0.2">
      <c r="A43" s="2" t="s">
        <v>386</v>
      </c>
      <c r="C43"/>
      <c r="D43">
        <v>941329</v>
      </c>
      <c r="E43"/>
      <c r="F43">
        <f t="shared" si="0"/>
        <v>0.1583</v>
      </c>
      <c r="G43"/>
      <c r="H43"/>
    </row>
    <row r="44" spans="1:8" ht="12.75" hidden="1" customHeight="1" x14ac:dyDescent="0.2">
      <c r="A44" s="2" t="s">
        <v>387</v>
      </c>
      <c r="C44"/>
      <c r="D44">
        <v>191461</v>
      </c>
      <c r="E44"/>
      <c r="F44">
        <f t="shared" si="0"/>
        <v>3.2199999999999999E-2</v>
      </c>
      <c r="G44"/>
      <c r="H44"/>
    </row>
    <row r="45" spans="1:8" ht="12.75" hidden="1" customHeight="1" x14ac:dyDescent="0.2">
      <c r="A45" s="2" t="s">
        <v>435</v>
      </c>
      <c r="C45"/>
      <c r="D45">
        <v>42532</v>
      </c>
      <c r="E45"/>
      <c r="F45">
        <f t="shared" si="0"/>
        <v>7.1999999999999998E-3</v>
      </c>
      <c r="G45"/>
      <c r="H45"/>
    </row>
    <row r="46" spans="1:8" ht="12.75" hidden="1" customHeight="1" x14ac:dyDescent="0.2">
      <c r="A46" s="2" t="s">
        <v>390</v>
      </c>
      <c r="C46"/>
      <c r="D46">
        <v>62932</v>
      </c>
      <c r="E46"/>
      <c r="F46">
        <f t="shared" si="0"/>
        <v>1.06E-2</v>
      </c>
      <c r="G46"/>
      <c r="H46"/>
    </row>
    <row r="47" spans="1:8" ht="12.75" hidden="1" customHeight="1" x14ac:dyDescent="0.2">
      <c r="A47" s="2" t="s">
        <v>391</v>
      </c>
      <c r="C47"/>
      <c r="D47">
        <v>229566</v>
      </c>
      <c r="E47"/>
      <c r="F47">
        <f t="shared" si="0"/>
        <v>3.8600000000000002E-2</v>
      </c>
      <c r="G47"/>
      <c r="H47"/>
    </row>
    <row r="48" spans="1:8" ht="12.75" hidden="1" customHeight="1" x14ac:dyDescent="0.2">
      <c r="A48" s="2" t="s">
        <v>392</v>
      </c>
      <c r="C48"/>
      <c r="D48">
        <v>965510</v>
      </c>
      <c r="E48"/>
      <c r="F48">
        <f t="shared" si="0"/>
        <v>0.16239999999999999</v>
      </c>
      <c r="G48"/>
      <c r="H48"/>
    </row>
    <row r="49" spans="1:8" ht="15" hidden="1" customHeight="1" x14ac:dyDescent="0.2">
      <c r="A49" s="2"/>
      <c r="C49"/>
      <c r="D49"/>
      <c r="E49"/>
      <c r="F49"/>
      <c r="G49"/>
      <c r="H49"/>
    </row>
    <row r="50" spans="1:8" ht="15" hidden="1" customHeight="1" x14ac:dyDescent="0.2">
      <c r="A50" s="2" t="s">
        <v>393</v>
      </c>
      <c r="C50"/>
      <c r="D50">
        <f>SUM(D42:D49)</f>
        <v>5944621</v>
      </c>
      <c r="E50"/>
      <c r="F50">
        <f>SUM(F42:F49)</f>
        <v>1</v>
      </c>
      <c r="G50"/>
      <c r="H50"/>
    </row>
    <row r="51" spans="1:8" x14ac:dyDescent="0.2">
      <c r="A51" s="2"/>
      <c r="B51" s="2"/>
      <c r="C51"/>
      <c r="D51"/>
      <c r="E51"/>
      <c r="F51"/>
      <c r="G51"/>
      <c r="H51"/>
    </row>
    <row r="52" spans="1:8" x14ac:dyDescent="0.2">
      <c r="A52" s="2" t="s">
        <v>302</v>
      </c>
      <c r="B52" s="2"/>
      <c r="C52" s="2"/>
      <c r="D52" s="2"/>
      <c r="E52" s="2"/>
      <c r="F52" s="2"/>
      <c r="G52" s="2"/>
    </row>
    <row r="53" spans="1:8" x14ac:dyDescent="0.2">
      <c r="A53" s="2" t="s">
        <v>234</v>
      </c>
      <c r="B53" s="2"/>
      <c r="C53" s="2"/>
      <c r="D53" s="2"/>
      <c r="E53" s="2"/>
      <c r="F53" s="2"/>
      <c r="G53" s="2"/>
    </row>
    <row r="54" spans="1:8" x14ac:dyDescent="0.2">
      <c r="A54" s="2"/>
      <c r="B54" s="2"/>
      <c r="C54" s="2"/>
      <c r="D54" s="2"/>
      <c r="E54" s="2"/>
      <c r="F54" s="2"/>
      <c r="G54" s="2"/>
    </row>
    <row r="55" spans="1:8" ht="27.6" customHeight="1" x14ac:dyDescent="0.2">
      <c r="A55" s="656" t="s">
        <v>436</v>
      </c>
      <c r="B55" s="656"/>
      <c r="C55" s="656"/>
      <c r="D55" s="656"/>
      <c r="E55" s="656"/>
      <c r="F55" s="656"/>
      <c r="G55" s="656"/>
    </row>
    <row r="56" spans="1:8" ht="9.75" customHeight="1" x14ac:dyDescent="0.2">
      <c r="A56" s="2"/>
      <c r="B56" s="2"/>
      <c r="C56" s="2"/>
      <c r="D56" s="2"/>
      <c r="E56" s="2"/>
      <c r="F56" s="2"/>
      <c r="G56" s="2"/>
    </row>
    <row r="57" spans="1:8" x14ac:dyDescent="0.2">
      <c r="A57" s="2"/>
      <c r="B57" s="2"/>
      <c r="C57" s="2"/>
      <c r="D57" s="12" t="s">
        <v>279</v>
      </c>
      <c r="E57" s="2"/>
      <c r="F57" s="2"/>
      <c r="G57" s="2"/>
    </row>
    <row r="58" spans="1:8" x14ac:dyDescent="0.2">
      <c r="A58" s="2"/>
      <c r="B58" s="2"/>
      <c r="C58" s="2"/>
      <c r="D58" s="12" t="s">
        <v>485</v>
      </c>
      <c r="E58" s="2"/>
      <c r="F58" s="2"/>
      <c r="G58" s="2"/>
    </row>
    <row r="59" spans="1:8" x14ac:dyDescent="0.2">
      <c r="A59" s="1" t="s">
        <v>377</v>
      </c>
      <c r="B59" s="37"/>
      <c r="C59" s="2"/>
      <c r="D59" s="12" t="s">
        <v>434</v>
      </c>
      <c r="E59" s="2"/>
      <c r="F59" s="12" t="s">
        <v>379</v>
      </c>
      <c r="G59" s="2"/>
    </row>
    <row r="60" spans="1:8" x14ac:dyDescent="0.2">
      <c r="A60" s="1" t="s">
        <v>380</v>
      </c>
      <c r="B60" s="37"/>
      <c r="C60" s="2"/>
      <c r="D60" s="12" t="s">
        <v>283</v>
      </c>
      <c r="E60" s="2"/>
      <c r="F60" s="12" t="s">
        <v>381</v>
      </c>
      <c r="G60" s="2"/>
    </row>
    <row r="61" spans="1:8" x14ac:dyDescent="0.2">
      <c r="A61" s="3" t="s">
        <v>382</v>
      </c>
      <c r="B61" s="134"/>
      <c r="C61" s="2"/>
      <c r="D61" s="11" t="s">
        <v>272</v>
      </c>
      <c r="E61" s="2" t="s">
        <v>496</v>
      </c>
      <c r="F61" s="11" t="s">
        <v>384</v>
      </c>
      <c r="G61" s="2"/>
    </row>
    <row r="62" spans="1:8" ht="10.7" customHeight="1" x14ac:dyDescent="0.2">
      <c r="A62" s="2"/>
      <c r="C62" s="2"/>
      <c r="D62" s="2"/>
      <c r="E62" s="2"/>
      <c r="F62" s="135"/>
      <c r="G62" s="2"/>
    </row>
    <row r="63" spans="1:8" x14ac:dyDescent="0.2">
      <c r="A63" s="2" t="s">
        <v>385</v>
      </c>
      <c r="C63" s="2"/>
      <c r="D63" s="223">
        <f>+'COS 1'!L363</f>
        <v>522902.72571281897</v>
      </c>
      <c r="E63" s="2"/>
      <c r="F63" s="135">
        <f>+'COS 1'!L364</f>
        <v>0.51770000000000005</v>
      </c>
      <c r="G63" s="2"/>
    </row>
    <row r="64" spans="1:8" x14ac:dyDescent="0.2">
      <c r="A64" s="2" t="s">
        <v>386</v>
      </c>
      <c r="C64" s="2"/>
      <c r="D64" s="220">
        <f>+'COS 1'!N363</f>
        <v>171537.84014225594</v>
      </c>
      <c r="E64" s="2"/>
      <c r="F64" s="135">
        <f>+'COS 1'!N364</f>
        <v>0.16980000000000001</v>
      </c>
      <c r="G64" s="2"/>
    </row>
    <row r="65" spans="1:7" x14ac:dyDescent="0.2">
      <c r="A65" s="2" t="s">
        <v>387</v>
      </c>
      <c r="C65" s="2"/>
      <c r="D65" s="220">
        <f>+'COS 1'!P363</f>
        <v>17150.600741739072</v>
      </c>
      <c r="E65" s="2"/>
      <c r="F65" s="135">
        <f>+'COS 1'!P364</f>
        <v>1.7000000000000001E-2</v>
      </c>
      <c r="G65" s="2"/>
    </row>
    <row r="66" spans="1:7" x14ac:dyDescent="0.2">
      <c r="A66" s="2" t="s">
        <v>389</v>
      </c>
      <c r="C66" s="2"/>
      <c r="D66" s="220">
        <f>+'COS 1'!R363</f>
        <v>45715.748835569706</v>
      </c>
      <c r="E66" s="2"/>
      <c r="F66" s="135">
        <f>+'COS 1'!R364</f>
        <v>4.53E-2</v>
      </c>
      <c r="G66" s="2"/>
    </row>
    <row r="67" spans="1:7" x14ac:dyDescent="0.2">
      <c r="A67" s="2" t="s">
        <v>503</v>
      </c>
      <c r="C67" s="2"/>
      <c r="D67" s="220">
        <f>+'COS 1'!T363</f>
        <v>3167.682286800894</v>
      </c>
      <c r="E67" s="2"/>
      <c r="F67" s="135">
        <f>+'COS 1'!T364</f>
        <v>3.0999999999999999E-3</v>
      </c>
      <c r="G67" s="2"/>
    </row>
    <row r="68" spans="1:7" x14ac:dyDescent="0.2">
      <c r="A68" s="2" t="s">
        <v>391</v>
      </c>
      <c r="C68" s="2"/>
      <c r="D68" s="220">
        <f>+'COS 1'!V363</f>
        <v>41190.129619253072</v>
      </c>
      <c r="E68" s="2"/>
      <c r="F68" s="135">
        <f>+'COS 1'!V364</f>
        <v>4.0800000000000003E-2</v>
      </c>
      <c r="G68" s="2"/>
    </row>
    <row r="69" spans="1:7" x14ac:dyDescent="0.2">
      <c r="A69" s="2" t="s">
        <v>392</v>
      </c>
      <c r="C69" s="2"/>
      <c r="D69" s="220">
        <f>+'COS 1'!X363</f>
        <v>208358.10106597791</v>
      </c>
      <c r="E69" s="2"/>
      <c r="F69" s="135">
        <f>+'COS 1'!X364</f>
        <v>0.20630000000000001</v>
      </c>
      <c r="G69" s="2"/>
    </row>
    <row r="70" spans="1:7" ht="8.1" customHeight="1" x14ac:dyDescent="0.2">
      <c r="A70" s="2"/>
      <c r="C70" s="2"/>
      <c r="D70" s="6"/>
      <c r="E70" s="2"/>
      <c r="F70" s="7"/>
      <c r="G70" s="2"/>
    </row>
    <row r="71" spans="1:7" ht="15.75" thickBot="1" x14ac:dyDescent="0.25">
      <c r="A71" s="2" t="s">
        <v>393</v>
      </c>
      <c r="C71" s="2"/>
      <c r="D71" s="207">
        <f>SUM(D63:D70)</f>
        <v>1010022.8284044156</v>
      </c>
      <c r="E71" s="2"/>
      <c r="F71" s="151">
        <f>SUM(F63:F70)</f>
        <v>1</v>
      </c>
      <c r="G71" s="2"/>
    </row>
    <row r="72" spans="1:7" ht="15.75" thickTop="1" x14ac:dyDescent="0.2">
      <c r="A72" s="2"/>
      <c r="B72" s="2"/>
      <c r="C72" s="2"/>
      <c r="D72" s="153"/>
      <c r="E72" s="14"/>
      <c r="F72" s="148"/>
      <c r="G72" s="2"/>
    </row>
  </sheetData>
  <mergeCells count="2">
    <mergeCell ref="A55:G55"/>
    <mergeCell ref="A10:G10"/>
  </mergeCells>
  <phoneticPr fontId="12"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I43"/>
  <sheetViews>
    <sheetView workbookViewId="0"/>
  </sheetViews>
  <sheetFormatPr defaultColWidth="9.6640625" defaultRowHeight="15" x14ac:dyDescent="0.2"/>
  <cols>
    <col min="1" max="1" width="7.6640625" style="38" customWidth="1"/>
    <col min="2" max="2" width="8.6640625" style="38" customWidth="1"/>
    <col min="3" max="3" width="11.109375" style="38" customWidth="1"/>
    <col min="4" max="4" width="9.6640625" style="38" customWidth="1"/>
    <col min="5" max="5" width="11.109375" style="38" customWidth="1"/>
    <col min="6" max="6" width="9.6640625" style="38" customWidth="1"/>
    <col min="7" max="7" width="7.6640625" style="38" customWidth="1"/>
    <col min="8" max="16384" width="9.6640625" style="38"/>
  </cols>
  <sheetData>
    <row r="1" spans="1:9" x14ac:dyDescent="0.2">
      <c r="A1" s="37" t="s">
        <v>78</v>
      </c>
      <c r="B1" s="37"/>
      <c r="C1" s="37"/>
      <c r="D1" s="37"/>
      <c r="E1" s="37"/>
      <c r="F1" s="37"/>
      <c r="G1" s="37"/>
      <c r="I1" s="2"/>
    </row>
    <row r="2" spans="1:9" x14ac:dyDescent="0.2">
      <c r="A2" s="178"/>
      <c r="B2" s="37"/>
      <c r="C2" s="37"/>
      <c r="D2" s="37"/>
      <c r="E2" s="37"/>
      <c r="F2" s="37"/>
      <c r="G2" s="37"/>
      <c r="I2" s="2"/>
    </row>
    <row r="3" spans="1:9" x14ac:dyDescent="0.2">
      <c r="A3" s="1"/>
      <c r="B3" s="1"/>
      <c r="C3" s="37"/>
      <c r="D3" s="37"/>
      <c r="E3" s="37"/>
      <c r="F3" s="37"/>
      <c r="G3" s="37"/>
    </row>
    <row r="4" spans="1:9" x14ac:dyDescent="0.2">
      <c r="A4" s="1" t="s">
        <v>181</v>
      </c>
      <c r="B4" s="1"/>
      <c r="C4" s="1"/>
      <c r="D4" s="1"/>
      <c r="E4" s="1"/>
      <c r="F4" s="1"/>
      <c r="G4" s="1"/>
    </row>
    <row r="5" spans="1:9" x14ac:dyDescent="0.2">
      <c r="A5" s="2"/>
      <c r="B5" s="2"/>
    </row>
    <row r="6" spans="1:9" x14ac:dyDescent="0.2">
      <c r="A6" s="2"/>
      <c r="B6" s="2"/>
    </row>
    <row r="7" spans="1:9" x14ac:dyDescent="0.2">
      <c r="A7" s="2" t="s">
        <v>303</v>
      </c>
      <c r="B7" s="2"/>
    </row>
    <row r="8" spans="1:9" x14ac:dyDescent="0.2">
      <c r="A8" s="2"/>
      <c r="B8" s="2"/>
    </row>
    <row r="9" spans="1:9" ht="15" customHeight="1" x14ac:dyDescent="0.2">
      <c r="A9" s="656" t="s">
        <v>526</v>
      </c>
      <c r="B9" s="656"/>
      <c r="C9" s="656"/>
      <c r="D9" s="656"/>
      <c r="E9" s="656"/>
      <c r="F9" s="656"/>
      <c r="G9" s="128"/>
    </row>
    <row r="10" spans="1:9" x14ac:dyDescent="0.2">
      <c r="A10" s="2"/>
      <c r="B10" s="2"/>
    </row>
    <row r="11" spans="1:9" x14ac:dyDescent="0.2">
      <c r="A11" s="1" t="s">
        <v>287</v>
      </c>
      <c r="B11" s="1"/>
      <c r="D11" s="12" t="s">
        <v>507</v>
      </c>
      <c r="E11" s="12"/>
      <c r="F11" s="12" t="s">
        <v>379</v>
      </c>
    </row>
    <row r="12" spans="1:9" x14ac:dyDescent="0.2">
      <c r="A12" s="1" t="s">
        <v>380</v>
      </c>
      <c r="B12" s="1"/>
      <c r="D12" s="12" t="s">
        <v>527</v>
      </c>
      <c r="E12" s="12"/>
      <c r="F12" s="12" t="s">
        <v>381</v>
      </c>
    </row>
    <row r="13" spans="1:9" x14ac:dyDescent="0.2">
      <c r="A13" s="3" t="s">
        <v>382</v>
      </c>
      <c r="B13" s="3"/>
      <c r="D13" s="138" t="s">
        <v>272</v>
      </c>
      <c r="E13" s="129"/>
      <c r="F13" s="138" t="s">
        <v>384</v>
      </c>
    </row>
    <row r="14" spans="1:9" ht="12.75" customHeight="1" x14ac:dyDescent="0.2">
      <c r="A14" s="2"/>
      <c r="B14" s="2"/>
      <c r="D14" s="2"/>
      <c r="E14" s="2"/>
      <c r="F14" s="5"/>
    </row>
    <row r="15" spans="1:9" ht="13.35" customHeight="1" x14ac:dyDescent="0.2">
      <c r="A15" s="2" t="s">
        <v>385</v>
      </c>
      <c r="B15" s="2"/>
      <c r="D15" s="10">
        <f>+'Meters &amp; Services'!F29</f>
        <v>111959</v>
      </c>
      <c r="E15" s="10"/>
      <c r="F15" s="5">
        <f>ROUND(D15/$D$23,4)</f>
        <v>0.89959999999999996</v>
      </c>
    </row>
    <row r="16" spans="1:9" ht="13.35" customHeight="1" x14ac:dyDescent="0.2">
      <c r="A16" s="2" t="s">
        <v>386</v>
      </c>
      <c r="B16" s="2"/>
      <c r="D16" s="10">
        <f>+'Meters &amp; Services'!J29</f>
        <v>8929</v>
      </c>
      <c r="E16" s="10"/>
      <c r="F16" s="5">
        <f t="shared" ref="F16:F21" si="0">ROUND(D16/$D$23,4)</f>
        <v>7.17E-2</v>
      </c>
    </row>
    <row r="17" spans="1:9" ht="13.35" customHeight="1" x14ac:dyDescent="0.2">
      <c r="A17" s="2" t="s">
        <v>387</v>
      </c>
      <c r="B17" s="2"/>
      <c r="D17" s="10">
        <f>'Meters &amp; Services'!N29</f>
        <v>54</v>
      </c>
      <c r="E17" s="10"/>
      <c r="F17" s="5">
        <f t="shared" si="0"/>
        <v>4.0000000000000002E-4</v>
      </c>
    </row>
    <row r="18" spans="1:9" ht="13.35" customHeight="1" x14ac:dyDescent="0.2">
      <c r="A18" s="2" t="s">
        <v>389</v>
      </c>
      <c r="B18" s="2"/>
      <c r="D18" s="10">
        <f>'Meters &amp; Services'!R29</f>
        <v>766</v>
      </c>
      <c r="E18" s="10"/>
      <c r="F18" s="5">
        <f t="shared" si="0"/>
        <v>6.1999999999999998E-3</v>
      </c>
    </row>
    <row r="19" spans="1:9" ht="13.35" customHeight="1" x14ac:dyDescent="0.2">
      <c r="A19" s="2" t="s">
        <v>503</v>
      </c>
      <c r="B19" s="2"/>
      <c r="D19" s="10">
        <f>'Meters &amp; Services'!V29</f>
        <v>24</v>
      </c>
      <c r="E19" s="10"/>
      <c r="F19" s="5">
        <f t="shared" si="0"/>
        <v>2.0000000000000001E-4</v>
      </c>
      <c r="H19" s="2"/>
    </row>
    <row r="20" spans="1:9" ht="13.35" customHeight="1" x14ac:dyDescent="0.2">
      <c r="A20" s="2" t="s">
        <v>391</v>
      </c>
      <c r="B20" s="2"/>
      <c r="D20" s="10">
        <f>+Fire!K26</f>
        <v>2682</v>
      </c>
      <c r="E20" s="10"/>
      <c r="F20" s="5">
        <f t="shared" si="0"/>
        <v>2.1600000000000001E-2</v>
      </c>
      <c r="H20" s="2"/>
    </row>
    <row r="21" spans="1:9" ht="13.35" customHeight="1" x14ac:dyDescent="0.2">
      <c r="A21" s="2" t="s">
        <v>392</v>
      </c>
      <c r="B21" s="2"/>
      <c r="D21" s="130">
        <v>38</v>
      </c>
      <c r="E21" s="130"/>
      <c r="F21" s="4">
        <f t="shared" si="0"/>
        <v>2.9999999999999997E-4</v>
      </c>
      <c r="G21" s="131"/>
      <c r="H21" s="132"/>
      <c r="I21" s="131"/>
    </row>
    <row r="22" spans="1:9" x14ac:dyDescent="0.2">
      <c r="A22" s="2"/>
      <c r="B22" s="2"/>
      <c r="D22" s="6"/>
      <c r="E22" s="10"/>
      <c r="F22" s="7"/>
      <c r="H22" s="2"/>
    </row>
    <row r="23" spans="1:9" ht="15.75" thickBot="1" x14ac:dyDescent="0.25">
      <c r="A23" s="2" t="s">
        <v>393</v>
      </c>
      <c r="B23" s="2"/>
      <c r="D23" s="10">
        <f>SUM(D15:D22)</f>
        <v>124452</v>
      </c>
      <c r="E23" s="10"/>
      <c r="F23" s="149">
        <f>SUM(F15:F22)</f>
        <v>0.99999999999999978</v>
      </c>
      <c r="H23" s="2"/>
    </row>
    <row r="24" spans="1:9" ht="15.75" thickTop="1" x14ac:dyDescent="0.2">
      <c r="A24" s="2"/>
      <c r="B24" s="2"/>
      <c r="D24" s="8"/>
      <c r="E24" s="10"/>
      <c r="F24" s="148"/>
      <c r="H24" s="2"/>
    </row>
    <row r="25" spans="1:9" x14ac:dyDescent="0.2">
      <c r="A25" s="2"/>
      <c r="B25" s="2"/>
      <c r="D25" s="2"/>
      <c r="E25" s="2"/>
      <c r="F25" s="2"/>
      <c r="H25" s="2"/>
    </row>
    <row r="26" spans="1:9" x14ac:dyDescent="0.2">
      <c r="A26" s="2"/>
      <c r="B26" s="2"/>
      <c r="D26" s="10"/>
      <c r="E26" s="10"/>
      <c r="F26" s="2"/>
      <c r="H26" s="2"/>
    </row>
    <row r="27" spans="1:9" x14ac:dyDescent="0.2">
      <c r="A27" s="2" t="s">
        <v>304</v>
      </c>
      <c r="B27" s="2"/>
      <c r="D27" s="2"/>
      <c r="E27" s="2"/>
      <c r="F27" s="2"/>
      <c r="H27" s="2"/>
    </row>
    <row r="28" spans="1:9" x14ac:dyDescent="0.2">
      <c r="A28" s="2"/>
      <c r="B28" s="2"/>
      <c r="D28" s="2"/>
      <c r="E28" s="2"/>
      <c r="F28" s="2"/>
      <c r="H28" s="2"/>
    </row>
    <row r="29" spans="1:9" x14ac:dyDescent="0.2">
      <c r="A29" s="2" t="s">
        <v>528</v>
      </c>
      <c r="B29" s="2"/>
      <c r="D29" s="2"/>
      <c r="E29" s="2"/>
      <c r="F29" s="2"/>
      <c r="H29" s="2"/>
    </row>
    <row r="30" spans="1:9" x14ac:dyDescent="0.2">
      <c r="A30" s="2"/>
      <c r="B30" s="2"/>
      <c r="D30" s="2"/>
      <c r="E30" s="2"/>
      <c r="F30" s="2"/>
      <c r="H30" s="2"/>
    </row>
    <row r="31" spans="1:9" x14ac:dyDescent="0.2">
      <c r="A31" s="1" t="s">
        <v>287</v>
      </c>
      <c r="B31" s="1"/>
      <c r="D31" s="12" t="s">
        <v>412</v>
      </c>
      <c r="E31" s="12"/>
      <c r="F31" s="12" t="s">
        <v>379</v>
      </c>
      <c r="H31" s="2"/>
    </row>
    <row r="32" spans="1:9" x14ac:dyDescent="0.2">
      <c r="A32" s="1" t="s">
        <v>380</v>
      </c>
      <c r="B32" s="1"/>
      <c r="D32" s="12" t="s">
        <v>527</v>
      </c>
      <c r="E32" s="12"/>
      <c r="F32" s="12" t="s">
        <v>381</v>
      </c>
      <c r="H32" s="2"/>
    </row>
    <row r="33" spans="1:8" x14ac:dyDescent="0.2">
      <c r="A33" s="3" t="s">
        <v>382</v>
      </c>
      <c r="B33" s="3"/>
      <c r="D33" s="138" t="s">
        <v>272</v>
      </c>
      <c r="E33" s="129"/>
      <c r="F33" s="138" t="s">
        <v>384</v>
      </c>
      <c r="H33" s="2"/>
    </row>
    <row r="34" spans="1:8" ht="12.75" customHeight="1" x14ac:dyDescent="0.2">
      <c r="A34" s="2"/>
      <c r="B34" s="2"/>
      <c r="D34" s="2"/>
      <c r="E34" s="2"/>
      <c r="F34" s="2"/>
      <c r="H34" s="2"/>
    </row>
    <row r="35" spans="1:8" ht="13.35" customHeight="1" x14ac:dyDescent="0.2">
      <c r="A35" s="2" t="s">
        <v>385</v>
      </c>
      <c r="B35" s="2"/>
      <c r="D35" s="10">
        <f>D15</f>
        <v>111959</v>
      </c>
      <c r="E35" s="10"/>
      <c r="F35" s="5">
        <f>ROUND(D35/$D$42,4)+0.0001</f>
        <v>0.90790000000000004</v>
      </c>
      <c r="H35" s="2"/>
    </row>
    <row r="36" spans="1:8" ht="13.35" customHeight="1" x14ac:dyDescent="0.2">
      <c r="A36" s="2" t="s">
        <v>386</v>
      </c>
      <c r="B36" s="2"/>
      <c r="D36" s="10">
        <f>D16</f>
        <v>8929</v>
      </c>
      <c r="E36" s="10"/>
      <c r="F36" s="5">
        <f>ROUND(D36/$D$42,4)</f>
        <v>7.2400000000000006E-2</v>
      </c>
      <c r="H36" s="2"/>
    </row>
    <row r="37" spans="1:8" ht="13.35" customHeight="1" x14ac:dyDescent="0.2">
      <c r="A37" s="2" t="s">
        <v>387</v>
      </c>
      <c r="B37" s="2"/>
      <c r="D37" s="10">
        <f>D17</f>
        <v>54</v>
      </c>
      <c r="E37" s="10"/>
      <c r="F37" s="5">
        <f>ROUND(D37/$D$42,4)</f>
        <v>4.0000000000000002E-4</v>
      </c>
      <c r="H37" s="2"/>
    </row>
    <row r="38" spans="1:8" ht="13.35" customHeight="1" x14ac:dyDescent="0.2">
      <c r="A38" s="2" t="s">
        <v>389</v>
      </c>
      <c r="B38" s="2"/>
      <c r="D38" s="10">
        <f>D18</f>
        <v>766</v>
      </c>
      <c r="E38" s="10"/>
      <c r="F38" s="5">
        <f>ROUND(D38/$D$42,4)</f>
        <v>6.1999999999999998E-3</v>
      </c>
      <c r="H38" s="2"/>
    </row>
    <row r="39" spans="1:8" ht="13.35" customHeight="1" x14ac:dyDescent="0.2">
      <c r="A39" s="2" t="s">
        <v>503</v>
      </c>
      <c r="B39" s="2"/>
      <c r="D39" s="10">
        <f>D19</f>
        <v>24</v>
      </c>
      <c r="E39" s="10"/>
      <c r="F39" s="5">
        <f>ROUND(D39/$D$42,4)</f>
        <v>2.0000000000000001E-4</v>
      </c>
      <c r="H39" s="2"/>
    </row>
    <row r="40" spans="1:8" ht="13.35" customHeight="1" x14ac:dyDescent="0.2">
      <c r="A40" s="2" t="s">
        <v>391</v>
      </c>
      <c r="B40" s="2"/>
      <c r="D40" s="10">
        <f>+SUM(Fire!K15:K23)</f>
        <v>1595</v>
      </c>
      <c r="E40" s="10"/>
      <c r="F40" s="5">
        <f>ROUND(D40/$D$42,4)</f>
        <v>1.29E-2</v>
      </c>
      <c r="H40" s="2"/>
    </row>
    <row r="41" spans="1:8" x14ac:dyDescent="0.2">
      <c r="A41" s="2"/>
      <c r="B41" s="2"/>
      <c r="D41" s="6"/>
      <c r="E41" s="10"/>
      <c r="F41" s="7"/>
      <c r="H41" s="2"/>
    </row>
    <row r="42" spans="1:8" ht="15.75" thickBot="1" x14ac:dyDescent="0.25">
      <c r="A42" s="2" t="s">
        <v>393</v>
      </c>
      <c r="B42" s="2"/>
      <c r="D42" s="150">
        <f>SUM(D35:D41)</f>
        <v>123327</v>
      </c>
      <c r="E42" s="10"/>
      <c r="F42" s="5">
        <f>SUM(F35:F41)</f>
        <v>1</v>
      </c>
      <c r="H42" s="2"/>
    </row>
    <row r="43" spans="1:8" ht="15.75" thickTop="1" x14ac:dyDescent="0.2">
      <c r="D43" s="172"/>
      <c r="F43" s="15"/>
    </row>
  </sheetData>
  <mergeCells count="1">
    <mergeCell ref="A9:F9"/>
  </mergeCells>
  <phoneticPr fontId="12"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W163"/>
  <sheetViews>
    <sheetView topLeftCell="A112" workbookViewId="0">
      <selection activeCell="D131" sqref="D131"/>
    </sheetView>
  </sheetViews>
  <sheetFormatPr defaultColWidth="9.6640625" defaultRowHeight="15" x14ac:dyDescent="0.2"/>
  <cols>
    <col min="1" max="1" width="7.6640625" style="38" customWidth="1"/>
    <col min="2" max="2" width="10.44140625" style="38" customWidth="1"/>
    <col min="3" max="3" width="12.6640625" style="38" customWidth="1"/>
    <col min="4" max="4" width="11.6640625" style="38" customWidth="1"/>
    <col min="5" max="5" width="13" style="38" customWidth="1"/>
    <col min="6" max="6" width="11.6640625" style="38" customWidth="1"/>
    <col min="7" max="7" width="9.6640625" style="38" customWidth="1"/>
    <col min="8" max="9" width="7.6640625" style="38" customWidth="1"/>
    <col min="10" max="10" width="14.6640625" style="38" customWidth="1"/>
    <col min="11" max="11" width="10.6640625" style="38" customWidth="1"/>
    <col min="12" max="12" width="14.6640625" style="38" customWidth="1"/>
    <col min="13" max="13" width="8.6640625" style="38" customWidth="1"/>
    <col min="14" max="14" width="6.6640625" style="38" customWidth="1"/>
    <col min="15" max="15" width="9.6640625" style="38" customWidth="1"/>
    <col min="16" max="17" width="7.6640625" style="38" customWidth="1"/>
    <col min="18" max="18" width="14.6640625" style="38" customWidth="1"/>
    <col min="19" max="19" width="10.6640625" style="38" customWidth="1"/>
    <col min="20" max="20" width="14.6640625" style="38" customWidth="1"/>
    <col min="21" max="21" width="8.6640625" style="38" customWidth="1"/>
    <col min="22" max="22" width="5.6640625" style="38" customWidth="1"/>
    <col min="23" max="16384" width="9.6640625" style="38"/>
  </cols>
  <sheetData>
    <row r="1" spans="1:23" x14ac:dyDescent="0.2">
      <c r="A1" s="37" t="s">
        <v>78</v>
      </c>
      <c r="B1" s="1"/>
      <c r="C1" s="1"/>
      <c r="D1" s="1"/>
      <c r="E1" s="1"/>
      <c r="F1" s="1"/>
      <c r="G1" s="2"/>
      <c r="H1" s="2"/>
      <c r="I1" s="2"/>
      <c r="J1" s="2"/>
      <c r="K1" s="2"/>
      <c r="L1" s="2"/>
      <c r="M1" s="2"/>
      <c r="N1" s="2"/>
      <c r="O1" s="2"/>
      <c r="P1" s="2"/>
      <c r="Q1" s="2"/>
      <c r="R1" s="2"/>
      <c r="S1" s="2"/>
      <c r="T1" s="2"/>
      <c r="U1" s="2"/>
      <c r="V1" s="2"/>
      <c r="W1" s="2"/>
    </row>
    <row r="2" spans="1:23" x14ac:dyDescent="0.2">
      <c r="A2" s="178"/>
      <c r="B2" s="1"/>
      <c r="C2" s="1"/>
      <c r="D2" s="1"/>
      <c r="E2" s="1"/>
      <c r="F2" s="1"/>
      <c r="G2" s="2"/>
      <c r="H2" s="2"/>
      <c r="I2" s="2"/>
      <c r="J2" s="2"/>
      <c r="K2" s="2"/>
      <c r="L2" s="2"/>
      <c r="M2" s="2"/>
      <c r="N2" s="2"/>
      <c r="O2" s="2"/>
      <c r="P2" s="2"/>
      <c r="Q2" s="2"/>
      <c r="R2" s="2"/>
      <c r="S2" s="2"/>
      <c r="T2" s="2"/>
      <c r="U2" s="2"/>
      <c r="V2" s="2"/>
      <c r="W2" s="2"/>
    </row>
    <row r="3" spans="1:23" x14ac:dyDescent="0.2">
      <c r="A3" s="1"/>
      <c r="B3" s="1"/>
      <c r="C3" s="1"/>
      <c r="D3" s="1"/>
      <c r="E3" s="1"/>
      <c r="F3" s="1"/>
      <c r="G3" s="2"/>
      <c r="H3" s="2"/>
      <c r="I3" s="2"/>
      <c r="J3" s="2"/>
      <c r="K3" s="2"/>
      <c r="L3" s="2"/>
      <c r="M3" s="2"/>
      <c r="N3" s="2"/>
      <c r="O3" s="2"/>
      <c r="P3" s="2"/>
      <c r="Q3" s="2"/>
      <c r="R3" s="2"/>
      <c r="S3" s="2"/>
      <c r="T3" s="2"/>
      <c r="U3" s="2"/>
      <c r="V3" s="2"/>
      <c r="W3" s="2"/>
    </row>
    <row r="4" spans="1:23" x14ac:dyDescent="0.2">
      <c r="A4" s="1" t="s">
        <v>181</v>
      </c>
      <c r="B4" s="1"/>
      <c r="C4" s="1"/>
      <c r="D4" s="1"/>
      <c r="E4" s="1"/>
      <c r="F4" s="1"/>
      <c r="G4" s="2"/>
      <c r="H4" s="2"/>
      <c r="I4" s="2"/>
      <c r="J4" s="2"/>
      <c r="K4" s="2"/>
      <c r="L4" s="2"/>
      <c r="M4" s="2"/>
      <c r="N4" s="2"/>
      <c r="O4" s="2"/>
      <c r="P4" s="2"/>
      <c r="Q4" s="2"/>
      <c r="R4" s="2"/>
      <c r="S4" s="2"/>
      <c r="T4" s="2"/>
      <c r="U4" s="2"/>
      <c r="V4" s="2"/>
      <c r="W4" s="2"/>
    </row>
    <row r="5" spans="1:23" x14ac:dyDescent="0.2">
      <c r="A5" s="2"/>
      <c r="B5" s="2"/>
      <c r="C5" s="2"/>
      <c r="D5" s="2"/>
      <c r="E5" s="2"/>
      <c r="F5" s="2"/>
      <c r="G5" s="2"/>
      <c r="H5" s="2"/>
      <c r="I5" s="2"/>
      <c r="J5" s="2"/>
      <c r="K5" s="2"/>
      <c r="L5" s="2"/>
      <c r="M5" s="2"/>
      <c r="N5" s="2"/>
      <c r="O5" s="2"/>
      <c r="P5" s="2"/>
      <c r="Q5" s="2"/>
      <c r="R5" s="2"/>
      <c r="S5" s="2"/>
      <c r="T5" s="2"/>
      <c r="U5" s="2"/>
      <c r="V5" s="2"/>
      <c r="W5" s="2"/>
    </row>
    <row r="6" spans="1:23" x14ac:dyDescent="0.2">
      <c r="A6" s="2"/>
      <c r="B6" s="2"/>
      <c r="C6" s="2"/>
      <c r="D6" s="2"/>
      <c r="E6" s="2"/>
      <c r="F6" s="2"/>
      <c r="G6" s="2"/>
      <c r="H6" s="2"/>
      <c r="I6" s="2"/>
      <c r="J6" s="2"/>
      <c r="K6" s="2"/>
      <c r="L6" s="2"/>
      <c r="M6" s="2"/>
      <c r="N6" s="2"/>
      <c r="O6" s="2"/>
      <c r="P6" s="2"/>
      <c r="Q6" s="2"/>
      <c r="R6" s="2"/>
      <c r="S6" s="2"/>
      <c r="T6" s="2"/>
      <c r="U6" s="2"/>
      <c r="V6" s="2"/>
      <c r="W6" s="2"/>
    </row>
    <row r="7" spans="1:23" x14ac:dyDescent="0.2">
      <c r="A7" s="2" t="s">
        <v>44</v>
      </c>
      <c r="B7" s="2"/>
      <c r="C7" s="2"/>
      <c r="D7" s="2"/>
      <c r="E7" s="2"/>
      <c r="F7" s="2"/>
      <c r="G7" s="2"/>
      <c r="H7" s="2"/>
      <c r="I7" s="2"/>
      <c r="J7" s="2"/>
      <c r="K7" s="2"/>
      <c r="L7" s="2"/>
      <c r="M7" s="2"/>
      <c r="N7" s="2"/>
      <c r="O7" s="2"/>
      <c r="P7" s="2"/>
      <c r="Q7" s="2"/>
      <c r="R7" s="2"/>
      <c r="S7" s="2"/>
      <c r="T7" s="2"/>
      <c r="U7" s="2"/>
      <c r="V7" s="2"/>
      <c r="W7" s="2"/>
    </row>
    <row r="8" spans="1:23" x14ac:dyDescent="0.2">
      <c r="A8" s="2"/>
      <c r="B8" s="2"/>
      <c r="C8" s="2"/>
      <c r="D8" s="2"/>
      <c r="E8" s="2"/>
      <c r="F8" s="2"/>
      <c r="G8" s="2"/>
      <c r="H8" s="2"/>
      <c r="I8" s="2"/>
      <c r="J8" s="2"/>
      <c r="K8" s="2"/>
      <c r="L8" s="2"/>
      <c r="M8" s="2"/>
      <c r="N8" s="2"/>
      <c r="O8" s="2"/>
      <c r="P8" s="2"/>
      <c r="Q8" s="2"/>
      <c r="R8" s="2"/>
      <c r="S8" s="2"/>
      <c r="T8" s="2"/>
      <c r="U8" s="2"/>
      <c r="V8" s="2"/>
      <c r="W8" s="2"/>
    </row>
    <row r="9" spans="1:23" x14ac:dyDescent="0.2">
      <c r="A9" s="2"/>
      <c r="B9" s="2"/>
      <c r="C9" s="2"/>
      <c r="D9" s="2"/>
      <c r="E9" s="2"/>
      <c r="F9" s="2"/>
      <c r="G9" s="2"/>
      <c r="H9" s="2"/>
      <c r="I9" s="2"/>
      <c r="J9" s="2"/>
      <c r="K9" s="2"/>
      <c r="L9" s="2"/>
      <c r="M9" s="2"/>
      <c r="N9" s="2"/>
      <c r="O9" s="2"/>
      <c r="P9" s="2"/>
      <c r="Q9" s="2"/>
      <c r="R9" s="2"/>
      <c r="S9" s="2"/>
      <c r="T9" s="2"/>
      <c r="U9" s="2"/>
      <c r="V9" s="2"/>
      <c r="W9" s="2"/>
    </row>
    <row r="10" spans="1:23" ht="29.25" customHeight="1" x14ac:dyDescent="0.2">
      <c r="A10" s="656" t="s">
        <v>486</v>
      </c>
      <c r="B10" s="656"/>
      <c r="C10" s="656"/>
      <c r="D10" s="656"/>
      <c r="E10" s="656"/>
      <c r="F10" s="656"/>
      <c r="G10" s="2"/>
      <c r="H10" s="2"/>
      <c r="I10" s="2"/>
      <c r="J10" s="2"/>
      <c r="K10" s="2"/>
      <c r="L10" s="2"/>
      <c r="M10" s="2"/>
      <c r="N10" s="2"/>
      <c r="O10" s="2"/>
      <c r="P10" s="2"/>
      <c r="Q10" s="2"/>
      <c r="R10" s="2"/>
      <c r="S10" s="2"/>
      <c r="T10" s="2"/>
      <c r="U10" s="2"/>
      <c r="V10" s="2"/>
      <c r="W10" s="2"/>
    </row>
    <row r="11" spans="1:23" x14ac:dyDescent="0.2">
      <c r="A11" s="2"/>
      <c r="B11" s="2"/>
      <c r="C11" s="2"/>
      <c r="D11" s="2"/>
      <c r="E11" s="2"/>
      <c r="F11" s="2"/>
      <c r="G11" s="2"/>
      <c r="H11" s="2"/>
      <c r="I11" s="2"/>
      <c r="J11" s="2"/>
      <c r="K11" s="2"/>
      <c r="L11" s="2"/>
      <c r="M11" s="2"/>
      <c r="N11" s="2"/>
      <c r="O11" s="2"/>
      <c r="P11" s="2"/>
      <c r="Q11" s="2"/>
      <c r="R11" s="2"/>
      <c r="S11" s="2"/>
      <c r="T11" s="2"/>
      <c r="U11" s="2"/>
      <c r="V11" s="2"/>
      <c r="W11" s="2"/>
    </row>
    <row r="12" spans="1:23" x14ac:dyDescent="0.2">
      <c r="A12" s="2"/>
      <c r="B12" s="2"/>
      <c r="C12" s="2"/>
      <c r="D12" s="2"/>
      <c r="E12" s="2"/>
      <c r="F12" s="2"/>
      <c r="G12" s="2"/>
      <c r="H12" s="2"/>
      <c r="I12" s="2"/>
      <c r="J12" s="2"/>
      <c r="K12" s="2"/>
      <c r="L12" s="2"/>
      <c r="M12" s="2"/>
      <c r="N12" s="2"/>
      <c r="O12" s="2"/>
      <c r="P12" s="2"/>
      <c r="Q12" s="2"/>
      <c r="R12" s="2"/>
      <c r="S12" s="2"/>
      <c r="T12" s="2"/>
      <c r="U12" s="2"/>
      <c r="V12" s="2"/>
      <c r="W12" s="2"/>
    </row>
    <row r="13" spans="1:23" x14ac:dyDescent="0.2">
      <c r="A13" s="2"/>
      <c r="B13" s="2"/>
      <c r="C13" s="2"/>
      <c r="D13" s="12" t="s">
        <v>438</v>
      </c>
      <c r="E13" s="12"/>
      <c r="F13" s="12"/>
      <c r="G13" s="2"/>
      <c r="H13" s="2"/>
      <c r="I13" s="2"/>
      <c r="J13" s="2"/>
      <c r="K13" s="2"/>
      <c r="L13" s="2"/>
      <c r="M13" s="2"/>
      <c r="N13" s="2"/>
      <c r="O13" s="2"/>
      <c r="P13" s="2"/>
      <c r="Q13" s="2"/>
      <c r="R13" s="2"/>
      <c r="S13" s="2"/>
      <c r="T13" s="2"/>
      <c r="U13" s="2"/>
      <c r="V13" s="2"/>
      <c r="W13" s="2"/>
    </row>
    <row r="14" spans="1:23" x14ac:dyDescent="0.2">
      <c r="A14" s="1" t="s">
        <v>377</v>
      </c>
      <c r="B14" s="37"/>
      <c r="C14" s="2"/>
      <c r="D14" s="12" t="s">
        <v>434</v>
      </c>
      <c r="E14" s="12"/>
      <c r="F14" s="12" t="s">
        <v>379</v>
      </c>
      <c r="G14" s="2"/>
      <c r="H14" s="2"/>
      <c r="I14" s="2"/>
      <c r="J14" s="2"/>
      <c r="K14" s="2"/>
      <c r="L14" s="2"/>
      <c r="M14" s="2"/>
      <c r="N14" s="2"/>
      <c r="O14" s="2"/>
      <c r="P14" s="2"/>
      <c r="Q14" s="2"/>
      <c r="R14" s="2"/>
      <c r="S14" s="2"/>
      <c r="T14" s="2"/>
      <c r="U14" s="2"/>
      <c r="V14" s="2"/>
      <c r="W14" s="2"/>
    </row>
    <row r="15" spans="1:23" x14ac:dyDescent="0.2">
      <c r="A15" s="1" t="s">
        <v>380</v>
      </c>
      <c r="B15" s="37"/>
      <c r="C15" s="2"/>
      <c r="D15" s="12" t="s">
        <v>283</v>
      </c>
      <c r="E15" s="12"/>
      <c r="F15" s="12" t="s">
        <v>381</v>
      </c>
      <c r="G15" s="2"/>
      <c r="H15" s="2"/>
      <c r="I15" s="2"/>
      <c r="J15" s="2"/>
      <c r="K15" s="2"/>
      <c r="L15" s="2"/>
      <c r="M15" s="2"/>
      <c r="N15" s="2"/>
      <c r="O15" s="2"/>
      <c r="P15" s="2"/>
      <c r="Q15" s="2"/>
      <c r="R15" s="2"/>
      <c r="S15" s="2"/>
      <c r="T15" s="2"/>
      <c r="U15" s="2"/>
      <c r="V15" s="2"/>
      <c r="W15" s="2"/>
    </row>
    <row r="16" spans="1:23" x14ac:dyDescent="0.2">
      <c r="A16" s="3" t="s">
        <v>382</v>
      </c>
      <c r="B16" s="134"/>
      <c r="C16" s="2"/>
      <c r="D16" s="11" t="s">
        <v>272</v>
      </c>
      <c r="E16" s="12" t="s">
        <v>496</v>
      </c>
      <c r="F16" s="11" t="s">
        <v>384</v>
      </c>
      <c r="G16" s="2"/>
      <c r="H16" s="2"/>
      <c r="I16" s="2"/>
      <c r="J16" s="2"/>
      <c r="K16" s="2"/>
      <c r="L16" s="2"/>
      <c r="M16" s="2"/>
      <c r="N16" s="2"/>
      <c r="O16" s="2"/>
      <c r="P16" s="2"/>
      <c r="Q16" s="2"/>
      <c r="R16" s="2"/>
      <c r="S16" s="2"/>
      <c r="T16" s="2"/>
      <c r="U16" s="2"/>
      <c r="V16" s="2"/>
      <c r="W16" s="2"/>
    </row>
    <row r="17" spans="1:23" ht="12.75" customHeight="1" x14ac:dyDescent="0.2">
      <c r="A17" s="2"/>
      <c r="C17" s="2"/>
      <c r="D17" s="2"/>
      <c r="E17" s="2"/>
      <c r="F17" s="135"/>
      <c r="G17" s="2"/>
      <c r="H17" s="2"/>
      <c r="I17" s="2"/>
      <c r="J17" s="2"/>
      <c r="K17" s="2"/>
      <c r="L17" s="2"/>
      <c r="M17" s="2"/>
      <c r="N17" s="2"/>
      <c r="O17" s="2"/>
      <c r="P17" s="2"/>
      <c r="Q17" s="2"/>
      <c r="R17" s="2"/>
      <c r="S17" s="2"/>
      <c r="T17" s="2"/>
      <c r="U17" s="2"/>
      <c r="V17" s="2"/>
      <c r="W17" s="2"/>
    </row>
    <row r="18" spans="1:23" ht="13.35" customHeight="1" x14ac:dyDescent="0.2">
      <c r="A18" s="2" t="s">
        <v>385</v>
      </c>
      <c r="C18" s="2"/>
      <c r="D18" s="206">
        <f>+'COS 1'!L365</f>
        <v>7014191.328505557</v>
      </c>
      <c r="E18" s="2"/>
      <c r="F18" s="160">
        <f>+'COS 1'!L366</f>
        <v>0.64529999999999998</v>
      </c>
      <c r="G18" s="2"/>
      <c r="H18" s="2"/>
      <c r="I18" s="2"/>
      <c r="J18" s="2"/>
      <c r="K18" s="2"/>
      <c r="L18" s="2"/>
      <c r="M18" s="2"/>
      <c r="N18" s="2"/>
      <c r="O18" s="2"/>
      <c r="P18" s="2"/>
      <c r="Q18" s="2"/>
      <c r="R18" s="2"/>
      <c r="S18" s="2"/>
      <c r="T18" s="2"/>
      <c r="U18" s="2"/>
      <c r="V18" s="2"/>
      <c r="W18" s="2"/>
    </row>
    <row r="19" spans="1:23" ht="13.35" customHeight="1" x14ac:dyDescent="0.2">
      <c r="A19" s="2" t="s">
        <v>386</v>
      </c>
      <c r="C19" s="2"/>
      <c r="D19" s="10">
        <f>+'COS 1'!N365</f>
        <v>2232920.5028573629</v>
      </c>
      <c r="E19" s="2"/>
      <c r="F19" s="135">
        <f>+'COS 1'!N366</f>
        <v>0.2054</v>
      </c>
      <c r="G19" s="2"/>
      <c r="H19" s="2"/>
      <c r="I19" s="2"/>
      <c r="J19" s="2"/>
      <c r="K19" s="2"/>
      <c r="L19" s="2"/>
      <c r="M19" s="2"/>
      <c r="N19" s="2"/>
      <c r="O19" s="2"/>
      <c r="P19" s="2"/>
      <c r="Q19" s="2"/>
      <c r="R19" s="2"/>
      <c r="S19" s="2"/>
      <c r="T19" s="2"/>
      <c r="U19" s="2"/>
      <c r="V19" s="2"/>
      <c r="W19" s="2"/>
    </row>
    <row r="20" spans="1:23" ht="13.35" customHeight="1" x14ac:dyDescent="0.2">
      <c r="A20" s="2" t="s">
        <v>387</v>
      </c>
      <c r="C20" s="2"/>
      <c r="D20" s="10">
        <f>+'COS 1'!P365</f>
        <v>246831.37592780212</v>
      </c>
      <c r="E20" s="2"/>
      <c r="F20" s="135">
        <f>+'COS 1'!P366</f>
        <v>2.2700000000000001E-2</v>
      </c>
      <c r="G20" s="2"/>
      <c r="H20" s="2"/>
      <c r="I20" s="2"/>
      <c r="J20" s="2"/>
      <c r="K20" s="2"/>
      <c r="L20" s="2"/>
      <c r="M20" s="2"/>
      <c r="N20" s="2"/>
      <c r="O20" s="2"/>
      <c r="P20" s="2"/>
      <c r="Q20" s="2"/>
      <c r="R20" s="2"/>
      <c r="S20" s="2"/>
      <c r="T20" s="2"/>
      <c r="U20" s="2"/>
      <c r="V20" s="2"/>
      <c r="W20" s="2"/>
    </row>
    <row r="21" spans="1:23" ht="13.35" customHeight="1" x14ac:dyDescent="0.2">
      <c r="A21" s="2" t="s">
        <v>389</v>
      </c>
      <c r="C21" s="2"/>
      <c r="D21" s="10">
        <f>+'COS 1'!R365</f>
        <v>655122.02183200419</v>
      </c>
      <c r="E21" s="2"/>
      <c r="F21" s="135">
        <f>+'COS 1'!R366</f>
        <v>6.0299999999999999E-2</v>
      </c>
      <c r="G21" s="2"/>
      <c r="H21" s="2"/>
      <c r="I21" s="2"/>
      <c r="J21" s="2"/>
      <c r="K21" s="2"/>
      <c r="L21" s="2"/>
      <c r="M21" s="2"/>
      <c r="N21" s="2"/>
      <c r="O21" s="2"/>
      <c r="P21" s="2"/>
      <c r="Q21" s="2"/>
      <c r="R21" s="2"/>
      <c r="S21" s="2"/>
      <c r="T21" s="2"/>
      <c r="U21" s="2"/>
      <c r="V21" s="2"/>
      <c r="W21" s="2"/>
    </row>
    <row r="22" spans="1:23" ht="13.35" customHeight="1" x14ac:dyDescent="0.2">
      <c r="A22" s="2" t="s">
        <v>503</v>
      </c>
      <c r="C22" s="2"/>
      <c r="D22" s="10">
        <f>+'COS 1'!T365</f>
        <v>158550.06388654764</v>
      </c>
      <c r="E22" s="2"/>
      <c r="F22" s="135">
        <f>+'COS 1'!T366</f>
        <v>1.46E-2</v>
      </c>
      <c r="G22" s="2"/>
      <c r="H22" s="2"/>
      <c r="I22" s="2"/>
      <c r="J22" s="2"/>
      <c r="K22" s="2"/>
      <c r="L22" s="2"/>
      <c r="M22" s="2"/>
      <c r="N22" s="2"/>
      <c r="O22" s="2"/>
      <c r="P22" s="2"/>
      <c r="Q22" s="2"/>
      <c r="R22" s="2"/>
      <c r="S22" s="2"/>
      <c r="T22" s="2"/>
      <c r="U22" s="2"/>
      <c r="V22" s="2"/>
      <c r="W22" s="2"/>
    </row>
    <row r="23" spans="1:23" ht="13.35" customHeight="1" x14ac:dyDescent="0.2">
      <c r="A23" s="2" t="s">
        <v>391</v>
      </c>
      <c r="C23" s="2"/>
      <c r="D23" s="10">
        <f>+'COS 1'!V365</f>
        <v>176206.13586777166</v>
      </c>
      <c r="E23" s="2"/>
      <c r="F23" s="135">
        <f>+'COS 1'!V366</f>
        <v>1.6199999999999999E-2</v>
      </c>
      <c r="G23" s="2"/>
      <c r="H23" s="2"/>
      <c r="I23" s="2"/>
      <c r="J23" s="2"/>
      <c r="K23" s="2"/>
      <c r="L23" s="2"/>
      <c r="M23" s="2"/>
      <c r="N23" s="2"/>
      <c r="O23" s="2"/>
      <c r="P23" s="2"/>
      <c r="Q23" s="2"/>
      <c r="R23" s="2"/>
      <c r="S23" s="2"/>
      <c r="T23" s="2"/>
      <c r="U23" s="2"/>
      <c r="V23" s="2"/>
      <c r="W23" s="2"/>
    </row>
    <row r="24" spans="1:23" ht="13.35" customHeight="1" x14ac:dyDescent="0.2">
      <c r="A24" s="2" t="s">
        <v>392</v>
      </c>
      <c r="C24" s="2"/>
      <c r="D24" s="10">
        <f>+'COS 1'!X365</f>
        <v>385917.42037252028</v>
      </c>
      <c r="E24" s="2"/>
      <c r="F24" s="135">
        <f>+'COS 1'!X366</f>
        <v>3.5499999999999997E-2</v>
      </c>
      <c r="G24" s="2"/>
      <c r="H24" s="2"/>
      <c r="I24" s="2"/>
      <c r="J24" s="2"/>
      <c r="K24" s="2"/>
      <c r="L24" s="2"/>
      <c r="M24" s="2"/>
      <c r="N24" s="2"/>
      <c r="O24" s="2"/>
      <c r="P24" s="2"/>
      <c r="Q24" s="2"/>
      <c r="R24" s="2"/>
      <c r="S24" s="2"/>
      <c r="T24" s="2"/>
      <c r="U24" s="2"/>
      <c r="V24" s="2"/>
      <c r="W24" s="2"/>
    </row>
    <row r="25" spans="1:23" x14ac:dyDescent="0.2">
      <c r="A25" s="2"/>
      <c r="C25" s="2"/>
      <c r="D25" s="6"/>
      <c r="E25" s="2"/>
      <c r="F25" s="7"/>
      <c r="G25" s="2"/>
      <c r="H25" s="2"/>
      <c r="I25" s="2"/>
      <c r="J25" s="2"/>
      <c r="K25" s="2"/>
      <c r="L25" s="2"/>
      <c r="M25" s="2"/>
      <c r="N25" s="2"/>
      <c r="O25" s="2"/>
      <c r="P25" s="2"/>
      <c r="Q25" s="2"/>
      <c r="R25" s="2"/>
      <c r="S25" s="2"/>
      <c r="T25" s="2"/>
      <c r="U25" s="2"/>
      <c r="V25" s="2"/>
      <c r="W25" s="2"/>
    </row>
    <row r="26" spans="1:23" ht="15.75" thickBot="1" x14ac:dyDescent="0.25">
      <c r="A26" s="2" t="s">
        <v>393</v>
      </c>
      <c r="C26" s="2"/>
      <c r="D26" s="207">
        <f>SUM(D18:D25)</f>
        <v>10869738.849249564</v>
      </c>
      <c r="E26" s="2"/>
      <c r="F26" s="135">
        <f>SUM(F18:F25)</f>
        <v>1</v>
      </c>
      <c r="G26" s="2"/>
      <c r="H26" s="2"/>
      <c r="I26" s="2"/>
      <c r="J26" s="2"/>
      <c r="K26" s="2"/>
      <c r="L26" s="2"/>
      <c r="M26" s="2"/>
      <c r="N26" s="2"/>
      <c r="O26" s="2"/>
      <c r="P26" s="2"/>
      <c r="Q26" s="2"/>
      <c r="R26" s="2"/>
      <c r="S26" s="2"/>
      <c r="T26" s="2"/>
      <c r="U26" s="2"/>
      <c r="V26" s="2"/>
      <c r="W26" s="2"/>
    </row>
    <row r="27" spans="1:23" ht="15.75" thickTop="1" x14ac:dyDescent="0.2">
      <c r="A27" s="2"/>
      <c r="B27" s="2"/>
      <c r="C27" s="2"/>
      <c r="D27" s="153"/>
      <c r="E27" s="14"/>
      <c r="F27" s="9"/>
      <c r="G27" s="2"/>
      <c r="H27" s="2"/>
      <c r="I27" s="2"/>
      <c r="J27" s="2"/>
      <c r="K27" s="2"/>
      <c r="L27" s="2"/>
      <c r="M27" s="2"/>
      <c r="N27" s="2"/>
      <c r="O27" s="2"/>
      <c r="P27" s="2"/>
      <c r="Q27" s="2"/>
      <c r="R27" s="2"/>
      <c r="S27" s="2"/>
      <c r="T27" s="2"/>
      <c r="U27" s="2"/>
      <c r="V27" s="2"/>
      <c r="W27" s="2"/>
    </row>
    <row r="28" spans="1:23" x14ac:dyDescent="0.2">
      <c r="A28" s="2" t="s">
        <v>43</v>
      </c>
      <c r="B28" s="2"/>
      <c r="C28" s="2"/>
      <c r="D28" s="2"/>
      <c r="E28" s="2"/>
      <c r="F28" s="2"/>
      <c r="G28" s="2"/>
      <c r="H28" s="2"/>
      <c r="I28" s="2"/>
      <c r="J28" s="2"/>
      <c r="K28" s="2"/>
      <c r="L28" s="2"/>
      <c r="M28" s="2"/>
      <c r="N28" s="2"/>
      <c r="O28" s="2"/>
      <c r="P28" s="2"/>
      <c r="Q28" s="2"/>
      <c r="R28" s="2"/>
      <c r="S28" s="2"/>
      <c r="T28" s="2"/>
      <c r="U28" s="2"/>
      <c r="V28" s="2"/>
      <c r="W28" s="2"/>
    </row>
    <row r="29" spans="1:23" x14ac:dyDescent="0.2">
      <c r="A29" s="2"/>
      <c r="B29" s="2"/>
      <c r="C29" s="2"/>
      <c r="D29" s="2"/>
      <c r="E29" s="2"/>
      <c r="F29" s="2"/>
      <c r="G29" s="2"/>
      <c r="H29" s="2"/>
      <c r="I29" s="2"/>
      <c r="J29" s="2"/>
      <c r="K29" s="2"/>
      <c r="L29" s="2"/>
      <c r="M29" s="2"/>
      <c r="N29" s="2"/>
      <c r="O29" s="2"/>
      <c r="P29" s="2"/>
      <c r="Q29" s="2"/>
      <c r="R29" s="2"/>
      <c r="S29" s="2"/>
      <c r="T29" s="2"/>
      <c r="U29" s="2"/>
      <c r="V29" s="2"/>
      <c r="W29" s="2"/>
    </row>
    <row r="30" spans="1:23" x14ac:dyDescent="0.2">
      <c r="A30" s="2"/>
      <c r="B30" s="2"/>
      <c r="C30" s="2"/>
      <c r="D30" s="2"/>
      <c r="E30" s="2"/>
      <c r="F30" s="2"/>
      <c r="G30" s="2"/>
      <c r="H30" s="2"/>
      <c r="I30" s="2"/>
      <c r="J30" s="2"/>
      <c r="K30" s="2"/>
      <c r="L30" s="2"/>
      <c r="M30" s="2"/>
      <c r="N30" s="2"/>
      <c r="O30" s="2"/>
      <c r="P30" s="2"/>
      <c r="Q30" s="2"/>
      <c r="R30" s="2"/>
      <c r="S30" s="2"/>
      <c r="T30" s="2"/>
      <c r="U30" s="2"/>
      <c r="V30" s="2"/>
      <c r="W30" s="2"/>
    </row>
    <row r="31" spans="1:23" ht="29.25" customHeight="1" x14ac:dyDescent="0.2">
      <c r="A31" s="656" t="s">
        <v>685</v>
      </c>
      <c r="B31" s="656"/>
      <c r="C31" s="656"/>
      <c r="D31" s="656"/>
      <c r="E31" s="656"/>
      <c r="F31" s="656"/>
      <c r="G31" s="2"/>
      <c r="H31" s="2"/>
      <c r="I31" s="2"/>
      <c r="J31" s="2"/>
      <c r="K31" s="2"/>
      <c r="L31" s="2"/>
      <c r="M31" s="2"/>
      <c r="N31" s="2"/>
      <c r="O31" s="2"/>
      <c r="P31" s="2"/>
      <c r="Q31" s="2"/>
      <c r="R31" s="2"/>
      <c r="S31" s="2"/>
      <c r="T31" s="2"/>
      <c r="U31" s="2"/>
      <c r="V31" s="2"/>
      <c r="W31" s="2"/>
    </row>
    <row r="32" spans="1:23" x14ac:dyDescent="0.2">
      <c r="A32" s="2"/>
      <c r="B32" s="2"/>
      <c r="C32" s="2"/>
      <c r="D32" s="2"/>
      <c r="E32" s="2"/>
      <c r="F32" s="2"/>
      <c r="G32" s="2"/>
      <c r="H32" s="2"/>
      <c r="I32" s="2"/>
      <c r="J32" s="2"/>
      <c r="K32" s="2"/>
      <c r="L32" s="2"/>
      <c r="M32" s="2"/>
      <c r="N32" s="2"/>
      <c r="O32" s="2"/>
      <c r="P32" s="2"/>
      <c r="Q32" s="2"/>
      <c r="R32" s="2"/>
      <c r="S32" s="2"/>
      <c r="T32" s="2"/>
      <c r="U32" s="2"/>
      <c r="V32" s="2"/>
      <c r="W32" s="2"/>
    </row>
    <row r="33" spans="1:23" x14ac:dyDescent="0.2">
      <c r="A33" s="2"/>
      <c r="B33" s="2"/>
      <c r="C33" s="2"/>
      <c r="D33" s="2"/>
      <c r="E33" s="2"/>
      <c r="F33" s="2"/>
      <c r="G33" s="2"/>
      <c r="H33" s="2"/>
      <c r="I33" s="2"/>
      <c r="J33" s="2"/>
      <c r="K33" s="2"/>
      <c r="L33" s="2"/>
      <c r="M33" s="2"/>
      <c r="N33" s="2"/>
      <c r="O33" s="2"/>
      <c r="P33" s="2"/>
      <c r="Q33" s="2"/>
      <c r="R33" s="2"/>
      <c r="S33" s="2"/>
      <c r="T33" s="2"/>
      <c r="U33" s="2"/>
      <c r="V33" s="2"/>
      <c r="W33" s="2"/>
    </row>
    <row r="34" spans="1:23" x14ac:dyDescent="0.2">
      <c r="A34" s="2"/>
      <c r="B34" s="2"/>
      <c r="C34" s="2"/>
      <c r="D34" s="12" t="s">
        <v>438</v>
      </c>
      <c r="E34" s="12"/>
      <c r="F34" s="12"/>
      <c r="G34" s="2"/>
      <c r="H34" s="2"/>
      <c r="I34" s="2"/>
      <c r="J34" s="2"/>
      <c r="K34" s="2"/>
      <c r="L34" s="2"/>
      <c r="M34" s="2"/>
      <c r="N34" s="2"/>
      <c r="O34" s="2"/>
      <c r="P34" s="2"/>
      <c r="Q34" s="2"/>
      <c r="R34" s="2"/>
      <c r="S34" s="2"/>
      <c r="T34" s="2"/>
      <c r="U34" s="2"/>
      <c r="V34" s="2"/>
      <c r="W34" s="2"/>
    </row>
    <row r="35" spans="1:23" x14ac:dyDescent="0.2">
      <c r="A35" s="1" t="s">
        <v>377</v>
      </c>
      <c r="B35" s="37"/>
      <c r="C35" s="2"/>
      <c r="D35" s="12" t="s">
        <v>434</v>
      </c>
      <c r="E35" s="12"/>
      <c r="F35" s="12" t="s">
        <v>379</v>
      </c>
      <c r="G35" s="2"/>
      <c r="H35" s="2"/>
      <c r="I35" s="2"/>
      <c r="J35" s="2"/>
      <c r="K35" s="2"/>
      <c r="L35" s="2"/>
      <c r="M35" s="2"/>
      <c r="N35" s="2"/>
      <c r="O35" s="2"/>
      <c r="P35" s="2"/>
      <c r="Q35" s="2"/>
      <c r="R35" s="2"/>
      <c r="S35" s="2"/>
      <c r="T35" s="2"/>
      <c r="U35" s="2"/>
      <c r="V35" s="2"/>
      <c r="W35" s="2"/>
    </row>
    <row r="36" spans="1:23" x14ac:dyDescent="0.2">
      <c r="A36" s="1" t="s">
        <v>380</v>
      </c>
      <c r="B36" s="37"/>
      <c r="C36" s="2"/>
      <c r="D36" s="12" t="s">
        <v>283</v>
      </c>
      <c r="E36" s="12"/>
      <c r="F36" s="12" t="s">
        <v>381</v>
      </c>
      <c r="G36" s="2"/>
      <c r="H36" s="2"/>
      <c r="I36" s="2"/>
      <c r="J36" s="2"/>
      <c r="K36" s="2"/>
      <c r="L36" s="2"/>
      <c r="M36" s="2"/>
      <c r="N36" s="2"/>
      <c r="O36" s="2"/>
      <c r="P36" s="2"/>
      <c r="Q36" s="2"/>
      <c r="R36" s="2"/>
      <c r="S36" s="2"/>
      <c r="T36" s="2"/>
      <c r="U36" s="2"/>
      <c r="V36" s="2"/>
      <c r="W36" s="2"/>
    </row>
    <row r="37" spans="1:23" x14ac:dyDescent="0.2">
      <c r="A37" s="3" t="s">
        <v>382</v>
      </c>
      <c r="B37" s="134"/>
      <c r="C37" s="2"/>
      <c r="D37" s="11" t="s">
        <v>272</v>
      </c>
      <c r="E37" s="12" t="s">
        <v>496</v>
      </c>
      <c r="F37" s="11" t="s">
        <v>384</v>
      </c>
      <c r="G37" s="2"/>
      <c r="H37" s="2"/>
      <c r="I37" s="2"/>
      <c r="J37" s="2"/>
      <c r="K37" s="2"/>
      <c r="L37" s="2"/>
      <c r="M37" s="2"/>
      <c r="N37" s="2"/>
      <c r="O37" s="2"/>
      <c r="P37" s="2"/>
      <c r="Q37" s="2"/>
      <c r="R37" s="2"/>
      <c r="S37" s="2"/>
      <c r="T37" s="2"/>
      <c r="U37" s="2"/>
      <c r="V37" s="2"/>
      <c r="W37" s="2"/>
    </row>
    <row r="38" spans="1:23" ht="12.75" customHeight="1" x14ac:dyDescent="0.2">
      <c r="A38" s="2"/>
      <c r="C38" s="2"/>
      <c r="D38" s="2"/>
      <c r="E38" s="2"/>
      <c r="F38" s="135"/>
      <c r="G38" s="2"/>
      <c r="H38" s="2"/>
      <c r="I38" s="2"/>
      <c r="J38" s="2"/>
      <c r="K38" s="2"/>
      <c r="L38" s="2"/>
      <c r="M38" s="2"/>
      <c r="N38" s="2"/>
      <c r="O38" s="2"/>
      <c r="P38" s="2"/>
      <c r="Q38" s="2"/>
      <c r="R38" s="2"/>
      <c r="S38" s="2"/>
      <c r="T38" s="2"/>
      <c r="U38" s="2"/>
      <c r="V38" s="2"/>
      <c r="W38" s="2"/>
    </row>
    <row r="39" spans="1:23" ht="13.35" customHeight="1" x14ac:dyDescent="0.2">
      <c r="A39" s="2" t="s">
        <v>385</v>
      </c>
      <c r="C39" s="2"/>
      <c r="D39" s="206">
        <f ca="1">+'COS 1'!L367</f>
        <v>21631736.44898038</v>
      </c>
      <c r="E39" s="2"/>
      <c r="F39" s="160">
        <f ca="1">+'COS 1'!L368</f>
        <v>0.63380000000000003</v>
      </c>
      <c r="G39" s="2"/>
      <c r="H39" s="2"/>
      <c r="I39" s="2"/>
      <c r="J39" s="2"/>
      <c r="K39" s="2"/>
      <c r="L39" s="2"/>
      <c r="M39" s="2"/>
      <c r="N39" s="2"/>
      <c r="O39" s="2"/>
      <c r="P39" s="2"/>
      <c r="Q39" s="2"/>
      <c r="R39" s="2"/>
      <c r="S39" s="2"/>
      <c r="T39" s="2"/>
      <c r="U39" s="2"/>
      <c r="V39" s="2"/>
      <c r="W39" s="2"/>
    </row>
    <row r="40" spans="1:23" ht="13.35" customHeight="1" x14ac:dyDescent="0.2">
      <c r="A40" s="2" t="s">
        <v>386</v>
      </c>
      <c r="C40" s="2"/>
      <c r="D40" s="10">
        <f ca="1">+'COS 1'!N367</f>
        <v>7337506.2368435133</v>
      </c>
      <c r="E40" s="2"/>
      <c r="F40" s="135">
        <f ca="1">+'COS 1'!N368</f>
        <v>0.215</v>
      </c>
      <c r="G40" s="2"/>
      <c r="H40" s="2"/>
      <c r="I40" s="2"/>
      <c r="J40" s="2"/>
      <c r="K40" s="2"/>
      <c r="L40" s="2"/>
      <c r="M40" s="2"/>
      <c r="N40" s="2"/>
      <c r="O40" s="2"/>
      <c r="P40" s="2"/>
      <c r="Q40" s="2"/>
      <c r="R40" s="2"/>
      <c r="S40" s="2"/>
      <c r="T40" s="2"/>
      <c r="U40" s="2"/>
      <c r="V40" s="2"/>
      <c r="W40" s="2"/>
    </row>
    <row r="41" spans="1:23" ht="13.35" customHeight="1" x14ac:dyDescent="0.2">
      <c r="A41" s="2" t="s">
        <v>387</v>
      </c>
      <c r="C41" s="2"/>
      <c r="D41" s="10">
        <f ca="1">+'COS 1'!P367</f>
        <v>876950.29374847759</v>
      </c>
      <c r="E41" s="2"/>
      <c r="F41" s="135">
        <f ca="1">+'COS 1'!P368</f>
        <v>2.5700000000000001E-2</v>
      </c>
      <c r="G41" s="2"/>
      <c r="H41" s="2"/>
      <c r="I41" s="2"/>
      <c r="J41" s="2"/>
      <c r="K41" s="2"/>
      <c r="L41" s="2"/>
      <c r="M41" s="2"/>
      <c r="N41" s="2"/>
      <c r="O41" s="2"/>
      <c r="P41" s="2"/>
      <c r="Q41" s="2"/>
      <c r="R41" s="2"/>
      <c r="S41" s="2"/>
      <c r="T41" s="2"/>
      <c r="U41" s="2"/>
      <c r="V41" s="2"/>
      <c r="W41" s="2"/>
    </row>
    <row r="42" spans="1:23" ht="13.35" customHeight="1" x14ac:dyDescent="0.2">
      <c r="A42" s="2" t="s">
        <v>389</v>
      </c>
      <c r="C42" s="2"/>
      <c r="D42" s="10">
        <f ca="1">+'COS 1'!R367</f>
        <v>2279558.9790832563</v>
      </c>
      <c r="E42" s="2"/>
      <c r="F42" s="135">
        <f ca="1">+'COS 1'!R368</f>
        <v>6.6799999999999998E-2</v>
      </c>
      <c r="G42" s="2"/>
      <c r="H42" s="2"/>
      <c r="I42" s="2"/>
      <c r="J42" s="2"/>
      <c r="K42" s="2"/>
      <c r="L42" s="2"/>
      <c r="M42" s="2"/>
      <c r="N42" s="2"/>
      <c r="O42" s="2"/>
      <c r="P42" s="2"/>
      <c r="Q42" s="2"/>
      <c r="R42" s="2"/>
      <c r="S42" s="2"/>
      <c r="T42" s="2"/>
      <c r="U42" s="2"/>
      <c r="V42" s="2"/>
      <c r="W42" s="2"/>
    </row>
    <row r="43" spans="1:23" ht="13.35" customHeight="1" x14ac:dyDescent="0.2">
      <c r="A43" s="2" t="s">
        <v>503</v>
      </c>
      <c r="C43" s="2"/>
      <c r="D43" s="10">
        <f ca="1">+'COS 1'!T367</f>
        <v>598663.29311694123</v>
      </c>
      <c r="E43" s="2"/>
      <c r="F43" s="135">
        <f ca="1">+'COS 1'!T368</f>
        <v>1.7500000000000002E-2</v>
      </c>
      <c r="G43" s="2"/>
      <c r="H43" s="2"/>
      <c r="I43" s="2"/>
      <c r="J43" s="2"/>
      <c r="K43" s="2"/>
      <c r="L43" s="2"/>
      <c r="M43" s="2"/>
      <c r="N43" s="2"/>
      <c r="O43" s="2"/>
      <c r="P43" s="2"/>
      <c r="Q43" s="2"/>
      <c r="R43" s="2"/>
      <c r="S43" s="2"/>
      <c r="T43" s="2"/>
      <c r="U43" s="2"/>
      <c r="V43" s="2"/>
      <c r="W43" s="2"/>
    </row>
    <row r="44" spans="1:23" ht="13.35" customHeight="1" x14ac:dyDescent="0.2">
      <c r="A44" s="2" t="s">
        <v>391</v>
      </c>
      <c r="C44" s="2"/>
      <c r="D44" s="10">
        <f ca="1">+'COS 1'!V367</f>
        <v>475611.48486029147</v>
      </c>
      <c r="E44" s="2"/>
      <c r="F44" s="135">
        <f ca="1">+'COS 1'!V368</f>
        <v>1.3899999999999999E-2</v>
      </c>
      <c r="G44" s="2"/>
      <c r="H44" s="2"/>
      <c r="I44" s="2"/>
      <c r="J44" s="2"/>
      <c r="K44" s="2"/>
      <c r="L44" s="2"/>
      <c r="M44" s="2"/>
      <c r="N44" s="2"/>
      <c r="O44" s="2"/>
      <c r="P44" s="2"/>
      <c r="Q44" s="2"/>
      <c r="R44" s="2"/>
      <c r="S44" s="2"/>
      <c r="T44" s="2"/>
      <c r="U44" s="2"/>
      <c r="V44" s="2"/>
      <c r="W44" s="2"/>
    </row>
    <row r="45" spans="1:23" ht="13.35" customHeight="1" x14ac:dyDescent="0.2">
      <c r="A45" s="2" t="s">
        <v>392</v>
      </c>
      <c r="C45" s="2"/>
      <c r="D45" s="10">
        <f ca="1">+'COS 1'!X367</f>
        <v>928700.04701544438</v>
      </c>
      <c r="E45" s="2"/>
      <c r="F45" s="135">
        <f ca="1">+'COS 1'!X368</f>
        <v>2.7199999999999998E-2</v>
      </c>
      <c r="G45" s="2"/>
      <c r="H45" s="2"/>
      <c r="I45" s="2"/>
      <c r="J45" s="2"/>
      <c r="K45" s="2"/>
      <c r="L45" s="2"/>
      <c r="M45" s="2"/>
      <c r="N45" s="2"/>
      <c r="O45" s="2"/>
      <c r="P45" s="2"/>
      <c r="Q45" s="2"/>
      <c r="R45" s="2"/>
      <c r="S45" s="2"/>
      <c r="T45" s="2"/>
      <c r="U45" s="2"/>
      <c r="V45" s="2"/>
      <c r="W45" s="2"/>
    </row>
    <row r="46" spans="1:23" x14ac:dyDescent="0.2">
      <c r="A46" s="2"/>
      <c r="C46" s="2"/>
      <c r="D46" s="6"/>
      <c r="E46" s="2"/>
      <c r="F46" s="7"/>
      <c r="G46" s="2"/>
      <c r="H46" s="2"/>
      <c r="I46" s="2"/>
      <c r="J46" s="2"/>
      <c r="K46" s="2"/>
      <c r="L46" s="2"/>
      <c r="M46" s="2"/>
      <c r="N46" s="2"/>
      <c r="O46" s="2"/>
      <c r="P46" s="2"/>
      <c r="Q46" s="2"/>
      <c r="R46" s="2"/>
      <c r="S46" s="2"/>
      <c r="T46" s="2"/>
      <c r="U46" s="2"/>
      <c r="V46" s="2"/>
      <c r="W46" s="2"/>
    </row>
    <row r="47" spans="1:23" ht="15.75" thickBot="1" x14ac:dyDescent="0.25">
      <c r="A47" s="2" t="s">
        <v>393</v>
      </c>
      <c r="C47" s="2"/>
      <c r="D47" s="207">
        <f ca="1">SUM(D39:D46)</f>
        <v>34128726.783648305</v>
      </c>
      <c r="E47" s="2"/>
      <c r="F47" s="135">
        <f ca="1">SUM(F39:F46)</f>
        <v>0.99990000000000001</v>
      </c>
      <c r="G47" s="2"/>
      <c r="H47" s="2"/>
      <c r="I47" s="2"/>
      <c r="J47" s="2"/>
      <c r="K47" s="2"/>
      <c r="L47" s="2"/>
      <c r="M47" s="2"/>
      <c r="N47" s="2"/>
      <c r="O47" s="2"/>
      <c r="P47" s="2"/>
      <c r="Q47" s="2"/>
      <c r="R47" s="2"/>
      <c r="S47" s="2"/>
      <c r="T47" s="2"/>
      <c r="U47" s="2"/>
      <c r="V47" s="2"/>
      <c r="W47" s="2"/>
    </row>
    <row r="48" spans="1:23" ht="15.75" thickTop="1" x14ac:dyDescent="0.2">
      <c r="A48" s="2"/>
      <c r="B48" s="2"/>
      <c r="C48" s="2"/>
      <c r="D48" s="2"/>
      <c r="E48" s="2"/>
      <c r="F48" s="2"/>
      <c r="G48" s="2"/>
      <c r="H48" s="2"/>
      <c r="I48" s="2"/>
      <c r="J48" s="2"/>
      <c r="K48" s="2"/>
      <c r="L48" s="2"/>
      <c r="M48" s="2"/>
      <c r="N48" s="2"/>
      <c r="O48" s="2"/>
      <c r="P48" s="2"/>
      <c r="Q48" s="2"/>
      <c r="R48" s="2"/>
      <c r="S48" s="2"/>
      <c r="T48" s="2"/>
      <c r="U48" s="2"/>
      <c r="V48" s="2"/>
      <c r="W48" s="2"/>
    </row>
    <row r="49" spans="1:23" x14ac:dyDescent="0.2">
      <c r="A49" s="2"/>
      <c r="B49" s="2"/>
      <c r="C49" s="2"/>
      <c r="D49" s="2"/>
      <c r="E49" s="2"/>
      <c r="F49" s="2"/>
      <c r="G49" s="2"/>
      <c r="H49" s="2"/>
      <c r="I49" s="2"/>
      <c r="J49" s="2"/>
      <c r="K49" s="2"/>
      <c r="L49" s="2"/>
      <c r="M49" s="2"/>
      <c r="N49" s="2"/>
      <c r="O49" s="2"/>
      <c r="P49" s="2"/>
      <c r="Q49" s="2"/>
      <c r="R49" s="2"/>
      <c r="S49" s="2"/>
      <c r="T49" s="2"/>
      <c r="U49" s="2"/>
      <c r="V49" s="2"/>
      <c r="W49" s="2"/>
    </row>
    <row r="50" spans="1:23" x14ac:dyDescent="0.2">
      <c r="A50" s="37" t="s">
        <v>78</v>
      </c>
      <c r="B50" s="1"/>
      <c r="C50" s="37"/>
      <c r="D50" s="1"/>
      <c r="E50" s="1"/>
      <c r="F50" s="1"/>
      <c r="G50" s="2"/>
      <c r="H50" s="2"/>
      <c r="I50" s="2"/>
      <c r="J50" s="2"/>
      <c r="K50" s="2"/>
      <c r="L50" s="2"/>
      <c r="M50" s="2"/>
      <c r="N50" s="2"/>
      <c r="O50" s="2"/>
      <c r="P50" s="2"/>
      <c r="Q50" s="2"/>
      <c r="R50" s="2"/>
      <c r="S50" s="2"/>
      <c r="T50" s="2"/>
      <c r="U50" s="2"/>
      <c r="V50" s="2"/>
      <c r="W50" s="2"/>
    </row>
    <row r="51" spans="1:23" x14ac:dyDescent="0.2">
      <c r="A51" s="178"/>
      <c r="B51" s="1"/>
      <c r="C51" s="37"/>
      <c r="D51" s="1"/>
      <c r="E51" s="1"/>
      <c r="F51" s="1"/>
      <c r="G51" s="2"/>
      <c r="H51" s="2"/>
      <c r="I51" s="2"/>
      <c r="J51" s="2"/>
      <c r="K51" s="2"/>
      <c r="L51" s="2"/>
      <c r="M51" s="2"/>
      <c r="N51" s="2"/>
      <c r="O51" s="2"/>
      <c r="P51" s="2"/>
      <c r="Q51" s="2"/>
      <c r="R51" s="2"/>
      <c r="S51" s="2"/>
      <c r="T51" s="2"/>
      <c r="U51" s="2"/>
      <c r="V51" s="2"/>
      <c r="W51" s="2"/>
    </row>
    <row r="52" spans="1:23" x14ac:dyDescent="0.2">
      <c r="A52" s="1"/>
      <c r="B52" s="1"/>
      <c r="C52" s="1"/>
      <c r="D52" s="1"/>
      <c r="E52" s="1"/>
      <c r="F52" s="1"/>
      <c r="G52" s="2"/>
      <c r="H52" s="2"/>
      <c r="I52" s="2"/>
      <c r="J52" s="2"/>
      <c r="K52" s="2"/>
      <c r="L52" s="2"/>
      <c r="M52" s="2"/>
      <c r="N52" s="2"/>
      <c r="O52" s="2"/>
      <c r="P52" s="2"/>
      <c r="Q52" s="2"/>
      <c r="R52" s="2"/>
      <c r="S52" s="2"/>
      <c r="T52" s="2"/>
      <c r="U52" s="2"/>
      <c r="V52" s="2"/>
      <c r="W52" s="2"/>
    </row>
    <row r="53" spans="1:23" x14ac:dyDescent="0.2">
      <c r="A53" s="1" t="s">
        <v>181</v>
      </c>
      <c r="B53" s="1"/>
      <c r="C53" s="1"/>
      <c r="D53" s="1"/>
      <c r="E53" s="1"/>
      <c r="F53" s="1"/>
      <c r="G53" s="2"/>
      <c r="H53" s="2"/>
      <c r="I53" s="2"/>
      <c r="J53" s="2"/>
      <c r="K53" s="2"/>
      <c r="L53" s="2"/>
      <c r="M53" s="2"/>
      <c r="N53" s="2"/>
      <c r="O53" s="2"/>
      <c r="P53" s="2"/>
      <c r="Q53" s="2"/>
      <c r="R53" s="2"/>
      <c r="S53" s="2"/>
      <c r="T53" s="2"/>
      <c r="U53" s="2"/>
      <c r="V53" s="2"/>
      <c r="W53" s="2"/>
    </row>
    <row r="54" spans="1:23" x14ac:dyDescent="0.2">
      <c r="A54" s="2"/>
      <c r="B54" s="2"/>
      <c r="C54" s="2"/>
      <c r="D54" s="2"/>
      <c r="E54" s="2"/>
      <c r="F54" s="2"/>
      <c r="G54" s="2"/>
      <c r="H54" s="2"/>
      <c r="I54" s="2"/>
      <c r="J54" s="2"/>
      <c r="K54" s="2"/>
      <c r="L54" s="2"/>
      <c r="M54" s="2"/>
      <c r="N54" s="2"/>
      <c r="O54" s="135"/>
      <c r="P54" s="2"/>
      <c r="Q54" s="2"/>
      <c r="R54" s="2"/>
      <c r="S54" s="2"/>
      <c r="T54" s="2"/>
      <c r="U54" s="2"/>
      <c r="V54" s="2"/>
      <c r="W54" s="2"/>
    </row>
    <row r="55" spans="1:23" x14ac:dyDescent="0.2">
      <c r="A55" s="2"/>
      <c r="B55" s="2"/>
      <c r="C55" s="2"/>
      <c r="D55" s="2"/>
      <c r="E55" s="2"/>
      <c r="F55" s="2"/>
      <c r="G55" s="2"/>
      <c r="H55" s="2"/>
      <c r="I55" s="2"/>
      <c r="J55" s="2"/>
      <c r="K55" s="2"/>
      <c r="L55" s="2"/>
      <c r="M55" s="2"/>
      <c r="N55" s="2"/>
      <c r="O55" s="135"/>
      <c r="P55" s="2"/>
      <c r="Q55" s="2"/>
      <c r="R55" s="2"/>
      <c r="S55" s="2"/>
      <c r="T55" s="2"/>
      <c r="U55" s="2"/>
      <c r="V55" s="2"/>
      <c r="W55" s="2"/>
    </row>
    <row r="56" spans="1:23" x14ac:dyDescent="0.2">
      <c r="A56" s="2" t="s">
        <v>551</v>
      </c>
      <c r="B56" s="2"/>
      <c r="C56" s="2"/>
      <c r="D56" s="2"/>
      <c r="E56" s="2"/>
      <c r="F56" s="2"/>
      <c r="G56" s="2"/>
      <c r="O56" s="135"/>
      <c r="P56" s="2"/>
      <c r="Q56" s="2"/>
      <c r="R56" s="2"/>
      <c r="S56" s="2"/>
      <c r="T56" s="2"/>
      <c r="U56" s="2"/>
      <c r="V56" s="2"/>
      <c r="W56" s="2"/>
    </row>
    <row r="57" spans="1:23" x14ac:dyDescent="0.2">
      <c r="A57" s="2"/>
      <c r="B57" s="2"/>
      <c r="C57" s="2"/>
      <c r="D57" s="2"/>
      <c r="E57" s="2"/>
      <c r="F57" s="2"/>
      <c r="G57" s="2"/>
      <c r="O57" s="135"/>
      <c r="P57" s="2"/>
      <c r="Q57" s="2"/>
      <c r="R57" s="2"/>
      <c r="S57" s="2"/>
      <c r="T57" s="2"/>
      <c r="U57" s="2"/>
      <c r="V57" s="2"/>
      <c r="W57" s="2"/>
    </row>
    <row r="58" spans="1:23" ht="14.85" customHeight="1" x14ac:dyDescent="0.2">
      <c r="A58" s="656" t="s">
        <v>123</v>
      </c>
      <c r="B58" s="656"/>
      <c r="C58" s="656"/>
      <c r="D58" s="656"/>
      <c r="E58" s="656"/>
      <c r="F58" s="656"/>
      <c r="G58" s="2"/>
      <c r="O58" s="135"/>
      <c r="P58" s="2"/>
      <c r="Q58" s="2"/>
      <c r="R58" s="2"/>
      <c r="S58" s="2"/>
      <c r="T58" s="2"/>
      <c r="U58" s="2"/>
      <c r="V58" s="2"/>
      <c r="W58" s="2"/>
    </row>
    <row r="59" spans="1:23" x14ac:dyDescent="0.2">
      <c r="A59" s="2"/>
      <c r="B59" s="2"/>
      <c r="C59" s="2"/>
      <c r="D59" s="2"/>
      <c r="E59" s="2"/>
      <c r="F59" s="2"/>
      <c r="G59" s="2"/>
      <c r="O59" s="2"/>
      <c r="P59" s="2"/>
      <c r="Q59" s="2"/>
      <c r="R59" s="2"/>
      <c r="S59" s="2"/>
      <c r="T59" s="2"/>
      <c r="U59" s="2"/>
      <c r="V59" s="2"/>
      <c r="W59" s="2"/>
    </row>
    <row r="60" spans="1:23" x14ac:dyDescent="0.2">
      <c r="A60" s="1" t="s">
        <v>377</v>
      </c>
      <c r="B60" s="37"/>
      <c r="C60" s="2"/>
      <c r="D60" s="12" t="s">
        <v>552</v>
      </c>
      <c r="E60" s="12"/>
      <c r="F60" s="12" t="s">
        <v>379</v>
      </c>
      <c r="G60" s="2"/>
      <c r="O60" s="2"/>
      <c r="P60" s="2"/>
      <c r="Q60" s="2"/>
      <c r="R60" s="2"/>
      <c r="S60" s="2"/>
      <c r="T60" s="2"/>
      <c r="U60" s="2"/>
      <c r="V60" s="2"/>
      <c r="W60" s="2"/>
    </row>
    <row r="61" spans="1:23" x14ac:dyDescent="0.2">
      <c r="A61" s="1" t="s">
        <v>380</v>
      </c>
      <c r="B61" s="37"/>
      <c r="C61" s="2"/>
      <c r="D61" s="12" t="s">
        <v>553</v>
      </c>
      <c r="E61" s="12"/>
      <c r="F61" s="12" t="s">
        <v>381</v>
      </c>
      <c r="G61" s="2"/>
      <c r="O61" s="2"/>
      <c r="P61" s="2"/>
      <c r="Q61" s="2"/>
      <c r="R61" s="2"/>
      <c r="S61" s="2"/>
      <c r="T61" s="2"/>
      <c r="U61" s="2"/>
      <c r="V61" s="2"/>
      <c r="W61" s="2"/>
    </row>
    <row r="62" spans="1:23" x14ac:dyDescent="0.2">
      <c r="A62" s="3" t="s">
        <v>382</v>
      </c>
      <c r="B62" s="134"/>
      <c r="C62" s="2"/>
      <c r="D62" s="11" t="s">
        <v>272</v>
      </c>
      <c r="E62" s="12" t="s">
        <v>496</v>
      </c>
      <c r="F62" s="11" t="s">
        <v>384</v>
      </c>
      <c r="G62" s="2"/>
      <c r="O62" s="2"/>
      <c r="P62" s="2"/>
      <c r="Q62" s="2"/>
      <c r="R62" s="2"/>
      <c r="S62" s="2"/>
      <c r="T62" s="2"/>
      <c r="U62" s="2"/>
      <c r="V62" s="2"/>
      <c r="W62" s="2"/>
    </row>
    <row r="63" spans="1:23" x14ac:dyDescent="0.2">
      <c r="A63" s="2"/>
      <c r="C63" s="2"/>
      <c r="D63" s="2"/>
      <c r="E63" s="2"/>
      <c r="F63" s="135"/>
      <c r="G63" s="2"/>
      <c r="O63" s="2"/>
      <c r="P63" s="2"/>
      <c r="Q63" s="2"/>
      <c r="R63" s="2"/>
      <c r="S63" s="2"/>
      <c r="T63" s="2"/>
      <c r="U63" s="2"/>
      <c r="V63" s="2"/>
      <c r="W63" s="2"/>
    </row>
    <row r="64" spans="1:23" x14ac:dyDescent="0.2">
      <c r="A64" s="2" t="s">
        <v>385</v>
      </c>
      <c r="C64" s="2"/>
      <c r="D64" s="206">
        <f>+'COS 1'!L369</f>
        <v>4287692.5719324257</v>
      </c>
      <c r="E64" s="2"/>
      <c r="F64" s="160">
        <f>+'COS 1'!L370</f>
        <v>0.62319999999999998</v>
      </c>
      <c r="G64" s="2"/>
      <c r="O64" s="2"/>
      <c r="P64" s="2"/>
      <c r="Q64" s="2"/>
      <c r="R64" s="2"/>
      <c r="S64" s="2"/>
      <c r="T64" s="2"/>
      <c r="U64" s="2"/>
      <c r="V64" s="2"/>
      <c r="W64" s="2"/>
    </row>
    <row r="65" spans="1:23" x14ac:dyDescent="0.2">
      <c r="A65" s="2" t="s">
        <v>386</v>
      </c>
      <c r="C65" s="2"/>
      <c r="D65" s="10">
        <f>+'COS 1'!N369</f>
        <v>1492599.1858497006</v>
      </c>
      <c r="E65" s="2"/>
      <c r="F65" s="135">
        <f>+'COS 1'!N370</f>
        <v>0.21690000000000001</v>
      </c>
      <c r="G65" s="2"/>
      <c r="O65" s="2"/>
      <c r="P65" s="2"/>
      <c r="Q65" s="2"/>
      <c r="R65" s="2"/>
      <c r="S65" s="2"/>
      <c r="T65" s="2"/>
      <c r="U65" s="2"/>
      <c r="V65" s="2"/>
      <c r="W65" s="2"/>
    </row>
    <row r="66" spans="1:23" x14ac:dyDescent="0.2">
      <c r="A66" s="2" t="s">
        <v>387</v>
      </c>
      <c r="C66" s="2"/>
      <c r="D66" s="10">
        <f>+'COS 1'!P369</f>
        <v>171026.84373847186</v>
      </c>
      <c r="E66" s="2"/>
      <c r="F66" s="135">
        <f>+'COS 1'!P370</f>
        <v>2.4899999999999999E-2</v>
      </c>
      <c r="G66" s="2"/>
      <c r="O66" s="2"/>
      <c r="P66" s="2"/>
      <c r="Q66" s="2"/>
      <c r="R66" s="2"/>
      <c r="S66" s="2"/>
      <c r="T66" s="2"/>
      <c r="U66" s="2"/>
      <c r="V66" s="2"/>
      <c r="W66" s="2"/>
    </row>
    <row r="67" spans="1:23" x14ac:dyDescent="0.2">
      <c r="A67" s="2" t="s">
        <v>389</v>
      </c>
      <c r="C67" s="2"/>
      <c r="D67" s="10">
        <f>+'COS 1'!R369</f>
        <v>456650.44071268721</v>
      </c>
      <c r="E67" s="2"/>
      <c r="F67" s="135">
        <f>+'COS 1'!R370</f>
        <v>6.6400000000000001E-2</v>
      </c>
      <c r="G67" s="2"/>
      <c r="O67" s="2"/>
      <c r="P67" s="2"/>
      <c r="Q67" s="2"/>
      <c r="R67" s="2"/>
      <c r="S67" s="2"/>
      <c r="T67" s="2"/>
      <c r="U67" s="2"/>
      <c r="V67" s="2"/>
      <c r="W67" s="2"/>
    </row>
    <row r="68" spans="1:23" ht="14.1" customHeight="1" x14ac:dyDescent="0.2">
      <c r="A68" s="2" t="s">
        <v>503</v>
      </c>
      <c r="C68" s="2"/>
      <c r="D68" s="10">
        <f>+'COS 1'!T369</f>
        <v>112008.51683589946</v>
      </c>
      <c r="E68" s="2"/>
      <c r="F68" s="135">
        <f>+'COS 1'!T370</f>
        <v>1.6299999999999999E-2</v>
      </c>
      <c r="G68" s="2"/>
      <c r="O68" s="2"/>
      <c r="P68" s="2"/>
      <c r="Q68" s="2"/>
      <c r="R68" s="2"/>
      <c r="S68" s="2"/>
      <c r="T68" s="2"/>
      <c r="U68" s="2"/>
      <c r="V68" s="2"/>
      <c r="W68" s="2"/>
    </row>
    <row r="69" spans="1:23" ht="13.35" customHeight="1" x14ac:dyDescent="0.2">
      <c r="A69" s="2" t="s">
        <v>391</v>
      </c>
      <c r="C69" s="2"/>
      <c r="D69" s="10">
        <f>+'COS 1'!V369</f>
        <v>97210.606901037856</v>
      </c>
      <c r="E69" s="2"/>
      <c r="F69" s="135">
        <f>+'COS 1'!V370</f>
        <v>1.41E-2</v>
      </c>
      <c r="G69" s="2"/>
      <c r="O69" s="2"/>
      <c r="P69" s="2"/>
      <c r="Q69" s="2"/>
      <c r="R69" s="2"/>
      <c r="S69" s="2"/>
      <c r="T69" s="2"/>
      <c r="U69" s="2"/>
      <c r="V69" s="2"/>
      <c r="W69" s="2"/>
    </row>
    <row r="70" spans="1:23" ht="13.35" customHeight="1" x14ac:dyDescent="0.2">
      <c r="A70" s="2" t="s">
        <v>392</v>
      </c>
      <c r="C70" s="2"/>
      <c r="D70" s="10">
        <f>+'COS 1'!X369</f>
        <v>263024.53117059974</v>
      </c>
      <c r="E70" s="2"/>
      <c r="F70" s="135">
        <f>+'COS 1'!X370</f>
        <v>3.8199999999999998E-2</v>
      </c>
      <c r="G70" s="2"/>
      <c r="O70" s="2"/>
      <c r="P70" s="2"/>
      <c r="Q70" s="2"/>
      <c r="R70" s="2"/>
      <c r="S70" s="2"/>
      <c r="T70" s="2"/>
      <c r="U70" s="2"/>
      <c r="V70" s="2"/>
      <c r="W70" s="2"/>
    </row>
    <row r="71" spans="1:23" ht="13.35" customHeight="1" x14ac:dyDescent="0.2">
      <c r="A71" s="2"/>
      <c r="C71" s="2"/>
      <c r="D71" s="6"/>
      <c r="E71" s="2"/>
      <c r="F71" s="7"/>
      <c r="G71" s="2"/>
      <c r="O71" s="2"/>
      <c r="P71" s="2"/>
      <c r="Q71" s="2"/>
      <c r="R71" s="2"/>
      <c r="S71" s="2"/>
      <c r="T71" s="2"/>
      <c r="U71" s="2"/>
      <c r="V71" s="2"/>
      <c r="W71" s="2"/>
    </row>
    <row r="72" spans="1:23" ht="13.35" customHeight="1" thickBot="1" x14ac:dyDescent="0.25">
      <c r="A72" s="2" t="s">
        <v>393</v>
      </c>
      <c r="C72" s="2"/>
      <c r="D72" s="207">
        <f>SUM(D64:D71)</f>
        <v>6880212.6971408222</v>
      </c>
      <c r="E72" s="2"/>
      <c r="F72" s="135">
        <f>SUM(F64:F71)</f>
        <v>1</v>
      </c>
      <c r="G72" s="2"/>
      <c r="O72" s="2"/>
      <c r="P72" s="2"/>
      <c r="Q72" s="2"/>
      <c r="R72" s="2"/>
      <c r="S72" s="2"/>
      <c r="T72" s="2"/>
      <c r="U72" s="2"/>
      <c r="V72" s="2"/>
      <c r="W72" s="2"/>
    </row>
    <row r="73" spans="1:23" ht="13.35" customHeight="1" thickTop="1" x14ac:dyDescent="0.2">
      <c r="A73" s="2"/>
      <c r="B73" s="2"/>
      <c r="C73" s="2"/>
      <c r="D73" s="153"/>
      <c r="E73" s="14"/>
      <c r="F73" s="9"/>
      <c r="G73" s="2"/>
      <c r="O73" s="2"/>
      <c r="P73" s="2"/>
      <c r="Q73" s="2"/>
      <c r="R73" s="2"/>
      <c r="S73" s="2"/>
      <c r="T73" s="2"/>
      <c r="U73" s="2"/>
      <c r="V73" s="2"/>
      <c r="W73" s="2"/>
    </row>
    <row r="74" spans="1:23" ht="13.35" customHeight="1" x14ac:dyDescent="0.2">
      <c r="A74" s="2"/>
      <c r="B74" s="2"/>
      <c r="C74" s="2"/>
      <c r="D74" s="2"/>
      <c r="E74" s="2"/>
      <c r="F74" s="2"/>
      <c r="G74" s="2"/>
      <c r="O74" s="2"/>
      <c r="P74" s="2"/>
      <c r="Q74" s="2"/>
      <c r="R74" s="2"/>
      <c r="S74" s="2"/>
      <c r="T74" s="2"/>
      <c r="U74" s="2"/>
      <c r="V74" s="2"/>
      <c r="W74" s="2"/>
    </row>
    <row r="75" spans="1:23" ht="13.35" customHeight="1" x14ac:dyDescent="0.2">
      <c r="A75" s="2"/>
      <c r="B75" s="2"/>
      <c r="C75" s="2"/>
      <c r="D75" s="2"/>
      <c r="E75" s="2"/>
      <c r="F75" s="2"/>
      <c r="G75" s="2"/>
      <c r="O75" s="2"/>
      <c r="P75" s="2"/>
      <c r="Q75" s="2"/>
      <c r="R75" s="2"/>
      <c r="S75" s="2"/>
      <c r="T75" s="2"/>
      <c r="U75" s="2"/>
      <c r="V75" s="2"/>
      <c r="W75" s="2"/>
    </row>
    <row r="76" spans="1:23" x14ac:dyDescent="0.2">
      <c r="A76" s="2" t="s">
        <v>305</v>
      </c>
      <c r="B76" s="2"/>
      <c r="C76" s="2"/>
      <c r="D76" s="2"/>
      <c r="E76" s="2"/>
      <c r="F76" s="2"/>
      <c r="G76" s="2"/>
      <c r="O76" s="2"/>
      <c r="P76" s="2"/>
      <c r="Q76" s="2"/>
      <c r="R76" s="2"/>
      <c r="S76" s="2"/>
      <c r="T76" s="2"/>
      <c r="U76" s="2"/>
      <c r="V76" s="2"/>
      <c r="W76" s="2"/>
    </row>
    <row r="77" spans="1:23" x14ac:dyDescent="0.2">
      <c r="A77" s="2" t="s">
        <v>235</v>
      </c>
      <c r="B77" s="2"/>
      <c r="C77" s="2"/>
      <c r="D77" s="2"/>
      <c r="E77" s="2"/>
      <c r="F77" s="2"/>
      <c r="G77" s="2"/>
      <c r="O77" s="2"/>
      <c r="P77" s="2"/>
      <c r="Q77" s="2"/>
      <c r="R77" s="2"/>
      <c r="S77" s="2"/>
      <c r="T77" s="2"/>
      <c r="U77" s="2"/>
      <c r="V77" s="2"/>
      <c r="W77" s="2"/>
    </row>
    <row r="78" spans="1:23" x14ac:dyDescent="0.2">
      <c r="A78" s="2"/>
      <c r="B78" s="2"/>
      <c r="C78" s="2"/>
      <c r="D78" s="2"/>
      <c r="E78" s="2"/>
      <c r="F78" s="2"/>
      <c r="G78" s="2"/>
      <c r="O78" s="2"/>
      <c r="P78" s="2"/>
      <c r="Q78" s="2"/>
      <c r="R78" s="2"/>
      <c r="S78" s="2"/>
      <c r="T78" s="2"/>
      <c r="U78" s="2"/>
      <c r="V78" s="2"/>
      <c r="W78" s="2"/>
    </row>
    <row r="79" spans="1:23" ht="28.35" customHeight="1" x14ac:dyDescent="0.2">
      <c r="A79" s="656" t="s">
        <v>554</v>
      </c>
      <c r="B79" s="656"/>
      <c r="C79" s="656"/>
      <c r="D79" s="656"/>
      <c r="E79" s="656"/>
      <c r="F79" s="656"/>
      <c r="G79" s="2"/>
      <c r="O79" s="2"/>
      <c r="P79" s="2"/>
      <c r="Q79" s="2"/>
      <c r="R79" s="2"/>
      <c r="S79" s="2"/>
      <c r="T79" s="2"/>
      <c r="U79" s="2"/>
      <c r="V79" s="2"/>
      <c r="W79" s="2"/>
    </row>
    <row r="80" spans="1:23" x14ac:dyDescent="0.2">
      <c r="A80" s="2"/>
      <c r="B80" s="2"/>
      <c r="C80" s="2"/>
      <c r="D80" s="2"/>
      <c r="E80" s="2"/>
      <c r="F80" s="2"/>
      <c r="G80" s="2"/>
      <c r="O80" s="2"/>
      <c r="P80" s="2"/>
      <c r="Q80" s="2"/>
      <c r="R80" s="2"/>
      <c r="S80" s="2"/>
      <c r="T80" s="2"/>
      <c r="U80" s="2"/>
      <c r="V80" s="2"/>
      <c r="W80" s="2"/>
    </row>
    <row r="81" spans="1:23" x14ac:dyDescent="0.2">
      <c r="A81" s="2"/>
      <c r="B81" s="2"/>
      <c r="C81" s="2"/>
      <c r="D81" s="12" t="s">
        <v>555</v>
      </c>
      <c r="E81" s="12"/>
      <c r="F81" s="12"/>
      <c r="G81" s="2"/>
      <c r="O81" s="2"/>
      <c r="P81" s="2"/>
      <c r="Q81" s="2"/>
      <c r="R81" s="2"/>
      <c r="S81" s="2"/>
      <c r="T81" s="2"/>
      <c r="U81" s="2"/>
      <c r="V81" s="2"/>
      <c r="W81" s="2"/>
    </row>
    <row r="82" spans="1:23" x14ac:dyDescent="0.2">
      <c r="A82" s="1" t="s">
        <v>377</v>
      </c>
      <c r="B82" s="37"/>
      <c r="C82" s="2"/>
      <c r="D82" s="12" t="s">
        <v>556</v>
      </c>
      <c r="E82" s="12"/>
      <c r="F82" s="12" t="s">
        <v>379</v>
      </c>
      <c r="G82" s="2"/>
      <c r="O82" s="2"/>
      <c r="P82" s="2"/>
      <c r="Q82" s="2"/>
      <c r="R82" s="2"/>
      <c r="S82" s="2"/>
      <c r="T82" s="2"/>
      <c r="U82" s="2"/>
      <c r="V82" s="2"/>
      <c r="W82" s="2"/>
    </row>
    <row r="83" spans="1:23" x14ac:dyDescent="0.2">
      <c r="A83" s="1" t="s">
        <v>380</v>
      </c>
      <c r="B83" s="37"/>
      <c r="C83" s="2"/>
      <c r="D83" s="12" t="s">
        <v>557</v>
      </c>
      <c r="E83" s="12"/>
      <c r="F83" s="12" t="s">
        <v>381</v>
      </c>
      <c r="G83" s="2"/>
      <c r="O83" s="2"/>
      <c r="P83" s="2"/>
      <c r="Q83" s="2"/>
      <c r="R83" s="2"/>
      <c r="S83" s="2"/>
      <c r="T83" s="2"/>
      <c r="U83" s="2"/>
      <c r="V83" s="2"/>
      <c r="W83" s="2"/>
    </row>
    <row r="84" spans="1:23" x14ac:dyDescent="0.2">
      <c r="A84" s="3" t="s">
        <v>382</v>
      </c>
      <c r="B84" s="134"/>
      <c r="C84" s="2"/>
      <c r="D84" s="11" t="s">
        <v>272</v>
      </c>
      <c r="E84" s="12" t="s">
        <v>496</v>
      </c>
      <c r="F84" s="11" t="s">
        <v>384</v>
      </c>
      <c r="G84" s="2"/>
      <c r="O84" s="2"/>
      <c r="P84" s="2"/>
      <c r="Q84" s="2"/>
      <c r="R84" s="2"/>
      <c r="S84" s="2"/>
      <c r="T84" s="2"/>
      <c r="U84" s="2"/>
      <c r="V84" s="2"/>
      <c r="W84" s="2"/>
    </row>
    <row r="85" spans="1:23" x14ac:dyDescent="0.2">
      <c r="A85" s="2"/>
      <c r="C85" s="2"/>
      <c r="D85" s="2"/>
      <c r="E85" s="2"/>
      <c r="F85" s="135"/>
      <c r="G85" s="2"/>
      <c r="O85" s="2"/>
      <c r="P85" s="2"/>
      <c r="Q85" s="2"/>
      <c r="R85" s="2"/>
      <c r="S85" s="2"/>
      <c r="T85" s="2"/>
      <c r="U85" s="2"/>
      <c r="V85" s="2"/>
      <c r="W85" s="2"/>
    </row>
    <row r="86" spans="1:23" x14ac:dyDescent="0.2">
      <c r="A86" s="2" t="s">
        <v>385</v>
      </c>
      <c r="C86" s="2"/>
      <c r="D86" s="206">
        <f>+'COS 1'!L371</f>
        <v>221816019.62224755</v>
      </c>
      <c r="E86" s="2"/>
      <c r="F86" s="160">
        <f>+'COS 1'!L372</f>
        <v>0.51459999999999995</v>
      </c>
      <c r="G86" s="2"/>
      <c r="O86" s="2"/>
      <c r="P86" s="2"/>
      <c r="Q86" s="2"/>
      <c r="R86" s="2"/>
      <c r="S86" s="2"/>
      <c r="T86" s="2"/>
      <c r="U86" s="2"/>
      <c r="V86" s="2"/>
      <c r="W86" s="2"/>
    </row>
    <row r="87" spans="1:23" x14ac:dyDescent="0.2">
      <c r="A87" s="2" t="s">
        <v>386</v>
      </c>
      <c r="C87" s="2"/>
      <c r="D87" s="10">
        <f>+'COS 1'!N371</f>
        <v>112074524.5105101</v>
      </c>
      <c r="E87" s="2"/>
      <c r="F87" s="135">
        <f>+'COS 1'!N372</f>
        <v>0.26</v>
      </c>
      <c r="G87" s="2"/>
      <c r="O87" s="2"/>
      <c r="P87" s="2"/>
      <c r="Q87" s="2"/>
      <c r="R87" s="2"/>
      <c r="S87" s="2"/>
      <c r="T87" s="2"/>
      <c r="U87" s="2"/>
      <c r="V87" s="2"/>
      <c r="W87" s="2"/>
    </row>
    <row r="88" spans="1:23" x14ac:dyDescent="0.2">
      <c r="A88" s="2" t="s">
        <v>387</v>
      </c>
      <c r="C88" s="2"/>
      <c r="D88" s="10">
        <f>+'COS 1'!P371</f>
        <v>14658904.150040776</v>
      </c>
      <c r="E88" s="2"/>
      <c r="F88" s="135">
        <f>+'COS 1'!P372</f>
        <v>3.4000000000000002E-2</v>
      </c>
      <c r="G88" s="2"/>
      <c r="O88" s="2"/>
      <c r="P88" s="2"/>
      <c r="Q88" s="2"/>
      <c r="R88" s="2"/>
      <c r="S88" s="2"/>
      <c r="T88" s="2"/>
      <c r="U88" s="2"/>
      <c r="V88" s="2"/>
      <c r="W88" s="2"/>
    </row>
    <row r="89" spans="1:23" x14ac:dyDescent="0.2">
      <c r="A89" s="2" t="s">
        <v>389</v>
      </c>
      <c r="C89" s="2"/>
      <c r="D89" s="10">
        <f>+'COS 1'!R371</f>
        <v>37036207.420502722</v>
      </c>
      <c r="E89" s="2"/>
      <c r="F89" s="135">
        <f>+'COS 1'!R372</f>
        <v>8.5900000000000004E-2</v>
      </c>
      <c r="G89" s="2"/>
      <c r="O89" s="2"/>
      <c r="P89" s="2"/>
      <c r="Q89" s="2"/>
      <c r="R89" s="2"/>
      <c r="S89" s="2"/>
      <c r="T89" s="2"/>
      <c r="U89" s="2"/>
      <c r="V89" s="2"/>
      <c r="W89" s="2"/>
    </row>
    <row r="90" spans="1:23" ht="14.1" customHeight="1" x14ac:dyDescent="0.2">
      <c r="A90" s="2" t="s">
        <v>503</v>
      </c>
      <c r="C90" s="2"/>
      <c r="D90" s="10">
        <f>+'COS 1'!T371</f>
        <v>9000463.4806010183</v>
      </c>
      <c r="E90" s="2"/>
      <c r="F90" s="135">
        <f>+'COS 1'!T372</f>
        <v>2.0899999999999998E-2</v>
      </c>
      <c r="G90" s="2"/>
      <c r="O90" s="2"/>
      <c r="P90" s="2"/>
      <c r="Q90" s="2"/>
      <c r="R90" s="2"/>
      <c r="S90" s="2"/>
      <c r="T90" s="2"/>
      <c r="U90" s="2"/>
      <c r="V90" s="2"/>
      <c r="W90" s="2"/>
    </row>
    <row r="91" spans="1:23" ht="13.35" customHeight="1" x14ac:dyDescent="0.2">
      <c r="A91" s="2" t="s">
        <v>391</v>
      </c>
      <c r="C91" s="2"/>
      <c r="D91" s="10">
        <f>+'COS 1'!V371</f>
        <v>12605829.754313206</v>
      </c>
      <c r="E91" s="2"/>
      <c r="F91" s="135">
        <f>+'COS 1'!V372</f>
        <v>2.92E-2</v>
      </c>
      <c r="G91" s="2"/>
      <c r="O91" s="2"/>
      <c r="P91" s="2"/>
      <c r="Q91" s="2"/>
      <c r="R91" s="2"/>
      <c r="S91" s="2"/>
      <c r="T91" s="2"/>
      <c r="U91" s="2"/>
      <c r="V91" s="2"/>
      <c r="W91" s="2"/>
    </row>
    <row r="92" spans="1:23" ht="13.35" customHeight="1" x14ac:dyDescent="0.2">
      <c r="A92" s="2" t="s">
        <v>392</v>
      </c>
      <c r="C92" s="2"/>
      <c r="D92" s="10">
        <f>+'COS 1'!X371</f>
        <v>23819604.166837383</v>
      </c>
      <c r="E92" s="2"/>
      <c r="F92" s="135">
        <f>+'COS 1'!X372</f>
        <v>5.5300000000000002E-2</v>
      </c>
      <c r="G92" s="2"/>
      <c r="O92" s="2"/>
      <c r="P92" s="2"/>
      <c r="Q92" s="2"/>
      <c r="R92" s="2"/>
      <c r="S92" s="2"/>
      <c r="T92" s="2"/>
      <c r="U92" s="2"/>
      <c r="V92" s="2"/>
      <c r="W92" s="2"/>
    </row>
    <row r="93" spans="1:23" ht="13.35" customHeight="1" x14ac:dyDescent="0.2">
      <c r="A93" s="2"/>
      <c r="C93" s="2"/>
      <c r="D93" s="6"/>
      <c r="E93" s="2"/>
      <c r="F93" s="7"/>
      <c r="G93" s="2"/>
      <c r="O93" s="2"/>
      <c r="P93" s="2"/>
      <c r="Q93" s="2"/>
      <c r="R93" s="2"/>
      <c r="S93" s="2"/>
      <c r="T93" s="2"/>
      <c r="U93" s="2"/>
      <c r="V93" s="2"/>
      <c r="W93" s="2"/>
    </row>
    <row r="94" spans="1:23" ht="13.35" customHeight="1" thickBot="1" x14ac:dyDescent="0.25">
      <c r="A94" s="2" t="s">
        <v>393</v>
      </c>
      <c r="C94" s="2"/>
      <c r="D94" s="207">
        <f>SUM(D86:D93)</f>
        <v>431011553.10505277</v>
      </c>
      <c r="E94" s="2"/>
      <c r="F94" s="135">
        <f>SUM(F86:F93)</f>
        <v>0.99990000000000001</v>
      </c>
      <c r="G94" s="2"/>
      <c r="O94" s="2"/>
      <c r="P94" s="2"/>
      <c r="Q94" s="2"/>
      <c r="R94" s="2"/>
      <c r="S94" s="2"/>
      <c r="T94" s="2"/>
      <c r="U94" s="2"/>
      <c r="V94" s="2"/>
      <c r="W94" s="2"/>
    </row>
    <row r="95" spans="1:23" ht="13.35" customHeight="1" thickTop="1" x14ac:dyDescent="0.2">
      <c r="A95" s="2"/>
      <c r="B95" s="2"/>
      <c r="C95" s="2"/>
      <c r="D95" s="153"/>
      <c r="E95" s="14"/>
      <c r="F95" s="9"/>
      <c r="G95" s="2"/>
      <c r="O95" s="2"/>
      <c r="P95" s="2"/>
      <c r="Q95" s="2"/>
      <c r="R95" s="2"/>
      <c r="S95" s="2"/>
      <c r="T95" s="2"/>
      <c r="U95" s="2"/>
      <c r="V95" s="2"/>
      <c r="W95" s="2"/>
    </row>
    <row r="96" spans="1:23" x14ac:dyDescent="0.2">
      <c r="A96" s="37" t="s">
        <v>78</v>
      </c>
      <c r="B96" s="1"/>
      <c r="C96" s="37"/>
      <c r="D96" s="1"/>
      <c r="E96" s="1"/>
      <c r="F96" s="1"/>
      <c r="G96" s="2"/>
      <c r="O96" s="2"/>
      <c r="P96" s="2"/>
      <c r="Q96" s="2"/>
      <c r="R96" s="2"/>
      <c r="S96" s="2"/>
      <c r="T96" s="2"/>
      <c r="U96" s="2"/>
      <c r="V96" s="2"/>
      <c r="W96" s="2"/>
    </row>
    <row r="97" spans="1:23" x14ac:dyDescent="0.2">
      <c r="A97" s="178"/>
      <c r="B97" s="1"/>
      <c r="C97" s="37"/>
      <c r="D97" s="1"/>
      <c r="E97" s="1"/>
      <c r="F97" s="1"/>
      <c r="G97" s="2"/>
      <c r="O97" s="2"/>
      <c r="P97" s="2"/>
      <c r="Q97" s="2"/>
      <c r="R97" s="2"/>
      <c r="S97" s="2"/>
      <c r="T97" s="2"/>
      <c r="U97" s="2"/>
      <c r="V97" s="2"/>
      <c r="W97" s="2"/>
    </row>
    <row r="98" spans="1:23" x14ac:dyDescent="0.2">
      <c r="A98" s="1"/>
      <c r="B98" s="1"/>
      <c r="C98" s="1"/>
      <c r="D98" s="1"/>
      <c r="E98" s="1"/>
      <c r="F98" s="1"/>
      <c r="G98" s="2"/>
      <c r="O98" s="2"/>
      <c r="P98" s="2"/>
      <c r="Q98" s="2"/>
      <c r="R98" s="2"/>
      <c r="S98" s="2"/>
      <c r="T98" s="2"/>
      <c r="U98" s="2"/>
      <c r="V98" s="2"/>
      <c r="W98" s="2"/>
    </row>
    <row r="99" spans="1:23" x14ac:dyDescent="0.2">
      <c r="A99" s="1" t="s">
        <v>181</v>
      </c>
      <c r="B99" s="1"/>
      <c r="C99" s="1"/>
      <c r="D99" s="1"/>
      <c r="E99" s="1"/>
      <c r="F99" s="1"/>
      <c r="G99" s="2"/>
      <c r="O99" s="2"/>
      <c r="P99" s="2"/>
      <c r="Q99" s="2"/>
      <c r="R99" s="2"/>
      <c r="S99" s="2"/>
      <c r="T99" s="2"/>
      <c r="U99" s="2"/>
      <c r="V99" s="2"/>
      <c r="W99" s="2"/>
    </row>
    <row r="100" spans="1:23" x14ac:dyDescent="0.2">
      <c r="A100" s="2"/>
      <c r="B100" s="2"/>
      <c r="C100" s="2"/>
      <c r="D100" s="2"/>
      <c r="E100" s="2"/>
      <c r="F100" s="2"/>
      <c r="G100" s="2"/>
      <c r="H100" s="2"/>
      <c r="I100" s="2"/>
      <c r="J100" s="2"/>
      <c r="K100" s="2"/>
      <c r="L100" s="2"/>
      <c r="M100" s="2"/>
      <c r="N100" s="2"/>
      <c r="O100" s="2"/>
      <c r="P100" s="2"/>
      <c r="Q100" s="2"/>
      <c r="R100" s="2"/>
      <c r="S100" s="2"/>
      <c r="T100" s="2"/>
      <c r="U100" s="135"/>
      <c r="V100" s="2"/>
      <c r="W100" s="2"/>
    </row>
    <row r="101" spans="1:23" x14ac:dyDescent="0.2">
      <c r="A101" s="2"/>
      <c r="B101" s="2"/>
      <c r="C101" s="2"/>
      <c r="D101" s="2"/>
      <c r="E101" s="2"/>
      <c r="F101" s="2"/>
      <c r="G101" s="2"/>
      <c r="H101" s="2"/>
      <c r="I101" s="2"/>
      <c r="J101" s="2"/>
      <c r="K101" s="2"/>
      <c r="L101" s="2"/>
      <c r="M101" s="2"/>
      <c r="N101" s="2"/>
      <c r="O101" s="2"/>
      <c r="P101" s="2"/>
      <c r="Q101" s="2"/>
      <c r="R101" s="2"/>
      <c r="S101" s="10"/>
      <c r="T101" s="2"/>
      <c r="U101" s="135"/>
      <c r="V101" s="2"/>
      <c r="W101" s="2"/>
    </row>
    <row r="102" spans="1:23" x14ac:dyDescent="0.2">
      <c r="A102" s="2" t="s">
        <v>306</v>
      </c>
      <c r="B102" s="2"/>
      <c r="C102" s="2"/>
      <c r="D102" s="2"/>
      <c r="E102" s="2"/>
      <c r="F102" s="2"/>
      <c r="G102" s="2"/>
      <c r="H102" s="2"/>
      <c r="I102" s="2"/>
      <c r="J102" s="2"/>
      <c r="K102" s="2"/>
      <c r="L102" s="2"/>
      <c r="M102" s="2"/>
      <c r="N102" s="2"/>
      <c r="O102" s="2"/>
      <c r="P102" s="2"/>
      <c r="Q102" s="2"/>
      <c r="R102" s="2"/>
      <c r="S102" s="10"/>
      <c r="T102" s="2"/>
      <c r="U102" s="135"/>
      <c r="V102" s="2"/>
      <c r="W102" s="2"/>
    </row>
    <row r="103" spans="1:23" x14ac:dyDescent="0.2">
      <c r="A103" s="2"/>
      <c r="B103" s="2"/>
      <c r="C103" s="2"/>
      <c r="D103" s="2"/>
      <c r="E103" s="2"/>
      <c r="F103" s="2"/>
      <c r="G103" s="2"/>
      <c r="H103" s="2"/>
      <c r="I103" s="2"/>
      <c r="J103" s="2"/>
      <c r="K103" s="2"/>
      <c r="L103" s="2"/>
      <c r="M103" s="2"/>
      <c r="N103" s="2"/>
      <c r="O103" s="2"/>
      <c r="P103" s="2"/>
      <c r="Q103" s="2"/>
      <c r="R103" s="2"/>
      <c r="S103" s="10"/>
      <c r="T103" s="2"/>
      <c r="U103" s="135"/>
      <c r="V103" s="2"/>
      <c r="W103" s="2"/>
    </row>
    <row r="104" spans="1:23" ht="28.35" customHeight="1" x14ac:dyDescent="0.2">
      <c r="A104" s="656" t="s">
        <v>454</v>
      </c>
      <c r="B104" s="656"/>
      <c r="C104" s="656"/>
      <c r="D104" s="656"/>
      <c r="E104" s="656"/>
      <c r="F104" s="656"/>
      <c r="G104" s="2"/>
      <c r="H104" s="2"/>
      <c r="I104" s="2"/>
      <c r="J104" s="2"/>
      <c r="K104" s="2"/>
      <c r="L104" s="2"/>
      <c r="M104" s="2"/>
      <c r="N104" s="2"/>
      <c r="O104" s="2"/>
      <c r="P104" s="2"/>
      <c r="Q104" s="2"/>
      <c r="R104" s="2"/>
      <c r="S104" s="10"/>
      <c r="T104" s="2"/>
      <c r="U104" s="135"/>
      <c r="V104" s="2"/>
      <c r="W104" s="2"/>
    </row>
    <row r="105" spans="1:23" x14ac:dyDescent="0.2">
      <c r="A105" s="2"/>
      <c r="B105" s="2"/>
      <c r="C105" s="2"/>
      <c r="D105" s="2"/>
      <c r="E105" s="2"/>
      <c r="F105" s="2"/>
      <c r="G105" s="2"/>
      <c r="H105" s="2"/>
      <c r="I105" s="2"/>
      <c r="J105" s="2"/>
      <c r="K105" s="2"/>
      <c r="L105" s="2"/>
      <c r="M105" s="2"/>
      <c r="N105" s="2"/>
      <c r="O105" s="2"/>
    </row>
    <row r="106" spans="1:23" x14ac:dyDescent="0.2">
      <c r="A106" s="2"/>
      <c r="B106" s="2"/>
      <c r="C106" s="2"/>
      <c r="D106" s="12" t="s">
        <v>555</v>
      </c>
      <c r="E106" s="12"/>
      <c r="F106" s="12"/>
      <c r="G106" s="2"/>
      <c r="H106" s="2"/>
      <c r="I106" s="2"/>
      <c r="J106" s="2"/>
      <c r="K106" s="2"/>
      <c r="L106" s="2"/>
      <c r="M106" s="2"/>
      <c r="N106" s="2"/>
      <c r="O106" s="2"/>
    </row>
    <row r="107" spans="1:23" x14ac:dyDescent="0.2">
      <c r="A107" s="1" t="s">
        <v>377</v>
      </c>
      <c r="B107" s="37"/>
      <c r="C107" s="2"/>
      <c r="D107" s="12" t="s">
        <v>455</v>
      </c>
      <c r="E107" s="12"/>
      <c r="F107" s="12" t="s">
        <v>379</v>
      </c>
      <c r="G107" s="2"/>
      <c r="H107" s="2"/>
      <c r="I107" s="2"/>
      <c r="J107" s="2"/>
      <c r="K107" s="2"/>
      <c r="L107" s="2"/>
      <c r="M107" s="2"/>
      <c r="N107" s="2"/>
      <c r="O107" s="2"/>
    </row>
    <row r="108" spans="1:23" x14ac:dyDescent="0.2">
      <c r="A108" s="1" t="s">
        <v>380</v>
      </c>
      <c r="B108" s="37"/>
      <c r="C108" s="2"/>
      <c r="D108" s="12" t="s">
        <v>456</v>
      </c>
      <c r="E108" s="12"/>
      <c r="F108" s="12" t="s">
        <v>381</v>
      </c>
      <c r="G108" s="2"/>
      <c r="H108" s="2"/>
      <c r="I108" s="2"/>
      <c r="J108" s="2"/>
      <c r="K108" s="2"/>
      <c r="L108" s="2"/>
      <c r="M108" s="2"/>
      <c r="N108" s="2"/>
      <c r="O108" s="2"/>
    </row>
    <row r="109" spans="1:23" x14ac:dyDescent="0.2">
      <c r="A109" s="3" t="s">
        <v>382</v>
      </c>
      <c r="B109" s="134"/>
      <c r="C109" s="2"/>
      <c r="D109" s="11" t="s">
        <v>272</v>
      </c>
      <c r="E109" s="12" t="s">
        <v>496</v>
      </c>
      <c r="F109" s="11" t="s">
        <v>384</v>
      </c>
      <c r="G109" s="2"/>
      <c r="H109" s="2"/>
      <c r="I109" s="2"/>
      <c r="J109" s="2"/>
      <c r="K109" s="2"/>
      <c r="L109" s="2"/>
      <c r="M109" s="2"/>
      <c r="N109" s="2"/>
      <c r="O109" s="2"/>
    </row>
    <row r="110" spans="1:23" x14ac:dyDescent="0.2">
      <c r="A110" s="2"/>
      <c r="C110" s="2"/>
      <c r="D110" s="2"/>
      <c r="E110" s="2"/>
      <c r="F110" s="135"/>
      <c r="G110" s="2"/>
      <c r="H110" s="2"/>
      <c r="I110" s="2"/>
      <c r="J110" s="2"/>
      <c r="K110" s="2"/>
      <c r="L110" s="2"/>
      <c r="M110" s="2"/>
      <c r="N110" s="2"/>
      <c r="O110" s="2"/>
    </row>
    <row r="111" spans="1:23" x14ac:dyDescent="0.2">
      <c r="A111" s="2" t="s">
        <v>385</v>
      </c>
      <c r="C111" s="2"/>
      <c r="D111" s="206">
        <f ca="1">+'COS 1'!L373</f>
        <v>194112160.80196661</v>
      </c>
      <c r="E111" s="2"/>
      <c r="F111" s="160">
        <f ca="1">+'COS 1'!L374</f>
        <v>0.51339999999999997</v>
      </c>
      <c r="G111" s="2"/>
      <c r="H111" s="2"/>
      <c r="I111" s="2"/>
      <c r="J111" s="2"/>
      <c r="K111" s="2"/>
      <c r="L111" s="2"/>
      <c r="M111" s="2"/>
      <c r="N111" s="2"/>
      <c r="O111" s="2"/>
    </row>
    <row r="112" spans="1:23" x14ac:dyDescent="0.2">
      <c r="A112" s="2" t="s">
        <v>386</v>
      </c>
      <c r="C112" s="2"/>
      <c r="D112" s="10">
        <f ca="1">+'COS 1'!N373</f>
        <v>98373822.631877363</v>
      </c>
      <c r="E112" s="2"/>
      <c r="F112" s="135">
        <f ca="1">+'COS 1'!N374</f>
        <v>0.26019999999999999</v>
      </c>
      <c r="G112" s="2"/>
      <c r="H112" s="2"/>
      <c r="I112" s="2"/>
      <c r="J112" s="2"/>
      <c r="K112" s="2"/>
      <c r="L112" s="2"/>
      <c r="M112" s="2"/>
      <c r="N112" s="2"/>
      <c r="O112" s="2"/>
    </row>
    <row r="113" spans="1:15" x14ac:dyDescent="0.2">
      <c r="A113" s="2" t="s">
        <v>387</v>
      </c>
      <c r="C113" s="2"/>
      <c r="D113" s="10">
        <f ca="1">+'COS 1'!P373</f>
        <v>12868433.416628802</v>
      </c>
      <c r="E113" s="2"/>
      <c r="F113" s="135">
        <f ca="1">+'COS 1'!P374</f>
        <v>3.4000000000000002E-2</v>
      </c>
      <c r="G113" s="2"/>
      <c r="H113" s="2"/>
      <c r="I113" s="2"/>
      <c r="J113" s="2"/>
      <c r="K113" s="2"/>
      <c r="L113" s="2"/>
      <c r="M113" s="2"/>
      <c r="N113" s="2"/>
      <c r="O113" s="2"/>
    </row>
    <row r="114" spans="1:15" x14ac:dyDescent="0.2">
      <c r="A114" s="2" t="s">
        <v>389</v>
      </c>
      <c r="C114" s="2"/>
      <c r="D114" s="10">
        <f ca="1">+'COS 1'!R373</f>
        <v>32488449.887948062</v>
      </c>
      <c r="E114" s="2"/>
      <c r="F114" s="135">
        <f ca="1">+'COS 1'!R374</f>
        <v>8.5900000000000004E-2</v>
      </c>
      <c r="G114" s="2"/>
      <c r="H114" s="2"/>
      <c r="I114" s="2"/>
      <c r="J114" s="2"/>
      <c r="K114" s="2"/>
      <c r="L114" s="2"/>
      <c r="M114" s="2"/>
      <c r="N114" s="2"/>
      <c r="O114" s="2"/>
    </row>
    <row r="115" spans="1:15" x14ac:dyDescent="0.2">
      <c r="A115" s="2" t="s">
        <v>503</v>
      </c>
      <c r="C115" s="2"/>
      <c r="D115" s="10">
        <f ca="1">+'COS 1'!T373</f>
        <v>7918239.0794545421</v>
      </c>
      <c r="E115" s="2"/>
      <c r="F115" s="135">
        <f ca="1">+'COS 1'!T374</f>
        <v>2.0899999999999998E-2</v>
      </c>
      <c r="G115" s="2"/>
      <c r="H115" s="2"/>
      <c r="I115" s="2"/>
      <c r="J115" s="2"/>
      <c r="K115" s="2"/>
      <c r="L115" s="2"/>
      <c r="M115" s="2"/>
      <c r="N115" s="2"/>
      <c r="O115" s="2"/>
    </row>
    <row r="116" spans="1:15" x14ac:dyDescent="0.2">
      <c r="A116" s="2" t="s">
        <v>391</v>
      </c>
      <c r="C116" s="2"/>
      <c r="D116" s="10">
        <f ca="1">+'COS 1'!V373</f>
        <v>11300620.760266451</v>
      </c>
      <c r="E116" s="2"/>
      <c r="F116" s="135">
        <f ca="1">+'COS 1'!V374</f>
        <v>2.9899999999999999E-2</v>
      </c>
      <c r="G116" s="2"/>
      <c r="H116" s="2"/>
      <c r="I116" s="2"/>
      <c r="J116" s="2"/>
      <c r="K116" s="2"/>
      <c r="L116" s="2"/>
      <c r="M116" s="2"/>
      <c r="N116" s="2"/>
      <c r="O116" s="2"/>
    </row>
    <row r="117" spans="1:15" x14ac:dyDescent="0.2">
      <c r="A117" s="2" t="s">
        <v>392</v>
      </c>
      <c r="C117" s="2"/>
      <c r="D117" s="10">
        <f ca="1">+'COS 1'!X373</f>
        <v>21064731.888323501</v>
      </c>
      <c r="E117" s="2"/>
      <c r="F117" s="135">
        <f ca="1">+'COS 1'!X374</f>
        <v>5.57E-2</v>
      </c>
      <c r="G117" s="2"/>
      <c r="H117" s="2"/>
      <c r="I117" s="2"/>
      <c r="J117" s="2"/>
      <c r="K117" s="2"/>
      <c r="L117" s="2"/>
      <c r="M117" s="2"/>
      <c r="N117" s="2"/>
      <c r="O117" s="2"/>
    </row>
    <row r="118" spans="1:15" ht="12.75" customHeight="1" x14ac:dyDescent="0.2">
      <c r="A118" s="2"/>
      <c r="C118" s="2"/>
      <c r="D118" s="6"/>
      <c r="E118" s="2"/>
      <c r="F118" s="7"/>
      <c r="G118" s="2"/>
      <c r="H118" s="2"/>
      <c r="I118" s="2"/>
      <c r="J118" s="2"/>
      <c r="K118" s="2"/>
      <c r="L118" s="2"/>
      <c r="M118" s="2"/>
      <c r="N118" s="2"/>
      <c r="O118" s="2"/>
    </row>
    <row r="119" spans="1:15" ht="13.35" customHeight="1" thickBot="1" x14ac:dyDescent="0.25">
      <c r="A119" s="2" t="s">
        <v>393</v>
      </c>
      <c r="C119" s="2"/>
      <c r="D119" s="207">
        <f ca="1">SUM(D111:D118)</f>
        <v>378126458.46646523</v>
      </c>
      <c r="E119" s="2"/>
      <c r="F119" s="135">
        <f ca="1">SUM(F111:F118)</f>
        <v>1</v>
      </c>
      <c r="G119" s="2"/>
      <c r="H119" s="2"/>
      <c r="I119" s="2"/>
      <c r="J119" s="2"/>
      <c r="K119" s="2"/>
      <c r="L119" s="2"/>
      <c r="M119" s="2"/>
      <c r="N119" s="2"/>
      <c r="O119" s="2"/>
    </row>
    <row r="120" spans="1:15" ht="13.35" customHeight="1" thickTop="1" x14ac:dyDescent="0.2">
      <c r="A120" s="2"/>
      <c r="B120" s="2"/>
      <c r="C120" s="2"/>
      <c r="D120" s="153"/>
      <c r="E120" s="14"/>
      <c r="F120" s="9"/>
      <c r="G120" s="2"/>
      <c r="H120" s="2"/>
      <c r="I120" s="2"/>
      <c r="J120" s="2"/>
      <c r="K120" s="2"/>
      <c r="L120" s="2"/>
      <c r="M120" s="2"/>
      <c r="N120" s="2"/>
      <c r="O120" s="2"/>
    </row>
    <row r="121" spans="1:15" ht="13.35" customHeight="1" x14ac:dyDescent="0.2">
      <c r="A121" s="2"/>
      <c r="B121" s="2"/>
      <c r="C121" s="2"/>
      <c r="D121" s="2"/>
      <c r="E121" s="2"/>
      <c r="F121" s="2"/>
      <c r="G121" s="2"/>
      <c r="H121" s="2"/>
      <c r="I121" s="2"/>
      <c r="J121" s="2"/>
      <c r="K121" s="2"/>
      <c r="L121" s="2"/>
      <c r="M121" s="2"/>
      <c r="N121" s="2"/>
      <c r="O121" s="2"/>
    </row>
    <row r="122" spans="1:15" ht="13.35" customHeight="1" x14ac:dyDescent="0.2">
      <c r="A122" s="2" t="s">
        <v>307</v>
      </c>
      <c r="B122" s="2"/>
      <c r="C122" s="2"/>
      <c r="D122" s="2"/>
      <c r="E122" s="2"/>
      <c r="F122" s="2"/>
      <c r="G122" s="2"/>
      <c r="H122" s="2"/>
      <c r="I122" s="2"/>
      <c r="J122" s="2"/>
      <c r="K122" s="2"/>
      <c r="L122" s="2"/>
      <c r="M122" s="2"/>
      <c r="N122" s="2"/>
      <c r="O122" s="2"/>
    </row>
    <row r="123" spans="1:15" ht="13.35" customHeight="1" x14ac:dyDescent="0.2">
      <c r="A123" s="2" t="s">
        <v>691</v>
      </c>
      <c r="B123" s="2"/>
      <c r="C123" s="2"/>
      <c r="D123" s="2"/>
      <c r="E123" s="2"/>
      <c r="F123" s="2"/>
      <c r="G123" s="2"/>
      <c r="H123" s="2"/>
      <c r="I123" s="2"/>
      <c r="J123" s="2"/>
      <c r="K123" s="2"/>
      <c r="L123" s="2"/>
      <c r="M123" s="2"/>
      <c r="N123" s="2"/>
      <c r="O123" s="2"/>
    </row>
    <row r="124" spans="1:15" ht="13.35" customHeight="1" x14ac:dyDescent="0.2">
      <c r="A124" s="2"/>
      <c r="B124" s="2"/>
      <c r="C124" s="2"/>
      <c r="D124" s="2"/>
      <c r="E124" s="2"/>
      <c r="F124" s="2"/>
      <c r="G124" s="2"/>
      <c r="H124" s="2"/>
      <c r="I124" s="2"/>
      <c r="J124" s="2"/>
      <c r="K124" s="2"/>
      <c r="L124" s="2"/>
      <c r="M124" s="2"/>
      <c r="N124" s="2"/>
      <c r="O124" s="2"/>
    </row>
    <row r="125" spans="1:15" ht="29.25" customHeight="1" x14ac:dyDescent="0.2">
      <c r="A125" s="656" t="s">
        <v>558</v>
      </c>
      <c r="B125" s="656"/>
      <c r="C125" s="656"/>
      <c r="D125" s="656"/>
      <c r="E125" s="656"/>
      <c r="F125" s="656"/>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1" t="s">
        <v>377</v>
      </c>
      <c r="B127" s="37"/>
      <c r="C127" s="2"/>
      <c r="D127" s="12" t="s">
        <v>559</v>
      </c>
      <c r="E127" s="12"/>
      <c r="F127" s="12" t="s">
        <v>379</v>
      </c>
      <c r="G127" s="2"/>
      <c r="H127" s="2"/>
      <c r="I127" s="2"/>
      <c r="J127" s="2"/>
      <c r="K127" s="2"/>
      <c r="L127" s="2"/>
      <c r="M127" s="2"/>
      <c r="N127" s="2"/>
      <c r="O127" s="2"/>
    </row>
    <row r="128" spans="1:15" x14ac:dyDescent="0.2">
      <c r="A128" s="1" t="s">
        <v>380</v>
      </c>
      <c r="B128" s="37"/>
      <c r="C128" s="2"/>
      <c r="D128" s="12" t="s">
        <v>560</v>
      </c>
      <c r="E128" s="12"/>
      <c r="F128" s="12" t="s">
        <v>381</v>
      </c>
      <c r="G128" s="2"/>
      <c r="H128" s="2"/>
      <c r="I128" s="2"/>
      <c r="J128" s="2"/>
      <c r="K128" s="2"/>
      <c r="L128" s="2"/>
      <c r="M128" s="2"/>
      <c r="N128" s="2"/>
      <c r="O128" s="2"/>
    </row>
    <row r="129" spans="1:21" x14ac:dyDescent="0.2">
      <c r="A129" s="3" t="s">
        <v>382</v>
      </c>
      <c r="B129" s="134"/>
      <c r="C129" s="2"/>
      <c r="D129" s="11" t="s">
        <v>272</v>
      </c>
      <c r="E129" s="12" t="s">
        <v>496</v>
      </c>
      <c r="F129" s="11" t="s">
        <v>384</v>
      </c>
      <c r="G129" s="2"/>
      <c r="H129" s="2"/>
      <c r="I129" s="2"/>
      <c r="J129" s="2"/>
      <c r="K129" s="2"/>
      <c r="L129" s="2"/>
      <c r="M129" s="2"/>
      <c r="N129" s="2"/>
      <c r="O129" s="2"/>
    </row>
    <row r="130" spans="1:21" x14ac:dyDescent="0.2">
      <c r="A130" s="2"/>
      <c r="C130" s="2"/>
      <c r="D130" s="2"/>
      <c r="E130" s="2"/>
      <c r="F130" s="135"/>
      <c r="G130" s="2"/>
      <c r="H130" s="2"/>
      <c r="I130" s="2"/>
      <c r="J130" s="2"/>
      <c r="K130" s="2"/>
      <c r="L130" s="2"/>
      <c r="M130" s="2"/>
      <c r="N130" s="2"/>
      <c r="O130" s="2"/>
    </row>
    <row r="131" spans="1:21" x14ac:dyDescent="0.2">
      <c r="A131" s="2" t="s">
        <v>385</v>
      </c>
      <c r="C131" s="2"/>
      <c r="D131" s="206">
        <f ca="1">+'COS 1'!L375</f>
        <v>48979580.543606848</v>
      </c>
      <c r="E131" s="2"/>
      <c r="F131" s="160">
        <f ca="1">+'COS 1'!L376</f>
        <v>0.56950000000000001</v>
      </c>
      <c r="G131" s="2"/>
      <c r="H131" s="2"/>
      <c r="I131" s="2"/>
      <c r="J131" s="2"/>
      <c r="K131" s="2"/>
      <c r="L131" s="2"/>
      <c r="M131" s="2"/>
      <c r="N131" s="2"/>
      <c r="O131" s="2"/>
    </row>
    <row r="132" spans="1:21" x14ac:dyDescent="0.2">
      <c r="A132" s="2" t="s">
        <v>386</v>
      </c>
      <c r="C132" s="2"/>
      <c r="D132" s="10">
        <f ca="1">+'COS 1'!N375</f>
        <v>20600558.629510872</v>
      </c>
      <c r="E132" s="2"/>
      <c r="F132" s="135">
        <f ca="1">+'COS 1'!N376</f>
        <v>0.23949999999999999</v>
      </c>
      <c r="G132" s="2"/>
      <c r="H132" s="2"/>
      <c r="I132" s="2"/>
      <c r="J132" s="2"/>
      <c r="K132" s="2"/>
      <c r="L132" s="2"/>
      <c r="M132" s="2"/>
      <c r="N132" s="2"/>
      <c r="O132" s="2"/>
    </row>
    <row r="133" spans="1:21" x14ac:dyDescent="0.2">
      <c r="A133" s="2" t="s">
        <v>387</v>
      </c>
      <c r="C133" s="2"/>
      <c r="D133" s="10">
        <f ca="1">+'COS 1'!P375</f>
        <v>2589814.2890978451</v>
      </c>
      <c r="E133" s="2"/>
      <c r="F133" s="135">
        <f ca="1">+'COS 1'!P376</f>
        <v>3.0099999999999998E-2</v>
      </c>
      <c r="G133" s="2"/>
      <c r="H133" s="2"/>
      <c r="I133" s="2"/>
      <c r="J133" s="2"/>
      <c r="K133" s="2"/>
      <c r="L133" s="2"/>
      <c r="M133" s="2"/>
      <c r="N133" s="2"/>
      <c r="O133" s="2"/>
    </row>
    <row r="134" spans="1:21" x14ac:dyDescent="0.2">
      <c r="A134" s="2" t="s">
        <v>389</v>
      </c>
      <c r="C134" s="2"/>
      <c r="D134" s="10">
        <f ca="1">+'COS 1'!R375</f>
        <v>6625891.5900025703</v>
      </c>
      <c r="E134" s="2"/>
      <c r="F134" s="135">
        <f ca="1">+'COS 1'!R376</f>
        <v>7.6999999999999999E-2</v>
      </c>
      <c r="G134" s="2"/>
      <c r="H134" s="2"/>
      <c r="I134" s="2"/>
      <c r="J134" s="2"/>
      <c r="K134" s="2"/>
      <c r="L134" s="2"/>
      <c r="M134" s="2"/>
      <c r="N134" s="2"/>
      <c r="O134" s="2"/>
    </row>
    <row r="135" spans="1:21" x14ac:dyDescent="0.2">
      <c r="A135" s="2" t="s">
        <v>503</v>
      </c>
      <c r="C135" s="2"/>
      <c r="D135" s="10">
        <f ca="1">+'COS 1'!T375</f>
        <v>1660319.4967910266</v>
      </c>
      <c r="E135" s="2"/>
      <c r="F135" s="135">
        <f ca="1">+'COS 1'!T376</f>
        <v>1.9300000000000001E-2</v>
      </c>
      <c r="G135" s="2"/>
      <c r="H135" s="2"/>
      <c r="I135" s="2"/>
      <c r="J135" s="2"/>
      <c r="K135" s="2"/>
      <c r="L135" s="2"/>
      <c r="M135" s="2"/>
      <c r="N135" s="2"/>
      <c r="O135" s="2"/>
    </row>
    <row r="136" spans="1:21" x14ac:dyDescent="0.2">
      <c r="A136" s="2" t="s">
        <v>391</v>
      </c>
      <c r="C136" s="2"/>
      <c r="D136" s="10">
        <f ca="1">+'COS 1'!V375</f>
        <v>1952912.0248005255</v>
      </c>
      <c r="E136" s="2"/>
      <c r="F136" s="135">
        <f ca="1">+'COS 1'!V376</f>
        <v>2.2700000000000001E-2</v>
      </c>
      <c r="G136" s="2"/>
      <c r="H136" s="2"/>
      <c r="I136" s="2"/>
      <c r="J136" s="2"/>
      <c r="K136" s="2"/>
      <c r="L136" s="2"/>
      <c r="M136" s="2"/>
      <c r="N136" s="2"/>
      <c r="O136" s="2"/>
    </row>
    <row r="137" spans="1:21" x14ac:dyDescent="0.2">
      <c r="A137" s="2" t="s">
        <v>392</v>
      </c>
      <c r="C137" s="2"/>
      <c r="D137" s="10">
        <f ca="1">+'COS 1'!X375</f>
        <v>3599036.0776904779</v>
      </c>
      <c r="E137" s="2"/>
      <c r="F137" s="135">
        <f ca="1">+'COS 1'!X376</f>
        <v>4.1799999999999997E-2</v>
      </c>
      <c r="G137" s="2"/>
      <c r="H137" s="2"/>
      <c r="I137" s="2"/>
      <c r="J137" s="2"/>
      <c r="K137" s="2"/>
      <c r="L137" s="2"/>
      <c r="M137" s="2"/>
      <c r="N137" s="2"/>
      <c r="O137" s="2"/>
    </row>
    <row r="138" spans="1:21" ht="12.75" customHeight="1" x14ac:dyDescent="0.2">
      <c r="A138" s="2"/>
      <c r="C138" s="2"/>
      <c r="D138" s="6"/>
      <c r="E138" s="2"/>
      <c r="F138" s="7"/>
      <c r="G138" s="2"/>
      <c r="H138" s="2"/>
      <c r="I138" s="2"/>
      <c r="J138" s="2"/>
      <c r="K138" s="2"/>
      <c r="L138" s="2"/>
      <c r="M138" s="2"/>
      <c r="N138" s="2"/>
      <c r="O138" s="2"/>
    </row>
    <row r="139" spans="1:21" ht="13.35" customHeight="1" thickBot="1" x14ac:dyDescent="0.25">
      <c r="A139" s="2" t="s">
        <v>393</v>
      </c>
      <c r="C139" s="2"/>
      <c r="D139" s="207">
        <f ca="1">SUM(D131:D138)</f>
        <v>86008112.651500165</v>
      </c>
      <c r="E139" s="2"/>
      <c r="F139" s="135">
        <f ca="1">SUM(F131:F138)</f>
        <v>0.9998999999999999</v>
      </c>
      <c r="G139" s="2"/>
      <c r="H139" s="2"/>
      <c r="I139" s="2"/>
      <c r="J139" s="2"/>
      <c r="K139" s="2"/>
      <c r="L139" s="2"/>
      <c r="M139" s="2"/>
      <c r="N139" s="2"/>
      <c r="O139" s="2"/>
      <c r="U139" s="16"/>
    </row>
    <row r="140" spans="1:21" ht="13.35" customHeight="1" thickTop="1" x14ac:dyDescent="0.2">
      <c r="A140" s="2"/>
      <c r="B140" s="2"/>
      <c r="C140" s="2"/>
      <c r="D140" s="153"/>
      <c r="E140" s="14"/>
      <c r="F140" s="9"/>
      <c r="G140" s="2"/>
      <c r="H140" s="2"/>
      <c r="I140" s="2"/>
      <c r="J140" s="2"/>
      <c r="K140" s="2"/>
      <c r="L140" s="2"/>
      <c r="M140" s="2"/>
      <c r="N140" s="2"/>
      <c r="O140" s="2"/>
    </row>
    <row r="141" spans="1:21" ht="13.35" customHeight="1" x14ac:dyDescent="0.2">
      <c r="A141" s="2"/>
      <c r="B141" s="2"/>
      <c r="C141" s="2"/>
      <c r="D141" s="2"/>
      <c r="E141" s="2"/>
      <c r="F141" s="2"/>
      <c r="G141" s="2"/>
      <c r="H141" s="2"/>
      <c r="I141" s="2"/>
      <c r="J141" s="2"/>
      <c r="K141" s="2"/>
      <c r="L141" s="2"/>
      <c r="M141" s="2"/>
      <c r="N141" s="2"/>
      <c r="O141" s="2"/>
    </row>
    <row r="142" spans="1:21" ht="13.35" customHeight="1" x14ac:dyDescent="0.2">
      <c r="A142" s="37" t="s">
        <v>78</v>
      </c>
      <c r="B142" s="1"/>
      <c r="C142" s="37"/>
      <c r="D142" s="1"/>
      <c r="E142" s="1"/>
      <c r="F142" s="1"/>
      <c r="G142" s="2"/>
      <c r="H142" s="2"/>
      <c r="I142" s="2"/>
      <c r="J142" s="2"/>
      <c r="K142" s="2"/>
      <c r="L142" s="2"/>
      <c r="M142" s="2"/>
      <c r="N142" s="2"/>
      <c r="O142" s="2"/>
    </row>
    <row r="143" spans="1:21" ht="13.35" customHeight="1" x14ac:dyDescent="0.2">
      <c r="A143" s="178"/>
      <c r="B143" s="1"/>
      <c r="C143" s="37"/>
      <c r="D143" s="1"/>
      <c r="E143" s="1"/>
      <c r="F143" s="1"/>
      <c r="G143" s="2"/>
      <c r="H143" s="2"/>
      <c r="I143" s="2"/>
      <c r="J143" s="2"/>
      <c r="K143" s="2"/>
      <c r="L143" s="2"/>
      <c r="M143" s="2"/>
      <c r="N143" s="2"/>
      <c r="O143" s="2"/>
    </row>
    <row r="144" spans="1:21" ht="13.35" customHeight="1" x14ac:dyDescent="0.2">
      <c r="A144" s="1"/>
      <c r="B144" s="1"/>
      <c r="C144" s="1"/>
      <c r="D144" s="1"/>
      <c r="E144" s="1"/>
      <c r="F144" s="1"/>
      <c r="G144" s="2"/>
      <c r="H144" s="2"/>
      <c r="I144" s="2"/>
      <c r="J144" s="2"/>
      <c r="K144" s="2"/>
      <c r="L144" s="2"/>
      <c r="M144" s="2"/>
      <c r="N144" s="2"/>
      <c r="O144" s="2"/>
    </row>
    <row r="145" spans="1:15" ht="13.35" customHeight="1" x14ac:dyDescent="0.2">
      <c r="A145" s="1" t="s">
        <v>181</v>
      </c>
      <c r="B145" s="1"/>
      <c r="C145" s="1"/>
      <c r="D145" s="1"/>
      <c r="E145" s="1"/>
      <c r="F145" s="1"/>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ht="15" customHeight="1" x14ac:dyDescent="0.2">
      <c r="A147" s="103" t="s">
        <v>247</v>
      </c>
      <c r="B147" s="103"/>
      <c r="C147" s="103"/>
      <c r="D147" s="103"/>
      <c r="E147" s="103"/>
      <c r="F147" s="103"/>
      <c r="G147" s="103"/>
      <c r="H147" s="2"/>
      <c r="I147" s="2"/>
      <c r="J147" s="2"/>
      <c r="K147" s="2"/>
      <c r="L147" s="2"/>
      <c r="M147" s="2"/>
      <c r="N147" s="2"/>
      <c r="O147" s="2"/>
    </row>
    <row r="148" spans="1:15" x14ac:dyDescent="0.2">
      <c r="A148" s="103"/>
      <c r="B148" s="103"/>
      <c r="C148" s="103"/>
      <c r="D148" s="103"/>
      <c r="E148" s="103"/>
      <c r="F148" s="103"/>
      <c r="G148" s="103"/>
      <c r="H148" s="2"/>
      <c r="I148" s="2"/>
      <c r="J148" s="2"/>
      <c r="K148" s="2"/>
      <c r="L148" s="2"/>
      <c r="M148" s="2"/>
      <c r="N148" s="2"/>
      <c r="O148" s="2"/>
    </row>
    <row r="149" spans="1:15" ht="15.75" customHeight="1" x14ac:dyDescent="0.2">
      <c r="A149" s="668" t="s">
        <v>244</v>
      </c>
      <c r="B149" s="668"/>
      <c r="C149" s="668"/>
      <c r="D149" s="668"/>
      <c r="E149" s="668"/>
      <c r="F149" s="668"/>
      <c r="G149" s="316"/>
      <c r="H149" s="2"/>
      <c r="I149" s="2"/>
      <c r="J149" s="2"/>
      <c r="K149" s="2"/>
      <c r="L149" s="2"/>
      <c r="M149" s="2"/>
      <c r="N149" s="2"/>
      <c r="O149" s="2"/>
    </row>
    <row r="150" spans="1:15" x14ac:dyDescent="0.2">
      <c r="A150" s="103"/>
      <c r="B150" s="103"/>
      <c r="C150" s="397"/>
      <c r="D150" s="103"/>
      <c r="E150" s="103"/>
      <c r="F150" s="103"/>
      <c r="G150" s="103"/>
    </row>
    <row r="151" spans="1:15" x14ac:dyDescent="0.2">
      <c r="A151" s="101" t="s">
        <v>377</v>
      </c>
      <c r="B151" s="100"/>
      <c r="C151" s="103"/>
      <c r="D151" s="104" t="s">
        <v>245</v>
      </c>
      <c r="E151" s="104"/>
      <c r="F151" s="104" t="s">
        <v>379</v>
      </c>
      <c r="G151" s="103"/>
    </row>
    <row r="152" spans="1:15" x14ac:dyDescent="0.2">
      <c r="A152" s="101" t="s">
        <v>380</v>
      </c>
      <c r="B152" s="100"/>
      <c r="C152" s="103"/>
      <c r="D152" s="104" t="s">
        <v>246</v>
      </c>
      <c r="E152" s="104"/>
      <c r="F152" s="104" t="s">
        <v>381</v>
      </c>
      <c r="G152" s="103"/>
    </row>
    <row r="153" spans="1:15" x14ac:dyDescent="0.2">
      <c r="A153" s="105" t="s">
        <v>382</v>
      </c>
      <c r="B153" s="106"/>
      <c r="C153" s="103"/>
      <c r="D153" s="107" t="s">
        <v>272</v>
      </c>
      <c r="E153" s="104" t="s">
        <v>496</v>
      </c>
      <c r="F153" s="107" t="s">
        <v>384</v>
      </c>
      <c r="G153" s="103"/>
    </row>
    <row r="154" spans="1:15" x14ac:dyDescent="0.2">
      <c r="A154" s="103"/>
      <c r="B154" s="102"/>
      <c r="C154" s="103"/>
      <c r="D154" s="103"/>
      <c r="E154" s="103"/>
      <c r="F154" s="110"/>
      <c r="G154" s="103"/>
    </row>
    <row r="155" spans="1:15" x14ac:dyDescent="0.2">
      <c r="A155" s="103" t="s">
        <v>385</v>
      </c>
      <c r="B155" s="102"/>
      <c r="C155" s="103"/>
      <c r="D155" s="503">
        <v>329289.8000000015</v>
      </c>
      <c r="E155" s="103"/>
      <c r="F155" s="318">
        <f>+ROUND(D155/$D$162,4)+0.0001</f>
        <v>0.82050000000000001</v>
      </c>
      <c r="G155" s="103"/>
    </row>
    <row r="156" spans="1:15" x14ac:dyDescent="0.2">
      <c r="A156" s="103" t="s">
        <v>386</v>
      </c>
      <c r="B156" s="102"/>
      <c r="C156" s="103"/>
      <c r="D156" s="109">
        <v>62672.253333333385</v>
      </c>
      <c r="E156" s="103"/>
      <c r="F156" s="318">
        <f t="shared" ref="F156:F160" si="0">+ROUND(D156/$D$162,4)</f>
        <v>0.15609999999999999</v>
      </c>
      <c r="G156" s="103"/>
    </row>
    <row r="157" spans="1:15" x14ac:dyDescent="0.2">
      <c r="A157" s="103" t="s">
        <v>387</v>
      </c>
      <c r="B157" s="102"/>
      <c r="C157" s="103"/>
      <c r="D157" s="109">
        <v>0</v>
      </c>
      <c r="E157" s="103"/>
      <c r="F157" s="318">
        <f t="shared" si="0"/>
        <v>0</v>
      </c>
      <c r="G157" s="103"/>
    </row>
    <row r="158" spans="1:15" x14ac:dyDescent="0.2">
      <c r="A158" s="103" t="s">
        <v>389</v>
      </c>
      <c r="B158" s="102"/>
      <c r="C158" s="103"/>
      <c r="D158" s="109">
        <v>0</v>
      </c>
      <c r="E158" s="103"/>
      <c r="F158" s="318">
        <f t="shared" si="0"/>
        <v>0</v>
      </c>
      <c r="G158" s="103"/>
    </row>
    <row r="159" spans="1:15" x14ac:dyDescent="0.2">
      <c r="A159" s="103" t="s">
        <v>503</v>
      </c>
      <c r="B159" s="102"/>
      <c r="C159" s="103"/>
      <c r="D159" s="109">
        <v>0</v>
      </c>
      <c r="E159" s="103"/>
      <c r="F159" s="318">
        <f t="shared" si="0"/>
        <v>0</v>
      </c>
      <c r="G159" s="103"/>
    </row>
    <row r="160" spans="1:15" x14ac:dyDescent="0.2">
      <c r="A160" s="103" t="s">
        <v>184</v>
      </c>
      <c r="B160" s="102"/>
      <c r="C160" s="103"/>
      <c r="D160" s="109">
        <v>9411.7733333333326</v>
      </c>
      <c r="E160" s="103"/>
      <c r="F160" s="319">
        <f t="shared" si="0"/>
        <v>2.3400000000000001E-2</v>
      </c>
      <c r="G160" s="103"/>
    </row>
    <row r="161" spans="1:7" x14ac:dyDescent="0.2">
      <c r="A161" s="103"/>
      <c r="B161" s="102"/>
      <c r="C161" s="103"/>
      <c r="D161" s="403"/>
      <c r="E161" s="103"/>
      <c r="F161" s="170"/>
      <c r="G161" s="103"/>
    </row>
    <row r="162" spans="1:7" ht="15.75" thickBot="1" x14ac:dyDescent="0.25">
      <c r="A162" s="103" t="s">
        <v>393</v>
      </c>
      <c r="B162" s="102"/>
      <c r="C162" s="103"/>
      <c r="D162" s="404">
        <f>SUM(D155:D161)</f>
        <v>401373.82666666817</v>
      </c>
      <c r="E162" s="103"/>
      <c r="F162" s="171">
        <f>SUM(F155:F161)</f>
        <v>1</v>
      </c>
      <c r="G162" s="103"/>
    </row>
    <row r="163" spans="1:7" ht="15.75" thickTop="1" x14ac:dyDescent="0.2"/>
  </sheetData>
  <mergeCells count="7">
    <mergeCell ref="A149:F149"/>
    <mergeCell ref="A125:F125"/>
    <mergeCell ref="A10:F10"/>
    <mergeCell ref="A58:F58"/>
    <mergeCell ref="A79:F79"/>
    <mergeCell ref="A104:F104"/>
    <mergeCell ref="A31:F31"/>
  </mergeCells>
  <phoneticPr fontId="12" type="noConversion"/>
  <printOptions horizontalCentered="1"/>
  <pageMargins left="1" right="1" top="1" bottom="0.5" header="0.5" footer="0.5"/>
  <headerFooter alignWithMargins="0"/>
  <rowBreaks count="3" manualBreakCount="3">
    <brk id="49" max="16383" man="1"/>
    <brk id="95" max="16383" man="1"/>
    <brk id="141" max="16383" man="1"/>
  </row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54"/>
  <sheetViews>
    <sheetView workbookViewId="0">
      <selection activeCell="T32" sqref="T32"/>
    </sheetView>
  </sheetViews>
  <sheetFormatPr defaultColWidth="8.88671875" defaultRowHeight="15" x14ac:dyDescent="0.2"/>
  <cols>
    <col min="1" max="1" width="3" style="38" customWidth="1"/>
    <col min="2" max="2" width="19" style="38" bestFit="1" customWidth="1"/>
    <col min="3" max="3" width="2.5546875" style="38" customWidth="1"/>
    <col min="4" max="4" width="11" style="38" bestFit="1" customWidth="1"/>
    <col min="5" max="5" width="3" style="38" customWidth="1"/>
    <col min="6" max="6" width="8.88671875" style="38"/>
    <col min="7" max="7" width="2" style="38" customWidth="1"/>
    <col min="8" max="8" width="9.88671875" style="38" customWidth="1"/>
    <col min="9" max="9" width="1.44140625" style="38" customWidth="1"/>
    <col min="10" max="10" width="8.88671875" style="38"/>
    <col min="11" max="11" width="2.44140625" style="38" customWidth="1"/>
    <col min="12" max="12" width="8.88671875" style="38"/>
    <col min="13" max="13" width="1.5546875" style="38" customWidth="1"/>
    <col min="14" max="14" width="8.88671875" style="38"/>
    <col min="15" max="15" width="1.88671875" style="38" customWidth="1"/>
    <col min="16" max="16" width="14.109375" style="38" bestFit="1" customWidth="1"/>
    <col min="17" max="16384" width="8.88671875" style="38"/>
  </cols>
  <sheetData>
    <row r="1" spans="2:18" x14ac:dyDescent="0.2">
      <c r="B1" s="671" t="s">
        <v>371</v>
      </c>
      <c r="C1" s="671"/>
      <c r="D1" s="671"/>
      <c r="E1" s="671"/>
      <c r="F1" s="671"/>
      <c r="G1" s="671"/>
      <c r="H1" s="671"/>
      <c r="I1" s="671"/>
      <c r="J1" s="671"/>
      <c r="K1" s="671"/>
      <c r="L1" s="671"/>
      <c r="M1" s="254"/>
      <c r="N1" s="254"/>
      <c r="O1" s="254"/>
      <c r="P1" s="254"/>
      <c r="Q1" s="254"/>
      <c r="R1" s="254"/>
    </row>
    <row r="2" spans="2:18" x14ac:dyDescent="0.2">
      <c r="M2" s="254"/>
      <c r="N2" s="254"/>
      <c r="O2" s="254"/>
      <c r="P2" s="254"/>
      <c r="Q2" s="254"/>
      <c r="R2" s="254"/>
    </row>
    <row r="3" spans="2:18" x14ac:dyDescent="0.2">
      <c r="B3" s="655" t="s">
        <v>603</v>
      </c>
      <c r="C3" s="655"/>
      <c r="D3" s="655"/>
      <c r="E3" s="655"/>
      <c r="F3" s="655"/>
      <c r="G3" s="655"/>
      <c r="H3" s="655"/>
      <c r="I3" s="655"/>
      <c r="J3" s="655"/>
      <c r="K3" s="655"/>
      <c r="L3" s="655"/>
      <c r="M3" s="254"/>
      <c r="N3" s="254"/>
      <c r="O3" s="254"/>
      <c r="P3" s="254"/>
      <c r="Q3" s="254"/>
      <c r="R3" s="254"/>
    </row>
    <row r="4" spans="2:18" x14ac:dyDescent="0.2">
      <c r="B4" s="249"/>
      <c r="C4" s="249"/>
      <c r="D4" s="249"/>
      <c r="E4" s="249"/>
      <c r="F4" s="249"/>
      <c r="G4" s="249"/>
      <c r="H4" s="249"/>
      <c r="I4" s="249"/>
      <c r="J4" s="249"/>
      <c r="K4" s="249"/>
      <c r="L4" s="249"/>
      <c r="M4" s="254"/>
      <c r="N4" s="254"/>
      <c r="O4" s="254"/>
      <c r="P4" s="254"/>
      <c r="Q4" s="254"/>
      <c r="R4" s="254"/>
    </row>
    <row r="5" spans="2:18" x14ac:dyDescent="0.2">
      <c r="B5" s="249"/>
      <c r="C5" s="249"/>
      <c r="D5" s="249" t="s">
        <v>79</v>
      </c>
      <c r="E5" s="249"/>
      <c r="F5"/>
      <c r="G5" s="249"/>
      <c r="H5"/>
      <c r="I5"/>
      <c r="J5"/>
      <c r="K5" s="249"/>
      <c r="L5" s="249"/>
      <c r="M5" s="254"/>
      <c r="N5" s="254"/>
      <c r="O5" s="254"/>
      <c r="P5" s="254"/>
      <c r="Q5" s="254"/>
      <c r="R5" s="254"/>
    </row>
    <row r="6" spans="2:18" x14ac:dyDescent="0.2">
      <c r="D6" s="249" t="s">
        <v>80</v>
      </c>
      <c r="E6" s="249"/>
      <c r="F6" s="249" t="s">
        <v>408</v>
      </c>
      <c r="G6" s="249"/>
      <c r="H6" s="249" t="s">
        <v>81</v>
      </c>
      <c r="I6" s="249"/>
      <c r="J6" s="249"/>
      <c r="K6" s="249"/>
      <c r="L6" s="249"/>
      <c r="M6" s="251"/>
      <c r="N6" s="251" t="s">
        <v>352</v>
      </c>
      <c r="O6" s="251"/>
      <c r="P6" s="251" t="s">
        <v>352</v>
      </c>
      <c r="Q6" s="251"/>
      <c r="R6" s="251"/>
    </row>
    <row r="7" spans="2:18" x14ac:dyDescent="0.2">
      <c r="B7" s="252" t="s">
        <v>488</v>
      </c>
      <c r="D7" s="252" t="s">
        <v>82</v>
      </c>
      <c r="E7" s="249"/>
      <c r="F7" s="252" t="s">
        <v>489</v>
      </c>
      <c r="G7" s="249"/>
      <c r="H7" s="252" t="s">
        <v>489</v>
      </c>
      <c r="I7" s="317"/>
      <c r="J7" s="252" t="s">
        <v>83</v>
      </c>
      <c r="K7" s="249"/>
      <c r="L7" s="252" t="s">
        <v>406</v>
      </c>
      <c r="M7" s="251"/>
      <c r="N7" s="252" t="s">
        <v>489</v>
      </c>
      <c r="O7" s="251"/>
      <c r="P7" s="439" t="s">
        <v>602</v>
      </c>
      <c r="Q7" s="251"/>
      <c r="R7" s="251"/>
    </row>
    <row r="8" spans="2:18" x14ac:dyDescent="0.2">
      <c r="B8" s="333">
        <v>-1</v>
      </c>
      <c r="C8" s="333"/>
      <c r="D8" s="333">
        <v>-2</v>
      </c>
      <c r="E8" s="333"/>
      <c r="F8" s="333">
        <v>-3</v>
      </c>
      <c r="G8" s="333"/>
      <c r="H8" s="333">
        <v>-4</v>
      </c>
      <c r="I8" s="333"/>
      <c r="J8" s="333">
        <v>-5</v>
      </c>
      <c r="K8" s="333"/>
      <c r="L8" s="333">
        <v>-6</v>
      </c>
      <c r="M8" s="251"/>
      <c r="N8" s="251"/>
      <c r="O8" s="251"/>
      <c r="P8" s="251"/>
      <c r="Q8" s="251"/>
      <c r="R8" s="251"/>
    </row>
    <row r="9" spans="2:18" hidden="1" x14ac:dyDescent="0.2">
      <c r="B9" s="333"/>
      <c r="C9" s="333"/>
      <c r="D9" s="333"/>
      <c r="E9" s="333"/>
      <c r="F9" s="333"/>
      <c r="G9" s="333"/>
      <c r="H9" s="333"/>
      <c r="I9" s="333"/>
      <c r="J9" s="333"/>
      <c r="K9" s="333"/>
      <c r="L9" s="333"/>
      <c r="M9" s="441"/>
      <c r="N9" s="420"/>
      <c r="O9" s="441"/>
      <c r="P9" s="441"/>
      <c r="Q9" s="441"/>
      <c r="R9" s="441"/>
    </row>
    <row r="10" spans="2:18" hidden="1" x14ac:dyDescent="0.2">
      <c r="B10" s="333" t="s">
        <v>826</v>
      </c>
      <c r="C10" s="333"/>
      <c r="D10" s="334">
        <v>14338.483320000001</v>
      </c>
      <c r="E10" s="333"/>
      <c r="F10" s="255">
        <f>+D10/365</f>
        <v>39.28351594520548</v>
      </c>
      <c r="G10" s="333"/>
      <c r="H10" s="333"/>
      <c r="I10" s="333"/>
      <c r="J10" s="333"/>
      <c r="K10" s="333"/>
      <c r="L10" s="333"/>
      <c r="M10" s="523"/>
      <c r="N10" s="420"/>
      <c r="O10" s="523"/>
      <c r="P10" s="523"/>
      <c r="Q10" s="523"/>
      <c r="R10" s="523"/>
    </row>
    <row r="11" spans="2:18" x14ac:dyDescent="0.2">
      <c r="B11" s="333"/>
      <c r="C11" s="333"/>
      <c r="D11" s="333"/>
      <c r="E11" s="333"/>
      <c r="F11" s="333"/>
      <c r="G11" s="333"/>
      <c r="H11" s="333"/>
      <c r="I11" s="333"/>
      <c r="J11" s="333"/>
      <c r="K11" s="333"/>
      <c r="L11" s="333"/>
      <c r="M11" s="523"/>
      <c r="N11" s="420"/>
      <c r="O11" s="523"/>
      <c r="P11" s="523"/>
      <c r="Q11" s="523"/>
      <c r="R11" s="523"/>
    </row>
    <row r="12" spans="2:18" x14ac:dyDescent="0.2">
      <c r="B12" s="451">
        <v>2011</v>
      </c>
      <c r="C12" s="333"/>
      <c r="D12" s="334">
        <v>13785.489170000003</v>
      </c>
      <c r="E12" s="333"/>
      <c r="F12" s="255">
        <f>+D12/365</f>
        <v>37.768463479452059</v>
      </c>
      <c r="G12" s="333"/>
      <c r="H12" s="462">
        <v>55.823999999999998</v>
      </c>
      <c r="I12" s="333"/>
      <c r="J12" s="335" t="s">
        <v>466</v>
      </c>
      <c r="K12" s="333"/>
      <c r="L12" s="255">
        <f>+H12/F12</f>
        <v>1.4780585403049573</v>
      </c>
      <c r="M12" s="441"/>
      <c r="N12" s="420">
        <v>78.900000000000006</v>
      </c>
      <c r="O12" s="441"/>
      <c r="P12" s="438">
        <f t="shared" ref="P12" si="0">+N12/F12</f>
        <v>2.0890444760329094</v>
      </c>
      <c r="Q12" s="441"/>
      <c r="R12" s="441"/>
    </row>
    <row r="13" spans="2:18" x14ac:dyDescent="0.2">
      <c r="B13" s="333"/>
      <c r="C13" s="333"/>
      <c r="D13" s="333"/>
      <c r="E13" s="333"/>
      <c r="F13" s="333"/>
      <c r="G13" s="333"/>
      <c r="H13" s="333"/>
      <c r="I13" s="333"/>
      <c r="J13" s="333"/>
      <c r="K13" s="333"/>
      <c r="L13" s="333"/>
      <c r="M13" s="441"/>
      <c r="N13" s="420"/>
      <c r="O13" s="441"/>
      <c r="Q13" s="441"/>
      <c r="R13" s="441"/>
    </row>
    <row r="14" spans="2:18" x14ac:dyDescent="0.2">
      <c r="B14" s="451">
        <v>2010</v>
      </c>
      <c r="C14" s="333"/>
      <c r="D14" s="461">
        <v>14817.378760000001</v>
      </c>
      <c r="E14" s="333"/>
      <c r="F14" s="255">
        <f>+D14/365</f>
        <v>40.595558246575344</v>
      </c>
      <c r="G14" s="333"/>
      <c r="H14" s="462">
        <v>61.357999999999997</v>
      </c>
      <c r="I14" s="333"/>
      <c r="J14" s="335" t="s">
        <v>823</v>
      </c>
      <c r="K14" s="333"/>
      <c r="L14" s="255">
        <f>+H14/F14</f>
        <v>1.5114461446081033</v>
      </c>
      <c r="M14" s="441"/>
      <c r="N14" s="420">
        <v>93.65</v>
      </c>
      <c r="O14" s="441"/>
      <c r="P14" s="438">
        <f t="shared" ref="P14" si="1">+N14/F14</f>
        <v>2.3069026278977294</v>
      </c>
      <c r="Q14" s="441"/>
      <c r="R14" s="441"/>
    </row>
    <row r="15" spans="2:18" x14ac:dyDescent="0.2">
      <c r="B15" s="333"/>
      <c r="C15" s="333"/>
      <c r="D15" s="333"/>
      <c r="E15" s="333"/>
      <c r="F15" s="333"/>
      <c r="G15" s="333"/>
      <c r="H15" s="333"/>
      <c r="I15" s="333"/>
      <c r="J15" s="333"/>
      <c r="K15" s="333"/>
      <c r="L15" s="333"/>
      <c r="N15" s="420"/>
    </row>
    <row r="16" spans="2:18" x14ac:dyDescent="0.2">
      <c r="B16" s="249">
        <v>2009</v>
      </c>
      <c r="C16" s="333"/>
      <c r="D16" s="334">
        <v>13904.565000000001</v>
      </c>
      <c r="E16" s="333"/>
      <c r="F16" s="255">
        <f>+D16/365</f>
        <v>38.094698630136989</v>
      </c>
      <c r="G16" s="333"/>
      <c r="H16" s="255">
        <v>53.401000000000003</v>
      </c>
      <c r="I16" s="333"/>
      <c r="J16" s="335" t="s">
        <v>388</v>
      </c>
      <c r="K16" s="333"/>
      <c r="L16" s="255">
        <f>+H16/F16</f>
        <v>1.401796100776975</v>
      </c>
      <c r="N16" s="420">
        <v>76.652000000000001</v>
      </c>
      <c r="P16" s="438">
        <f>+N16/F16</f>
        <v>2.0121434938813261</v>
      </c>
    </row>
    <row r="17" spans="2:16" x14ac:dyDescent="0.2">
      <c r="B17" s="333"/>
      <c r="C17" s="333"/>
      <c r="D17" s="333"/>
      <c r="E17" s="333"/>
      <c r="F17" s="333"/>
      <c r="G17" s="333"/>
      <c r="H17" s="333"/>
      <c r="I17" s="333"/>
      <c r="J17" s="333"/>
      <c r="K17" s="333"/>
      <c r="L17" s="333"/>
      <c r="N17" s="420"/>
    </row>
    <row r="18" spans="2:16" x14ac:dyDescent="0.2">
      <c r="B18" s="249">
        <v>2008</v>
      </c>
      <c r="C18" s="333"/>
      <c r="D18" s="334">
        <v>15644.484</v>
      </c>
      <c r="E18" s="333"/>
      <c r="F18" s="255">
        <f>+D18/365</f>
        <v>42.861600000000003</v>
      </c>
      <c r="G18" s="333"/>
      <c r="H18" s="255">
        <v>63.085000000000001</v>
      </c>
      <c r="I18" s="333"/>
      <c r="J18" s="335" t="s">
        <v>84</v>
      </c>
      <c r="K18" s="333"/>
      <c r="L18" s="255">
        <f>+H18/F18</f>
        <v>1.4718302629859827</v>
      </c>
      <c r="N18" s="420">
        <v>96.575999999999993</v>
      </c>
      <c r="P18" s="438">
        <f>+N18/F18</f>
        <v>2.2532056666106723</v>
      </c>
    </row>
    <row r="19" spans="2:16" x14ac:dyDescent="0.2">
      <c r="B19" s="333"/>
      <c r="C19" s="333"/>
      <c r="D19" s="333"/>
      <c r="E19" s="333"/>
      <c r="F19" s="333"/>
      <c r="G19" s="333"/>
      <c r="H19" s="333"/>
      <c r="I19" s="333"/>
      <c r="J19" s="333"/>
      <c r="K19" s="333"/>
      <c r="L19" s="333"/>
      <c r="N19" s="420"/>
    </row>
    <row r="20" spans="2:16" x14ac:dyDescent="0.2">
      <c r="B20" s="249">
        <v>2007</v>
      </c>
      <c r="C20" s="333"/>
      <c r="D20" s="334">
        <v>15734.453</v>
      </c>
      <c r="E20" s="333"/>
      <c r="F20" s="255">
        <f>+D20/365</f>
        <v>43.108090410958901</v>
      </c>
      <c r="G20" s="333"/>
      <c r="H20" s="255">
        <v>64.299000000000007</v>
      </c>
      <c r="I20" s="333"/>
      <c r="J20" s="253" t="s">
        <v>85</v>
      </c>
      <c r="K20" s="333"/>
      <c r="L20" s="255">
        <f>+H20/F20</f>
        <v>1.4915761609253275</v>
      </c>
      <c r="N20" s="420">
        <v>84.091999999999999</v>
      </c>
      <c r="P20" s="438">
        <f>+N20/F20</f>
        <v>1.9507243118016242</v>
      </c>
    </row>
    <row r="21" spans="2:16" x14ac:dyDescent="0.2">
      <c r="B21" s="333"/>
      <c r="C21" s="333"/>
      <c r="D21" s="333"/>
      <c r="E21" s="333"/>
      <c r="F21" s="333"/>
      <c r="G21" s="333"/>
      <c r="H21" s="333"/>
      <c r="I21" s="333"/>
      <c r="J21" s="333"/>
      <c r="K21" s="333"/>
      <c r="L21" s="333"/>
      <c r="N21" s="420"/>
    </row>
    <row r="22" spans="2:16" x14ac:dyDescent="0.2">
      <c r="B22" s="249">
        <v>2006</v>
      </c>
      <c r="D22" s="241">
        <v>15619</v>
      </c>
      <c r="F22" s="255">
        <f>+D22/365</f>
        <v>42.791780821917811</v>
      </c>
      <c r="H22" s="38">
        <v>67.22</v>
      </c>
      <c r="J22" s="253" t="s">
        <v>86</v>
      </c>
      <c r="L22" s="255">
        <f>+H22/F22</f>
        <v>1.5708624111658875</v>
      </c>
      <c r="N22" s="420">
        <v>82.652000000000001</v>
      </c>
      <c r="P22" s="438">
        <f>+N22/F22</f>
        <v>1.9314924130866251</v>
      </c>
    </row>
    <row r="23" spans="2:16" x14ac:dyDescent="0.2">
      <c r="B23" s="333"/>
      <c r="C23" s="333"/>
      <c r="D23" s="333"/>
      <c r="E23" s="333"/>
      <c r="F23" s="333"/>
      <c r="G23" s="333"/>
      <c r="H23" s="333"/>
      <c r="I23" s="333"/>
      <c r="J23" s="333"/>
      <c r="K23" s="333"/>
      <c r="L23" s="333"/>
      <c r="N23" s="420"/>
    </row>
    <row r="24" spans="2:16" x14ac:dyDescent="0.2">
      <c r="B24" s="249">
        <v>2005</v>
      </c>
      <c r="D24" s="241">
        <v>16068</v>
      </c>
      <c r="F24" s="255">
        <f>+D24/365</f>
        <v>44.021917808219179</v>
      </c>
      <c r="H24" s="38">
        <v>69.650000000000006</v>
      </c>
      <c r="J24" s="253" t="s">
        <v>87</v>
      </c>
      <c r="L24" s="255">
        <f>+H24/F24</f>
        <v>1.5821664177246701</v>
      </c>
      <c r="N24" s="420">
        <v>109.398</v>
      </c>
      <c r="P24" s="438">
        <f>+N24/F24</f>
        <v>2.4850802837938759</v>
      </c>
    </row>
    <row r="25" spans="2:16" x14ac:dyDescent="0.2">
      <c r="B25" s="333"/>
      <c r="C25" s="333"/>
      <c r="D25" s="333"/>
      <c r="E25" s="333"/>
      <c r="F25" s="333"/>
      <c r="G25" s="333"/>
      <c r="H25" s="333"/>
      <c r="I25" s="333"/>
      <c r="J25" s="333"/>
      <c r="K25" s="333"/>
      <c r="L25" s="333"/>
      <c r="N25" s="420"/>
    </row>
    <row r="26" spans="2:16" x14ac:dyDescent="0.2">
      <c r="B26" s="249">
        <v>2004</v>
      </c>
      <c r="D26" s="241">
        <v>14931</v>
      </c>
      <c r="F26" s="255">
        <f>+D26/365</f>
        <v>40.906849315068492</v>
      </c>
      <c r="H26" s="38">
        <v>56.89</v>
      </c>
      <c r="J26" s="335" t="s">
        <v>88</v>
      </c>
      <c r="L26" s="255">
        <f>+H26/F26</f>
        <v>1.3907206483155852</v>
      </c>
      <c r="N26" s="420">
        <v>76.75</v>
      </c>
      <c r="P26" s="438">
        <f>+N26/F26</f>
        <v>1.876213917353158</v>
      </c>
    </row>
    <row r="27" spans="2:16" x14ac:dyDescent="0.2">
      <c r="N27" s="420"/>
    </row>
    <row r="28" spans="2:16" x14ac:dyDescent="0.2">
      <c r="B28" s="249">
        <v>2003</v>
      </c>
      <c r="D28" s="241">
        <v>15005</v>
      </c>
      <c r="F28" s="255">
        <f>+D28/365</f>
        <v>41.109589041095887</v>
      </c>
      <c r="H28" s="38">
        <v>61.37</v>
      </c>
      <c r="J28" s="253" t="s">
        <v>89</v>
      </c>
      <c r="L28" s="255">
        <f>+H28/F28</f>
        <v>1.4928390536487839</v>
      </c>
      <c r="N28" s="420">
        <v>83.63</v>
      </c>
      <c r="P28" s="438">
        <f>+N28/F28</f>
        <v>2.0343185604798402</v>
      </c>
    </row>
    <row r="29" spans="2:16" x14ac:dyDescent="0.2">
      <c r="B29" s="249"/>
      <c r="D29" s="241"/>
      <c r="F29" s="255"/>
      <c r="L29" s="255"/>
      <c r="N29" s="420"/>
    </row>
    <row r="30" spans="2:16" x14ac:dyDescent="0.2">
      <c r="B30" s="249">
        <v>2002</v>
      </c>
      <c r="D30" s="241">
        <v>15956</v>
      </c>
      <c r="F30" s="255">
        <f t="shared" ref="F30:F54" si="2">+D30/365</f>
        <v>43.715068493150682</v>
      </c>
      <c r="H30" s="38">
        <v>71.819999999999993</v>
      </c>
      <c r="J30" s="253" t="s">
        <v>90</v>
      </c>
      <c r="L30" s="255">
        <f t="shared" ref="L30:L54" si="3">+H30/F30</f>
        <v>1.6429117573326648</v>
      </c>
      <c r="N30" s="420">
        <v>107.5</v>
      </c>
      <c r="P30" s="438">
        <f>+N30/F30</f>
        <v>2.4591062923038356</v>
      </c>
    </row>
    <row r="31" spans="2:16" x14ac:dyDescent="0.2">
      <c r="B31" s="249"/>
      <c r="D31" s="241"/>
      <c r="F31" s="255"/>
      <c r="J31" s="249"/>
      <c r="L31" s="255"/>
      <c r="N31" s="420"/>
    </row>
    <row r="32" spans="2:16" x14ac:dyDescent="0.2">
      <c r="B32" s="249">
        <v>2001</v>
      </c>
      <c r="D32" s="241">
        <v>14962</v>
      </c>
      <c r="F32" s="255">
        <f t="shared" si="2"/>
        <v>40.991780821917807</v>
      </c>
      <c r="H32" s="38">
        <v>56.04</v>
      </c>
      <c r="J32" s="253" t="s">
        <v>91</v>
      </c>
      <c r="L32" s="255">
        <f t="shared" si="3"/>
        <v>1.3671033284320278</v>
      </c>
      <c r="N32" s="420">
        <v>91.62</v>
      </c>
      <c r="P32" s="438">
        <f>+N32/F32</f>
        <v>2.2350822082609278</v>
      </c>
    </row>
    <row r="33" spans="2:16" x14ac:dyDescent="0.2">
      <c r="B33" s="249"/>
      <c r="D33" s="241"/>
      <c r="F33" s="255"/>
      <c r="J33" s="249"/>
      <c r="L33" s="255"/>
      <c r="N33" s="420"/>
    </row>
    <row r="34" spans="2:16" x14ac:dyDescent="0.2">
      <c r="B34" s="249">
        <v>2000</v>
      </c>
      <c r="D34" s="241">
        <v>14565</v>
      </c>
      <c r="F34" s="255">
        <f t="shared" si="2"/>
        <v>39.904109589041099</v>
      </c>
      <c r="H34" s="38">
        <v>66.37</v>
      </c>
      <c r="J34" s="253" t="s">
        <v>55</v>
      </c>
      <c r="L34" s="255">
        <f t="shared" si="3"/>
        <v>1.6632372124957089</v>
      </c>
      <c r="N34" s="420">
        <v>85.075999999999993</v>
      </c>
      <c r="P34" s="438">
        <f>+N34/F34</f>
        <v>2.1320109852385851</v>
      </c>
    </row>
    <row r="35" spans="2:16" x14ac:dyDescent="0.2">
      <c r="B35" s="249"/>
      <c r="D35" s="212"/>
      <c r="F35" s="255"/>
      <c r="J35" s="249"/>
      <c r="L35" s="255"/>
    </row>
    <row r="36" spans="2:16" x14ac:dyDescent="0.2">
      <c r="B36" s="249">
        <v>1999</v>
      </c>
      <c r="D36" s="241">
        <v>15077</v>
      </c>
      <c r="F36" s="255">
        <f t="shared" si="2"/>
        <v>41.30684931506849</v>
      </c>
      <c r="H36" s="38">
        <v>61.18</v>
      </c>
      <c r="J36" s="253" t="s">
        <v>56</v>
      </c>
      <c r="L36" s="255">
        <f t="shared" si="3"/>
        <v>1.4811103004576509</v>
      </c>
    </row>
    <row r="37" spans="2:16" x14ac:dyDescent="0.2">
      <c r="B37" s="249"/>
      <c r="D37" s="241"/>
      <c r="F37" s="255"/>
      <c r="J37" s="249"/>
      <c r="L37" s="255"/>
    </row>
    <row r="38" spans="2:16" x14ac:dyDescent="0.2">
      <c r="B38" s="249">
        <v>1998</v>
      </c>
      <c r="D38" s="241">
        <v>14799</v>
      </c>
      <c r="F38" s="255">
        <f t="shared" si="2"/>
        <v>40.545205479452058</v>
      </c>
      <c r="H38" s="38">
        <v>64.67</v>
      </c>
      <c r="J38" s="253" t="s">
        <v>57</v>
      </c>
      <c r="L38" s="255">
        <f t="shared" si="3"/>
        <v>1.5950097979593214</v>
      </c>
    </row>
    <row r="39" spans="2:16" x14ac:dyDescent="0.2">
      <c r="B39" s="249"/>
      <c r="D39" s="241"/>
      <c r="F39" s="255"/>
      <c r="J39" s="249"/>
      <c r="L39" s="255"/>
    </row>
    <row r="40" spans="2:16" x14ac:dyDescent="0.2">
      <c r="B40" s="249">
        <v>1997</v>
      </c>
      <c r="D40" s="241">
        <v>14419</v>
      </c>
      <c r="F40" s="255">
        <f t="shared" si="2"/>
        <v>39.504109589041093</v>
      </c>
      <c r="H40" s="255">
        <v>60.7</v>
      </c>
      <c r="I40" s="255"/>
      <c r="J40" s="336" t="s">
        <v>58</v>
      </c>
      <c r="L40" s="255">
        <f t="shared" si="3"/>
        <v>1.5365489978500591</v>
      </c>
    </row>
    <row r="41" spans="2:16" x14ac:dyDescent="0.2">
      <c r="B41" s="249"/>
      <c r="D41" s="241"/>
      <c r="F41" s="255"/>
      <c r="J41" s="249"/>
      <c r="L41" s="255"/>
    </row>
    <row r="42" spans="2:16" x14ac:dyDescent="0.2">
      <c r="B42" s="249">
        <v>1996</v>
      </c>
      <c r="D42" s="241">
        <v>14265</v>
      </c>
      <c r="F42" s="255">
        <f t="shared" si="2"/>
        <v>39.082191780821915</v>
      </c>
      <c r="H42" s="255">
        <v>53.7</v>
      </c>
      <c r="I42" s="255"/>
      <c r="J42" s="336" t="s">
        <v>59</v>
      </c>
      <c r="L42" s="255">
        <f t="shared" si="3"/>
        <v>1.3740273396424818</v>
      </c>
    </row>
    <row r="43" spans="2:16" x14ac:dyDescent="0.2">
      <c r="B43" s="249"/>
      <c r="D43" s="241"/>
      <c r="F43" s="255"/>
      <c r="J43" s="249"/>
      <c r="L43" s="255"/>
    </row>
    <row r="44" spans="2:16" x14ac:dyDescent="0.2">
      <c r="B44" s="249">
        <v>1995</v>
      </c>
      <c r="D44" s="241">
        <v>14549</v>
      </c>
      <c r="F44" s="255">
        <f t="shared" si="2"/>
        <v>39.860273972602741</v>
      </c>
      <c r="H44" s="38">
        <v>63.77</v>
      </c>
      <c r="J44" s="253" t="s">
        <v>60</v>
      </c>
      <c r="L44" s="255">
        <f t="shared" si="3"/>
        <v>1.5998384768712626</v>
      </c>
    </row>
    <row r="45" spans="2:16" x14ac:dyDescent="0.2">
      <c r="B45" s="249"/>
      <c r="D45" s="241"/>
      <c r="F45" s="255"/>
      <c r="H45"/>
      <c r="I45"/>
      <c r="J45" s="142"/>
      <c r="L45" s="255"/>
    </row>
    <row r="46" spans="2:16" x14ac:dyDescent="0.2">
      <c r="B46" s="249">
        <v>1994</v>
      </c>
      <c r="D46" s="241">
        <v>14471</v>
      </c>
      <c r="F46" s="255">
        <f t="shared" si="2"/>
        <v>39.646575342465752</v>
      </c>
      <c r="H46" s="38">
        <v>58.36</v>
      </c>
      <c r="J46" s="253" t="s">
        <v>61</v>
      </c>
      <c r="L46" s="255">
        <f t="shared" si="3"/>
        <v>1.4720060811277729</v>
      </c>
    </row>
    <row r="47" spans="2:16" x14ac:dyDescent="0.2">
      <c r="B47" s="249"/>
      <c r="D47" s="241"/>
      <c r="F47" s="255"/>
      <c r="H47"/>
      <c r="I47"/>
      <c r="J47" s="142"/>
      <c r="L47" s="255"/>
    </row>
    <row r="48" spans="2:16" x14ac:dyDescent="0.2">
      <c r="B48" s="249">
        <v>1993</v>
      </c>
      <c r="D48" s="241">
        <v>14290</v>
      </c>
      <c r="F48" s="255">
        <f t="shared" si="2"/>
        <v>39.150684931506852</v>
      </c>
      <c r="H48" s="38">
        <v>60.39</v>
      </c>
      <c r="J48" s="253" t="s">
        <v>89</v>
      </c>
      <c r="L48" s="255">
        <f t="shared" si="3"/>
        <v>1.5425017494751574</v>
      </c>
    </row>
    <row r="49" spans="2:12" x14ac:dyDescent="0.2">
      <c r="B49" s="249"/>
      <c r="D49" s="241"/>
      <c r="F49" s="255"/>
      <c r="H49"/>
      <c r="I49"/>
      <c r="J49" s="142"/>
      <c r="L49" s="255"/>
    </row>
    <row r="50" spans="2:12" x14ac:dyDescent="0.2">
      <c r="B50" s="249">
        <v>1992</v>
      </c>
      <c r="D50" s="241">
        <v>13303</v>
      </c>
      <c r="F50" s="255">
        <f t="shared" si="2"/>
        <v>36.446575342465756</v>
      </c>
      <c r="H50" s="38">
        <v>47.22</v>
      </c>
      <c r="J50" s="253" t="s">
        <v>62</v>
      </c>
      <c r="L50" s="255">
        <f t="shared" si="3"/>
        <v>1.2955949785762608</v>
      </c>
    </row>
    <row r="51" spans="2:12" x14ac:dyDescent="0.2">
      <c r="B51" s="249"/>
      <c r="D51" s="241"/>
      <c r="F51" s="255"/>
      <c r="H51"/>
      <c r="I51"/>
      <c r="J51" s="142"/>
      <c r="L51" s="255"/>
    </row>
    <row r="52" spans="2:12" x14ac:dyDescent="0.2">
      <c r="B52" s="249">
        <v>1991</v>
      </c>
      <c r="D52" s="241">
        <v>13450</v>
      </c>
      <c r="F52" s="255">
        <f t="shared" si="2"/>
        <v>36.849315068493148</v>
      </c>
      <c r="H52" s="38">
        <v>56.42</v>
      </c>
      <c r="J52" s="253" t="s">
        <v>86</v>
      </c>
      <c r="L52" s="255">
        <f t="shared" si="3"/>
        <v>1.531100371747212</v>
      </c>
    </row>
    <row r="53" spans="2:12" x14ac:dyDescent="0.2">
      <c r="B53" s="249"/>
      <c r="D53" s="241"/>
      <c r="F53" s="255"/>
      <c r="H53"/>
      <c r="I53"/>
      <c r="J53" s="142"/>
      <c r="L53" s="255"/>
    </row>
    <row r="54" spans="2:12" x14ac:dyDescent="0.2">
      <c r="B54" s="249">
        <v>1990</v>
      </c>
      <c r="D54" s="241">
        <v>12557</v>
      </c>
      <c r="F54" s="255">
        <f t="shared" si="2"/>
        <v>34.402739726027399</v>
      </c>
      <c r="H54" s="38">
        <v>58.05</v>
      </c>
      <c r="J54" s="253" t="s">
        <v>63</v>
      </c>
      <c r="L54" s="255">
        <f t="shared" si="3"/>
        <v>1.6873656128056063</v>
      </c>
    </row>
  </sheetData>
  <mergeCells count="2">
    <mergeCell ref="B1:L1"/>
    <mergeCell ref="B3:L3"/>
  </mergeCells>
  <phoneticPr fontId="1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9"/>
  <sheetViews>
    <sheetView workbookViewId="0">
      <selection activeCell="K31" sqref="K31"/>
    </sheetView>
  </sheetViews>
  <sheetFormatPr defaultColWidth="8.6640625" defaultRowHeight="12.75" x14ac:dyDescent="0.2"/>
  <cols>
    <col min="1" max="2" width="3.6640625" style="137" customWidth="1"/>
    <col min="3" max="3" width="7.33203125" style="137" customWidth="1"/>
    <col min="4" max="6" width="2.109375" style="137" customWidth="1"/>
    <col min="7" max="7" width="11.44140625" style="137" customWidth="1"/>
    <col min="8" max="8" width="2.6640625" style="137" customWidth="1"/>
    <col min="9" max="9" width="8.6640625" style="137" customWidth="1"/>
    <col min="10" max="10" width="2.6640625" style="137" customWidth="1"/>
    <col min="11" max="11" width="7.6640625" style="137" customWidth="1"/>
    <col min="12" max="12" width="2.6640625" style="137" customWidth="1"/>
    <col min="13" max="13" width="9.6640625" style="137" customWidth="1"/>
    <col min="14" max="14" width="2.6640625" style="137" customWidth="1"/>
    <col min="15" max="16" width="9.6640625" style="137" customWidth="1"/>
    <col min="17" max="16384" width="8.6640625" style="137"/>
  </cols>
  <sheetData>
    <row r="1" spans="1:256" ht="15" x14ac:dyDescent="0.2">
      <c r="A1" s="180"/>
      <c r="B1" s="180"/>
      <c r="C1" s="210" t="s">
        <v>78</v>
      </c>
      <c r="D1" s="179"/>
      <c r="E1" s="179"/>
      <c r="F1" s="179"/>
      <c r="G1" s="179"/>
      <c r="H1" s="179"/>
      <c r="I1" s="179"/>
      <c r="J1" s="179"/>
      <c r="K1" s="179"/>
      <c r="L1" s="179"/>
      <c r="M1" s="179"/>
      <c r="N1" s="179"/>
      <c r="O1" s="179"/>
      <c r="P1" s="181"/>
    </row>
    <row r="2" spans="1:256" ht="15" x14ac:dyDescent="0.2">
      <c r="B2" s="294"/>
      <c r="C2" s="210"/>
      <c r="D2" s="179"/>
      <c r="E2" s="179"/>
      <c r="F2" s="179"/>
      <c r="G2" s="179"/>
      <c r="H2" s="179"/>
      <c r="I2" s="179"/>
      <c r="J2" s="179"/>
      <c r="K2" s="179"/>
      <c r="L2" s="179"/>
      <c r="M2" s="179"/>
      <c r="N2" s="179"/>
      <c r="O2" s="179"/>
      <c r="P2" s="181"/>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c r="IO2" s="294"/>
      <c r="IP2" s="294"/>
      <c r="IQ2" s="294"/>
      <c r="IR2" s="294"/>
      <c r="IS2" s="294"/>
      <c r="IT2" s="294"/>
      <c r="IU2" s="294"/>
      <c r="IV2" s="294"/>
    </row>
    <row r="3" spans="1:256" x14ac:dyDescent="0.2">
      <c r="A3" s="180"/>
      <c r="B3" s="180"/>
      <c r="C3" s="179" t="s">
        <v>372</v>
      </c>
      <c r="D3" s="179"/>
      <c r="E3" s="179"/>
      <c r="F3" s="179"/>
      <c r="G3" s="179"/>
      <c r="H3" s="179"/>
      <c r="I3" s="179"/>
      <c r="J3" s="179"/>
      <c r="K3" s="179"/>
      <c r="L3" s="179"/>
      <c r="M3" s="179"/>
      <c r="N3" s="179"/>
      <c r="O3" s="179"/>
      <c r="P3" s="181"/>
    </row>
    <row r="4" spans="1:256" x14ac:dyDescent="0.2">
      <c r="A4" s="180"/>
      <c r="B4" s="180"/>
      <c r="C4" s="179" t="s">
        <v>573</v>
      </c>
      <c r="D4" s="179"/>
      <c r="E4" s="179"/>
      <c r="F4" s="179"/>
      <c r="G4" s="179"/>
      <c r="H4" s="179"/>
      <c r="I4" s="179"/>
      <c r="J4" s="179"/>
      <c r="K4" s="179"/>
      <c r="L4" s="179"/>
      <c r="M4" s="179"/>
      <c r="N4" s="179"/>
      <c r="O4" s="179"/>
      <c r="P4" s="181"/>
    </row>
    <row r="5" spans="1:256" x14ac:dyDescent="0.2">
      <c r="A5" s="180"/>
      <c r="B5" s="180"/>
      <c r="C5" s="179" t="s">
        <v>241</v>
      </c>
      <c r="D5" s="179"/>
      <c r="E5" s="179"/>
      <c r="F5" s="179"/>
      <c r="G5" s="179"/>
      <c r="H5" s="179"/>
      <c r="I5" s="179"/>
      <c r="J5" s="179"/>
      <c r="K5" s="179"/>
      <c r="L5" s="179"/>
      <c r="M5" s="179"/>
      <c r="N5" s="179"/>
      <c r="O5" s="179"/>
      <c r="P5" s="181"/>
    </row>
    <row r="6" spans="1:256" x14ac:dyDescent="0.2">
      <c r="A6" s="180"/>
      <c r="B6" s="180"/>
      <c r="C6" s="181"/>
      <c r="D6" s="181"/>
      <c r="E6" s="181"/>
      <c r="F6" s="181"/>
      <c r="G6" s="181"/>
      <c r="H6" s="181"/>
      <c r="I6" s="181"/>
      <c r="J6" s="181"/>
      <c r="K6" s="181"/>
      <c r="L6" s="181"/>
      <c r="M6" s="181"/>
      <c r="N6" s="181"/>
      <c r="O6" s="181"/>
      <c r="P6" s="181"/>
    </row>
    <row r="7" spans="1:256" x14ac:dyDescent="0.2">
      <c r="A7" s="180"/>
      <c r="B7" s="180"/>
      <c r="C7" s="181"/>
      <c r="D7" s="181"/>
      <c r="E7" s="181"/>
      <c r="F7" s="181"/>
      <c r="G7" s="181"/>
      <c r="H7" s="181"/>
      <c r="I7" s="182" t="s">
        <v>574</v>
      </c>
      <c r="J7" s="181"/>
      <c r="K7" s="181"/>
      <c r="L7" s="181"/>
      <c r="M7" s="181"/>
      <c r="N7" s="181"/>
      <c r="O7" s="181"/>
      <c r="P7" s="181"/>
    </row>
    <row r="8" spans="1:256" x14ac:dyDescent="0.2">
      <c r="A8" s="180"/>
      <c r="B8" s="180"/>
      <c r="C8" s="181"/>
      <c r="D8" s="181"/>
      <c r="E8" s="181"/>
      <c r="F8" s="181"/>
      <c r="G8" s="181"/>
      <c r="H8" s="181"/>
      <c r="I8" s="182" t="s">
        <v>575</v>
      </c>
      <c r="J8" s="181"/>
      <c r="K8" s="181"/>
      <c r="L8" s="181"/>
      <c r="M8" s="182" t="s">
        <v>576</v>
      </c>
      <c r="N8" s="181"/>
      <c r="O8" s="182" t="s">
        <v>379</v>
      </c>
      <c r="P8" s="181"/>
      <c r="S8" s="613" t="s">
        <v>835</v>
      </c>
    </row>
    <row r="9" spans="1:256" x14ac:dyDescent="0.2">
      <c r="A9" s="180"/>
      <c r="B9" s="180"/>
      <c r="C9" s="179" t="s">
        <v>577</v>
      </c>
      <c r="D9" s="179"/>
      <c r="E9" s="179"/>
      <c r="F9" s="179"/>
      <c r="G9" s="179"/>
      <c r="H9" s="181"/>
      <c r="I9" s="182" t="s">
        <v>578</v>
      </c>
      <c r="J9" s="181"/>
      <c r="K9" s="182" t="s">
        <v>579</v>
      </c>
      <c r="L9" s="181"/>
      <c r="M9" s="182" t="s">
        <v>118</v>
      </c>
      <c r="N9" s="181"/>
      <c r="O9" s="182" t="s">
        <v>381</v>
      </c>
      <c r="P9" s="181"/>
      <c r="S9" s="613" t="s">
        <v>836</v>
      </c>
    </row>
    <row r="10" spans="1:256" x14ac:dyDescent="0.2">
      <c r="A10" s="180"/>
      <c r="B10" s="180"/>
      <c r="C10" s="183" t="s">
        <v>382</v>
      </c>
      <c r="D10" s="183"/>
      <c r="E10" s="183"/>
      <c r="F10" s="183"/>
      <c r="G10" s="183"/>
      <c r="H10" s="181"/>
      <c r="I10" s="184" t="s">
        <v>272</v>
      </c>
      <c r="J10" s="182"/>
      <c r="K10" s="184" t="s">
        <v>384</v>
      </c>
      <c r="L10" s="181"/>
      <c r="M10" s="184" t="s">
        <v>402</v>
      </c>
      <c r="N10" s="181"/>
      <c r="O10" s="184" t="s">
        <v>403</v>
      </c>
      <c r="P10" s="181"/>
      <c r="S10" s="613"/>
    </row>
    <row r="11" spans="1:256" ht="16.350000000000001" customHeight="1" x14ac:dyDescent="0.2">
      <c r="A11" s="180"/>
      <c r="B11" s="180"/>
      <c r="C11" s="181"/>
      <c r="D11" s="181"/>
      <c r="E11" s="181"/>
      <c r="F11" s="181"/>
      <c r="G11" s="181"/>
      <c r="H11" s="181"/>
      <c r="I11" s="181"/>
      <c r="J11" s="181"/>
      <c r="K11" s="181"/>
      <c r="L11" s="181"/>
      <c r="M11" s="181"/>
      <c r="N11" s="181"/>
      <c r="O11" s="181"/>
      <c r="P11" s="181"/>
      <c r="S11" s="613"/>
    </row>
    <row r="12" spans="1:256" x14ac:dyDescent="0.2">
      <c r="A12" s="180"/>
      <c r="B12" s="180"/>
      <c r="C12" s="185" t="s">
        <v>580</v>
      </c>
      <c r="D12" s="181"/>
      <c r="E12" s="181"/>
      <c r="F12" s="181"/>
      <c r="G12" s="181"/>
      <c r="H12" s="181"/>
      <c r="I12" s="181"/>
      <c r="J12" s="181"/>
      <c r="K12" s="181"/>
      <c r="L12" s="181"/>
      <c r="M12" s="181"/>
      <c r="N12" s="181"/>
      <c r="O12" s="181"/>
      <c r="P12" s="471"/>
      <c r="Q12" s="464"/>
      <c r="S12" s="613"/>
    </row>
    <row r="13" spans="1:256" ht="14.1" customHeight="1" x14ac:dyDescent="0.2">
      <c r="A13" s="180"/>
      <c r="B13" s="180"/>
      <c r="C13" s="185"/>
      <c r="D13" s="181"/>
      <c r="E13" s="181"/>
      <c r="F13" s="181"/>
      <c r="G13" s="181"/>
      <c r="H13" s="181"/>
      <c r="I13" s="181"/>
      <c r="J13" s="181"/>
      <c r="K13" s="181"/>
      <c r="L13" s="181"/>
      <c r="M13" s="181"/>
      <c r="N13" s="181"/>
      <c r="O13" s="181"/>
      <c r="P13" s="471"/>
      <c r="Q13" s="464"/>
      <c r="S13" s="613"/>
    </row>
    <row r="14" spans="1:256" x14ac:dyDescent="0.2">
      <c r="A14" s="180"/>
      <c r="B14" s="180"/>
      <c r="C14" s="672" t="s">
        <v>581</v>
      </c>
      <c r="D14" s="672"/>
      <c r="E14" s="672"/>
      <c r="F14" s="181"/>
      <c r="G14" s="181"/>
      <c r="H14" s="181"/>
      <c r="I14" s="165"/>
      <c r="J14" s="181"/>
      <c r="K14" s="181"/>
      <c r="L14" s="181"/>
      <c r="M14" s="181"/>
      <c r="N14" s="181"/>
      <c r="O14" s="181"/>
      <c r="P14" s="471"/>
      <c r="Q14" s="464"/>
      <c r="S14" s="613"/>
    </row>
    <row r="15" spans="1:256" x14ac:dyDescent="0.2">
      <c r="A15" s="180"/>
      <c r="B15" s="180"/>
      <c r="C15" s="188">
        <v>2</v>
      </c>
      <c r="D15" s="186" t="s">
        <v>591</v>
      </c>
      <c r="E15" s="186"/>
      <c r="F15" s="181"/>
      <c r="G15" s="181"/>
      <c r="H15" s="181"/>
      <c r="I15" s="165">
        <f>+C15^2</f>
        <v>4</v>
      </c>
      <c r="J15" s="181"/>
      <c r="K15" s="382">
        <v>64</v>
      </c>
      <c r="L15" s="181"/>
      <c r="M15" s="381">
        <f>ROUND((+I15*K15*1.5),0)</f>
        <v>384</v>
      </c>
      <c r="N15" s="181"/>
      <c r="O15" s="181"/>
      <c r="P15" s="145"/>
      <c r="Q15" s="464"/>
      <c r="S15" s="613"/>
    </row>
    <row r="16" spans="1:256" x14ac:dyDescent="0.2">
      <c r="A16" s="180"/>
      <c r="B16" s="180"/>
      <c r="C16" s="189">
        <v>3</v>
      </c>
      <c r="D16" s="181" t="s">
        <v>591</v>
      </c>
      <c r="E16" s="181"/>
      <c r="F16" s="181"/>
      <c r="G16" s="181"/>
      <c r="H16" s="181"/>
      <c r="I16" s="165">
        <f t="shared" ref="I16:I23" si="0">+C16^2</f>
        <v>9</v>
      </c>
      <c r="J16" s="181"/>
      <c r="K16" s="382">
        <v>0</v>
      </c>
      <c r="L16" s="181"/>
      <c r="M16" s="381">
        <f t="shared" ref="M16:M24" si="1">ROUND((+I16*K16*1.5),0)</f>
        <v>0</v>
      </c>
      <c r="N16" s="181"/>
      <c r="O16" s="181"/>
      <c r="P16" s="145"/>
      <c r="Q16" s="464"/>
      <c r="S16" s="613"/>
    </row>
    <row r="17" spans="1:23" x14ac:dyDescent="0.2">
      <c r="A17" s="180"/>
      <c r="B17" s="180"/>
      <c r="C17" s="189">
        <v>4</v>
      </c>
      <c r="D17" s="181" t="s">
        <v>591</v>
      </c>
      <c r="E17" s="181"/>
      <c r="F17" s="181"/>
      <c r="G17" s="181"/>
      <c r="H17" s="181"/>
      <c r="I17" s="165">
        <f t="shared" si="0"/>
        <v>16</v>
      </c>
      <c r="J17" s="181"/>
      <c r="K17" s="382">
        <v>390</v>
      </c>
      <c r="L17" s="181"/>
      <c r="M17" s="381">
        <f t="shared" si="1"/>
        <v>9360</v>
      </c>
      <c r="N17" s="181"/>
      <c r="O17" s="181"/>
      <c r="P17" s="145"/>
      <c r="Q17" s="464"/>
      <c r="S17" s="613"/>
    </row>
    <row r="18" spans="1:23" x14ac:dyDescent="0.2">
      <c r="A18" s="180"/>
      <c r="B18" s="180"/>
      <c r="C18" s="189">
        <v>6</v>
      </c>
      <c r="D18" s="181" t="s">
        <v>591</v>
      </c>
      <c r="E18" s="181"/>
      <c r="F18" s="181"/>
      <c r="G18" s="181"/>
      <c r="H18" s="181"/>
      <c r="I18" s="165">
        <f t="shared" si="0"/>
        <v>36</v>
      </c>
      <c r="J18" s="181"/>
      <c r="K18" s="382">
        <v>862</v>
      </c>
      <c r="L18" s="181"/>
      <c r="M18" s="381">
        <f t="shared" si="1"/>
        <v>46548</v>
      </c>
      <c r="N18" s="181"/>
      <c r="O18" s="181"/>
      <c r="P18" s="145"/>
      <c r="Q18" s="464"/>
      <c r="S18" s="613"/>
    </row>
    <row r="19" spans="1:23" x14ac:dyDescent="0.2">
      <c r="A19" s="180"/>
      <c r="B19" s="180"/>
      <c r="C19" s="189">
        <v>8</v>
      </c>
      <c r="D19" s="181" t="s">
        <v>591</v>
      </c>
      <c r="E19" s="181"/>
      <c r="F19" s="181"/>
      <c r="G19" s="181"/>
      <c r="H19" s="181"/>
      <c r="I19" s="165">
        <f t="shared" si="0"/>
        <v>64</v>
      </c>
      <c r="J19" s="181"/>
      <c r="K19" s="382">
        <v>266</v>
      </c>
      <c r="L19" s="181"/>
      <c r="M19" s="381">
        <f t="shared" si="1"/>
        <v>25536</v>
      </c>
      <c r="N19" s="181"/>
      <c r="O19" s="181"/>
      <c r="P19" s="145"/>
      <c r="Q19" s="464"/>
      <c r="S19" s="613"/>
    </row>
    <row r="20" spans="1:23" x14ac:dyDescent="0.2">
      <c r="A20" s="180"/>
      <c r="B20" s="180"/>
      <c r="C20" s="189">
        <v>10</v>
      </c>
      <c r="D20" s="181" t="s">
        <v>591</v>
      </c>
      <c r="E20" s="181"/>
      <c r="F20" s="181"/>
      <c r="G20" s="181"/>
      <c r="H20" s="181"/>
      <c r="I20" s="165">
        <f t="shared" si="0"/>
        <v>100</v>
      </c>
      <c r="J20" s="181"/>
      <c r="K20" s="382">
        <v>8</v>
      </c>
      <c r="L20" s="181"/>
      <c r="M20" s="381">
        <f t="shared" si="1"/>
        <v>1200</v>
      </c>
      <c r="N20" s="181"/>
      <c r="O20" s="181"/>
      <c r="P20" s="145"/>
      <c r="Q20" s="464"/>
      <c r="S20" s="613"/>
    </row>
    <row r="21" spans="1:23" x14ac:dyDescent="0.2">
      <c r="A21" s="180"/>
      <c r="B21" s="180"/>
      <c r="C21" s="189">
        <v>12</v>
      </c>
      <c r="D21" s="181" t="s">
        <v>591</v>
      </c>
      <c r="E21" s="181"/>
      <c r="F21" s="181"/>
      <c r="G21" s="181"/>
      <c r="H21" s="181"/>
      <c r="I21" s="165">
        <f t="shared" si="0"/>
        <v>144</v>
      </c>
      <c r="J21" s="181"/>
      <c r="K21" s="382">
        <v>4</v>
      </c>
      <c r="L21" s="181"/>
      <c r="M21" s="381">
        <f t="shared" si="1"/>
        <v>864</v>
      </c>
      <c r="N21" s="181"/>
      <c r="O21" s="181"/>
      <c r="P21" s="145"/>
      <c r="Q21" s="464"/>
      <c r="S21" s="613"/>
    </row>
    <row r="22" spans="1:23" x14ac:dyDescent="0.2">
      <c r="A22" s="180"/>
      <c r="B22" s="180"/>
      <c r="C22" s="189">
        <v>14</v>
      </c>
      <c r="D22" s="181" t="s">
        <v>591</v>
      </c>
      <c r="E22" s="181"/>
      <c r="F22" s="181"/>
      <c r="G22" s="181"/>
      <c r="H22" s="181"/>
      <c r="I22" s="165">
        <f t="shared" si="0"/>
        <v>196</v>
      </c>
      <c r="J22" s="181"/>
      <c r="K22" s="382">
        <v>0</v>
      </c>
      <c r="L22" s="181"/>
      <c r="M22" s="381">
        <f t="shared" si="1"/>
        <v>0</v>
      </c>
      <c r="N22" s="181"/>
      <c r="O22" s="181"/>
      <c r="P22" s="145"/>
      <c r="Q22" s="464"/>
      <c r="S22" s="613"/>
    </row>
    <row r="23" spans="1:23" x14ac:dyDescent="0.2">
      <c r="A23" s="180"/>
      <c r="B23" s="180"/>
      <c r="C23" s="189">
        <v>16</v>
      </c>
      <c r="D23" s="181" t="s">
        <v>591</v>
      </c>
      <c r="E23" s="181"/>
      <c r="F23" s="181"/>
      <c r="G23" s="181"/>
      <c r="H23" s="181"/>
      <c r="I23" s="165">
        <f t="shared" si="0"/>
        <v>256</v>
      </c>
      <c r="J23" s="181"/>
      <c r="K23" s="382">
        <v>1</v>
      </c>
      <c r="L23" s="181"/>
      <c r="M23" s="381">
        <f t="shared" si="1"/>
        <v>384</v>
      </c>
      <c r="N23" s="181"/>
      <c r="O23" s="181"/>
      <c r="P23" s="145"/>
      <c r="Q23" s="464"/>
      <c r="S23" s="613"/>
    </row>
    <row r="24" spans="1:23" ht="13.5" customHeight="1" x14ac:dyDescent="0.2">
      <c r="A24" s="180"/>
      <c r="B24" s="180"/>
      <c r="C24" s="673" t="s">
        <v>237</v>
      </c>
      <c r="D24" s="673"/>
      <c r="E24" s="673"/>
      <c r="F24" s="181"/>
      <c r="G24" s="181"/>
      <c r="H24" s="181"/>
      <c r="I24" s="380">
        <v>27.6</v>
      </c>
      <c r="J24" s="181"/>
      <c r="K24" s="470">
        <v>1087</v>
      </c>
      <c r="L24" s="181"/>
      <c r="M24" s="211">
        <f t="shared" si="1"/>
        <v>45002</v>
      </c>
      <c r="N24" s="181"/>
      <c r="O24" s="181"/>
      <c r="P24" s="145"/>
      <c r="Q24" s="464"/>
      <c r="S24" s="613"/>
      <c r="V24" s="258"/>
      <c r="W24" s="258"/>
    </row>
    <row r="25" spans="1:23" x14ac:dyDescent="0.2">
      <c r="A25" s="180"/>
      <c r="B25" s="180"/>
      <c r="C25" s="181"/>
      <c r="D25" s="181"/>
      <c r="E25" s="181"/>
      <c r="F25" s="181"/>
      <c r="G25" s="181"/>
      <c r="H25" s="181"/>
      <c r="I25" s="165"/>
      <c r="J25" s="181"/>
      <c r="K25" s="381"/>
      <c r="L25" s="181"/>
      <c r="M25" s="381"/>
      <c r="N25" s="181"/>
      <c r="O25" s="181"/>
      <c r="P25" s="145"/>
      <c r="Q25" s="464"/>
      <c r="S25" s="613"/>
      <c r="V25" s="258"/>
      <c r="W25" s="258"/>
    </row>
    <row r="26" spans="1:23" ht="13.5" thickBot="1" x14ac:dyDescent="0.25">
      <c r="A26" s="180"/>
      <c r="B26" s="180"/>
      <c r="C26" s="181" t="s">
        <v>592</v>
      </c>
      <c r="D26" s="181"/>
      <c r="E26" s="181"/>
      <c r="F26" s="181"/>
      <c r="G26" s="181"/>
      <c r="H26" s="181"/>
      <c r="I26" s="165"/>
      <c r="J26" s="181"/>
      <c r="K26" s="398">
        <f>SUM(K15:K24)</f>
        <v>2682</v>
      </c>
      <c r="L26" s="181"/>
      <c r="M26" s="208">
        <f>SUM(M15:M24)</f>
        <v>129278</v>
      </c>
      <c r="N26" s="181"/>
      <c r="O26" s="383">
        <f>ROUND(+M26/M$35,4)</f>
        <v>0.45040000000000002</v>
      </c>
      <c r="P26" s="464"/>
      <c r="Q26" s="145"/>
      <c r="S26" s="613"/>
      <c r="V26" s="568"/>
      <c r="W26" s="258"/>
    </row>
    <row r="27" spans="1:23" ht="13.5" thickTop="1" x14ac:dyDescent="0.2">
      <c r="A27" s="180"/>
      <c r="B27" s="180"/>
      <c r="C27" s="181"/>
      <c r="D27" s="181"/>
      <c r="E27" s="181"/>
      <c r="F27" s="181"/>
      <c r="G27" s="181"/>
      <c r="H27" s="181"/>
      <c r="I27" s="165"/>
      <c r="J27" s="181"/>
      <c r="K27" s="187"/>
      <c r="L27" s="181"/>
      <c r="M27" s="187"/>
      <c r="N27" s="181"/>
      <c r="O27" s="191"/>
      <c r="P27" s="464"/>
      <c r="Q27" s="464"/>
      <c r="S27" s="613"/>
      <c r="V27" s="568"/>
      <c r="W27" s="258"/>
    </row>
    <row r="28" spans="1:23" x14ac:dyDescent="0.2">
      <c r="A28" s="180"/>
      <c r="B28" s="180"/>
      <c r="C28" s="181"/>
      <c r="D28" s="181"/>
      <c r="E28" s="181"/>
      <c r="F28" s="181"/>
      <c r="G28" s="181"/>
      <c r="H28" s="181"/>
      <c r="I28" s="165"/>
      <c r="J28" s="181"/>
      <c r="K28" s="187"/>
      <c r="L28" s="181"/>
      <c r="M28" s="187"/>
      <c r="N28" s="181"/>
      <c r="O28" s="181"/>
      <c r="P28" s="464"/>
      <c r="Q28" s="464"/>
      <c r="S28" s="613"/>
      <c r="V28" s="568"/>
      <c r="W28" s="258"/>
    </row>
    <row r="29" spans="1:23" x14ac:dyDescent="0.2">
      <c r="A29" s="180"/>
      <c r="B29" s="180"/>
      <c r="C29" s="185" t="s">
        <v>593</v>
      </c>
      <c r="D29" s="181"/>
      <c r="E29" s="181"/>
      <c r="F29" s="181"/>
      <c r="G29" s="181"/>
      <c r="H29" s="181"/>
      <c r="I29" s="165"/>
      <c r="J29" s="181"/>
      <c r="K29" s="187"/>
      <c r="L29" s="181"/>
      <c r="M29" s="187"/>
      <c r="N29" s="181"/>
      <c r="O29" s="181"/>
      <c r="P29" s="472"/>
      <c r="Q29" s="464"/>
      <c r="S29" s="613"/>
      <c r="V29" s="568"/>
      <c r="W29" s="258"/>
    </row>
    <row r="30" spans="1:23" x14ac:dyDescent="0.2">
      <c r="A30" s="180"/>
      <c r="B30" s="180"/>
      <c r="C30" s="384" t="s">
        <v>121</v>
      </c>
      <c r="D30" s="384"/>
      <c r="E30" s="181"/>
      <c r="F30" s="181"/>
      <c r="G30" s="181"/>
      <c r="H30" s="181"/>
      <c r="I30" s="165">
        <v>20.3</v>
      </c>
      <c r="J30" s="181"/>
      <c r="K30" s="337">
        <f>6365.57499664756+S30</f>
        <v>6412.5749966475596</v>
      </c>
      <c r="L30" s="181"/>
      <c r="M30" s="187">
        <f>+I30*K30</f>
        <v>130175.27243194546</v>
      </c>
      <c r="N30" s="181"/>
      <c r="O30" s="181"/>
      <c r="P30" s="471"/>
      <c r="Q30" s="464"/>
      <c r="S30" s="639">
        <v>47</v>
      </c>
      <c r="V30" s="568"/>
      <c r="W30" s="258"/>
    </row>
    <row r="31" spans="1:23" x14ac:dyDescent="0.2">
      <c r="A31" s="180"/>
      <c r="B31" s="180"/>
      <c r="C31" s="384" t="s">
        <v>122</v>
      </c>
      <c r="D31" s="384"/>
      <c r="F31" s="182"/>
      <c r="G31" s="192"/>
      <c r="H31" s="181"/>
      <c r="I31" s="165">
        <v>27.6</v>
      </c>
      <c r="J31" s="181"/>
      <c r="K31" s="187">
        <v>1000</v>
      </c>
      <c r="L31" s="181"/>
      <c r="M31" s="187">
        <f>+I31*K31</f>
        <v>27600</v>
      </c>
      <c r="N31" s="181"/>
      <c r="O31" s="181"/>
      <c r="P31" s="181"/>
      <c r="V31" s="258"/>
      <c r="W31" s="258"/>
    </row>
    <row r="32" spans="1:23" x14ac:dyDescent="0.2">
      <c r="A32" s="180"/>
      <c r="B32" s="180"/>
      <c r="D32" s="181"/>
      <c r="E32" s="181"/>
      <c r="F32" s="181"/>
      <c r="G32" s="181"/>
      <c r="H32" s="181"/>
      <c r="I32" s="165"/>
      <c r="J32" s="181"/>
      <c r="K32" s="190"/>
      <c r="L32" s="181"/>
      <c r="M32" s="190"/>
      <c r="N32" s="181"/>
      <c r="O32" s="181"/>
      <c r="P32" s="181"/>
      <c r="V32" s="258"/>
      <c r="W32" s="258"/>
    </row>
    <row r="33" spans="1:23" x14ac:dyDescent="0.2">
      <c r="A33" s="180"/>
      <c r="B33" s="180"/>
      <c r="C33" s="137" t="s">
        <v>236</v>
      </c>
      <c r="D33" s="181"/>
      <c r="E33" s="181"/>
      <c r="F33" s="181"/>
      <c r="G33" s="181"/>
      <c r="H33" s="181"/>
      <c r="I33" s="181"/>
      <c r="J33" s="181"/>
      <c r="K33" s="187">
        <f>SUM(K30:K32)</f>
        <v>7412.5749966475596</v>
      </c>
      <c r="L33" s="181"/>
      <c r="M33" s="187">
        <f>SUM(M30:M32)</f>
        <v>157775.27243194546</v>
      </c>
      <c r="N33" s="181"/>
      <c r="O33" s="191">
        <f>ROUND(+M33/M$35,4)</f>
        <v>0.54959999999999998</v>
      </c>
      <c r="P33" s="181"/>
      <c r="V33" s="258"/>
      <c r="W33" s="258"/>
    </row>
    <row r="34" spans="1:23" x14ac:dyDescent="0.2">
      <c r="A34" s="180"/>
      <c r="B34" s="180"/>
      <c r="C34" s="181"/>
      <c r="D34" s="181"/>
      <c r="E34" s="181"/>
      <c r="F34" s="181"/>
      <c r="G34" s="181"/>
      <c r="H34" s="181"/>
      <c r="I34" s="181"/>
      <c r="J34" s="181"/>
      <c r="K34" s="190"/>
      <c r="L34" s="181"/>
      <c r="M34" s="190"/>
      <c r="N34" s="181"/>
      <c r="O34" s="190"/>
      <c r="P34" s="181"/>
      <c r="V34" s="258"/>
      <c r="W34" s="258"/>
    </row>
    <row r="35" spans="1:23" ht="13.5" thickBot="1" x14ac:dyDescent="0.25">
      <c r="A35" s="180"/>
      <c r="B35" s="180"/>
      <c r="C35" s="181" t="s">
        <v>594</v>
      </c>
      <c r="D35" s="181"/>
      <c r="E35" s="181"/>
      <c r="F35" s="181"/>
      <c r="G35" s="181"/>
      <c r="H35" s="181"/>
      <c r="I35" s="181"/>
      <c r="J35" s="181"/>
      <c r="K35" s="208">
        <f>K26+K33</f>
        <v>10094.57499664756</v>
      </c>
      <c r="L35" s="181"/>
      <c r="M35" s="208">
        <f>M26+M33</f>
        <v>287053.27243194543</v>
      </c>
      <c r="N35" s="191"/>
      <c r="O35" s="209">
        <f>O26+O33</f>
        <v>1</v>
      </c>
      <c r="P35" s="181"/>
      <c r="V35" s="258"/>
      <c r="W35" s="258"/>
    </row>
    <row r="36" spans="1:23" ht="13.5" thickTop="1" x14ac:dyDescent="0.2">
      <c r="V36" s="258"/>
      <c r="W36" s="258"/>
    </row>
    <row r="37" spans="1:23" x14ac:dyDescent="0.2">
      <c r="C37" s="379"/>
      <c r="D37" s="379"/>
      <c r="E37" s="379"/>
      <c r="F37" s="379"/>
      <c r="G37" s="379"/>
      <c r="V37" s="258"/>
      <c r="W37" s="258"/>
    </row>
    <row r="38" spans="1:23" x14ac:dyDescent="0.2">
      <c r="C38" s="137" t="s">
        <v>119</v>
      </c>
      <c r="V38" s="258"/>
      <c r="W38" s="258"/>
    </row>
    <row r="39" spans="1:23" x14ac:dyDescent="0.2">
      <c r="C39" s="137" t="s">
        <v>120</v>
      </c>
      <c r="V39" s="258"/>
      <c r="W39" s="258"/>
    </row>
  </sheetData>
  <mergeCells count="2">
    <mergeCell ref="C14:E14"/>
    <mergeCell ref="C24:E24"/>
  </mergeCells>
  <phoneticPr fontId="12" type="noConversion"/>
  <pageMargins left="1" right="0.75" top="1" bottom="1" header="0.5" footer="0.5"/>
  <headerFooter alignWithMargins="0"/>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59"/>
  <sheetViews>
    <sheetView workbookViewId="0">
      <selection activeCell="T27" sqref="T27"/>
    </sheetView>
  </sheetViews>
  <sheetFormatPr defaultColWidth="8.6640625" defaultRowHeight="12.75" x14ac:dyDescent="0.2"/>
  <cols>
    <col min="1" max="1" width="18.33203125" customWidth="1"/>
    <col min="2" max="2" width="1.5546875" customWidth="1"/>
    <col min="3" max="3" width="12.6640625" customWidth="1"/>
    <col min="4" max="4" width="1.33203125" customWidth="1"/>
    <col min="6" max="6" width="1.88671875" customWidth="1"/>
    <col min="8" max="8" width="2.6640625" customWidth="1"/>
    <col min="9" max="9" width="11" customWidth="1"/>
    <col min="10" max="10" width="1.33203125" customWidth="1"/>
    <col min="11" max="11" width="11.44140625" customWidth="1"/>
    <col min="12" max="12" width="1.6640625" customWidth="1"/>
    <col min="14" max="14" width="1.88671875" customWidth="1"/>
    <col min="16" max="16" width="1.33203125" customWidth="1"/>
    <col min="17" max="17" width="11" customWidth="1"/>
    <col min="18" max="18" width="1.44140625" customWidth="1"/>
    <col min="19" max="19" width="12.33203125" customWidth="1"/>
    <col min="20" max="20" width="5.33203125" customWidth="1"/>
    <col min="22" max="22" width="1.33203125" customWidth="1"/>
    <col min="28" max="28" width="2.88671875" customWidth="1"/>
    <col min="30" max="30" width="2.5546875" customWidth="1"/>
    <col min="31" max="31" width="15.5546875" bestFit="1" customWidth="1"/>
    <col min="32" max="32" width="1.33203125" customWidth="1"/>
    <col min="33" max="33" width="12" bestFit="1" customWidth="1"/>
    <col min="34" max="34" width="2.88671875" customWidth="1"/>
    <col min="36" max="36" width="1.5546875" customWidth="1"/>
  </cols>
  <sheetData>
    <row r="1" spans="1:23" ht="15" x14ac:dyDescent="0.2">
      <c r="W1" s="423"/>
    </row>
    <row r="4" spans="1:23" ht="15" x14ac:dyDescent="0.2">
      <c r="A4" s="671" t="s">
        <v>371</v>
      </c>
      <c r="B4" s="671"/>
      <c r="C4" s="671"/>
      <c r="D4" s="671"/>
      <c r="E4" s="671"/>
      <c r="F4" s="671"/>
      <c r="G4" s="671"/>
      <c r="H4" s="671"/>
      <c r="I4" s="671"/>
      <c r="J4" s="671"/>
      <c r="K4" s="671"/>
    </row>
    <row r="5" spans="1:23" x14ac:dyDescent="0.2">
      <c r="A5" s="227"/>
      <c r="B5" s="227"/>
      <c r="C5" s="227"/>
      <c r="D5" s="227"/>
      <c r="E5" s="227"/>
      <c r="F5" s="227"/>
      <c r="G5" s="227"/>
      <c r="H5" s="227"/>
      <c r="I5" s="227"/>
      <c r="J5" s="227"/>
      <c r="K5" s="227"/>
    </row>
    <row r="6" spans="1:23" ht="15" x14ac:dyDescent="0.2">
      <c r="A6" s="671" t="s">
        <v>582</v>
      </c>
      <c r="B6" s="671"/>
      <c r="C6" s="671"/>
      <c r="D6" s="671"/>
      <c r="E6" s="671"/>
      <c r="F6" s="671"/>
      <c r="G6" s="671"/>
      <c r="H6" s="671"/>
      <c r="I6" s="671"/>
      <c r="J6" s="671"/>
      <c r="K6" s="671"/>
    </row>
    <row r="7" spans="1:23" x14ac:dyDescent="0.2">
      <c r="A7" s="227"/>
      <c r="B7" s="227"/>
      <c r="C7" s="227"/>
      <c r="D7" s="227"/>
      <c r="E7" s="227"/>
      <c r="F7" s="227"/>
      <c r="G7" s="227"/>
      <c r="H7" s="227"/>
      <c r="I7" s="227"/>
      <c r="J7" s="227"/>
      <c r="K7" s="227"/>
    </row>
    <row r="8" spans="1:23" x14ac:dyDescent="0.2">
      <c r="A8" s="227"/>
      <c r="B8" s="227"/>
      <c r="C8" s="227"/>
      <c r="D8" s="227"/>
      <c r="E8" s="227"/>
      <c r="F8" s="227"/>
      <c r="G8" s="227"/>
      <c r="H8" s="227"/>
      <c r="I8" s="227"/>
      <c r="J8" s="227"/>
      <c r="K8" s="227"/>
    </row>
    <row r="9" spans="1:23" ht="15" x14ac:dyDescent="0.2">
      <c r="A9" s="226"/>
      <c r="B9" s="226"/>
      <c r="D9" s="226"/>
      <c r="E9" s="226"/>
      <c r="F9" s="226"/>
      <c r="G9" s="226"/>
      <c r="H9" s="226"/>
      <c r="I9" s="226"/>
      <c r="J9" s="226"/>
      <c r="K9" s="226"/>
    </row>
    <row r="10" spans="1:23" ht="15" x14ac:dyDescent="0.2">
      <c r="A10" s="226"/>
      <c r="B10" s="226"/>
      <c r="C10" s="225" t="s">
        <v>52</v>
      </c>
      <c r="D10" s="226"/>
      <c r="E10" s="225" t="s">
        <v>583</v>
      </c>
      <c r="F10" s="226"/>
      <c r="G10" s="226"/>
      <c r="H10" s="226"/>
      <c r="I10" s="226"/>
      <c r="J10" s="226"/>
      <c r="K10" s="225" t="s">
        <v>584</v>
      </c>
    </row>
    <row r="11" spans="1:23" ht="15" x14ac:dyDescent="0.2">
      <c r="A11" s="229" t="s">
        <v>585</v>
      </c>
      <c r="B11" s="226"/>
      <c r="C11" s="513" t="s">
        <v>395</v>
      </c>
      <c r="D11" s="226"/>
      <c r="E11" s="229" t="s">
        <v>586</v>
      </c>
      <c r="F11" s="226"/>
      <c r="G11" s="675" t="s">
        <v>577</v>
      </c>
      <c r="H11" s="675"/>
      <c r="I11" s="675"/>
      <c r="J11" s="226"/>
      <c r="K11" s="229" t="s">
        <v>587</v>
      </c>
    </row>
    <row r="12" spans="1:23" ht="15" x14ac:dyDescent="0.2">
      <c r="A12" s="230" t="s">
        <v>382</v>
      </c>
      <c r="B12" s="231"/>
      <c r="C12" s="230" t="s">
        <v>272</v>
      </c>
      <c r="D12" s="231"/>
      <c r="E12" s="230" t="s">
        <v>384</v>
      </c>
      <c r="F12" s="226"/>
      <c r="G12" s="676" t="s">
        <v>274</v>
      </c>
      <c r="H12" s="676"/>
      <c r="I12" s="676"/>
      <c r="J12" s="226"/>
      <c r="K12" s="230" t="s">
        <v>403</v>
      </c>
    </row>
    <row r="13" spans="1:23" ht="15" x14ac:dyDescent="0.2">
      <c r="A13" s="226"/>
      <c r="B13" s="226"/>
      <c r="C13" s="226"/>
      <c r="D13" s="226"/>
      <c r="E13" s="226"/>
      <c r="F13" s="226"/>
      <c r="G13" s="226"/>
      <c r="H13" s="226"/>
      <c r="I13" s="226"/>
      <c r="J13" s="226"/>
      <c r="K13" s="226"/>
    </row>
    <row r="14" spans="1:23" ht="15" x14ac:dyDescent="0.2">
      <c r="A14" s="226" t="s">
        <v>564</v>
      </c>
      <c r="B14" s="226"/>
      <c r="C14" s="232">
        <f ca="1">+'COS 1'!$AO$275</f>
        <v>10377770.343575729</v>
      </c>
      <c r="D14" s="226"/>
      <c r="E14" s="226">
        <f>+('Meters &amp; Services'!$AF$29-'Meters &amp; Services'!$AB$29)</f>
        <v>135942</v>
      </c>
      <c r="F14" s="226"/>
      <c r="G14" s="405" t="s">
        <v>588</v>
      </c>
      <c r="H14" s="424"/>
      <c r="I14" s="226"/>
      <c r="J14" s="226"/>
      <c r="K14" s="425">
        <f ca="1">ROUND(+C14/E14/12,2)</f>
        <v>6.36</v>
      </c>
      <c r="O14" s="145"/>
    </row>
    <row r="15" spans="1:23" ht="15" x14ac:dyDescent="0.2">
      <c r="A15" s="226"/>
      <c r="B15" s="226"/>
      <c r="C15" s="226"/>
      <c r="D15" s="226"/>
      <c r="E15" s="226"/>
      <c r="F15" s="226"/>
      <c r="G15" s="405"/>
      <c r="H15" s="424"/>
      <c r="I15" s="226"/>
      <c r="J15" s="226"/>
      <c r="K15" s="425"/>
    </row>
    <row r="16" spans="1:23" ht="15" x14ac:dyDescent="0.2">
      <c r="A16" s="226" t="s">
        <v>508</v>
      </c>
      <c r="B16" s="226"/>
      <c r="C16" s="231">
        <f ca="1">+'COS 1'!$AQ$275</f>
        <v>3049368.7656427841</v>
      </c>
      <c r="D16" s="226"/>
      <c r="E16" s="226">
        <f>+('Meters &amp; Services'!$AF$61-'Meters &amp; Services'!$AB$61)</f>
        <v>131800</v>
      </c>
      <c r="F16" s="226"/>
      <c r="G16" s="405" t="s">
        <v>589</v>
      </c>
      <c r="H16" s="424"/>
      <c r="I16" s="226"/>
      <c r="J16" s="226"/>
      <c r="K16" s="426">
        <f ca="1">ROUND(+C16/E16/12,2)</f>
        <v>1.93</v>
      </c>
      <c r="O16" s="145"/>
    </row>
    <row r="17" spans="1:41" ht="15" x14ac:dyDescent="0.2">
      <c r="A17" s="226"/>
      <c r="B17" s="226"/>
      <c r="C17" s="231"/>
      <c r="D17" s="226"/>
      <c r="E17" s="226"/>
      <c r="F17" s="226"/>
      <c r="G17" s="226"/>
      <c r="H17" s="424"/>
      <c r="I17" s="226"/>
      <c r="J17" s="226"/>
      <c r="K17" s="426"/>
    </row>
    <row r="18" spans="1:41" ht="15" x14ac:dyDescent="0.2">
      <c r="A18" s="226" t="s">
        <v>590</v>
      </c>
      <c r="B18" s="226"/>
      <c r="C18" s="234">
        <f ca="1">+'COS 1'!AS275+'COS 1'!AU275</f>
        <v>8073405.7595508443</v>
      </c>
      <c r="D18" s="226"/>
      <c r="E18" s="226">
        <f>+SUM('F13-14'!$D$15:$D$19)</f>
        <v>121732</v>
      </c>
      <c r="F18" s="226"/>
      <c r="G18" s="226" t="s">
        <v>719</v>
      </c>
      <c r="H18" s="424"/>
      <c r="I18" s="226"/>
      <c r="J18" s="226"/>
      <c r="K18" s="428">
        <f ca="1">ROUND(+C18/E18/12,2)</f>
        <v>5.53</v>
      </c>
      <c r="O18" s="145"/>
    </row>
    <row r="19" spans="1:41" ht="15" x14ac:dyDescent="0.2">
      <c r="A19" s="226"/>
      <c r="B19" s="226"/>
      <c r="C19" s="427"/>
      <c r="D19" s="226"/>
      <c r="E19" s="236"/>
      <c r="F19" s="226"/>
      <c r="G19" s="226"/>
      <c r="H19" s="424"/>
      <c r="I19" s="226"/>
      <c r="J19" s="226"/>
      <c r="K19" s="426"/>
      <c r="O19" s="145"/>
    </row>
    <row r="20" spans="1:41" ht="15" x14ac:dyDescent="0.2">
      <c r="A20" s="226"/>
      <c r="B20" s="226"/>
      <c r="C20" s="226"/>
      <c r="D20" s="226"/>
      <c r="E20" s="226"/>
      <c r="F20" s="226"/>
      <c r="G20" s="226"/>
      <c r="H20" s="226"/>
      <c r="I20" s="226"/>
      <c r="J20" s="226"/>
      <c r="K20" s="226"/>
      <c r="M20" s="146"/>
      <c r="N20" s="146"/>
      <c r="O20" s="387"/>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row>
    <row r="21" spans="1:41" ht="15.75" thickBot="1" x14ac:dyDescent="0.25">
      <c r="A21" s="226" t="s">
        <v>720</v>
      </c>
      <c r="B21" s="226"/>
      <c r="C21" s="238">
        <f ca="1">SUM(C14:C19)</f>
        <v>21500544.868769359</v>
      </c>
      <c r="D21" s="226"/>
      <c r="E21" s="226"/>
      <c r="F21" s="226"/>
      <c r="G21" s="226"/>
      <c r="H21" s="226"/>
      <c r="I21" s="226"/>
      <c r="J21" s="226"/>
      <c r="K21" s="429">
        <f ca="1">SUM(K14:K19)</f>
        <v>13.82</v>
      </c>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row>
    <row r="22" spans="1:41" ht="15.75" thickTop="1" x14ac:dyDescent="0.2">
      <c r="A22" s="226"/>
      <c r="B22" s="226"/>
      <c r="C22" s="227"/>
      <c r="D22" s="227"/>
      <c r="E22" s="227"/>
      <c r="F22" s="227"/>
      <c r="G22" s="227"/>
      <c r="H22" s="227"/>
      <c r="I22" s="227"/>
      <c r="J22" s="226"/>
      <c r="K22" s="22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row>
    <row r="23" spans="1:41" ht="15" x14ac:dyDescent="0.2">
      <c r="A23" s="226"/>
      <c r="B23" s="226"/>
      <c r="C23" s="227"/>
      <c r="D23" s="227"/>
      <c r="E23" s="227"/>
      <c r="F23" s="227"/>
      <c r="G23" s="227"/>
      <c r="H23" s="227"/>
      <c r="I23" s="227"/>
      <c r="J23" s="226"/>
      <c r="K23" s="22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row>
    <row r="24" spans="1:41" ht="15" x14ac:dyDescent="0.2">
      <c r="A24" s="226"/>
      <c r="B24" s="226"/>
      <c r="C24" s="227"/>
      <c r="D24" s="227"/>
      <c r="E24" s="227"/>
      <c r="F24" s="227"/>
      <c r="G24" s="227"/>
      <c r="H24" s="227"/>
      <c r="I24" s="227"/>
      <c r="J24" s="226"/>
      <c r="K24" s="22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row>
    <row r="25" spans="1:41" ht="15" x14ac:dyDescent="0.2">
      <c r="B25" s="227"/>
      <c r="E25" s="430"/>
      <c r="I25" s="219"/>
      <c r="M25" s="146"/>
      <c r="N25" s="146"/>
      <c r="O25" s="146"/>
      <c r="P25" s="146"/>
      <c r="Q25" s="571"/>
      <c r="R25" s="571"/>
      <c r="S25" s="571"/>
      <c r="T25" s="571"/>
      <c r="U25" s="571"/>
      <c r="V25" s="571"/>
      <c r="W25" s="571"/>
      <c r="X25" s="572"/>
      <c r="Y25" s="572"/>
      <c r="Z25" s="146"/>
      <c r="AA25" s="146"/>
      <c r="AB25" s="146"/>
      <c r="AC25" s="573"/>
      <c r="AD25" s="146"/>
      <c r="AE25" s="574"/>
      <c r="AF25" s="574"/>
      <c r="AG25" s="573"/>
      <c r="AH25" s="569"/>
      <c r="AI25" s="146"/>
      <c r="AJ25" s="146"/>
      <c r="AK25" s="573"/>
      <c r="AL25" s="573"/>
      <c r="AM25" s="146"/>
      <c r="AN25" s="146"/>
    </row>
    <row r="26" spans="1:41" ht="15" x14ac:dyDescent="0.2">
      <c r="A26" s="226"/>
      <c r="B26" s="226"/>
      <c r="E26" s="225" t="s">
        <v>721</v>
      </c>
      <c r="I26" s="249" t="s">
        <v>695</v>
      </c>
      <c r="J26" s="249"/>
      <c r="K26" s="249" t="s">
        <v>696</v>
      </c>
      <c r="M26" s="146"/>
      <c r="N26" s="146"/>
      <c r="O26" s="146"/>
      <c r="P26" s="146"/>
      <c r="Q26" s="674"/>
      <c r="R26" s="674"/>
      <c r="S26" s="674"/>
      <c r="T26" s="574"/>
      <c r="U26" s="674"/>
      <c r="V26" s="674"/>
      <c r="W26" s="674"/>
      <c r="X26" s="574"/>
      <c r="Y26" s="569"/>
      <c r="Z26" s="573"/>
      <c r="AA26" s="573"/>
      <c r="AB26" s="573"/>
      <c r="AC26" s="573"/>
      <c r="AD26" s="573"/>
      <c r="AE26" s="573"/>
      <c r="AF26" s="574"/>
      <c r="AG26" s="573"/>
      <c r="AH26" s="569"/>
      <c r="AI26" s="569"/>
      <c r="AJ26" s="569"/>
      <c r="AK26" s="569"/>
      <c r="AL26" s="569"/>
      <c r="AM26" s="146"/>
      <c r="AN26" s="146"/>
    </row>
    <row r="27" spans="1:41" ht="15" x14ac:dyDescent="0.2">
      <c r="A27" s="229" t="s">
        <v>722</v>
      </c>
      <c r="B27" s="227"/>
      <c r="E27" s="229" t="s">
        <v>406</v>
      </c>
      <c r="I27" s="229" t="s">
        <v>697</v>
      </c>
      <c r="J27" s="249"/>
      <c r="K27" s="229" t="s">
        <v>697</v>
      </c>
      <c r="M27" s="146"/>
      <c r="N27" s="146"/>
      <c r="O27" s="146"/>
      <c r="P27" s="146"/>
      <c r="Q27" s="569"/>
      <c r="R27" s="569"/>
      <c r="S27" s="569"/>
      <c r="T27" s="574"/>
      <c r="U27" s="569"/>
      <c r="V27" s="569"/>
      <c r="W27" s="569"/>
      <c r="X27" s="574"/>
      <c r="Y27" s="569"/>
      <c r="Z27" s="573"/>
      <c r="AA27" s="569"/>
      <c r="AB27" s="573"/>
      <c r="AC27" s="569"/>
      <c r="AD27" s="573"/>
      <c r="AE27" s="575"/>
      <c r="AF27" s="574"/>
      <c r="AG27" s="569"/>
      <c r="AH27" s="571"/>
      <c r="AI27" s="569"/>
      <c r="AJ27" s="569"/>
      <c r="AK27" s="569"/>
      <c r="AL27" s="569"/>
      <c r="AM27" s="146"/>
      <c r="AN27" s="146"/>
    </row>
    <row r="28" spans="1:41" ht="15" x14ac:dyDescent="0.2">
      <c r="A28" s="431">
        <v>-1</v>
      </c>
      <c r="B28" s="432"/>
      <c r="E28" s="227"/>
      <c r="I28" s="300"/>
      <c r="J28" s="38"/>
      <c r="K28" s="38"/>
      <c r="L28" s="38"/>
      <c r="M28" s="338"/>
      <c r="N28" s="146"/>
      <c r="O28" s="146"/>
      <c r="P28" s="146"/>
      <c r="Q28" s="431"/>
      <c r="R28" s="431"/>
      <c r="S28" s="576"/>
      <c r="T28" s="431"/>
      <c r="U28" s="576"/>
      <c r="V28" s="577"/>
      <c r="W28" s="577"/>
      <c r="X28" s="577"/>
      <c r="Y28" s="577"/>
      <c r="Z28" s="577"/>
      <c r="AA28" s="577"/>
      <c r="AB28" s="577"/>
      <c r="AC28" s="577"/>
      <c r="AD28" s="577"/>
      <c r="AE28" s="578"/>
      <c r="AF28" s="577"/>
      <c r="AG28" s="579"/>
      <c r="AH28" s="571"/>
      <c r="AI28" s="571"/>
      <c r="AJ28" s="571"/>
      <c r="AK28" s="571"/>
      <c r="AL28" s="571"/>
      <c r="AM28" s="146"/>
      <c r="AN28" s="146"/>
    </row>
    <row r="29" spans="1:41" ht="15" x14ac:dyDescent="0.2">
      <c r="A29" s="227"/>
      <c r="B29" s="227"/>
      <c r="E29" s="227"/>
      <c r="I29" s="38"/>
      <c r="J29" s="38"/>
      <c r="K29" s="38"/>
      <c r="L29" s="38"/>
      <c r="M29" s="338"/>
      <c r="N29" s="146"/>
      <c r="O29" s="146"/>
      <c r="P29" s="146"/>
      <c r="Q29" s="580"/>
      <c r="R29" s="571"/>
      <c r="S29" s="574"/>
      <c r="T29" s="574"/>
      <c r="U29" s="574"/>
      <c r="V29" s="574"/>
      <c r="W29" s="574"/>
      <c r="X29" s="574"/>
      <c r="Y29" s="572"/>
      <c r="Z29" s="574"/>
      <c r="AA29" s="572"/>
      <c r="AB29" s="574"/>
      <c r="AC29" s="574"/>
      <c r="AD29" s="574"/>
      <c r="AE29" s="146"/>
      <c r="AF29" s="146"/>
      <c r="AG29" s="146"/>
      <c r="AH29" s="572"/>
      <c r="AI29" s="571"/>
      <c r="AJ29" s="571"/>
      <c r="AK29" s="571"/>
      <c r="AL29" s="571"/>
      <c r="AM29" s="146"/>
      <c r="AN29" s="146"/>
    </row>
    <row r="30" spans="1:41" ht="15" x14ac:dyDescent="0.2">
      <c r="A30" s="433" t="s">
        <v>723</v>
      </c>
      <c r="B30" s="227"/>
      <c r="E30" s="434">
        <v>1</v>
      </c>
      <c r="I30" s="415">
        <v>8.9</v>
      </c>
      <c r="J30" s="415"/>
      <c r="K30" s="524">
        <v>14</v>
      </c>
      <c r="L30" s="38"/>
      <c r="M30" s="581"/>
      <c r="N30" s="146"/>
      <c r="O30" s="146"/>
      <c r="P30" s="146"/>
      <c r="Q30" s="582"/>
      <c r="R30" s="583"/>
      <c r="S30" s="584"/>
      <c r="T30" s="584"/>
      <c r="U30" s="585"/>
      <c r="V30" s="584"/>
      <c r="W30" s="584"/>
      <c r="X30" s="584"/>
      <c r="Y30" s="583"/>
      <c r="Z30" s="584"/>
      <c r="AA30" s="584"/>
      <c r="AB30" s="584"/>
      <c r="AC30" s="584"/>
      <c r="AD30" s="586"/>
      <c r="AE30" s="587"/>
      <c r="AF30" s="146"/>
      <c r="AG30" s="588"/>
      <c r="AH30" s="572"/>
      <c r="AI30" s="589"/>
      <c r="AJ30" s="572"/>
      <c r="AK30" s="583"/>
      <c r="AL30" s="583"/>
      <c r="AM30" s="146"/>
      <c r="AN30" s="590"/>
      <c r="AO30" s="435"/>
    </row>
    <row r="31" spans="1:41" ht="15" x14ac:dyDescent="0.2">
      <c r="A31" s="433"/>
      <c r="B31" s="227"/>
      <c r="E31" s="226"/>
      <c r="I31" s="411"/>
      <c r="J31" s="411"/>
      <c r="K31" s="411"/>
      <c r="L31" s="38"/>
      <c r="M31" s="581"/>
      <c r="N31" s="146"/>
      <c r="O31" s="146"/>
      <c r="P31" s="146"/>
      <c r="Q31" s="580"/>
      <c r="R31" s="591"/>
      <c r="S31" s="586"/>
      <c r="T31" s="586"/>
      <c r="U31" s="592"/>
      <c r="V31" s="586"/>
      <c r="W31" s="586"/>
      <c r="X31" s="586"/>
      <c r="Y31" s="591"/>
      <c r="Z31" s="586"/>
      <c r="AA31" s="586"/>
      <c r="AB31" s="586"/>
      <c r="AC31" s="586"/>
      <c r="AD31" s="586"/>
      <c r="AE31" s="146"/>
      <c r="AF31" s="146"/>
      <c r="AG31" s="593"/>
      <c r="AH31" s="572"/>
      <c r="AI31" s="572"/>
      <c r="AJ31" s="572"/>
      <c r="AK31" s="572"/>
      <c r="AL31" s="572"/>
      <c r="AM31" s="146"/>
      <c r="AN31" s="590"/>
      <c r="AO31" s="435"/>
    </row>
    <row r="32" spans="1:41" ht="15" x14ac:dyDescent="0.2">
      <c r="A32" s="433" t="s">
        <v>724</v>
      </c>
      <c r="B32" s="227"/>
      <c r="E32" s="436">
        <v>1.5</v>
      </c>
      <c r="I32" s="411">
        <v>13.35</v>
      </c>
      <c r="J32" s="411"/>
      <c r="K32" s="411">
        <v>21</v>
      </c>
      <c r="L32" s="38"/>
      <c r="M32" s="581"/>
      <c r="N32" s="146"/>
      <c r="O32" s="594"/>
      <c r="P32" s="146"/>
      <c r="Q32" s="582"/>
      <c r="R32" s="591"/>
      <c r="S32" s="586"/>
      <c r="T32" s="586"/>
      <c r="U32" s="592"/>
      <c r="V32" s="586"/>
      <c r="W32" s="586"/>
      <c r="X32" s="586"/>
      <c r="Y32" s="591"/>
      <c r="Z32" s="586"/>
      <c r="AA32" s="586"/>
      <c r="AB32" s="586"/>
      <c r="AC32" s="586"/>
      <c r="AD32" s="586"/>
      <c r="AE32" s="587"/>
      <c r="AF32" s="146"/>
      <c r="AG32" s="593"/>
      <c r="AH32" s="572"/>
      <c r="AI32" s="595"/>
      <c r="AJ32" s="572"/>
      <c r="AK32" s="596"/>
      <c r="AL32" s="597"/>
      <c r="AM32" s="146"/>
      <c r="AN32" s="146"/>
      <c r="AO32" s="435"/>
    </row>
    <row r="33" spans="1:41" ht="15" x14ac:dyDescent="0.2">
      <c r="A33" s="433"/>
      <c r="B33" s="227"/>
      <c r="E33" s="436"/>
      <c r="I33" s="411"/>
      <c r="J33" s="411"/>
      <c r="K33" s="411"/>
      <c r="L33" s="38"/>
      <c r="M33" s="581"/>
      <c r="N33" s="146"/>
      <c r="O33" s="146"/>
      <c r="P33" s="146"/>
      <c r="Q33" s="580"/>
      <c r="R33" s="591"/>
      <c r="S33" s="586"/>
      <c r="T33" s="586"/>
      <c r="U33" s="592"/>
      <c r="V33" s="586"/>
      <c r="W33" s="586"/>
      <c r="X33" s="586"/>
      <c r="Y33" s="591"/>
      <c r="Z33" s="586"/>
      <c r="AA33" s="586"/>
      <c r="AB33" s="586"/>
      <c r="AC33" s="586"/>
      <c r="AD33" s="586"/>
      <c r="AE33" s="146"/>
      <c r="AF33" s="146"/>
      <c r="AG33" s="593"/>
      <c r="AH33" s="572"/>
      <c r="AI33" s="595"/>
      <c r="AJ33" s="572"/>
      <c r="AK33" s="596"/>
      <c r="AL33" s="572"/>
      <c r="AM33" s="146"/>
      <c r="AN33" s="146"/>
      <c r="AO33" s="435"/>
    </row>
    <row r="34" spans="1:41" ht="15" x14ac:dyDescent="0.2">
      <c r="A34" s="433" t="s">
        <v>725</v>
      </c>
      <c r="B34" s="227"/>
      <c r="E34" s="436">
        <v>2.5</v>
      </c>
      <c r="I34" s="411">
        <v>22.25</v>
      </c>
      <c r="J34" s="411"/>
      <c r="K34" s="411">
        <v>35</v>
      </c>
      <c r="L34" s="38"/>
      <c r="M34" s="581"/>
      <c r="N34" s="146"/>
      <c r="O34" s="594"/>
      <c r="P34" s="146"/>
      <c r="Q34" s="582"/>
      <c r="R34" s="591"/>
      <c r="S34" s="586"/>
      <c r="T34" s="586"/>
      <c r="U34" s="592"/>
      <c r="V34" s="586"/>
      <c r="W34" s="586"/>
      <c r="X34" s="586"/>
      <c r="Y34" s="591"/>
      <c r="Z34" s="586"/>
      <c r="AA34" s="586"/>
      <c r="AB34" s="586"/>
      <c r="AC34" s="586"/>
      <c r="AD34" s="586"/>
      <c r="AE34" s="587"/>
      <c r="AF34" s="146"/>
      <c r="AG34" s="593"/>
      <c r="AH34" s="572"/>
      <c r="AI34" s="595"/>
      <c r="AJ34" s="572"/>
      <c r="AK34" s="596"/>
      <c r="AL34" s="597"/>
      <c r="AM34" s="146"/>
      <c r="AN34" s="590"/>
      <c r="AO34" s="435"/>
    </row>
    <row r="35" spans="1:41" ht="15" x14ac:dyDescent="0.2">
      <c r="A35" s="433"/>
      <c r="B35" s="227"/>
      <c r="E35" s="436"/>
      <c r="I35" s="411"/>
      <c r="J35" s="411"/>
      <c r="K35" s="411"/>
      <c r="L35" s="38"/>
      <c r="M35" s="581"/>
      <c r="N35" s="146"/>
      <c r="O35" s="146"/>
      <c r="P35" s="146"/>
      <c r="Q35" s="580"/>
      <c r="R35" s="591"/>
      <c r="S35" s="586"/>
      <c r="T35" s="586"/>
      <c r="U35" s="592"/>
      <c r="V35" s="586"/>
      <c r="W35" s="586"/>
      <c r="X35" s="586"/>
      <c r="Y35" s="591"/>
      <c r="Z35" s="586"/>
      <c r="AA35" s="586"/>
      <c r="AB35" s="586"/>
      <c r="AC35" s="586"/>
      <c r="AD35" s="586"/>
      <c r="AE35" s="146"/>
      <c r="AF35" s="146"/>
      <c r="AG35" s="593"/>
      <c r="AH35" s="572"/>
      <c r="AI35" s="595"/>
      <c r="AJ35" s="572"/>
      <c r="AK35" s="596"/>
      <c r="AL35" s="572"/>
      <c r="AM35" s="146"/>
      <c r="AN35" s="598"/>
      <c r="AO35" s="435"/>
    </row>
    <row r="36" spans="1:41" ht="15" x14ac:dyDescent="0.2">
      <c r="A36" s="433" t="s">
        <v>726</v>
      </c>
      <c r="B36" s="227"/>
      <c r="E36" s="436">
        <v>5</v>
      </c>
      <c r="I36" s="411">
        <v>44.5</v>
      </c>
      <c r="J36" s="411"/>
      <c r="K36" s="411">
        <v>70</v>
      </c>
      <c r="L36" s="38"/>
      <c r="M36" s="581"/>
      <c r="N36" s="146"/>
      <c r="O36" s="594"/>
      <c r="P36" s="146"/>
      <c r="Q36" s="582"/>
      <c r="R36" s="591"/>
      <c r="S36" s="586"/>
      <c r="T36" s="586"/>
      <c r="U36" s="592"/>
      <c r="V36" s="586"/>
      <c r="W36" s="586"/>
      <c r="X36" s="586"/>
      <c r="Y36" s="591"/>
      <c r="Z36" s="586"/>
      <c r="AA36" s="586"/>
      <c r="AB36" s="586"/>
      <c r="AC36" s="586"/>
      <c r="AD36" s="586"/>
      <c r="AE36" s="587"/>
      <c r="AF36" s="146"/>
      <c r="AG36" s="593"/>
      <c r="AH36" s="572"/>
      <c r="AI36" s="595"/>
      <c r="AJ36" s="572"/>
      <c r="AK36" s="596"/>
      <c r="AL36" s="597"/>
      <c r="AM36" s="146"/>
      <c r="AN36" s="590"/>
      <c r="AO36" s="435"/>
    </row>
    <row r="37" spans="1:41" ht="15" x14ac:dyDescent="0.2">
      <c r="A37" s="433"/>
      <c r="B37" s="227"/>
      <c r="E37" s="436"/>
      <c r="I37" s="411"/>
      <c r="J37" s="411"/>
      <c r="K37" s="411"/>
      <c r="L37" s="38"/>
      <c r="M37" s="581"/>
      <c r="N37" s="146"/>
      <c r="O37" s="146"/>
      <c r="P37" s="146"/>
      <c r="Q37" s="580"/>
      <c r="R37" s="591"/>
      <c r="S37" s="586"/>
      <c r="T37" s="586"/>
      <c r="U37" s="592"/>
      <c r="V37" s="586"/>
      <c r="W37" s="586"/>
      <c r="X37" s="586"/>
      <c r="Y37" s="591"/>
      <c r="Z37" s="586"/>
      <c r="AA37" s="586"/>
      <c r="AB37" s="586"/>
      <c r="AC37" s="586"/>
      <c r="AD37" s="586"/>
      <c r="AE37" s="146"/>
      <c r="AF37" s="146"/>
      <c r="AG37" s="593"/>
      <c r="AH37" s="572"/>
      <c r="AI37" s="595"/>
      <c r="AJ37" s="572"/>
      <c r="AK37" s="596"/>
      <c r="AL37" s="572"/>
      <c r="AM37" s="146"/>
      <c r="AN37" s="598"/>
      <c r="AO37" s="435"/>
    </row>
    <row r="38" spans="1:41" ht="15" x14ac:dyDescent="0.2">
      <c r="A38" s="433" t="s">
        <v>727</v>
      </c>
      <c r="B38" s="227"/>
      <c r="E38" s="436">
        <v>8</v>
      </c>
      <c r="I38" s="411">
        <v>71.2</v>
      </c>
      <c r="J38" s="411"/>
      <c r="K38" s="411">
        <v>112</v>
      </c>
      <c r="L38" s="38"/>
      <c r="M38" s="581"/>
      <c r="N38" s="146"/>
      <c r="O38" s="594"/>
      <c r="P38" s="146"/>
      <c r="Q38" s="582"/>
      <c r="R38" s="591"/>
      <c r="S38" s="586"/>
      <c r="T38" s="586"/>
      <c r="U38" s="592"/>
      <c r="V38" s="586"/>
      <c r="W38" s="586"/>
      <c r="X38" s="586"/>
      <c r="Y38" s="591"/>
      <c r="Z38" s="586"/>
      <c r="AA38" s="586"/>
      <c r="AB38" s="586"/>
      <c r="AC38" s="586"/>
      <c r="AD38" s="586"/>
      <c r="AE38" s="587"/>
      <c r="AF38" s="146"/>
      <c r="AG38" s="593"/>
      <c r="AH38" s="572"/>
      <c r="AI38" s="595"/>
      <c r="AJ38" s="572"/>
      <c r="AK38" s="596"/>
      <c r="AL38" s="597"/>
      <c r="AM38" s="146"/>
      <c r="AN38" s="590"/>
      <c r="AO38" s="435"/>
    </row>
    <row r="39" spans="1:41" ht="15" x14ac:dyDescent="0.2">
      <c r="A39" s="433"/>
      <c r="B39" s="227"/>
      <c r="E39" s="436"/>
      <c r="I39" s="411"/>
      <c r="J39" s="411"/>
      <c r="K39" s="411"/>
      <c r="L39" s="38"/>
      <c r="M39" s="581"/>
      <c r="N39" s="146"/>
      <c r="O39" s="146"/>
      <c r="P39" s="146"/>
      <c r="Q39" s="580"/>
      <c r="R39" s="591"/>
      <c r="S39" s="586"/>
      <c r="T39" s="586"/>
      <c r="U39" s="592"/>
      <c r="V39" s="586"/>
      <c r="W39" s="586"/>
      <c r="X39" s="586"/>
      <c r="Y39" s="591"/>
      <c r="Z39" s="586"/>
      <c r="AA39" s="586"/>
      <c r="AB39" s="586"/>
      <c r="AC39" s="586"/>
      <c r="AD39" s="586"/>
      <c r="AE39" s="146"/>
      <c r="AF39" s="146"/>
      <c r="AG39" s="593"/>
      <c r="AH39" s="572"/>
      <c r="AI39" s="595"/>
      <c r="AJ39" s="572"/>
      <c r="AK39" s="596"/>
      <c r="AL39" s="572"/>
      <c r="AM39" s="146"/>
      <c r="AN39" s="598"/>
      <c r="AO39" s="435"/>
    </row>
    <row r="40" spans="1:41" ht="15" x14ac:dyDescent="0.2">
      <c r="A40" s="433" t="s">
        <v>728</v>
      </c>
      <c r="B40" s="227"/>
      <c r="E40" s="436">
        <v>15</v>
      </c>
      <c r="I40" s="411">
        <v>133.5</v>
      </c>
      <c r="J40" s="411"/>
      <c r="K40" s="411">
        <v>210</v>
      </c>
      <c r="L40" s="38"/>
      <c r="M40" s="581"/>
      <c r="N40" s="146"/>
      <c r="O40" s="594"/>
      <c r="P40" s="146"/>
      <c r="Q40" s="582"/>
      <c r="R40" s="591"/>
      <c r="S40" s="586"/>
      <c r="T40" s="586"/>
      <c r="U40" s="592"/>
      <c r="V40" s="586"/>
      <c r="W40" s="586"/>
      <c r="X40" s="586"/>
      <c r="Y40" s="591"/>
      <c r="Z40" s="586"/>
      <c r="AA40" s="586"/>
      <c r="AB40" s="586"/>
      <c r="AC40" s="586"/>
      <c r="AD40" s="586"/>
      <c r="AE40" s="587"/>
      <c r="AF40" s="146"/>
      <c r="AG40" s="593"/>
      <c r="AH40" s="572"/>
      <c r="AI40" s="595"/>
      <c r="AJ40" s="572"/>
      <c r="AK40" s="596"/>
      <c r="AL40" s="597"/>
      <c r="AM40" s="146"/>
      <c r="AN40" s="590"/>
      <c r="AO40" s="435"/>
    </row>
    <row r="41" spans="1:41" ht="15" x14ac:dyDescent="0.2">
      <c r="A41" s="433"/>
      <c r="B41" s="227"/>
      <c r="E41" s="436"/>
      <c r="I41" s="411"/>
      <c r="J41" s="411"/>
      <c r="K41" s="411"/>
      <c r="L41" s="38"/>
      <c r="M41" s="581"/>
      <c r="N41" s="146"/>
      <c r="O41" s="146"/>
      <c r="P41" s="146"/>
      <c r="Q41" s="580"/>
      <c r="R41" s="591"/>
      <c r="S41" s="586"/>
      <c r="T41" s="586"/>
      <c r="U41" s="592"/>
      <c r="V41" s="586"/>
      <c r="W41" s="586"/>
      <c r="X41" s="586"/>
      <c r="Y41" s="591"/>
      <c r="Z41" s="586"/>
      <c r="AA41" s="586"/>
      <c r="AB41" s="586"/>
      <c r="AC41" s="586"/>
      <c r="AD41" s="586"/>
      <c r="AE41" s="146"/>
      <c r="AF41" s="146"/>
      <c r="AG41" s="593"/>
      <c r="AH41" s="572"/>
      <c r="AI41" s="595"/>
      <c r="AJ41" s="572"/>
      <c r="AK41" s="596"/>
      <c r="AL41" s="572"/>
      <c r="AM41" s="146"/>
      <c r="AN41" s="598"/>
      <c r="AO41" s="435"/>
    </row>
    <row r="42" spans="1:41" ht="15" x14ac:dyDescent="0.2">
      <c r="A42" s="433" t="s">
        <v>729</v>
      </c>
      <c r="B42" s="227"/>
      <c r="E42" s="436">
        <v>25</v>
      </c>
      <c r="I42" s="411">
        <v>222.5</v>
      </c>
      <c r="J42" s="411"/>
      <c r="K42" s="411">
        <v>350</v>
      </c>
      <c r="L42" s="38"/>
      <c r="M42" s="581"/>
      <c r="N42" s="146"/>
      <c r="O42" s="594"/>
      <c r="P42" s="146"/>
      <c r="Q42" s="582"/>
      <c r="R42" s="591"/>
      <c r="S42" s="586"/>
      <c r="T42" s="586"/>
      <c r="U42" s="592"/>
      <c r="V42" s="586"/>
      <c r="W42" s="586"/>
      <c r="X42" s="586"/>
      <c r="Y42" s="591"/>
      <c r="Z42" s="586"/>
      <c r="AA42" s="586"/>
      <c r="AB42" s="586"/>
      <c r="AC42" s="586"/>
      <c r="AD42" s="586"/>
      <c r="AE42" s="587"/>
      <c r="AF42" s="146"/>
      <c r="AG42" s="593"/>
      <c r="AH42" s="572"/>
      <c r="AI42" s="595"/>
      <c r="AJ42" s="572"/>
      <c r="AK42" s="596"/>
      <c r="AL42" s="597"/>
      <c r="AM42" s="146"/>
      <c r="AN42" s="590"/>
      <c r="AO42" s="435"/>
    </row>
    <row r="43" spans="1:41" ht="15" x14ac:dyDescent="0.2">
      <c r="A43" s="433"/>
      <c r="B43" s="227"/>
      <c r="E43" s="436"/>
      <c r="I43" s="411"/>
      <c r="J43" s="411"/>
      <c r="K43" s="411"/>
      <c r="L43" s="38"/>
      <c r="M43" s="581"/>
      <c r="N43" s="146"/>
      <c r="O43" s="146"/>
      <c r="P43" s="146"/>
      <c r="Q43" s="580"/>
      <c r="R43" s="591"/>
      <c r="S43" s="586"/>
      <c r="T43" s="586"/>
      <c r="U43" s="592"/>
      <c r="V43" s="586"/>
      <c r="W43" s="586"/>
      <c r="X43" s="586"/>
      <c r="Y43" s="591"/>
      <c r="Z43" s="586"/>
      <c r="AA43" s="586"/>
      <c r="AB43" s="586"/>
      <c r="AC43" s="586"/>
      <c r="AD43" s="586"/>
      <c r="AE43" s="146"/>
      <c r="AF43" s="146"/>
      <c r="AG43" s="593"/>
      <c r="AH43" s="572"/>
      <c r="AI43" s="595"/>
      <c r="AJ43" s="572"/>
      <c r="AK43" s="596"/>
      <c r="AL43" s="572"/>
      <c r="AM43" s="146"/>
      <c r="AN43" s="598"/>
      <c r="AO43" s="435"/>
    </row>
    <row r="44" spans="1:41" ht="15" x14ac:dyDescent="0.2">
      <c r="A44" s="433" t="s">
        <v>730</v>
      </c>
      <c r="B44" s="226"/>
      <c r="E44" s="436">
        <v>50</v>
      </c>
      <c r="I44" s="411">
        <v>445</v>
      </c>
      <c r="J44" s="411"/>
      <c r="K44" s="411">
        <v>700</v>
      </c>
      <c r="L44" s="38"/>
      <c r="M44" s="581"/>
      <c r="N44" s="146"/>
      <c r="O44" s="594"/>
      <c r="P44" s="146"/>
      <c r="Q44" s="582"/>
      <c r="R44" s="591"/>
      <c r="S44" s="586"/>
      <c r="T44" s="586"/>
      <c r="U44" s="592"/>
      <c r="V44" s="586"/>
      <c r="W44" s="586"/>
      <c r="X44" s="586"/>
      <c r="Y44" s="591"/>
      <c r="Z44" s="586"/>
      <c r="AA44" s="586"/>
      <c r="AB44" s="586"/>
      <c r="AC44" s="586"/>
      <c r="AD44" s="586"/>
      <c r="AE44" s="587"/>
      <c r="AF44" s="146"/>
      <c r="AG44" s="593"/>
      <c r="AH44" s="572"/>
      <c r="AI44" s="595"/>
      <c r="AJ44" s="572"/>
      <c r="AK44" s="596"/>
      <c r="AL44" s="597"/>
      <c r="AM44" s="146"/>
      <c r="AN44" s="590"/>
      <c r="AO44" s="435"/>
    </row>
    <row r="45" spans="1:41" ht="15" x14ac:dyDescent="0.2">
      <c r="A45" s="433"/>
      <c r="B45" s="227"/>
      <c r="E45" s="436"/>
      <c r="I45" s="411"/>
      <c r="J45" s="411"/>
      <c r="K45" s="411"/>
      <c r="L45" s="38"/>
      <c r="M45" s="581"/>
      <c r="N45" s="146"/>
      <c r="O45" s="146"/>
      <c r="P45" s="146"/>
      <c r="Q45" s="580"/>
      <c r="R45" s="591"/>
      <c r="S45" s="586"/>
      <c r="T45" s="586"/>
      <c r="U45" s="592"/>
      <c r="V45" s="586"/>
      <c r="W45" s="586"/>
      <c r="X45" s="586"/>
      <c r="Y45" s="591"/>
      <c r="Z45" s="586"/>
      <c r="AA45" s="586"/>
      <c r="AB45" s="586"/>
      <c r="AC45" s="586"/>
      <c r="AD45" s="586"/>
      <c r="AE45" s="146"/>
      <c r="AF45" s="146"/>
      <c r="AG45" s="593"/>
      <c r="AH45" s="572"/>
      <c r="AI45" s="595"/>
      <c r="AJ45" s="572"/>
      <c r="AK45" s="596"/>
      <c r="AL45" s="572"/>
      <c r="AM45" s="146"/>
      <c r="AN45" s="598"/>
      <c r="AO45" s="435"/>
    </row>
    <row r="46" spans="1:41" ht="15" x14ac:dyDescent="0.2">
      <c r="A46" s="433" t="s">
        <v>731</v>
      </c>
      <c r="B46" s="227"/>
      <c r="E46" s="436">
        <v>80</v>
      </c>
      <c r="I46" s="411">
        <v>712</v>
      </c>
      <c r="J46" s="411"/>
      <c r="K46" s="411">
        <v>1120</v>
      </c>
      <c r="L46" s="38"/>
      <c r="M46" s="581"/>
      <c r="N46" s="146"/>
      <c r="O46" s="594"/>
      <c r="P46" s="146"/>
      <c r="Q46" s="582"/>
      <c r="R46" s="591"/>
      <c r="S46" s="586"/>
      <c r="T46" s="586"/>
      <c r="U46" s="592"/>
      <c r="V46" s="586"/>
      <c r="W46" s="586"/>
      <c r="X46" s="586"/>
      <c r="Y46" s="591"/>
      <c r="Z46" s="586"/>
      <c r="AA46" s="586"/>
      <c r="AB46" s="586"/>
      <c r="AC46" s="586"/>
      <c r="AD46" s="586"/>
      <c r="AE46" s="587"/>
      <c r="AF46" s="146"/>
      <c r="AG46" s="593"/>
      <c r="AH46" s="572"/>
      <c r="AI46" s="595"/>
      <c r="AJ46" s="572"/>
      <c r="AK46" s="596"/>
      <c r="AL46" s="597"/>
      <c r="AM46" s="146"/>
      <c r="AN46" s="590"/>
      <c r="AO46" s="435"/>
    </row>
    <row r="47" spans="1:41" ht="15" x14ac:dyDescent="0.2">
      <c r="I47" s="411"/>
      <c r="J47" s="411"/>
      <c r="K47" s="411"/>
      <c r="L47" s="38"/>
      <c r="M47" s="338"/>
      <c r="N47" s="146"/>
      <c r="O47" s="146"/>
      <c r="P47" s="146"/>
      <c r="Q47" s="571"/>
      <c r="R47" s="146"/>
      <c r="S47" s="574"/>
      <c r="T47" s="574"/>
      <c r="U47" s="599"/>
      <c r="V47" s="574"/>
      <c r="W47" s="574"/>
      <c r="X47" s="574"/>
      <c r="Y47" s="574"/>
      <c r="Z47" s="574"/>
      <c r="AA47" s="574"/>
      <c r="AB47" s="574"/>
      <c r="AC47" s="574"/>
      <c r="AD47" s="574"/>
      <c r="AE47" s="593"/>
      <c r="AF47" s="146"/>
      <c r="AG47" s="600"/>
      <c r="AH47" s="146"/>
      <c r="AI47" s="146"/>
      <c r="AJ47" s="146"/>
      <c r="AK47" s="146"/>
      <c r="AL47" s="146"/>
      <c r="AM47" s="146"/>
      <c r="AN47" s="146"/>
    </row>
    <row r="48" spans="1:41" ht="15" x14ac:dyDescent="0.2">
      <c r="I48" s="411"/>
      <c r="J48" s="411"/>
      <c r="K48" s="411"/>
      <c r="L48" s="38"/>
      <c r="M48" s="338"/>
      <c r="N48" s="146"/>
      <c r="O48" s="146"/>
      <c r="P48" s="146"/>
      <c r="Q48" s="146"/>
      <c r="R48" s="146"/>
      <c r="S48" s="574"/>
      <c r="T48" s="574"/>
      <c r="U48" s="601"/>
      <c r="V48" s="574"/>
      <c r="W48" s="574"/>
      <c r="X48" s="574"/>
      <c r="Y48" s="574"/>
      <c r="Z48" s="574"/>
      <c r="AA48" s="574"/>
      <c r="AB48" s="574"/>
      <c r="AC48" s="602"/>
      <c r="AD48" s="574"/>
      <c r="AE48" s="146"/>
      <c r="AF48" s="146"/>
      <c r="AG48" s="593"/>
      <c r="AH48" s="593"/>
      <c r="AI48" s="593"/>
      <c r="AJ48" s="593"/>
      <c r="AK48" s="146"/>
      <c r="AL48" s="146"/>
      <c r="AM48" s="146"/>
      <c r="AN48" s="603"/>
      <c r="AO48" s="435"/>
    </row>
    <row r="49" spans="1:40" ht="15" x14ac:dyDescent="0.2">
      <c r="A49" s="146"/>
      <c r="I49" s="38"/>
      <c r="J49" s="38"/>
      <c r="K49" s="38"/>
      <c r="L49" s="38"/>
      <c r="M49" s="338"/>
      <c r="N49" s="146"/>
      <c r="O49" s="146"/>
      <c r="P49" s="146"/>
      <c r="Q49" s="146"/>
      <c r="R49" s="146"/>
      <c r="S49" s="574"/>
      <c r="T49" s="574"/>
      <c r="U49" s="574"/>
      <c r="V49" s="574"/>
      <c r="W49" s="574"/>
      <c r="X49" s="574"/>
      <c r="Y49" s="574"/>
      <c r="Z49" s="574"/>
      <c r="AA49" s="574"/>
      <c r="AB49" s="574"/>
      <c r="AC49" s="574"/>
      <c r="AD49" s="574"/>
      <c r="AE49" s="146"/>
      <c r="AF49" s="146"/>
      <c r="AG49" s="146"/>
      <c r="AH49" s="146"/>
      <c r="AI49" s="146"/>
      <c r="AJ49" s="146"/>
      <c r="AK49" s="146"/>
      <c r="AL49" s="146"/>
      <c r="AM49" s="146"/>
      <c r="AN49" s="146"/>
    </row>
    <row r="50" spans="1:40" ht="15" x14ac:dyDescent="0.2">
      <c r="A50" s="569"/>
      <c r="I50" s="38"/>
      <c r="J50" s="38"/>
      <c r="K50" s="38"/>
      <c r="L50" s="38"/>
      <c r="M50" s="338"/>
      <c r="N50" s="146"/>
      <c r="O50" s="146"/>
      <c r="P50" s="146"/>
      <c r="Q50" s="146"/>
      <c r="R50" s="146"/>
      <c r="S50" s="574"/>
      <c r="T50" s="574"/>
      <c r="U50" s="574"/>
      <c r="V50" s="574"/>
      <c r="W50" s="574"/>
      <c r="X50" s="574"/>
      <c r="Y50" s="574"/>
      <c r="Z50" s="574"/>
      <c r="AA50" s="574"/>
      <c r="AB50" s="602"/>
      <c r="AC50" s="146"/>
      <c r="AD50" s="574"/>
      <c r="AE50" s="146"/>
      <c r="AF50" s="146"/>
      <c r="AG50" s="604"/>
      <c r="AH50" s="387"/>
      <c r="AI50" s="146"/>
      <c r="AJ50" s="600"/>
      <c r="AK50" s="146"/>
      <c r="AL50" s="146"/>
      <c r="AM50" s="146"/>
      <c r="AN50" s="146"/>
    </row>
    <row r="51" spans="1:40" ht="15" x14ac:dyDescent="0.2">
      <c r="A51" s="570"/>
      <c r="I51" s="38"/>
      <c r="J51" s="38"/>
      <c r="K51" s="38"/>
      <c r="L51" s="38"/>
      <c r="M51" s="338"/>
      <c r="N51" s="146"/>
      <c r="O51" s="146"/>
      <c r="P51" s="146"/>
      <c r="Q51" s="146"/>
      <c r="R51" s="146"/>
      <c r="S51" s="574"/>
      <c r="T51" s="574"/>
      <c r="U51" s="574"/>
      <c r="V51" s="574"/>
      <c r="W51" s="574"/>
      <c r="X51" s="574"/>
      <c r="Y51" s="574"/>
      <c r="Z51" s="574"/>
      <c r="AA51" s="574"/>
      <c r="AB51" s="574"/>
      <c r="AC51" s="574"/>
      <c r="AD51" s="574"/>
      <c r="AE51" s="146"/>
      <c r="AF51" s="146"/>
      <c r="AG51" s="146"/>
      <c r="AH51" s="146"/>
      <c r="AI51" s="146"/>
      <c r="AJ51" s="146"/>
      <c r="AK51" s="146"/>
      <c r="AL51" s="146"/>
      <c r="AM51" s="146"/>
      <c r="AN51" s="146"/>
    </row>
    <row r="52" spans="1:40" ht="15" x14ac:dyDescent="0.2">
      <c r="A52" s="570"/>
      <c r="I52" s="38"/>
      <c r="J52" s="38"/>
      <c r="K52" s="38"/>
      <c r="L52" s="38"/>
      <c r="M52" s="338"/>
      <c r="N52" s="146"/>
      <c r="O52" s="146"/>
      <c r="P52" s="146"/>
      <c r="Q52" s="146"/>
      <c r="R52" s="146"/>
      <c r="S52" s="146"/>
      <c r="T52" s="146"/>
      <c r="U52" s="146"/>
      <c r="V52" s="146"/>
      <c r="W52" s="146"/>
      <c r="X52" s="146"/>
      <c r="Y52" s="146"/>
      <c r="Z52" s="146"/>
      <c r="AA52" s="146"/>
      <c r="AB52" s="146"/>
      <c r="AC52" s="574"/>
      <c r="AD52" s="146"/>
      <c r="AE52" s="146"/>
      <c r="AF52" s="146"/>
      <c r="AG52" s="588"/>
      <c r="AH52" s="511"/>
      <c r="AI52" s="511"/>
      <c r="AJ52" s="511"/>
      <c r="AK52" s="146"/>
      <c r="AL52" s="146"/>
      <c r="AM52" s="146"/>
      <c r="AN52" s="146"/>
    </row>
    <row r="53" spans="1:40" x14ac:dyDescent="0.2">
      <c r="A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row>
    <row r="54" spans="1:40" x14ac:dyDescent="0.2">
      <c r="A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row>
    <row r="55" spans="1:40" x14ac:dyDescent="0.2">
      <c r="A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row>
    <row r="56" spans="1:40" x14ac:dyDescent="0.2">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row>
    <row r="57" spans="1:40" x14ac:dyDescent="0.2">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row>
    <row r="58" spans="1:40" x14ac:dyDescent="0.2">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row>
    <row r="59" spans="1:40" x14ac:dyDescent="0.2">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row>
  </sheetData>
  <mergeCells count="6">
    <mergeCell ref="Q26:S26"/>
    <mergeCell ref="U26:W26"/>
    <mergeCell ref="A4:K4"/>
    <mergeCell ref="A6:K6"/>
    <mergeCell ref="G11:I11"/>
    <mergeCell ref="G12:I12"/>
  </mergeCells>
  <phoneticPr fontId="12" type="noConversion"/>
  <pageMargins left="1" right="0.75" top="1" bottom="0.5" header="0.5" footer="0.5"/>
  <headerFooter alignWithMargins="0"/>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55"/>
  <sheetViews>
    <sheetView workbookViewId="0">
      <selection activeCell="J53" sqref="J53"/>
    </sheetView>
  </sheetViews>
  <sheetFormatPr defaultColWidth="8.6640625" defaultRowHeight="12.75" x14ac:dyDescent="0.2"/>
  <cols>
    <col min="2" max="2" width="16.33203125" customWidth="1"/>
    <col min="3" max="3" width="2" customWidth="1"/>
    <col min="4" max="4" width="13.109375" bestFit="1" customWidth="1"/>
    <col min="5" max="5" width="1.6640625" customWidth="1"/>
    <col min="6" max="6" width="8.109375" customWidth="1"/>
    <col min="7" max="7" width="3.5546875" customWidth="1"/>
    <col min="8" max="8" width="13.44140625" bestFit="1" customWidth="1"/>
    <col min="9" max="9" width="2.5546875" customWidth="1"/>
    <col min="10" max="10" width="8.5546875" customWidth="1"/>
    <col min="11" max="11" width="3.6640625" customWidth="1"/>
    <col min="12" max="12" width="14.33203125" bestFit="1" customWidth="1"/>
    <col min="13" max="13" width="3.109375" bestFit="1" customWidth="1"/>
    <col min="15" max="15" width="3.5546875" customWidth="1"/>
    <col min="16" max="16" width="12.5546875" bestFit="1" customWidth="1"/>
    <col min="17" max="17" width="2.33203125" customWidth="1"/>
    <col min="18" max="18" width="8.33203125" customWidth="1"/>
  </cols>
  <sheetData>
    <row r="6" spans="2:18" ht="15" x14ac:dyDescent="0.2">
      <c r="B6" s="671" t="s">
        <v>78</v>
      </c>
      <c r="C6" s="671"/>
      <c r="D6" s="671"/>
      <c r="E6" s="671"/>
      <c r="F6" s="671"/>
      <c r="G6" s="671"/>
      <c r="H6" s="671"/>
      <c r="I6" s="671"/>
      <c r="J6" s="671"/>
      <c r="K6" s="671"/>
      <c r="L6" s="671"/>
      <c r="M6" s="671"/>
      <c r="N6" s="671"/>
      <c r="O6" s="671"/>
      <c r="P6" s="671"/>
      <c r="Q6" s="671"/>
      <c r="R6" s="671"/>
    </row>
    <row r="7" spans="2:18" ht="15" x14ac:dyDescent="0.2">
      <c r="B7" s="671"/>
      <c r="C7" s="671"/>
      <c r="D7" s="671"/>
      <c r="E7" s="671"/>
      <c r="F7" s="671"/>
      <c r="G7" s="671"/>
      <c r="H7" s="671"/>
      <c r="I7" s="671"/>
      <c r="J7" s="671"/>
      <c r="K7" s="671"/>
      <c r="L7" s="671"/>
      <c r="M7" s="671"/>
      <c r="N7" s="671"/>
      <c r="O7" s="671"/>
      <c r="P7" s="671"/>
      <c r="Q7" s="671"/>
      <c r="R7" s="671"/>
    </row>
    <row r="8" spans="2:18" ht="15" x14ac:dyDescent="0.2">
      <c r="B8" s="226"/>
      <c r="C8" s="226"/>
      <c r="D8" s="226"/>
      <c r="E8" s="226"/>
      <c r="F8" s="226"/>
      <c r="G8" s="226"/>
      <c r="H8" s="226"/>
      <c r="I8" s="226"/>
      <c r="J8" s="226"/>
      <c r="K8" s="226"/>
      <c r="L8" s="226"/>
      <c r="M8" s="227"/>
      <c r="N8" s="227"/>
      <c r="O8" s="227"/>
      <c r="P8" s="227"/>
      <c r="Q8" s="227"/>
      <c r="R8" s="227"/>
    </row>
    <row r="9" spans="2:18" ht="15" x14ac:dyDescent="0.2">
      <c r="B9" s="671" t="s">
        <v>820</v>
      </c>
      <c r="C9" s="671"/>
      <c r="D9" s="671"/>
      <c r="E9" s="671"/>
      <c r="F9" s="671"/>
      <c r="G9" s="671"/>
      <c r="H9" s="671"/>
      <c r="I9" s="671"/>
      <c r="J9" s="671"/>
      <c r="K9" s="671"/>
      <c r="L9" s="671"/>
      <c r="M9" s="671"/>
      <c r="N9" s="671"/>
      <c r="O9" s="671"/>
      <c r="P9" s="671"/>
      <c r="Q9" s="671"/>
      <c r="R9" s="671"/>
    </row>
    <row r="10" spans="2:18" ht="15" x14ac:dyDescent="0.2">
      <c r="B10" s="671" t="s">
        <v>828</v>
      </c>
      <c r="C10" s="671"/>
      <c r="D10" s="671"/>
      <c r="E10" s="671"/>
      <c r="F10" s="671"/>
      <c r="G10" s="671"/>
      <c r="H10" s="671"/>
      <c r="I10" s="671"/>
      <c r="J10" s="671"/>
      <c r="K10" s="671"/>
      <c r="L10" s="671"/>
      <c r="M10" s="671"/>
      <c r="N10" s="671"/>
      <c r="O10" s="671"/>
      <c r="P10" s="671"/>
      <c r="Q10" s="671"/>
      <c r="R10" s="671"/>
    </row>
    <row r="11" spans="2:18" ht="15" x14ac:dyDescent="0.2">
      <c r="B11" s="226"/>
      <c r="C11" s="226"/>
      <c r="D11" s="226"/>
      <c r="E11" s="226"/>
      <c r="F11" s="226"/>
      <c r="G11" s="226"/>
      <c r="H11" s="226"/>
      <c r="I11" s="226"/>
      <c r="J11" s="226"/>
      <c r="K11" s="226"/>
      <c r="L11" s="226"/>
      <c r="M11" s="227"/>
      <c r="N11" s="227"/>
      <c r="O11" s="227"/>
      <c r="P11" s="227"/>
      <c r="Q11" s="227"/>
      <c r="R11" s="227"/>
    </row>
    <row r="12" spans="2:18" ht="15" x14ac:dyDescent="0.2">
      <c r="B12" s="226"/>
      <c r="C12" s="226"/>
      <c r="D12" s="678" t="s">
        <v>112</v>
      </c>
      <c r="E12" s="678"/>
      <c r="F12" s="678"/>
      <c r="G12" s="226"/>
      <c r="H12" s="226"/>
      <c r="I12" s="226"/>
      <c r="J12" s="226"/>
      <c r="K12" s="226"/>
      <c r="L12" s="226"/>
      <c r="M12" s="227"/>
      <c r="N12" s="227"/>
      <c r="O12" s="227"/>
      <c r="P12" s="227"/>
      <c r="Q12" s="227"/>
      <c r="R12" s="227"/>
    </row>
    <row r="13" spans="2:18" ht="15" x14ac:dyDescent="0.2">
      <c r="B13" s="228"/>
      <c r="C13" s="228"/>
      <c r="D13" s="677" t="s">
        <v>111</v>
      </c>
      <c r="E13" s="677"/>
      <c r="F13" s="677"/>
      <c r="G13" s="226"/>
      <c r="H13" s="226"/>
      <c r="I13" s="226"/>
      <c r="J13" s="226"/>
      <c r="K13" s="226"/>
      <c r="L13" s="226"/>
      <c r="M13" s="227"/>
      <c r="N13" s="227"/>
      <c r="O13" s="227"/>
      <c r="P13" s="675" t="s">
        <v>169</v>
      </c>
      <c r="Q13" s="675"/>
      <c r="R13" s="675"/>
    </row>
    <row r="14" spans="2:18" ht="15" x14ac:dyDescent="0.2">
      <c r="B14" s="225" t="s">
        <v>287</v>
      </c>
      <c r="C14" s="225"/>
      <c r="D14" s="249" t="s">
        <v>340</v>
      </c>
      <c r="G14" s="226"/>
      <c r="H14" s="675" t="s">
        <v>170</v>
      </c>
      <c r="I14" s="675"/>
      <c r="J14" s="675"/>
      <c r="K14" s="226"/>
      <c r="L14" s="675" t="s">
        <v>168</v>
      </c>
      <c r="M14" s="675"/>
      <c r="N14" s="675"/>
      <c r="O14" s="227"/>
      <c r="P14" s="227"/>
      <c r="Q14" s="227"/>
      <c r="R14" s="225" t="s">
        <v>327</v>
      </c>
    </row>
    <row r="15" spans="2:18" ht="15" x14ac:dyDescent="0.2">
      <c r="B15" s="229" t="s">
        <v>380</v>
      </c>
      <c r="C15" s="228"/>
      <c r="D15" s="229" t="s">
        <v>487</v>
      </c>
      <c r="E15" s="226"/>
      <c r="F15" s="229" t="s">
        <v>327</v>
      </c>
      <c r="G15" s="226"/>
      <c r="H15" s="229" t="s">
        <v>340</v>
      </c>
      <c r="I15" s="226"/>
      <c r="J15" s="229" t="s">
        <v>327</v>
      </c>
      <c r="K15" s="226"/>
      <c r="L15" s="229" t="s">
        <v>340</v>
      </c>
      <c r="M15" s="226"/>
      <c r="N15" s="229" t="s">
        <v>327</v>
      </c>
      <c r="O15" s="227"/>
      <c r="P15" s="229" t="s">
        <v>340</v>
      </c>
      <c r="Q15" s="226"/>
      <c r="R15" s="229" t="s">
        <v>341</v>
      </c>
    </row>
    <row r="16" spans="2:18" ht="15" x14ac:dyDescent="0.2">
      <c r="B16" s="230" t="s">
        <v>382</v>
      </c>
      <c r="C16" s="231"/>
      <c r="D16" s="230" t="s">
        <v>272</v>
      </c>
      <c r="E16" s="231"/>
      <c r="F16" s="230" t="s">
        <v>384</v>
      </c>
      <c r="G16" s="231"/>
      <c r="H16" s="230" t="s">
        <v>274</v>
      </c>
      <c r="I16" s="231"/>
      <c r="J16" s="230" t="s">
        <v>403</v>
      </c>
      <c r="K16" s="226"/>
      <c r="L16" s="230" t="s">
        <v>290</v>
      </c>
      <c r="M16" s="231"/>
      <c r="N16" s="230" t="s">
        <v>297</v>
      </c>
      <c r="O16" s="227"/>
      <c r="P16" s="230" t="s">
        <v>342</v>
      </c>
      <c r="Q16" s="231"/>
      <c r="R16" s="230" t="s">
        <v>343</v>
      </c>
    </row>
    <row r="17" spans="1:21" ht="15" x14ac:dyDescent="0.2">
      <c r="B17" s="226"/>
      <c r="C17" s="226"/>
      <c r="D17" s="226"/>
      <c r="E17" s="226"/>
      <c r="F17" s="226"/>
      <c r="G17" s="226"/>
      <c r="H17" s="226"/>
      <c r="I17" s="226"/>
      <c r="J17" s="226"/>
      <c r="K17" s="226"/>
      <c r="L17" s="254"/>
      <c r="M17" s="226"/>
      <c r="N17" s="226"/>
      <c r="O17" s="227"/>
      <c r="P17" s="226"/>
      <c r="Q17" s="226"/>
      <c r="R17" s="226"/>
    </row>
    <row r="18" spans="1:21" ht="15" x14ac:dyDescent="0.2">
      <c r="A18" s="248"/>
      <c r="B18" s="226" t="s">
        <v>385</v>
      </c>
      <c r="C18" s="226"/>
      <c r="D18" s="232">
        <f ca="1">+'COS 1'!L275</f>
        <v>47502643.830994651</v>
      </c>
      <c r="E18" s="226"/>
      <c r="F18" s="224">
        <f ca="1">ROUND(D18/D$32,3)-0.001</f>
        <v>0.56399999999999995</v>
      </c>
      <c r="G18" s="226"/>
      <c r="H18" s="232">
        <v>45134298</v>
      </c>
      <c r="I18" s="405"/>
      <c r="J18" s="224">
        <f>ROUND(H18/H$32,3)-0.001</f>
        <v>0.53600000000000003</v>
      </c>
      <c r="K18" s="226"/>
      <c r="L18" s="504">
        <f>46538261</f>
        <v>46538261</v>
      </c>
      <c r="M18" s="508"/>
      <c r="N18" s="224">
        <f>ROUND(L18/L$32,3)+0.001</f>
        <v>0.54100000000000004</v>
      </c>
      <c r="O18" s="227"/>
      <c r="P18" s="232">
        <f>+L18-H18</f>
        <v>1403963</v>
      </c>
      <c r="Q18" s="226"/>
      <c r="R18" s="224">
        <f>+P18/H18</f>
        <v>3.1106344004730061E-2</v>
      </c>
      <c r="S18" s="326"/>
    </row>
    <row r="19" spans="1:21" ht="15" x14ac:dyDescent="0.2">
      <c r="A19" s="248"/>
      <c r="B19" s="226"/>
      <c r="C19" s="226"/>
      <c r="D19" s="226"/>
      <c r="E19" s="226"/>
      <c r="F19" s="224"/>
      <c r="G19" s="226"/>
      <c r="H19" s="232"/>
      <c r="I19" s="226"/>
      <c r="J19" s="224"/>
      <c r="K19" s="226"/>
      <c r="L19" s="505"/>
      <c r="M19" s="475"/>
      <c r="N19" s="226"/>
      <c r="O19" s="227"/>
      <c r="P19" s="226"/>
      <c r="Q19" s="226"/>
      <c r="R19" s="224"/>
    </row>
    <row r="20" spans="1:21" ht="15" x14ac:dyDescent="0.2">
      <c r="A20" s="248"/>
      <c r="B20" s="226" t="s">
        <v>386</v>
      </c>
      <c r="C20" s="226"/>
      <c r="D20" s="231">
        <f ca="1">+'COS 1'!N275</f>
        <v>20340139.631981537</v>
      </c>
      <c r="E20" s="226"/>
      <c r="F20" s="224">
        <f t="shared" ref="F20:F30" ca="1" si="0">ROUND(D20/D$32,3)</f>
        <v>0.24199999999999999</v>
      </c>
      <c r="G20" s="226"/>
      <c r="H20" s="247">
        <v>22033073</v>
      </c>
      <c r="I20" s="405" t="s">
        <v>690</v>
      </c>
      <c r="J20" s="224">
        <f t="shared" ref="J20:J30" si="1">ROUND(H20/H$32,3)</f>
        <v>0.26200000000000001</v>
      </c>
      <c r="K20" s="226"/>
      <c r="L20" s="506">
        <v>22374625</v>
      </c>
      <c r="M20" s="405" t="s">
        <v>690</v>
      </c>
      <c r="N20" s="224">
        <f>ROUND(L20/L$32,3)</f>
        <v>0.25900000000000001</v>
      </c>
      <c r="O20" s="227"/>
      <c r="P20" s="231">
        <f>+L20-H20</f>
        <v>341552</v>
      </c>
      <c r="Q20" s="226"/>
      <c r="R20" s="224">
        <f>+P20/H20</f>
        <v>1.5501786791157093E-2</v>
      </c>
      <c r="S20" s="326"/>
    </row>
    <row r="21" spans="1:21" ht="15" x14ac:dyDescent="0.2">
      <c r="A21" s="248"/>
      <c r="B21" s="226"/>
      <c r="C21" s="226"/>
      <c r="D21" s="231"/>
      <c r="E21" s="226"/>
      <c r="F21" s="224"/>
      <c r="G21" s="226"/>
      <c r="H21" s="247"/>
      <c r="I21" s="226"/>
      <c r="J21" s="224"/>
      <c r="K21" s="226"/>
      <c r="L21" s="505"/>
      <c r="M21" s="475"/>
      <c r="N21" s="226"/>
      <c r="O21" s="227"/>
      <c r="P21" s="231"/>
      <c r="Q21" s="226"/>
      <c r="R21" s="224"/>
    </row>
    <row r="22" spans="1:21" ht="15" x14ac:dyDescent="0.2">
      <c r="A22" s="248"/>
      <c r="B22" s="226" t="s">
        <v>387</v>
      </c>
      <c r="C22" s="226"/>
      <c r="D22" s="231">
        <f ca="1">+'COS 1'!P275</f>
        <v>2567523.0806995397</v>
      </c>
      <c r="E22" s="226"/>
      <c r="F22" s="224">
        <f t="shared" ca="1" si="0"/>
        <v>3.1E-2</v>
      </c>
      <c r="G22" s="226"/>
      <c r="H22" s="247">
        <v>2440753</v>
      </c>
      <c r="I22" s="226"/>
      <c r="J22" s="224">
        <f t="shared" si="1"/>
        <v>2.9000000000000001E-2</v>
      </c>
      <c r="K22" s="226"/>
      <c r="L22" s="506">
        <v>2524938</v>
      </c>
      <c r="M22" s="475"/>
      <c r="N22" s="224">
        <f>ROUND(L22/L$32,3)</f>
        <v>2.9000000000000001E-2</v>
      </c>
      <c r="O22" s="227"/>
      <c r="P22" s="231">
        <f>+L22-H22</f>
        <v>84185</v>
      </c>
      <c r="Q22" s="226"/>
      <c r="R22" s="224">
        <f>+P22/H22</f>
        <v>3.4491404906600548E-2</v>
      </c>
      <c r="S22" s="326"/>
    </row>
    <row r="23" spans="1:21" ht="15" x14ac:dyDescent="0.2">
      <c r="A23" s="248"/>
      <c r="B23" s="226"/>
      <c r="C23" s="226"/>
      <c r="D23" s="231"/>
      <c r="E23" s="226"/>
      <c r="F23" s="224"/>
      <c r="G23" s="226"/>
      <c r="H23" s="247"/>
      <c r="I23" s="226"/>
      <c r="J23" s="224"/>
      <c r="K23" s="226"/>
      <c r="L23" s="505"/>
      <c r="M23" s="475"/>
      <c r="N23" s="226"/>
      <c r="O23" s="227"/>
      <c r="P23" s="231"/>
      <c r="Q23" s="226"/>
      <c r="R23" s="224"/>
    </row>
    <row r="24" spans="1:21" ht="15" x14ac:dyDescent="0.2">
      <c r="A24" s="248"/>
      <c r="B24" s="226" t="s">
        <v>344</v>
      </c>
      <c r="C24" s="226"/>
      <c r="D24" s="231">
        <f ca="1">+'COS 1'!R275</f>
        <v>6563946.9886675887</v>
      </c>
      <c r="E24" s="226"/>
      <c r="F24" s="224">
        <f t="shared" ca="1" si="0"/>
        <v>7.8E-2</v>
      </c>
      <c r="G24" s="226"/>
      <c r="H24" s="247">
        <v>6813404</v>
      </c>
      <c r="I24" s="226"/>
      <c r="J24" s="224">
        <f t="shared" si="1"/>
        <v>8.1000000000000003E-2</v>
      </c>
      <c r="K24" s="226"/>
      <c r="L24" s="506">
        <v>6953724</v>
      </c>
      <c r="M24" s="475"/>
      <c r="N24" s="224">
        <f>ROUND(L24/L$32,3)</f>
        <v>8.1000000000000003E-2</v>
      </c>
      <c r="O24" s="227"/>
      <c r="P24" s="231">
        <f>+L24-H24</f>
        <v>140320</v>
      </c>
      <c r="Q24" s="226"/>
      <c r="R24" s="224">
        <f>+P24/H24</f>
        <v>2.0594698332874434E-2</v>
      </c>
      <c r="S24" s="326"/>
      <c r="U24" s="205"/>
    </row>
    <row r="25" spans="1:21" ht="15" x14ac:dyDescent="0.2">
      <c r="A25" s="248"/>
      <c r="B25" s="226"/>
      <c r="C25" s="226"/>
      <c r="D25" s="231"/>
      <c r="E25" s="226"/>
      <c r="F25" s="224"/>
      <c r="G25" s="226"/>
      <c r="H25" s="247"/>
      <c r="I25" s="226"/>
      <c r="J25" s="224"/>
      <c r="K25" s="226"/>
      <c r="L25" s="505"/>
      <c r="M25" s="475"/>
      <c r="N25" s="226"/>
      <c r="O25" s="227"/>
      <c r="P25" s="231"/>
      <c r="Q25" s="226"/>
      <c r="R25" s="224"/>
    </row>
    <row r="26" spans="1:21" ht="15" x14ac:dyDescent="0.2">
      <c r="A26" s="248"/>
      <c r="B26" s="226" t="s">
        <v>503</v>
      </c>
      <c r="C26" s="226"/>
      <c r="D26" s="231">
        <f ca="1">+'COS 1'!T275</f>
        <v>1651044.9726444774</v>
      </c>
      <c r="E26" s="226"/>
      <c r="F26" s="224">
        <f t="shared" ca="1" si="0"/>
        <v>0.02</v>
      </c>
      <c r="G26" s="226"/>
      <c r="H26" s="247">
        <v>1977521</v>
      </c>
      <c r="I26" s="226"/>
      <c r="J26" s="224">
        <f t="shared" si="1"/>
        <v>2.4E-2</v>
      </c>
      <c r="K26" s="226"/>
      <c r="L26" s="506">
        <v>1990531</v>
      </c>
      <c r="M26" s="475"/>
      <c r="N26" s="224">
        <f>ROUND(L26/L$32,3)</f>
        <v>2.3E-2</v>
      </c>
      <c r="O26" s="227"/>
      <c r="P26" s="231">
        <f>+L26-H26</f>
        <v>13010</v>
      </c>
      <c r="Q26" s="226"/>
      <c r="R26" s="224">
        <f>+P26/H26</f>
        <v>6.5789440415550578E-3</v>
      </c>
      <c r="S26" s="326"/>
    </row>
    <row r="27" spans="1:21" ht="15" x14ac:dyDescent="0.2">
      <c r="A27" s="248"/>
      <c r="B27" s="226"/>
      <c r="C27" s="226"/>
      <c r="D27" s="231"/>
      <c r="E27" s="226"/>
      <c r="F27" s="224"/>
      <c r="G27" s="226"/>
      <c r="H27" s="247"/>
      <c r="I27" s="226"/>
      <c r="J27" s="224"/>
      <c r="K27" s="226"/>
      <c r="L27" s="505"/>
      <c r="M27" s="475"/>
      <c r="N27" s="226"/>
      <c r="O27" s="227"/>
      <c r="P27" s="231"/>
      <c r="Q27" s="226"/>
      <c r="R27" s="224"/>
    </row>
    <row r="28" spans="1:21" ht="15" x14ac:dyDescent="0.2">
      <c r="A28" s="248"/>
      <c r="B28" s="226" t="s">
        <v>345</v>
      </c>
      <c r="C28" s="226"/>
      <c r="D28" s="231">
        <f ca="1">+'COS 1'!V275</f>
        <v>1898888.5526141732</v>
      </c>
      <c r="E28" s="226"/>
      <c r="F28" s="224">
        <f t="shared" ca="1" si="0"/>
        <v>2.3E-2</v>
      </c>
      <c r="G28" s="226"/>
      <c r="H28" s="247">
        <v>2319440</v>
      </c>
      <c r="I28" s="226"/>
      <c r="J28" s="224">
        <f t="shared" si="1"/>
        <v>2.8000000000000001E-2</v>
      </c>
      <c r="K28" s="226"/>
      <c r="L28" s="506">
        <v>2359812</v>
      </c>
      <c r="M28" s="475"/>
      <c r="N28" s="224">
        <f>ROUND(L28/L$32,3)</f>
        <v>2.7E-2</v>
      </c>
      <c r="O28" s="227"/>
      <c r="P28" s="231">
        <f>+L28-H28</f>
        <v>40372</v>
      </c>
      <c r="Q28" s="226"/>
      <c r="R28" s="224">
        <f>+P28/H28</f>
        <v>1.740592556824061E-2</v>
      </c>
      <c r="S28" s="326"/>
    </row>
    <row r="29" spans="1:21" ht="15" x14ac:dyDescent="0.2">
      <c r="B29" s="226"/>
      <c r="C29" s="226"/>
      <c r="D29" s="231"/>
      <c r="E29" s="226"/>
      <c r="F29" s="224"/>
      <c r="G29" s="226"/>
      <c r="H29" s="231"/>
      <c r="I29" s="226"/>
      <c r="J29" s="224"/>
      <c r="K29" s="226"/>
      <c r="L29" s="505"/>
      <c r="M29" s="475"/>
      <c r="N29" s="224"/>
      <c r="O29" s="227"/>
      <c r="P29" s="231"/>
      <c r="Q29" s="226"/>
      <c r="R29" s="224"/>
    </row>
    <row r="30" spans="1:21" ht="15" x14ac:dyDescent="0.2">
      <c r="B30" s="226" t="s">
        <v>346</v>
      </c>
      <c r="C30" s="226"/>
      <c r="D30" s="234">
        <f ca="1">+'COS 1'!X275</f>
        <v>3560213.7283780244</v>
      </c>
      <c r="E30" s="226"/>
      <c r="F30" s="233">
        <f t="shared" ca="1" si="0"/>
        <v>4.2000000000000003E-2</v>
      </c>
      <c r="G30" s="226"/>
      <c r="H30" s="259">
        <v>3365902</v>
      </c>
      <c r="I30" s="226"/>
      <c r="J30" s="233">
        <f t="shared" si="1"/>
        <v>0.04</v>
      </c>
      <c r="K30" s="226"/>
      <c r="L30" s="507">
        <v>3481538</v>
      </c>
      <c r="M30" s="475"/>
      <c r="N30" s="233">
        <f>ROUND(L30/L$32,3)</f>
        <v>0.04</v>
      </c>
      <c r="O30" s="227"/>
      <c r="P30" s="234">
        <f>+L30-H30</f>
        <v>115636</v>
      </c>
      <c r="Q30" s="226"/>
      <c r="R30" s="224">
        <f>+P30/H30</f>
        <v>3.4355129769078244E-2</v>
      </c>
    </row>
    <row r="31" spans="1:21" ht="15" x14ac:dyDescent="0.2">
      <c r="B31" s="226"/>
      <c r="C31" s="226"/>
      <c r="D31" s="231"/>
      <c r="E31" s="226"/>
      <c r="F31" s="226"/>
      <c r="G31" s="226"/>
      <c r="H31" s="231"/>
      <c r="I31" s="226"/>
      <c r="J31" s="226"/>
      <c r="K31" s="226"/>
      <c r="L31" s="231"/>
      <c r="M31" s="226"/>
      <c r="N31" s="226"/>
      <c r="O31" s="227"/>
      <c r="P31" s="231"/>
      <c r="Q31" s="226"/>
      <c r="R31" s="224"/>
      <c r="T31" s="327"/>
    </row>
    <row r="32" spans="1:21" ht="15.75" thickBot="1" x14ac:dyDescent="0.25">
      <c r="B32" s="226" t="s">
        <v>347</v>
      </c>
      <c r="C32" s="226"/>
      <c r="D32" s="231">
        <f ca="1">SUM(D18:D30)</f>
        <v>84084400.785979986</v>
      </c>
      <c r="E32" s="226"/>
      <c r="F32" s="235">
        <f ca="1">SUM(F18:F30)</f>
        <v>1</v>
      </c>
      <c r="G32" s="226"/>
      <c r="H32" s="231">
        <f>SUM(H18:H30)</f>
        <v>84084391</v>
      </c>
      <c r="I32" s="226"/>
      <c r="J32" s="235">
        <f>SUM(J18:J30)</f>
        <v>1</v>
      </c>
      <c r="K32" s="226"/>
      <c r="L32" s="231">
        <f>SUM(L18:L30)</f>
        <v>86223429</v>
      </c>
      <c r="M32" s="226"/>
      <c r="N32" s="235">
        <f>SUM(N18:N30)</f>
        <v>1</v>
      </c>
      <c r="O32" s="227"/>
      <c r="P32" s="231">
        <f>SUM(P18:P30)</f>
        <v>2139038</v>
      </c>
      <c r="Q32" s="226"/>
      <c r="R32" s="224">
        <f>+P32/H32</f>
        <v>2.54391805014084E-2</v>
      </c>
    </row>
    <row r="33" spans="2:18" ht="15.75" thickTop="1" x14ac:dyDescent="0.2">
      <c r="B33" s="226"/>
      <c r="C33" s="226"/>
      <c r="D33" s="231"/>
      <c r="E33" s="226"/>
      <c r="F33" s="226"/>
      <c r="G33" s="226"/>
      <c r="H33" s="231"/>
      <c r="I33" s="226"/>
      <c r="J33" s="226"/>
      <c r="K33" s="226"/>
      <c r="L33" s="231"/>
      <c r="M33" s="226"/>
      <c r="N33" s="226"/>
      <c r="O33" s="227"/>
      <c r="P33" s="231"/>
      <c r="Q33" s="226"/>
      <c r="R33" s="224"/>
    </row>
    <row r="34" spans="2:18" ht="15" x14ac:dyDescent="0.2">
      <c r="B34" s="236" t="s">
        <v>348</v>
      </c>
      <c r="C34" s="236"/>
      <c r="D34" s="234">
        <f>+'COS 1'!J272</f>
        <v>2325695.088756165</v>
      </c>
      <c r="E34" s="236"/>
      <c r="F34" s="236"/>
      <c r="G34" s="236"/>
      <c r="H34" s="259">
        <v>2325695.088756165</v>
      </c>
      <c r="I34" s="236"/>
      <c r="J34" s="236"/>
      <c r="K34" s="236"/>
      <c r="L34" s="234">
        <v>2671844</v>
      </c>
      <c r="M34" s="236"/>
      <c r="N34" s="236"/>
      <c r="O34" s="237"/>
      <c r="P34" s="234">
        <f>+L34-H34</f>
        <v>346148.911243835</v>
      </c>
      <c r="Q34" s="236"/>
      <c r="R34" s="224">
        <f>+P34/H34</f>
        <v>0.14883675547896666</v>
      </c>
    </row>
    <row r="35" spans="2:18" ht="15" x14ac:dyDescent="0.2">
      <c r="B35" s="226"/>
      <c r="C35" s="226"/>
      <c r="D35" s="226"/>
      <c r="E35" s="226"/>
      <c r="F35" s="226"/>
      <c r="G35" s="226"/>
      <c r="H35" s="226"/>
      <c r="I35" s="226"/>
      <c r="J35" s="226"/>
      <c r="K35" s="226"/>
      <c r="L35" s="226"/>
      <c r="M35" s="226"/>
      <c r="N35" s="226"/>
      <c r="O35" s="227"/>
      <c r="P35" s="226"/>
      <c r="Q35" s="226"/>
      <c r="R35" s="224"/>
    </row>
    <row r="36" spans="2:18" ht="15.75" thickBot="1" x14ac:dyDescent="0.25">
      <c r="B36" s="226" t="s">
        <v>349</v>
      </c>
      <c r="C36" s="226"/>
      <c r="D36" s="238">
        <f ca="1">+D34+D32</f>
        <v>86410095.874736145</v>
      </c>
      <c r="E36" s="226"/>
      <c r="F36" s="226"/>
      <c r="G36" s="226"/>
      <c r="H36" s="238">
        <f>+H34+H32</f>
        <v>86410086.088756159</v>
      </c>
      <c r="I36" s="226"/>
      <c r="J36" s="226"/>
      <c r="K36" s="226"/>
      <c r="L36" s="238">
        <f>+L34+L32</f>
        <v>88895273</v>
      </c>
      <c r="M36" s="226"/>
      <c r="N36" s="226"/>
      <c r="O36" s="227"/>
      <c r="P36" s="238">
        <f>+L36-H36</f>
        <v>2485186.9112438411</v>
      </c>
      <c r="Q36" s="226"/>
      <c r="R36" s="224">
        <f>+P36/H36</f>
        <v>2.876037999419628E-2</v>
      </c>
    </row>
    <row r="37" spans="2:18" ht="13.5" thickTop="1" x14ac:dyDescent="0.2"/>
    <row r="38" spans="2:18" ht="15" x14ac:dyDescent="0.2">
      <c r="B38" s="236" t="s">
        <v>469</v>
      </c>
    </row>
    <row r="39" spans="2:18" ht="15" x14ac:dyDescent="0.2">
      <c r="B39" s="38"/>
      <c r="C39" s="38"/>
      <c r="D39" s="241"/>
      <c r="L39" s="205"/>
    </row>
    <row r="40" spans="2:18" ht="15" x14ac:dyDescent="0.2">
      <c r="B40" s="38"/>
      <c r="C40" s="38"/>
      <c r="D40" s="242"/>
      <c r="H40" s="205"/>
    </row>
    <row r="41" spans="2:18" x14ac:dyDescent="0.2">
      <c r="D41" s="205"/>
      <c r="H41" s="205"/>
      <c r="P41" s="205"/>
    </row>
    <row r="43" spans="2:18" x14ac:dyDescent="0.2">
      <c r="D43" s="530"/>
      <c r="L43" s="205"/>
    </row>
    <row r="44" spans="2:18" x14ac:dyDescent="0.2">
      <c r="D44" s="530"/>
    </row>
    <row r="46" spans="2:18" x14ac:dyDescent="0.2">
      <c r="L46" s="527"/>
    </row>
    <row r="47" spans="2:18" x14ac:dyDescent="0.2">
      <c r="L47" s="526"/>
    </row>
    <row r="48" spans="2:18" x14ac:dyDescent="0.2">
      <c r="H48" s="145"/>
      <c r="L48" s="145"/>
    </row>
    <row r="49" spans="4:12" x14ac:dyDescent="0.2">
      <c r="H49" s="145"/>
      <c r="L49" s="145"/>
    </row>
    <row r="50" spans="4:12" x14ac:dyDescent="0.2">
      <c r="H50" s="145"/>
      <c r="L50" s="145"/>
    </row>
    <row r="51" spans="4:12" x14ac:dyDescent="0.2">
      <c r="H51" s="145"/>
      <c r="L51" s="145"/>
    </row>
    <row r="52" spans="4:12" x14ac:dyDescent="0.2">
      <c r="D52" s="327"/>
      <c r="H52" s="145"/>
      <c r="L52" s="145"/>
    </row>
    <row r="53" spans="4:12" x14ac:dyDescent="0.2">
      <c r="H53" s="145"/>
      <c r="L53" s="145"/>
    </row>
    <row r="54" spans="4:12" x14ac:dyDescent="0.2">
      <c r="H54" s="145"/>
      <c r="L54" s="145"/>
    </row>
    <row r="55" spans="4:12" x14ac:dyDescent="0.2">
      <c r="H55" s="145"/>
      <c r="L55" s="145"/>
    </row>
  </sheetData>
  <mergeCells count="9">
    <mergeCell ref="H14:J14"/>
    <mergeCell ref="L14:N14"/>
    <mergeCell ref="B6:R6"/>
    <mergeCell ref="B9:R9"/>
    <mergeCell ref="B10:R10"/>
    <mergeCell ref="D13:F13"/>
    <mergeCell ref="P13:R13"/>
    <mergeCell ref="B7:R7"/>
    <mergeCell ref="D12:F12"/>
  </mergeCells>
  <phoneticPr fontId="1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7"/>
  <sheetViews>
    <sheetView workbookViewId="0">
      <selection activeCell="F10" sqref="F10"/>
    </sheetView>
  </sheetViews>
  <sheetFormatPr defaultColWidth="11.5546875" defaultRowHeight="12.75" x14ac:dyDescent="0.2"/>
  <cols>
    <col min="4" max="4" width="11.44140625" bestFit="1" customWidth="1"/>
  </cols>
  <sheetData>
    <row r="4" spans="1:8" x14ac:dyDescent="0.2">
      <c r="B4" s="645" t="s">
        <v>113</v>
      </c>
      <c r="F4" s="645" t="s">
        <v>7</v>
      </c>
      <c r="H4" s="645" t="s">
        <v>9</v>
      </c>
    </row>
    <row r="5" spans="1:8" x14ac:dyDescent="0.2">
      <c r="B5" s="645" t="s">
        <v>114</v>
      </c>
      <c r="F5" s="645" t="s">
        <v>8</v>
      </c>
      <c r="H5" s="645" t="s">
        <v>10</v>
      </c>
    </row>
    <row r="7" spans="1:8" x14ac:dyDescent="0.2">
      <c r="A7">
        <v>1</v>
      </c>
      <c r="B7" s="645" t="s">
        <v>115</v>
      </c>
      <c r="D7" s="648">
        <f>2230920+21342</f>
        <v>2252262</v>
      </c>
      <c r="F7" s="648"/>
      <c r="G7" s="648"/>
    </row>
    <row r="8" spans="1:8" x14ac:dyDescent="0.2">
      <c r="A8">
        <v>2</v>
      </c>
      <c r="B8" s="645" t="s">
        <v>116</v>
      </c>
      <c r="D8" s="648">
        <f>0.005759*D7</f>
        <v>12970.776858000001</v>
      </c>
      <c r="F8" s="648">
        <v>481803</v>
      </c>
      <c r="G8" s="648"/>
      <c r="H8" s="648">
        <f>D8+F8</f>
        <v>494773.77685800003</v>
      </c>
    </row>
    <row r="9" spans="1:8" x14ac:dyDescent="0.2">
      <c r="A9">
        <v>3</v>
      </c>
      <c r="B9" s="645" t="s">
        <v>0</v>
      </c>
      <c r="D9" s="648">
        <f>0.001478*D7</f>
        <v>3328.8432359999997</v>
      </c>
      <c r="F9" s="648">
        <v>123659</v>
      </c>
      <c r="G9" s="648"/>
      <c r="H9" s="648">
        <f>D9+F9</f>
        <v>126987.843236</v>
      </c>
    </row>
    <row r="10" spans="1:8" x14ac:dyDescent="0.2">
      <c r="A10">
        <v>4</v>
      </c>
      <c r="B10" s="645" t="s">
        <v>1</v>
      </c>
      <c r="D10" s="648">
        <v>70371</v>
      </c>
      <c r="F10" s="648">
        <v>1779872</v>
      </c>
      <c r="G10" s="648"/>
      <c r="H10" s="648">
        <f>D10+F10</f>
        <v>1850243</v>
      </c>
    </row>
    <row r="11" spans="1:8" x14ac:dyDescent="0.2">
      <c r="A11" s="645">
        <v>5</v>
      </c>
      <c r="B11" s="645" t="s">
        <v>2</v>
      </c>
      <c r="D11" s="648">
        <v>153206</v>
      </c>
      <c r="F11" s="648">
        <v>3110685</v>
      </c>
      <c r="G11" s="648"/>
      <c r="H11" s="648">
        <f>D11+F11</f>
        <v>3263891</v>
      </c>
    </row>
    <row r="12" spans="1:8" x14ac:dyDescent="0.2">
      <c r="F12" s="645"/>
      <c r="G12" s="645"/>
    </row>
    <row r="13" spans="1:8" x14ac:dyDescent="0.2">
      <c r="A13">
        <v>6</v>
      </c>
      <c r="B13" s="645" t="s">
        <v>3</v>
      </c>
      <c r="D13" s="648">
        <f>D7-D8-D9-D10-D11</f>
        <v>2012385.3799060001</v>
      </c>
      <c r="F13" s="648"/>
      <c r="G13" s="648"/>
    </row>
    <row r="14" spans="1:8" x14ac:dyDescent="0.2">
      <c r="A14">
        <v>7</v>
      </c>
      <c r="B14" s="645" t="s">
        <v>4</v>
      </c>
      <c r="D14" s="649">
        <f>0.06*D13</f>
        <v>120743.12279436</v>
      </c>
      <c r="F14" s="649">
        <f>491703+674793</f>
        <v>1166496</v>
      </c>
      <c r="G14" s="649"/>
      <c r="H14" s="649">
        <f>D14+F14</f>
        <v>1287239.1227943599</v>
      </c>
    </row>
    <row r="15" spans="1:8" x14ac:dyDescent="0.2">
      <c r="A15">
        <v>8</v>
      </c>
      <c r="B15" s="645" t="s">
        <v>5</v>
      </c>
      <c r="D15" s="649">
        <f>(D13-D14)*0.35</f>
        <v>662074.78998907399</v>
      </c>
      <c r="F15" s="649">
        <f>3658209+2899194</f>
        <v>6557403</v>
      </c>
      <c r="G15" s="649"/>
      <c r="H15" s="649">
        <f>D15+F15</f>
        <v>7219477.7899890738</v>
      </c>
    </row>
    <row r="16" spans="1:8" x14ac:dyDescent="0.2">
      <c r="D16" s="649"/>
      <c r="F16" s="649"/>
      <c r="G16" s="649"/>
    </row>
    <row r="17" spans="1:8" x14ac:dyDescent="0.2">
      <c r="A17">
        <v>9</v>
      </c>
      <c r="B17" s="645" t="s">
        <v>6</v>
      </c>
      <c r="D17" s="649">
        <f>D13-D14-D15</f>
        <v>1229567.4671225662</v>
      </c>
      <c r="F17" s="649">
        <v>24179914</v>
      </c>
      <c r="G17" s="649"/>
      <c r="H17" s="649">
        <f>D17+F17</f>
        <v>25409481.467122566</v>
      </c>
    </row>
  </sheetData>
  <phoneticPr fontId="12" type="noConversion"/>
  <pageMargins left="0.75" right="0.75" top="1" bottom="1" header="0.5" footer="0.5"/>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workbookViewId="0">
      <selection activeCell="M19" sqref="M19"/>
    </sheetView>
  </sheetViews>
  <sheetFormatPr defaultColWidth="8.6640625" defaultRowHeight="12.75" x14ac:dyDescent="0.2"/>
  <cols>
    <col min="1" max="1" width="14.33203125" style="519" bestFit="1" customWidth="1"/>
    <col min="2" max="2" width="9.33203125" customWidth="1"/>
    <col min="3" max="3" width="31" customWidth="1"/>
    <col min="4" max="4" width="11.5546875" customWidth="1"/>
    <col min="5" max="5" width="12.44140625" customWidth="1"/>
    <col min="6" max="6" width="13.6640625" bestFit="1" customWidth="1"/>
    <col min="7" max="7" width="14.33203125" style="212" customWidth="1"/>
    <col min="8" max="8" width="13.88671875" style="498" bestFit="1" customWidth="1"/>
    <col min="9" max="9" width="9" bestFit="1" customWidth="1"/>
    <col min="10" max="10" width="10" bestFit="1" customWidth="1"/>
    <col min="15" max="15" width="9.109375" bestFit="1" customWidth="1"/>
    <col min="17" max="17" width="11.5546875" bestFit="1" customWidth="1"/>
    <col min="21" max="21" width="11.44140625" customWidth="1"/>
    <col min="23" max="23" width="11.5546875" bestFit="1" customWidth="1"/>
    <col min="24" max="24" width="10" bestFit="1" customWidth="1"/>
    <col min="25" max="25" width="11.5546875" bestFit="1" customWidth="1"/>
    <col min="27" max="27" width="10" bestFit="1" customWidth="1"/>
    <col min="28" max="28" width="11.6640625" bestFit="1" customWidth="1"/>
  </cols>
  <sheetData>
    <row r="1" spans="1:8" x14ac:dyDescent="0.2">
      <c r="B1" t="s">
        <v>622</v>
      </c>
      <c r="E1" s="444"/>
    </row>
    <row r="2" spans="1:8" x14ac:dyDescent="0.2">
      <c r="B2" t="s">
        <v>623</v>
      </c>
    </row>
    <row r="3" spans="1:8" x14ac:dyDescent="0.2">
      <c r="D3" s="534" t="s">
        <v>624</v>
      </c>
      <c r="E3" s="534" t="s">
        <v>626</v>
      </c>
      <c r="F3" s="534" t="s">
        <v>833</v>
      </c>
      <c r="G3" s="535" t="s">
        <v>787</v>
      </c>
      <c r="H3" s="534"/>
    </row>
    <row r="4" spans="1:8" x14ac:dyDescent="0.2">
      <c r="D4" s="528" t="s">
        <v>625</v>
      </c>
      <c r="E4" s="528" t="s">
        <v>857</v>
      </c>
      <c r="F4" s="528" t="s">
        <v>627</v>
      </c>
      <c r="G4" s="536" t="s">
        <v>676</v>
      </c>
      <c r="H4" s="528" t="s">
        <v>628</v>
      </c>
    </row>
    <row r="5" spans="1:8" x14ac:dyDescent="0.2">
      <c r="B5">
        <v>301000</v>
      </c>
      <c r="C5" t="s">
        <v>630</v>
      </c>
      <c r="D5" s="145">
        <v>37450.43</v>
      </c>
      <c r="E5" s="145"/>
      <c r="H5" s="145">
        <f t="shared" ref="H5:H36" si="0">+D5+E5+F5+G5</f>
        <v>37450.43</v>
      </c>
    </row>
    <row r="6" spans="1:8" x14ac:dyDescent="0.2">
      <c r="B6">
        <v>302000</v>
      </c>
      <c r="C6" t="s">
        <v>631</v>
      </c>
      <c r="D6" s="145">
        <v>70260.820000000036</v>
      </c>
      <c r="E6" s="145"/>
      <c r="H6" s="145">
        <f t="shared" si="0"/>
        <v>70260.820000000036</v>
      </c>
    </row>
    <row r="7" spans="1:8" x14ac:dyDescent="0.2">
      <c r="B7">
        <v>339100</v>
      </c>
      <c r="C7" t="s">
        <v>498</v>
      </c>
      <c r="D7" s="145">
        <v>776821.99366280099</v>
      </c>
      <c r="E7" s="145">
        <v>-342859.84183356923</v>
      </c>
      <c r="H7" s="145">
        <f t="shared" si="0"/>
        <v>433962.15182923176</v>
      </c>
    </row>
    <row r="8" spans="1:8" s="498" customFormat="1" x14ac:dyDescent="0.2">
      <c r="A8" s="519"/>
      <c r="B8" s="401">
        <v>339300</v>
      </c>
      <c r="C8" s="401" t="s">
        <v>856</v>
      </c>
      <c r="D8" s="256">
        <v>237771.62535093338</v>
      </c>
      <c r="E8" s="145"/>
      <c r="G8" s="212"/>
      <c r="H8" s="145">
        <f t="shared" si="0"/>
        <v>237771.62535093338</v>
      </c>
    </row>
    <row r="9" spans="1:8" x14ac:dyDescent="0.2">
      <c r="B9" s="401">
        <v>339600</v>
      </c>
      <c r="C9" s="401" t="s">
        <v>499</v>
      </c>
      <c r="D9" s="256"/>
      <c r="E9" s="145"/>
      <c r="H9" s="145">
        <f t="shared" si="0"/>
        <v>0</v>
      </c>
    </row>
    <row r="10" spans="1:8" x14ac:dyDescent="0.2">
      <c r="B10">
        <v>303200</v>
      </c>
      <c r="C10" t="s">
        <v>758</v>
      </c>
      <c r="D10" s="145">
        <v>1077363.07</v>
      </c>
      <c r="E10" s="145"/>
      <c r="H10" s="145">
        <f t="shared" si="0"/>
        <v>1077363.07</v>
      </c>
    </row>
    <row r="11" spans="1:8" x14ac:dyDescent="0.2">
      <c r="B11">
        <v>304100</v>
      </c>
      <c r="C11" t="s">
        <v>632</v>
      </c>
      <c r="D11" s="145">
        <v>6958360.6735499967</v>
      </c>
      <c r="E11" s="145">
        <v>-885666.15631953999</v>
      </c>
      <c r="H11" s="145">
        <f t="shared" si="0"/>
        <v>6072694.5172304567</v>
      </c>
    </row>
    <row r="12" spans="1:8" x14ac:dyDescent="0.2">
      <c r="B12">
        <v>305000</v>
      </c>
      <c r="C12" t="s">
        <v>633</v>
      </c>
      <c r="D12" s="145">
        <v>986753.19444444473</v>
      </c>
      <c r="E12" s="145">
        <v>-389055.06391323172</v>
      </c>
      <c r="H12" s="145">
        <f t="shared" si="0"/>
        <v>597698.13053121301</v>
      </c>
    </row>
    <row r="13" spans="1:8" x14ac:dyDescent="0.2">
      <c r="B13">
        <v>306000</v>
      </c>
      <c r="C13" t="s">
        <v>634</v>
      </c>
      <c r="D13" s="145">
        <v>7449190.8330885312</v>
      </c>
      <c r="E13" s="145">
        <v>-484650.96135422646</v>
      </c>
      <c r="H13" s="145">
        <f t="shared" si="0"/>
        <v>6964539.8717343044</v>
      </c>
    </row>
    <row r="14" spans="1:8" x14ac:dyDescent="0.2">
      <c r="B14">
        <v>307000</v>
      </c>
      <c r="C14" t="s">
        <v>635</v>
      </c>
      <c r="D14" s="145"/>
      <c r="E14" s="145"/>
      <c r="H14" s="145">
        <f t="shared" si="0"/>
        <v>0</v>
      </c>
    </row>
    <row r="15" spans="1:8" x14ac:dyDescent="0.2">
      <c r="B15">
        <v>309000</v>
      </c>
      <c r="C15" t="s">
        <v>636</v>
      </c>
      <c r="D15" s="145">
        <v>27882254.050000016</v>
      </c>
      <c r="E15" s="145">
        <v>-3251088.1243398604</v>
      </c>
      <c r="H15" s="145">
        <f t="shared" si="0"/>
        <v>24631165.925660156</v>
      </c>
    </row>
    <row r="16" spans="1:8" x14ac:dyDescent="0.2">
      <c r="B16">
        <v>303300</v>
      </c>
      <c r="C16" t="s">
        <v>637</v>
      </c>
      <c r="D16" s="145">
        <v>195966.12999999995</v>
      </c>
      <c r="E16" s="145"/>
      <c r="H16" s="145">
        <f t="shared" si="0"/>
        <v>195966.12999999995</v>
      </c>
    </row>
    <row r="17" spans="1:28" x14ac:dyDescent="0.2">
      <c r="B17">
        <v>304200</v>
      </c>
      <c r="C17" t="s">
        <v>638</v>
      </c>
      <c r="D17" s="145">
        <v>9602924.4755555522</v>
      </c>
      <c r="E17" s="145">
        <v>-2364347.0598753849</v>
      </c>
      <c r="H17" s="145">
        <f t="shared" si="0"/>
        <v>7238577.4156801673</v>
      </c>
    </row>
    <row r="18" spans="1:28" x14ac:dyDescent="0.2">
      <c r="B18">
        <v>310000</v>
      </c>
      <c r="C18" t="s">
        <v>846</v>
      </c>
      <c r="D18" s="145">
        <v>3374873.2899999972</v>
      </c>
      <c r="E18" s="145">
        <v>-567089.10037036135</v>
      </c>
      <c r="H18" s="145">
        <f t="shared" si="0"/>
        <v>2807784.1896296358</v>
      </c>
    </row>
    <row r="19" spans="1:28" x14ac:dyDescent="0.2">
      <c r="B19">
        <v>311200</v>
      </c>
      <c r="C19" t="s">
        <v>639</v>
      </c>
      <c r="D19" s="145">
        <v>11941694.205933694</v>
      </c>
      <c r="E19" s="145">
        <v>-5448737.7702063667</v>
      </c>
      <c r="H19" s="145">
        <f t="shared" si="0"/>
        <v>6492956.4357273271</v>
      </c>
    </row>
    <row r="20" spans="1:28" x14ac:dyDescent="0.2">
      <c r="B20">
        <v>311300</v>
      </c>
      <c r="C20" t="s">
        <v>640</v>
      </c>
      <c r="D20" s="145">
        <v>698586.55222222209</v>
      </c>
      <c r="E20" s="145">
        <v>-396280.26876685157</v>
      </c>
      <c r="H20" s="145">
        <f t="shared" si="0"/>
        <v>302306.28345537052</v>
      </c>
    </row>
    <row r="21" spans="1:28" x14ac:dyDescent="0.2">
      <c r="B21">
        <v>311400</v>
      </c>
      <c r="C21" t="s">
        <v>641</v>
      </c>
      <c r="D21" s="145">
        <v>7727.880000000001</v>
      </c>
      <c r="E21" s="145">
        <v>-9082.4975519999898</v>
      </c>
      <c r="H21" s="145">
        <f t="shared" si="0"/>
        <v>-1354.6175519999888</v>
      </c>
    </row>
    <row r="22" spans="1:28" x14ac:dyDescent="0.2">
      <c r="B22">
        <v>311500</v>
      </c>
      <c r="C22" t="s">
        <v>642</v>
      </c>
      <c r="D22" s="145">
        <v>-1481.0061538461539</v>
      </c>
      <c r="E22">
        <v>1517.2606608903286</v>
      </c>
      <c r="H22" s="145">
        <f t="shared" si="0"/>
        <v>36.254507044174716</v>
      </c>
    </row>
    <row r="23" spans="1:28" x14ac:dyDescent="0.2">
      <c r="B23">
        <v>311520</v>
      </c>
      <c r="C23" t="s">
        <v>643</v>
      </c>
      <c r="D23" s="145">
        <v>14739895.636495719</v>
      </c>
      <c r="E23" s="145">
        <v>-1179101.1172283923</v>
      </c>
      <c r="H23" s="145">
        <f t="shared" si="0"/>
        <v>13560794.519267326</v>
      </c>
    </row>
    <row r="24" spans="1:28" s="498" customFormat="1" x14ac:dyDescent="0.2">
      <c r="A24" s="519"/>
      <c r="B24" s="498">
        <v>311530</v>
      </c>
      <c r="C24" s="498" t="s">
        <v>858</v>
      </c>
      <c r="D24" s="145"/>
      <c r="E24" s="145">
        <v>242.36999999999992</v>
      </c>
      <c r="G24" s="212"/>
      <c r="H24" s="145">
        <f t="shared" si="0"/>
        <v>242.36999999999992</v>
      </c>
    </row>
    <row r="25" spans="1:28" x14ac:dyDescent="0.2">
      <c r="B25">
        <v>311540</v>
      </c>
      <c r="C25" t="s">
        <v>644</v>
      </c>
      <c r="D25" s="145">
        <v>285667.13937606837</v>
      </c>
      <c r="E25" s="145">
        <v>70384.360975131567</v>
      </c>
      <c r="H25" s="145">
        <f t="shared" si="0"/>
        <v>356051.50035119994</v>
      </c>
      <c r="I25" s="145"/>
    </row>
    <row r="26" spans="1:28" x14ac:dyDescent="0.2">
      <c r="B26">
        <v>303400</v>
      </c>
      <c r="C26" t="s">
        <v>645</v>
      </c>
      <c r="D26" s="145">
        <v>800183.34</v>
      </c>
      <c r="E26" s="145"/>
      <c r="H26" s="145">
        <f t="shared" si="0"/>
        <v>800183.34</v>
      </c>
      <c r="L26" s="401"/>
      <c r="M26" s="401"/>
      <c r="N26" s="401"/>
      <c r="O26" s="401"/>
      <c r="P26" s="401"/>
      <c r="Q26" s="401"/>
      <c r="R26" s="401"/>
      <c r="S26" s="401"/>
      <c r="T26" s="401"/>
      <c r="U26" s="401"/>
      <c r="V26" s="401"/>
      <c r="W26" s="401"/>
      <c r="X26" s="401"/>
      <c r="Y26" s="401"/>
      <c r="Z26" s="401"/>
      <c r="AA26" s="401"/>
      <c r="AB26" s="401"/>
    </row>
    <row r="27" spans="1:28" x14ac:dyDescent="0.2">
      <c r="B27">
        <v>304300</v>
      </c>
      <c r="C27" t="s">
        <v>646</v>
      </c>
      <c r="D27" s="145">
        <v>26418623.956444427</v>
      </c>
      <c r="E27" s="145">
        <v>-3708400.976443639</v>
      </c>
      <c r="H27" s="145">
        <f t="shared" si="0"/>
        <v>22710222.980000786</v>
      </c>
      <c r="L27" s="401"/>
      <c r="M27" s="401"/>
      <c r="N27" s="401"/>
      <c r="O27" s="401"/>
      <c r="P27" s="401"/>
      <c r="Q27" s="401"/>
      <c r="R27" s="401"/>
      <c r="S27" s="401"/>
      <c r="T27" s="401"/>
      <c r="U27" s="401"/>
      <c r="V27" s="401"/>
      <c r="W27" s="401"/>
      <c r="X27" s="401"/>
      <c r="Y27" s="401"/>
      <c r="Z27" s="401"/>
      <c r="AA27" s="401"/>
      <c r="AB27" s="401"/>
    </row>
    <row r="28" spans="1:28" s="401" customFormat="1" x14ac:dyDescent="0.2">
      <c r="B28" s="401">
        <v>320100</v>
      </c>
      <c r="C28" s="401" t="s">
        <v>647</v>
      </c>
      <c r="D28" s="256">
        <v>52590018.706162363</v>
      </c>
      <c r="E28" s="256">
        <v>-17299877.15869914</v>
      </c>
      <c r="G28" s="479"/>
      <c r="H28" s="256">
        <f t="shared" si="0"/>
        <v>35290141.547463223</v>
      </c>
    </row>
    <row r="29" spans="1:28" s="401" customFormat="1" x14ac:dyDescent="0.2">
      <c r="B29" s="401">
        <v>3201001</v>
      </c>
      <c r="C29" s="401" t="s">
        <v>648</v>
      </c>
      <c r="D29" s="256"/>
      <c r="G29" s="479"/>
      <c r="H29" s="256">
        <f t="shared" si="0"/>
        <v>0</v>
      </c>
    </row>
    <row r="30" spans="1:28" s="401" customFormat="1" x14ac:dyDescent="0.2">
      <c r="B30" s="401">
        <v>320200</v>
      </c>
      <c r="C30" s="401" t="s">
        <v>656</v>
      </c>
      <c r="D30" s="256">
        <v>508587.92</v>
      </c>
      <c r="E30" s="256">
        <v>-398140.78263466625</v>
      </c>
      <c r="G30" s="479"/>
      <c r="H30" s="256">
        <f t="shared" si="0"/>
        <v>110447.13736533374</v>
      </c>
      <c r="I30" s="256"/>
    </row>
    <row r="31" spans="1:28" s="401" customFormat="1" x14ac:dyDescent="0.2">
      <c r="B31" s="401">
        <v>303500</v>
      </c>
      <c r="C31" s="401" t="s">
        <v>657</v>
      </c>
      <c r="D31" s="256">
        <v>7692948.2194994874</v>
      </c>
      <c r="E31" s="256">
        <v>3547.3436675195471</v>
      </c>
      <c r="G31" s="479"/>
      <c r="H31" s="256">
        <f t="shared" si="0"/>
        <v>7696495.5631670067</v>
      </c>
    </row>
    <row r="32" spans="1:28" s="401" customFormat="1" x14ac:dyDescent="0.2">
      <c r="B32" s="401">
        <v>304400</v>
      </c>
      <c r="C32" s="401" t="s">
        <v>658</v>
      </c>
      <c r="D32" s="256">
        <v>909077.21461538435</v>
      </c>
      <c r="E32" s="256">
        <v>-606074.27725229354</v>
      </c>
      <c r="G32" s="479"/>
      <c r="H32" s="256">
        <f t="shared" si="0"/>
        <v>303002.93736309081</v>
      </c>
    </row>
    <row r="33" spans="1:21" s="401" customFormat="1" x14ac:dyDescent="0.2">
      <c r="B33" s="401">
        <v>330000</v>
      </c>
      <c r="C33" s="401" t="s">
        <v>659</v>
      </c>
      <c r="D33" s="256">
        <v>1771358.2399999995</v>
      </c>
      <c r="E33" s="256">
        <v>-312225.24460088869</v>
      </c>
      <c r="F33" s="256"/>
      <c r="G33" s="479"/>
      <c r="H33" s="256">
        <f t="shared" si="0"/>
        <v>1459132.995399111</v>
      </c>
    </row>
    <row r="34" spans="1:21" s="401" customFormat="1" x14ac:dyDescent="0.2">
      <c r="B34" s="401">
        <v>330100</v>
      </c>
      <c r="C34" s="401" t="s">
        <v>660</v>
      </c>
      <c r="D34" s="256">
        <v>12083403.728290591</v>
      </c>
      <c r="E34" s="256">
        <v>-3825468.2842437397</v>
      </c>
      <c r="F34" s="256"/>
      <c r="G34" s="479"/>
      <c r="H34" s="256">
        <f t="shared" si="0"/>
        <v>8257935.4440468512</v>
      </c>
      <c r="I34" s="256"/>
      <c r="R34" s="605"/>
      <c r="S34" s="605"/>
      <c r="T34" s="605"/>
    </row>
    <row r="35" spans="1:21" s="401" customFormat="1" x14ac:dyDescent="0.2">
      <c r="B35" s="401">
        <v>330200</v>
      </c>
      <c r="C35" s="401" t="s">
        <v>661</v>
      </c>
      <c r="D35" s="256">
        <v>3582591.2739393716</v>
      </c>
      <c r="E35" s="256">
        <v>-160053.13317365802</v>
      </c>
      <c r="F35" s="256"/>
      <c r="G35" s="479"/>
      <c r="H35" s="256">
        <f t="shared" si="0"/>
        <v>3422538.1407657135</v>
      </c>
      <c r="O35" s="606"/>
      <c r="P35" s="606"/>
      <c r="Q35" s="607"/>
      <c r="R35" s="607"/>
      <c r="S35" s="607"/>
      <c r="T35" s="607"/>
      <c r="U35" s="607"/>
    </row>
    <row r="36" spans="1:21" s="401" customFormat="1" x14ac:dyDescent="0.2">
      <c r="B36" s="401">
        <v>330400</v>
      </c>
      <c r="C36" s="401" t="s">
        <v>662</v>
      </c>
      <c r="D36" s="256">
        <v>2581756.8999999994</v>
      </c>
      <c r="E36" s="256">
        <v>-142964.1445599999</v>
      </c>
      <c r="G36" s="479"/>
      <c r="H36" s="256">
        <f t="shared" si="0"/>
        <v>2438792.7554399995</v>
      </c>
      <c r="I36" s="256"/>
      <c r="L36" s="499"/>
      <c r="O36" s="256"/>
      <c r="P36" s="256"/>
      <c r="Q36" s="256"/>
    </row>
    <row r="37" spans="1:21" s="401" customFormat="1" ht="14.25" customHeight="1" x14ac:dyDescent="0.2">
      <c r="A37" s="479"/>
      <c r="B37" s="401">
        <v>331001</v>
      </c>
      <c r="C37" s="401" t="s">
        <v>848</v>
      </c>
      <c r="D37" s="479">
        <v>7565128.7999999942</v>
      </c>
      <c r="E37" s="256">
        <v>-1249189.8</v>
      </c>
      <c r="F37" s="256">
        <v>-1762372.3089432786</v>
      </c>
      <c r="G37" s="479">
        <v>-856139.13411442412</v>
      </c>
      <c r="H37" s="256">
        <f>+D37+E37+F37+G37</f>
        <v>3697427.5569422911</v>
      </c>
      <c r="I37" s="479"/>
      <c r="J37" s="479"/>
      <c r="K37" s="479"/>
      <c r="L37" s="499"/>
      <c r="P37" s="608"/>
      <c r="Q37" s="479"/>
      <c r="R37" s="256"/>
      <c r="S37" s="256"/>
      <c r="U37" s="256"/>
    </row>
    <row r="38" spans="1:21" s="401" customFormat="1" x14ac:dyDescent="0.2">
      <c r="A38" s="256"/>
      <c r="C38" s="401" t="s">
        <v>847</v>
      </c>
      <c r="D38" s="256">
        <v>13270497.380000006</v>
      </c>
      <c r="E38" s="256">
        <v>-2191287.21</v>
      </c>
      <c r="F38" s="256">
        <v>-3091494.9007102638</v>
      </c>
      <c r="G38" s="479">
        <v>-1501810.800125564</v>
      </c>
      <c r="H38" s="256">
        <f t="shared" ref="H38:H76" si="1">+D38+E38+F38+G38</f>
        <v>6485904.4691641778</v>
      </c>
      <c r="I38" s="479"/>
      <c r="J38" s="479"/>
      <c r="K38" s="479"/>
      <c r="L38" s="499"/>
      <c r="P38" s="608"/>
      <c r="Q38" s="479"/>
      <c r="R38" s="256"/>
      <c r="S38" s="256"/>
      <c r="T38" s="256"/>
      <c r="U38" s="256"/>
    </row>
    <row r="39" spans="1:21" s="401" customFormat="1" x14ac:dyDescent="0.2">
      <c r="A39" s="520"/>
      <c r="C39" s="401" t="s">
        <v>849</v>
      </c>
      <c r="D39" s="256">
        <v>102853946.19242197</v>
      </c>
      <c r="E39" s="256">
        <v>-16983729.390000001</v>
      </c>
      <c r="F39" s="256">
        <v>-23960853.995647315</v>
      </c>
      <c r="G39" s="479">
        <v>-11639892.824221551</v>
      </c>
      <c r="H39" s="256">
        <f t="shared" si="1"/>
        <v>50269469.98255311</v>
      </c>
      <c r="I39" s="479"/>
      <c r="J39" s="479"/>
      <c r="K39" s="479"/>
      <c r="L39" s="499"/>
      <c r="P39" s="608"/>
      <c r="Q39" s="479"/>
      <c r="R39" s="256"/>
      <c r="S39" s="256"/>
      <c r="T39" s="256"/>
      <c r="U39" s="256"/>
    </row>
    <row r="40" spans="1:21" s="401" customFormat="1" x14ac:dyDescent="0.2">
      <c r="A40" s="256"/>
      <c r="C40" s="401" t="s">
        <v>850</v>
      </c>
      <c r="D40" s="256">
        <v>55709289.422293097</v>
      </c>
      <c r="E40" s="256">
        <v>-9198980.9900000002</v>
      </c>
      <c r="F40" s="256"/>
      <c r="G40" s="479"/>
      <c r="H40" s="256">
        <f t="shared" si="1"/>
        <v>46510308.432293095</v>
      </c>
      <c r="I40" s="479"/>
      <c r="J40" s="479"/>
      <c r="K40" s="479"/>
      <c r="L40" s="499"/>
      <c r="P40" s="608"/>
      <c r="Q40" s="479"/>
      <c r="R40" s="256"/>
      <c r="S40" s="256"/>
      <c r="T40" s="256"/>
      <c r="U40" s="256"/>
    </row>
    <row r="41" spans="1:21" s="401" customFormat="1" x14ac:dyDescent="0.2">
      <c r="C41" s="401" t="s">
        <v>851</v>
      </c>
      <c r="D41" s="256">
        <v>92694476.730000034</v>
      </c>
      <c r="E41" s="256">
        <v>-15306149.810000001</v>
      </c>
      <c r="F41" s="256"/>
      <c r="G41" s="479"/>
      <c r="H41" s="256">
        <f t="shared" si="1"/>
        <v>77388326.920000032</v>
      </c>
      <c r="I41" s="479"/>
      <c r="J41" s="479"/>
      <c r="K41" s="479"/>
      <c r="L41" s="499"/>
      <c r="P41" s="608"/>
      <c r="Q41" s="479"/>
      <c r="R41" s="256"/>
      <c r="S41" s="256"/>
      <c r="T41" s="256"/>
      <c r="U41" s="256"/>
    </row>
    <row r="42" spans="1:21" s="401" customFormat="1" x14ac:dyDescent="0.2">
      <c r="B42" s="401">
        <v>333000</v>
      </c>
      <c r="C42" s="401" t="s">
        <v>663</v>
      </c>
      <c r="D42" s="256">
        <v>50133322.426976748</v>
      </c>
      <c r="E42" s="256">
        <v>-20716230.637935605</v>
      </c>
      <c r="F42" s="256">
        <v>-20840817.71671357</v>
      </c>
      <c r="G42" s="479"/>
      <c r="H42" s="256">
        <f t="shared" si="1"/>
        <v>8576274.0723275729</v>
      </c>
      <c r="I42" s="479"/>
      <c r="J42" s="479"/>
      <c r="K42" s="479"/>
      <c r="L42" s="499"/>
      <c r="R42" s="256"/>
      <c r="U42" s="256"/>
    </row>
    <row r="43" spans="1:21" s="401" customFormat="1" x14ac:dyDescent="0.2">
      <c r="B43" s="401">
        <v>334100</v>
      </c>
      <c r="C43" s="401" t="s">
        <v>664</v>
      </c>
      <c r="D43" s="256">
        <v>17509021.40833775</v>
      </c>
      <c r="E43" s="256">
        <v>907141.21447527548</v>
      </c>
      <c r="F43" s="256">
        <v>-849570.91682446178</v>
      </c>
      <c r="G43" s="479"/>
      <c r="H43" s="256">
        <f t="shared" si="1"/>
        <v>17566591.705988564</v>
      </c>
      <c r="I43" s="479"/>
      <c r="J43" s="479"/>
      <c r="K43" s="479"/>
      <c r="L43" s="499"/>
    </row>
    <row r="44" spans="1:21" s="401" customFormat="1" x14ac:dyDescent="0.2">
      <c r="B44" s="401">
        <v>334110</v>
      </c>
      <c r="C44" s="401" t="s">
        <v>665</v>
      </c>
      <c r="D44" s="256">
        <v>2270905.3044444425</v>
      </c>
      <c r="E44" s="256">
        <v>-421478.68621037068</v>
      </c>
      <c r="F44" s="256"/>
      <c r="G44" s="479"/>
      <c r="H44" s="256">
        <f t="shared" si="1"/>
        <v>1849426.6182340719</v>
      </c>
      <c r="I44" s="479"/>
      <c r="J44" s="479"/>
      <c r="K44" s="479"/>
      <c r="L44" s="499"/>
    </row>
    <row r="45" spans="1:21" s="401" customFormat="1" x14ac:dyDescent="0.2">
      <c r="B45" s="401">
        <v>334120</v>
      </c>
      <c r="C45" s="401" t="s">
        <v>666</v>
      </c>
      <c r="D45" s="256">
        <v>242891.55333333323</v>
      </c>
      <c r="E45" s="256">
        <v>342233.75533402804</v>
      </c>
      <c r="F45" s="256"/>
      <c r="G45" s="479"/>
      <c r="H45" s="256">
        <f t="shared" si="1"/>
        <v>585125.30866736127</v>
      </c>
      <c r="I45" s="479"/>
      <c r="J45" s="479"/>
      <c r="K45" s="479"/>
      <c r="L45" s="499"/>
    </row>
    <row r="46" spans="1:21" s="401" customFormat="1" x14ac:dyDescent="0.2">
      <c r="B46" s="401">
        <v>334130</v>
      </c>
      <c r="C46" s="401" t="s">
        <v>667</v>
      </c>
      <c r="D46" s="256">
        <v>6082046.5322222169</v>
      </c>
      <c r="E46" s="256">
        <v>47165.763531990924</v>
      </c>
      <c r="F46" s="256"/>
      <c r="G46" s="479"/>
      <c r="H46" s="256">
        <f t="shared" si="1"/>
        <v>6129212.2957542082</v>
      </c>
      <c r="I46" s="479"/>
      <c r="J46" s="479"/>
      <c r="K46" s="479"/>
      <c r="L46" s="499"/>
      <c r="O46" s="609"/>
    </row>
    <row r="47" spans="1:21" s="401" customFormat="1" x14ac:dyDescent="0.2">
      <c r="B47" s="401">
        <v>334131</v>
      </c>
      <c r="C47" s="401" t="s">
        <v>852</v>
      </c>
      <c r="D47" s="256">
        <v>314140.64999999997</v>
      </c>
      <c r="E47" s="256">
        <v>-50402.961799999997</v>
      </c>
      <c r="F47" s="256"/>
      <c r="G47" s="479"/>
      <c r="H47" s="256">
        <f t="shared" si="1"/>
        <v>263737.68819999998</v>
      </c>
      <c r="I47" s="479"/>
      <c r="J47" s="479"/>
      <c r="K47" s="479"/>
      <c r="L47" s="499"/>
      <c r="O47" s="609"/>
    </row>
    <row r="48" spans="1:21" s="401" customFormat="1" x14ac:dyDescent="0.2">
      <c r="B48" s="401">
        <v>334200</v>
      </c>
      <c r="C48" s="401" t="s">
        <v>529</v>
      </c>
      <c r="D48" s="256">
        <v>18446207.750893954</v>
      </c>
      <c r="E48" s="256">
        <v>-6435091.0121286251</v>
      </c>
      <c r="F48" s="256"/>
      <c r="G48" s="479"/>
      <c r="H48" s="256">
        <f t="shared" si="1"/>
        <v>12011116.738765329</v>
      </c>
      <c r="I48" s="479"/>
      <c r="J48" s="479"/>
      <c r="K48" s="479"/>
      <c r="L48" s="499"/>
      <c r="R48" s="605"/>
      <c r="S48" s="605"/>
      <c r="T48" s="605"/>
    </row>
    <row r="49" spans="1:28" s="401" customFormat="1" x14ac:dyDescent="0.2">
      <c r="B49" s="401">
        <v>334300</v>
      </c>
      <c r="C49" s="401" t="s">
        <v>530</v>
      </c>
      <c r="D49" s="256">
        <v>510582.20564102591</v>
      </c>
      <c r="E49" s="256">
        <v>85563.037120166628</v>
      </c>
      <c r="F49" s="256"/>
      <c r="G49" s="479"/>
      <c r="H49" s="256">
        <f t="shared" si="1"/>
        <v>596145.24276119249</v>
      </c>
      <c r="I49" s="479"/>
      <c r="J49" s="479"/>
      <c r="K49" s="479"/>
      <c r="L49" s="499"/>
      <c r="O49" s="606"/>
      <c r="P49" s="606"/>
      <c r="Q49" s="607"/>
      <c r="R49" s="607"/>
      <c r="S49" s="607"/>
      <c r="T49" s="607"/>
      <c r="U49" s="607"/>
    </row>
    <row r="50" spans="1:28" s="401" customFormat="1" x14ac:dyDescent="0.2">
      <c r="B50" s="401">
        <v>335000</v>
      </c>
      <c r="C50" s="401" t="s">
        <v>531</v>
      </c>
      <c r="D50" s="256">
        <v>14553432.936702345</v>
      </c>
      <c r="E50" s="256">
        <v>-3785678.8742556195</v>
      </c>
      <c r="F50" s="256">
        <v>-1733580.3495530523</v>
      </c>
      <c r="G50" s="479"/>
      <c r="H50" s="256">
        <f t="shared" si="1"/>
        <v>9034173.7128936723</v>
      </c>
      <c r="I50" s="479"/>
      <c r="J50" s="479"/>
      <c r="K50" s="479"/>
      <c r="L50" s="499"/>
      <c r="O50" s="256"/>
      <c r="P50" s="256"/>
      <c r="Q50" s="256"/>
      <c r="W50" s="607"/>
      <c r="X50" s="607"/>
      <c r="Y50" s="607"/>
      <c r="Z50" s="607"/>
      <c r="AA50" s="607"/>
      <c r="AB50" s="607"/>
    </row>
    <row r="51" spans="1:28" s="401" customFormat="1" x14ac:dyDescent="0.2">
      <c r="B51" s="401">
        <v>304500</v>
      </c>
      <c r="C51" s="401" t="s">
        <v>532</v>
      </c>
      <c r="D51" s="256">
        <v>4272344.4093882497</v>
      </c>
      <c r="E51" s="256">
        <v>-364489.0744164596</v>
      </c>
      <c r="G51" s="479"/>
      <c r="H51" s="256">
        <f t="shared" si="1"/>
        <v>3907855.3349717902</v>
      </c>
      <c r="I51" s="479"/>
      <c r="J51" s="479"/>
      <c r="K51" s="500"/>
      <c r="L51" s="499"/>
      <c r="P51" s="608"/>
      <c r="Q51" s="479"/>
      <c r="R51" s="256"/>
      <c r="S51" s="256"/>
      <c r="U51" s="256"/>
      <c r="W51" s="610"/>
      <c r="X51" s="610"/>
      <c r="Y51" s="610"/>
      <c r="Z51" s="611"/>
      <c r="AA51" s="610"/>
      <c r="AB51" s="610"/>
    </row>
    <row r="52" spans="1:28" s="401" customFormat="1" ht="15" x14ac:dyDescent="0.35">
      <c r="B52" s="401">
        <v>304600</v>
      </c>
      <c r="C52" s="401" t="s">
        <v>413</v>
      </c>
      <c r="D52" s="256">
        <v>5754869.8166666673</v>
      </c>
      <c r="E52" s="256">
        <v>-1501208.3257400715</v>
      </c>
      <c r="G52" s="479"/>
      <c r="H52" s="256">
        <f t="shared" si="1"/>
        <v>4253661.4909265954</v>
      </c>
      <c r="I52" s="479"/>
      <c r="J52" s="479"/>
      <c r="K52" s="256"/>
      <c r="P52" s="608"/>
      <c r="Q52" s="479"/>
      <c r="R52" s="256"/>
      <c r="S52" s="256"/>
      <c r="T52" s="256"/>
      <c r="U52" s="256"/>
      <c r="W52" s="612"/>
      <c r="X52" s="612"/>
      <c r="Y52" s="612"/>
      <c r="Z52" s="611"/>
      <c r="AA52" s="612"/>
      <c r="AB52" s="612"/>
    </row>
    <row r="53" spans="1:28" s="401" customFormat="1" x14ac:dyDescent="0.2">
      <c r="B53" s="401">
        <v>304700</v>
      </c>
      <c r="C53" s="401" t="s">
        <v>414</v>
      </c>
      <c r="D53" s="256">
        <v>1786123.5577777789</v>
      </c>
      <c r="E53" s="256">
        <v>-416578.06334896974</v>
      </c>
      <c r="F53" s="256"/>
      <c r="G53" s="479"/>
      <c r="H53" s="256">
        <f t="shared" si="1"/>
        <v>1369545.4944288093</v>
      </c>
      <c r="I53" s="479"/>
      <c r="J53" s="479"/>
      <c r="K53" s="479"/>
      <c r="U53" s="256"/>
      <c r="W53" s="610"/>
      <c r="X53" s="610"/>
      <c r="Y53" s="610"/>
      <c r="AA53" s="610"/>
      <c r="AB53" s="610"/>
    </row>
    <row r="54" spans="1:28" s="401" customFormat="1" x14ac:dyDescent="0.2">
      <c r="B54" s="401">
        <v>304800</v>
      </c>
      <c r="C54" s="401" t="s">
        <v>415</v>
      </c>
      <c r="D54" s="256">
        <v>1652590.6085470095</v>
      </c>
      <c r="E54" s="256">
        <v>-380739.07069532986</v>
      </c>
      <c r="G54" s="479"/>
      <c r="H54" s="256">
        <f t="shared" si="1"/>
        <v>1271851.5378516796</v>
      </c>
    </row>
    <row r="55" spans="1:28" s="401" customFormat="1" x14ac:dyDescent="0.2">
      <c r="B55" s="401">
        <v>340100</v>
      </c>
      <c r="C55" s="401" t="s">
        <v>416</v>
      </c>
      <c r="D55" s="256">
        <v>767891.290485073</v>
      </c>
      <c r="E55" s="256">
        <v>-537144.0088833262</v>
      </c>
      <c r="G55" s="479"/>
      <c r="H55" s="256">
        <f t="shared" si="1"/>
        <v>230747.2816017468</v>
      </c>
    </row>
    <row r="56" spans="1:28" s="401" customFormat="1" x14ac:dyDescent="0.2">
      <c r="B56" s="401">
        <v>340210</v>
      </c>
      <c r="C56" s="401" t="s">
        <v>417</v>
      </c>
      <c r="D56" s="256">
        <v>81973.903333333321</v>
      </c>
      <c r="E56" s="256">
        <v>-82763.618888888886</v>
      </c>
      <c r="G56" s="479"/>
      <c r="H56" s="256">
        <f t="shared" si="1"/>
        <v>-789.71555555556552</v>
      </c>
    </row>
    <row r="57" spans="1:28" s="401" customFormat="1" x14ac:dyDescent="0.2">
      <c r="B57" s="401">
        <v>340220</v>
      </c>
      <c r="C57" s="401" t="s">
        <v>418</v>
      </c>
      <c r="D57" s="256">
        <v>847824.34222222259</v>
      </c>
      <c r="E57" s="256">
        <v>-1006858.5033425906</v>
      </c>
      <c r="G57" s="479"/>
      <c r="H57" s="256">
        <f t="shared" si="1"/>
        <v>-159034.16112036805</v>
      </c>
    </row>
    <row r="58" spans="1:28" s="401" customFormat="1" x14ac:dyDescent="0.2">
      <c r="B58" s="401">
        <v>340230</v>
      </c>
      <c r="C58" s="401" t="s">
        <v>419</v>
      </c>
      <c r="D58" s="256">
        <v>736455.15888888924</v>
      </c>
      <c r="E58" s="256">
        <v>-399253.4996203708</v>
      </c>
      <c r="G58" s="479"/>
      <c r="H58" s="256">
        <f t="shared" si="1"/>
        <v>337201.65926851844</v>
      </c>
    </row>
    <row r="59" spans="1:28" s="401" customFormat="1" x14ac:dyDescent="0.2">
      <c r="B59" s="401">
        <v>340300</v>
      </c>
      <c r="C59" s="401" t="s">
        <v>853</v>
      </c>
      <c r="D59" s="256">
        <v>3586099.8426052015</v>
      </c>
      <c r="E59" s="256">
        <v>-4546239.976642034</v>
      </c>
      <c r="G59" s="479"/>
      <c r="H59" s="256">
        <f t="shared" si="1"/>
        <v>-960140.13403683249</v>
      </c>
    </row>
    <row r="60" spans="1:28" s="401" customFormat="1" x14ac:dyDescent="0.2">
      <c r="B60" s="401">
        <v>340315</v>
      </c>
      <c r="C60" s="401" t="s">
        <v>855</v>
      </c>
      <c r="D60" s="256">
        <v>11545570.234589351</v>
      </c>
      <c r="E60" s="256">
        <v>-1574381.4155579754</v>
      </c>
      <c r="G60" s="479"/>
      <c r="H60" s="256">
        <f t="shared" si="1"/>
        <v>9971188.8190313764</v>
      </c>
    </row>
    <row r="61" spans="1:28" x14ac:dyDescent="0.2">
      <c r="B61">
        <v>340320</v>
      </c>
      <c r="C61" t="s">
        <v>420</v>
      </c>
      <c r="D61" s="145">
        <v>3480.9899999999984</v>
      </c>
      <c r="E61" s="145">
        <v>-262926.93733333366</v>
      </c>
      <c r="H61" s="145">
        <f t="shared" si="1"/>
        <v>-259445.94733333366</v>
      </c>
      <c r="L61" s="401"/>
      <c r="M61" s="401"/>
      <c r="N61" s="401"/>
      <c r="O61" s="401"/>
      <c r="P61" s="401"/>
      <c r="Q61" s="401"/>
      <c r="R61" s="401"/>
      <c r="S61" s="401"/>
      <c r="T61" s="401"/>
      <c r="U61" s="401"/>
      <c r="V61" s="401"/>
      <c r="W61" s="401"/>
      <c r="X61" s="401"/>
      <c r="Y61" s="401"/>
      <c r="Z61" s="401"/>
      <c r="AA61" s="401"/>
      <c r="AB61" s="401"/>
    </row>
    <row r="62" spans="1:28" s="498" customFormat="1" x14ac:dyDescent="0.2">
      <c r="A62" s="519"/>
      <c r="B62" s="498">
        <v>340325</v>
      </c>
      <c r="C62" s="498" t="s">
        <v>854</v>
      </c>
      <c r="D62" s="145">
        <v>700218.11999999988</v>
      </c>
      <c r="E62" s="145">
        <v>-520452.69200000033</v>
      </c>
      <c r="G62" s="212"/>
      <c r="H62" s="145">
        <f t="shared" si="1"/>
        <v>179765.42799999955</v>
      </c>
      <c r="L62" s="401"/>
      <c r="M62" s="401"/>
      <c r="N62" s="401"/>
      <c r="O62" s="401"/>
      <c r="P62" s="401"/>
      <c r="Q62" s="401"/>
      <c r="R62" s="401"/>
      <c r="S62" s="401"/>
      <c r="T62" s="401"/>
      <c r="U62" s="401"/>
      <c r="V62" s="401"/>
      <c r="W62" s="401"/>
      <c r="X62" s="401"/>
      <c r="Y62" s="401"/>
      <c r="Z62" s="401"/>
      <c r="AA62" s="401"/>
      <c r="AB62" s="401"/>
    </row>
    <row r="63" spans="1:28" x14ac:dyDescent="0.2">
      <c r="B63">
        <v>340330</v>
      </c>
      <c r="C63" t="s">
        <v>421</v>
      </c>
      <c r="D63" s="145">
        <v>765081.17999999982</v>
      </c>
      <c r="E63" s="145">
        <v>-739774.80799999915</v>
      </c>
      <c r="H63" s="145">
        <f t="shared" si="1"/>
        <v>25306.372000000672</v>
      </c>
      <c r="L63" s="401"/>
      <c r="M63" s="401"/>
      <c r="N63" s="401"/>
      <c r="O63" s="401"/>
      <c r="P63" s="401"/>
      <c r="Q63" s="401"/>
      <c r="R63" s="401"/>
      <c r="S63" s="401"/>
      <c r="T63" s="401"/>
      <c r="U63" s="401"/>
      <c r="V63" s="401"/>
      <c r="W63" s="401"/>
      <c r="X63" s="401"/>
      <c r="Y63" s="401"/>
      <c r="Z63" s="401"/>
      <c r="AA63" s="401"/>
      <c r="AB63" s="401"/>
    </row>
    <row r="64" spans="1:28" x14ac:dyDescent="0.2">
      <c r="B64">
        <v>340500</v>
      </c>
      <c r="C64" t="s">
        <v>422</v>
      </c>
      <c r="D64" s="145">
        <v>65686.09333333328</v>
      </c>
      <c r="E64" s="145">
        <v>-64317.163162673554</v>
      </c>
      <c r="H64" s="145">
        <f t="shared" si="1"/>
        <v>1368.9301706597253</v>
      </c>
      <c r="L64" s="401"/>
      <c r="M64" s="401"/>
      <c r="N64" s="401"/>
      <c r="O64" s="401"/>
      <c r="P64" s="401"/>
      <c r="Q64" s="401"/>
      <c r="R64" s="401"/>
      <c r="S64" s="401"/>
      <c r="T64" s="401"/>
      <c r="U64" s="401"/>
      <c r="V64" s="401"/>
      <c r="W64" s="401"/>
      <c r="X64" s="401"/>
      <c r="Y64" s="401"/>
      <c r="Z64" s="401"/>
      <c r="AA64" s="401"/>
      <c r="AB64" s="401"/>
    </row>
    <row r="65" spans="2:28" x14ac:dyDescent="0.2">
      <c r="B65">
        <v>341100</v>
      </c>
      <c r="C65" t="s">
        <v>423</v>
      </c>
      <c r="D65" s="145">
        <v>1959641.1394169775</v>
      </c>
      <c r="E65" s="145">
        <v>-847663.64991076232</v>
      </c>
      <c r="F65" s="328"/>
      <c r="H65" s="145">
        <f t="shared" si="1"/>
        <v>1111977.4895062153</v>
      </c>
      <c r="L65" s="401"/>
      <c r="M65" s="401"/>
      <c r="N65" s="401"/>
      <c r="O65" s="401"/>
      <c r="P65" s="401"/>
      <c r="Q65" s="401"/>
      <c r="R65" s="401"/>
      <c r="S65" s="401"/>
      <c r="T65" s="401"/>
      <c r="U65" s="401"/>
      <c r="V65" s="401"/>
      <c r="W65" s="401"/>
      <c r="X65" s="401"/>
      <c r="Y65" s="401"/>
      <c r="Z65" s="401"/>
      <c r="AA65" s="401"/>
      <c r="AB65" s="401"/>
    </row>
    <row r="66" spans="2:28" x14ac:dyDescent="0.2">
      <c r="B66">
        <v>341200</v>
      </c>
      <c r="C66" t="s">
        <v>424</v>
      </c>
      <c r="D66" s="145">
        <v>1891615.8188555564</v>
      </c>
      <c r="E66" s="145">
        <v>-686502.37259296328</v>
      </c>
      <c r="H66" s="145">
        <f t="shared" si="1"/>
        <v>1205113.4462625931</v>
      </c>
      <c r="L66" s="401"/>
      <c r="M66" s="401"/>
      <c r="N66" s="401"/>
      <c r="O66" s="401"/>
      <c r="P66" s="401"/>
      <c r="Q66" s="401"/>
      <c r="R66" s="401"/>
      <c r="S66" s="401"/>
      <c r="T66" s="401"/>
      <c r="U66" s="401"/>
      <c r="V66" s="401"/>
      <c r="W66" s="401"/>
      <c r="X66" s="401"/>
      <c r="Y66" s="401"/>
      <c r="Z66" s="401"/>
      <c r="AA66" s="401"/>
      <c r="AB66" s="401"/>
    </row>
    <row r="67" spans="2:28" x14ac:dyDescent="0.2">
      <c r="B67">
        <v>341300</v>
      </c>
      <c r="C67" t="s">
        <v>425</v>
      </c>
      <c r="D67" s="145">
        <v>332674.06977501564</v>
      </c>
      <c r="E67" s="145">
        <v>-194805.1465932423</v>
      </c>
      <c r="H67" s="145">
        <f t="shared" si="1"/>
        <v>137868.92318177334</v>
      </c>
      <c r="L67" s="401"/>
      <c r="M67" s="401"/>
      <c r="N67" s="401"/>
      <c r="O67" s="401"/>
      <c r="P67" s="401"/>
      <c r="Q67" s="401"/>
      <c r="R67" s="401"/>
      <c r="S67" s="401"/>
      <c r="T67" s="401"/>
      <c r="U67" s="401"/>
      <c r="V67" s="401"/>
      <c r="W67" s="401"/>
      <c r="X67" s="401"/>
      <c r="Y67" s="401"/>
      <c r="Z67" s="401"/>
      <c r="AA67" s="401"/>
      <c r="AB67" s="401"/>
    </row>
    <row r="68" spans="2:28" x14ac:dyDescent="0.2">
      <c r="B68">
        <v>341400</v>
      </c>
      <c r="C68" t="s">
        <v>426</v>
      </c>
      <c r="D68" s="145">
        <v>581428.68444444414</v>
      </c>
      <c r="E68" s="145">
        <v>-219147.21396512253</v>
      </c>
      <c r="H68" s="145">
        <f t="shared" si="1"/>
        <v>362281.47047932161</v>
      </c>
      <c r="L68" s="401"/>
      <c r="M68" s="401"/>
      <c r="N68" s="401"/>
      <c r="O68" s="401"/>
      <c r="P68" s="401"/>
      <c r="Q68" s="401"/>
      <c r="R68" s="401"/>
      <c r="S68" s="401"/>
      <c r="T68" s="401"/>
      <c r="U68" s="401"/>
      <c r="V68" s="401"/>
      <c r="W68" s="401"/>
      <c r="X68" s="401"/>
      <c r="Y68" s="401"/>
      <c r="Z68" s="401"/>
      <c r="AA68" s="401"/>
      <c r="AB68" s="401"/>
    </row>
    <row r="69" spans="2:28" x14ac:dyDescent="0.2">
      <c r="B69">
        <v>342000</v>
      </c>
      <c r="C69" t="s">
        <v>427</v>
      </c>
      <c r="D69" s="145">
        <v>37494.295555555502</v>
      </c>
      <c r="E69" s="145">
        <v>-35009.196804629581</v>
      </c>
      <c r="H69" s="145">
        <f t="shared" si="1"/>
        <v>2485.0987509259212</v>
      </c>
      <c r="L69" s="401"/>
      <c r="M69" s="401"/>
      <c r="N69" s="401"/>
      <c r="O69" s="401"/>
      <c r="P69" s="401"/>
      <c r="Q69" s="401"/>
      <c r="R69" s="401"/>
      <c r="S69" s="401"/>
      <c r="T69" s="401"/>
      <c r="U69" s="401"/>
      <c r="V69" s="401"/>
      <c r="W69" s="401"/>
      <c r="X69" s="401"/>
      <c r="Y69" s="401"/>
      <c r="Z69" s="401"/>
      <c r="AA69" s="401"/>
      <c r="AB69" s="401"/>
    </row>
    <row r="70" spans="2:28" x14ac:dyDescent="0.2">
      <c r="B70">
        <v>343000</v>
      </c>
      <c r="C70" t="s">
        <v>428</v>
      </c>
      <c r="D70" s="145">
        <v>2635323.3567521349</v>
      </c>
      <c r="E70" s="145">
        <v>-1203412.486402761</v>
      </c>
      <c r="H70" s="145">
        <f t="shared" si="1"/>
        <v>1431910.8703493739</v>
      </c>
      <c r="L70" s="401"/>
      <c r="M70" s="401"/>
      <c r="N70" s="401"/>
      <c r="O70" s="401"/>
      <c r="P70" s="401"/>
      <c r="Q70" s="401"/>
      <c r="R70" s="401"/>
      <c r="S70" s="401"/>
      <c r="T70" s="401"/>
      <c r="U70" s="401"/>
      <c r="V70" s="401"/>
      <c r="W70" s="401"/>
      <c r="X70" s="401"/>
      <c r="Y70" s="401"/>
      <c r="Z70" s="401"/>
      <c r="AA70" s="401"/>
      <c r="AB70" s="401"/>
    </row>
    <row r="71" spans="2:28" x14ac:dyDescent="0.2">
      <c r="B71">
        <v>344000</v>
      </c>
      <c r="C71" t="s">
        <v>429</v>
      </c>
      <c r="D71" s="145">
        <v>1265249.865617123</v>
      </c>
      <c r="E71" s="145">
        <v>-746019.32015382324</v>
      </c>
      <c r="H71" s="145">
        <f t="shared" si="1"/>
        <v>519230.54546329973</v>
      </c>
      <c r="L71" s="401"/>
      <c r="M71" s="401"/>
      <c r="N71" s="401"/>
      <c r="O71" s="401"/>
      <c r="P71" s="401"/>
      <c r="Q71" s="401"/>
      <c r="R71" s="401"/>
      <c r="S71" s="401"/>
      <c r="T71" s="401"/>
      <c r="U71" s="401"/>
      <c r="V71" s="401"/>
      <c r="W71" s="401"/>
      <c r="X71" s="401"/>
      <c r="Y71" s="401"/>
      <c r="Z71" s="401"/>
      <c r="AA71" s="401"/>
      <c r="AB71" s="401"/>
    </row>
    <row r="72" spans="2:28" x14ac:dyDescent="0.2">
      <c r="B72">
        <v>345000</v>
      </c>
      <c r="C72" t="s">
        <v>430</v>
      </c>
      <c r="D72" s="145">
        <v>1440949.9752136758</v>
      </c>
      <c r="E72" s="145">
        <v>-932292.082241775</v>
      </c>
      <c r="H72" s="145">
        <f t="shared" si="1"/>
        <v>508657.89297190076</v>
      </c>
      <c r="L72" s="401"/>
      <c r="M72" s="401"/>
      <c r="N72" s="401"/>
      <c r="O72" s="401"/>
      <c r="P72" s="401"/>
      <c r="Q72" s="401"/>
      <c r="R72" s="401"/>
      <c r="S72" s="401"/>
      <c r="T72" s="401"/>
      <c r="U72" s="401"/>
      <c r="V72" s="401"/>
      <c r="W72" s="401"/>
      <c r="X72" s="401"/>
      <c r="Y72" s="401"/>
      <c r="Z72" s="401"/>
      <c r="AA72" s="401"/>
      <c r="AB72" s="401"/>
    </row>
    <row r="73" spans="2:28" x14ac:dyDescent="0.2">
      <c r="B73">
        <v>346100</v>
      </c>
      <c r="C73" t="s">
        <v>431</v>
      </c>
      <c r="D73" s="145">
        <v>1805032.8279933019</v>
      </c>
      <c r="E73" s="145">
        <v>-1384448.875385412</v>
      </c>
      <c r="H73" s="145">
        <f t="shared" si="1"/>
        <v>420583.95260788989</v>
      </c>
      <c r="L73" s="401"/>
      <c r="M73" s="401"/>
      <c r="N73" s="401"/>
      <c r="O73" s="401"/>
      <c r="P73" s="401"/>
      <c r="Q73" s="401"/>
      <c r="R73" s="401"/>
      <c r="S73" s="401"/>
      <c r="T73" s="401"/>
      <c r="U73" s="401"/>
      <c r="V73" s="401"/>
      <c r="W73" s="401"/>
      <c r="X73" s="401"/>
      <c r="Y73" s="401"/>
      <c r="Z73" s="401"/>
      <c r="AA73" s="401"/>
      <c r="AB73" s="401"/>
    </row>
    <row r="74" spans="2:28" x14ac:dyDescent="0.2">
      <c r="B74">
        <v>346190</v>
      </c>
      <c r="C74" t="s">
        <v>547</v>
      </c>
      <c r="D74" s="145">
        <v>3427142.150856643</v>
      </c>
      <c r="E74" s="145">
        <v>-308826.48337473103</v>
      </c>
      <c r="H74" s="145">
        <f t="shared" si="1"/>
        <v>3118315.6674819118</v>
      </c>
      <c r="L74" s="401"/>
      <c r="M74" s="401"/>
      <c r="N74" s="401"/>
      <c r="O74" s="401"/>
      <c r="P74" s="401"/>
      <c r="Q74" s="401"/>
      <c r="R74" s="401"/>
      <c r="S74" s="401"/>
      <c r="T74" s="401"/>
      <c r="U74" s="401"/>
      <c r="V74" s="401"/>
      <c r="W74" s="401"/>
      <c r="X74" s="401"/>
      <c r="Y74" s="401"/>
      <c r="Z74" s="401"/>
      <c r="AA74" s="401"/>
      <c r="AB74" s="401"/>
    </row>
    <row r="75" spans="2:28" x14ac:dyDescent="0.2">
      <c r="B75">
        <v>346200</v>
      </c>
      <c r="C75" t="s">
        <v>548</v>
      </c>
      <c r="D75" s="145">
        <v>283748.77</v>
      </c>
      <c r="E75" s="145">
        <v>-92993.313945333401</v>
      </c>
      <c r="H75" s="145">
        <f t="shared" si="1"/>
        <v>190755.4560546666</v>
      </c>
      <c r="L75" s="401"/>
      <c r="M75" s="401"/>
      <c r="N75" s="401"/>
      <c r="O75" s="401"/>
      <c r="P75" s="401"/>
      <c r="Q75" s="401"/>
      <c r="R75" s="401"/>
      <c r="S75" s="401"/>
      <c r="T75" s="401"/>
      <c r="U75" s="401"/>
      <c r="V75" s="401"/>
      <c r="W75" s="401"/>
      <c r="X75" s="401"/>
      <c r="Y75" s="401"/>
      <c r="Z75" s="401"/>
      <c r="AA75" s="401"/>
      <c r="AB75" s="401"/>
    </row>
    <row r="76" spans="2:28" x14ac:dyDescent="0.2">
      <c r="B76">
        <v>347000</v>
      </c>
      <c r="C76" t="s">
        <v>549</v>
      </c>
      <c r="D76" s="145">
        <v>1520140.7242681126</v>
      </c>
      <c r="E76" s="145">
        <v>-686262.21212780895</v>
      </c>
      <c r="H76" s="145">
        <f t="shared" si="1"/>
        <v>833878.51214030362</v>
      </c>
      <c r="L76" s="401"/>
      <c r="M76" s="401"/>
      <c r="N76" s="401"/>
      <c r="O76" s="401"/>
      <c r="P76" s="401"/>
      <c r="Q76" s="401"/>
      <c r="R76" s="401"/>
      <c r="S76" s="401"/>
      <c r="T76" s="401"/>
      <c r="U76" s="401"/>
      <c r="V76" s="401"/>
      <c r="W76" s="401"/>
      <c r="X76" s="401"/>
      <c r="Y76" s="401"/>
      <c r="Z76" s="401"/>
      <c r="AA76" s="401"/>
      <c r="AB76" s="401"/>
    </row>
    <row r="77" spans="2:28" x14ac:dyDescent="0.2">
      <c r="B77">
        <v>348000</v>
      </c>
      <c r="C77" t="s">
        <v>550</v>
      </c>
      <c r="D77" s="145">
        <v>377207.33915651939</v>
      </c>
      <c r="E77" s="145">
        <v>-218958.48032062419</v>
      </c>
      <c r="H77" s="145">
        <f>+D77+E77+F77+G77+E78</f>
        <v>161416.6788358952</v>
      </c>
      <c r="L77" s="401"/>
      <c r="M77" s="401"/>
      <c r="N77" s="401"/>
      <c r="O77" s="401"/>
      <c r="P77" s="401"/>
      <c r="Q77" s="401"/>
      <c r="R77" s="401"/>
      <c r="S77" s="401"/>
      <c r="T77" s="401"/>
      <c r="U77" s="401"/>
      <c r="V77" s="401"/>
      <c r="W77" s="401"/>
      <c r="X77" s="401"/>
      <c r="Y77" s="401"/>
      <c r="Z77" s="401"/>
      <c r="AA77" s="401"/>
      <c r="AB77" s="401"/>
    </row>
    <row r="78" spans="2:28" s="401" customFormat="1" x14ac:dyDescent="0.2">
      <c r="B78" s="401">
        <v>354200</v>
      </c>
      <c r="C78" s="401" t="s">
        <v>859</v>
      </c>
      <c r="D78" s="531"/>
      <c r="E78" s="531">
        <v>3167.82</v>
      </c>
      <c r="F78" s="531"/>
      <c r="G78" s="532"/>
      <c r="H78" s="533">
        <f>+(D78+E78+F78+G78)*0</f>
        <v>0</v>
      </c>
    </row>
    <row r="79" spans="2:28" x14ac:dyDescent="0.2">
      <c r="D79" s="212">
        <f>SUM(D5:D78)</f>
        <v>627540378.35148668</v>
      </c>
      <c r="E79" s="212">
        <f>SUM(E5:E78)</f>
        <v>-136601886.40138403</v>
      </c>
      <c r="F79" s="479">
        <f>SUM(F5:F78)</f>
        <v>-52238690.188391939</v>
      </c>
      <c r="G79" s="212">
        <f>SUM(G5:G78)</f>
        <v>-13997842.758461539</v>
      </c>
      <c r="H79" s="212">
        <f>SUM(H5:H78)</f>
        <v>424701959.00324929</v>
      </c>
      <c r="L79" s="401"/>
      <c r="M79" s="401"/>
      <c r="N79" s="401"/>
      <c r="O79" s="401"/>
      <c r="P79" s="401"/>
      <c r="Q79" s="401"/>
      <c r="R79" s="401"/>
      <c r="S79" s="401"/>
      <c r="T79" s="401"/>
      <c r="U79" s="401"/>
      <c r="V79" s="401"/>
      <c r="W79" s="401"/>
      <c r="X79" s="401"/>
      <c r="Y79" s="401"/>
      <c r="Z79" s="401"/>
      <c r="AA79" s="401"/>
      <c r="AB79" s="401"/>
    </row>
    <row r="80" spans="2:28" x14ac:dyDescent="0.2">
      <c r="D80" s="145"/>
      <c r="E80" s="145"/>
      <c r="F80" s="256"/>
      <c r="H80" s="328"/>
      <c r="L80" s="401"/>
      <c r="M80" s="401"/>
      <c r="N80" s="401"/>
      <c r="O80" s="401"/>
      <c r="P80" s="401"/>
      <c r="Q80" s="401"/>
      <c r="R80" s="401"/>
      <c r="S80" s="401"/>
      <c r="T80" s="401"/>
      <c r="U80" s="401"/>
      <c r="V80" s="401"/>
      <c r="W80" s="401"/>
      <c r="X80" s="401"/>
      <c r="Y80" s="401"/>
      <c r="Z80" s="401"/>
      <c r="AA80" s="401"/>
      <c r="AB80" s="401"/>
    </row>
    <row r="81" spans="5:28" x14ac:dyDescent="0.2">
      <c r="E81" s="212"/>
      <c r="F81" s="479"/>
      <c r="H81" s="328"/>
      <c r="L81" s="401"/>
      <c r="M81" s="401"/>
      <c r="N81" s="401"/>
      <c r="O81" s="401"/>
      <c r="P81" s="401"/>
      <c r="Q81" s="401"/>
      <c r="R81" s="401"/>
      <c r="S81" s="401"/>
      <c r="T81" s="401"/>
      <c r="U81" s="401"/>
      <c r="V81" s="401"/>
      <c r="W81" s="401"/>
      <c r="X81" s="401"/>
      <c r="Y81" s="401"/>
      <c r="Z81" s="401"/>
      <c r="AA81" s="401"/>
      <c r="AB81" s="401"/>
    </row>
    <row r="82" spans="5:28" x14ac:dyDescent="0.2">
      <c r="E82" s="328"/>
      <c r="F82" s="401"/>
      <c r="H82" s="212"/>
      <c r="L82" s="401"/>
      <c r="M82" s="401"/>
      <c r="N82" s="401"/>
      <c r="O82" s="401"/>
      <c r="P82" s="401"/>
      <c r="Q82" s="401"/>
      <c r="R82" s="401"/>
      <c r="S82" s="401"/>
      <c r="T82" s="401"/>
      <c r="U82" s="401"/>
      <c r="V82" s="401"/>
      <c r="W82" s="401"/>
      <c r="X82" s="401"/>
      <c r="Y82" s="401"/>
      <c r="Z82" s="401"/>
      <c r="AA82" s="401"/>
      <c r="AB82" s="401"/>
    </row>
    <row r="83" spans="5:28" x14ac:dyDescent="0.2">
      <c r="L83" s="401"/>
      <c r="M83" s="401"/>
      <c r="N83" s="401"/>
      <c r="O83" s="401"/>
      <c r="P83" s="401"/>
      <c r="Q83" s="401"/>
      <c r="R83" s="401"/>
      <c r="S83" s="401"/>
      <c r="T83" s="401"/>
      <c r="U83" s="401"/>
      <c r="V83" s="401"/>
      <c r="W83" s="401"/>
      <c r="X83" s="401"/>
      <c r="Y83" s="401"/>
      <c r="Z83" s="401"/>
      <c r="AA83" s="401"/>
      <c r="AB83" s="401"/>
    </row>
    <row r="84" spans="5:28" x14ac:dyDescent="0.2">
      <c r="F84" s="521"/>
      <c r="H84" s="145"/>
      <c r="L84" s="401"/>
      <c r="M84" s="401"/>
      <c r="N84" s="401"/>
      <c r="O84" s="401"/>
      <c r="P84" s="401"/>
      <c r="Q84" s="401"/>
      <c r="R84" s="401"/>
      <c r="S84" s="401"/>
      <c r="T84" s="401"/>
      <c r="U84" s="401"/>
      <c r="V84" s="401"/>
      <c r="W84" s="401"/>
      <c r="X84" s="401"/>
      <c r="Y84" s="401"/>
      <c r="Z84" s="401"/>
      <c r="AA84" s="401"/>
      <c r="AB84" s="401"/>
    </row>
    <row r="85" spans="5:28" x14ac:dyDescent="0.2">
      <c r="F85" s="328"/>
      <c r="H85" s="145"/>
      <c r="L85" s="401"/>
      <c r="M85" s="401"/>
      <c r="N85" s="401"/>
      <c r="O85" s="401"/>
      <c r="P85" s="401"/>
      <c r="Q85" s="401"/>
      <c r="R85" s="401"/>
      <c r="S85" s="401"/>
      <c r="T85" s="401"/>
      <c r="U85" s="401"/>
      <c r="V85" s="401"/>
      <c r="W85" s="401"/>
      <c r="X85" s="401"/>
      <c r="Y85" s="401"/>
      <c r="Z85" s="401"/>
      <c r="AA85" s="401"/>
      <c r="AB85" s="401"/>
    </row>
    <row r="88" spans="5:28" x14ac:dyDescent="0.2">
      <c r="F88" s="145"/>
    </row>
    <row r="89" spans="5:28" x14ac:dyDescent="0.2">
      <c r="F89" s="407"/>
    </row>
  </sheetData>
  <phoneticPr fontId="1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63"/>
  <sheetViews>
    <sheetView workbookViewId="0">
      <selection activeCell="E59" sqref="E59"/>
    </sheetView>
  </sheetViews>
  <sheetFormatPr defaultColWidth="8.6640625" defaultRowHeight="12.75" x14ac:dyDescent="0.2"/>
  <cols>
    <col min="3" max="4" width="3.88671875" customWidth="1"/>
    <col min="6" max="6" width="22.6640625" customWidth="1"/>
    <col min="7" max="7" width="17.6640625" customWidth="1"/>
    <col min="8" max="8" width="5.88671875" customWidth="1"/>
    <col min="9" max="9" width="10.33203125" customWidth="1"/>
    <col min="10" max="10" width="3.88671875" customWidth="1"/>
    <col min="11" max="11" width="19.33203125" customWidth="1"/>
    <col min="12" max="12" width="6" customWidth="1"/>
  </cols>
  <sheetData>
    <row r="4" spans="3:13" ht="15" x14ac:dyDescent="0.2">
      <c r="C4" s="680" t="s">
        <v>371</v>
      </c>
      <c r="D4" s="680"/>
      <c r="E4" s="680"/>
      <c r="F4" s="680"/>
      <c r="G4" s="680"/>
      <c r="H4" s="680"/>
      <c r="I4" s="680"/>
      <c r="J4" s="680"/>
      <c r="K4" s="680"/>
    </row>
    <row r="5" spans="3:13" ht="15" x14ac:dyDescent="0.2">
      <c r="C5" s="353"/>
      <c r="D5" s="353"/>
      <c r="E5" s="353"/>
      <c r="F5" s="353"/>
      <c r="G5" s="353"/>
      <c r="H5" s="353"/>
      <c r="I5" s="298"/>
      <c r="J5" s="353"/>
      <c r="K5" s="353"/>
      <c r="M5" s="219"/>
    </row>
    <row r="6" spans="3:13" ht="15" x14ac:dyDescent="0.2">
      <c r="C6" s="680" t="s">
        <v>65</v>
      </c>
      <c r="D6" s="680"/>
      <c r="E6" s="680"/>
      <c r="F6" s="680"/>
      <c r="G6" s="680"/>
      <c r="H6" s="680"/>
      <c r="I6" s="680"/>
      <c r="J6" s="680"/>
      <c r="K6" s="680"/>
    </row>
    <row r="7" spans="3:13" ht="15" x14ac:dyDescent="0.2">
      <c r="C7" s="353"/>
      <c r="D7" s="353"/>
      <c r="E7" s="353"/>
      <c r="F7" s="353"/>
      <c r="G7" s="353"/>
      <c r="H7" s="353"/>
      <c r="I7" s="298"/>
      <c r="J7" s="353"/>
      <c r="K7" s="353"/>
      <c r="M7" s="444"/>
    </row>
    <row r="8" spans="3:13" ht="15" x14ac:dyDescent="0.2">
      <c r="C8" s="353"/>
      <c r="D8" s="353"/>
      <c r="E8" s="219"/>
      <c r="F8" s="353"/>
      <c r="G8" s="353"/>
      <c r="H8" s="353"/>
      <c r="I8" s="298"/>
      <c r="J8" s="353"/>
      <c r="K8" s="353"/>
    </row>
    <row r="9" spans="3:13" ht="15" x14ac:dyDescent="0.2">
      <c r="C9" s="679" t="s">
        <v>66</v>
      </c>
      <c r="D9" s="679"/>
      <c r="E9" s="679"/>
      <c r="F9" s="352"/>
      <c r="G9" s="354" t="s">
        <v>67</v>
      </c>
      <c r="H9" s="352"/>
      <c r="I9" s="355" t="s">
        <v>239</v>
      </c>
      <c r="J9" s="352"/>
      <c r="K9" s="354" t="s">
        <v>68</v>
      </c>
      <c r="M9" s="219"/>
    </row>
    <row r="10" spans="3:13" ht="15" x14ac:dyDescent="0.2">
      <c r="C10" s="356"/>
      <c r="D10" s="356"/>
      <c r="E10" s="356"/>
      <c r="F10" s="352"/>
      <c r="G10" s="356"/>
      <c r="H10" s="352"/>
      <c r="I10" s="357"/>
      <c r="J10" s="352"/>
      <c r="K10" s="356"/>
    </row>
    <row r="11" spans="3:13" ht="15" x14ac:dyDescent="0.2">
      <c r="C11" s="358" t="s">
        <v>69</v>
      </c>
      <c r="D11" s="353"/>
      <c r="E11" s="353"/>
      <c r="F11" s="353"/>
      <c r="G11" s="353"/>
      <c r="H11" s="353"/>
      <c r="I11" s="298"/>
      <c r="J11" s="353"/>
      <c r="K11" s="353"/>
    </row>
    <row r="12" spans="3:13" ht="15" x14ac:dyDescent="0.2">
      <c r="C12" s="353"/>
      <c r="D12" s="353" t="s">
        <v>70</v>
      </c>
      <c r="E12" s="353"/>
      <c r="F12" s="353"/>
      <c r="G12" s="353"/>
      <c r="H12" s="353"/>
      <c r="I12" s="298"/>
      <c r="J12" s="353"/>
      <c r="K12" s="353"/>
    </row>
    <row r="13" spans="3:13" ht="15" x14ac:dyDescent="0.2">
      <c r="C13" s="353"/>
      <c r="D13" s="353"/>
      <c r="E13" s="353" t="s">
        <v>71</v>
      </c>
      <c r="F13" s="353"/>
      <c r="G13" s="353" t="s">
        <v>72</v>
      </c>
      <c r="H13" s="353"/>
      <c r="I13" s="298">
        <v>1250</v>
      </c>
      <c r="J13" s="353"/>
      <c r="K13" s="353" t="s">
        <v>267</v>
      </c>
    </row>
    <row r="14" spans="3:13" ht="15" x14ac:dyDescent="0.2">
      <c r="C14" s="353"/>
      <c r="D14" s="353"/>
      <c r="E14" s="353" t="s">
        <v>73</v>
      </c>
      <c r="F14" s="353"/>
      <c r="G14" s="353" t="s">
        <v>72</v>
      </c>
      <c r="H14" s="353"/>
      <c r="I14" s="298">
        <v>1250</v>
      </c>
      <c r="J14" s="353"/>
      <c r="K14" s="353" t="s">
        <v>267</v>
      </c>
    </row>
    <row r="15" spans="3:13" ht="15" x14ac:dyDescent="0.2">
      <c r="C15" s="353"/>
      <c r="D15" s="353"/>
      <c r="E15" s="353" t="s">
        <v>74</v>
      </c>
      <c r="F15" s="353"/>
      <c r="G15" s="353" t="s">
        <v>72</v>
      </c>
      <c r="H15" s="353"/>
      <c r="I15" s="298">
        <v>1250</v>
      </c>
      <c r="J15" s="353"/>
      <c r="K15" s="353" t="s">
        <v>267</v>
      </c>
    </row>
    <row r="16" spans="3:13" ht="15" x14ac:dyDescent="0.2">
      <c r="C16" s="353"/>
      <c r="D16" s="353"/>
      <c r="E16" s="353" t="s">
        <v>192</v>
      </c>
      <c r="F16" s="353"/>
      <c r="G16" s="353" t="s">
        <v>72</v>
      </c>
      <c r="H16" s="353"/>
      <c r="I16" s="298">
        <v>1250</v>
      </c>
      <c r="J16" s="353"/>
      <c r="K16" s="353" t="s">
        <v>267</v>
      </c>
    </row>
    <row r="17" spans="3:11" ht="15" x14ac:dyDescent="0.2">
      <c r="C17" s="353"/>
      <c r="D17" s="353"/>
      <c r="E17" s="353" t="s">
        <v>193</v>
      </c>
      <c r="F17" s="353"/>
      <c r="G17" s="353" t="s">
        <v>72</v>
      </c>
      <c r="H17" s="460"/>
      <c r="I17" s="298">
        <v>1250</v>
      </c>
      <c r="J17" s="353"/>
      <c r="K17" s="353" t="s">
        <v>267</v>
      </c>
    </row>
    <row r="18" spans="3:11" ht="15" x14ac:dyDescent="0.2">
      <c r="C18" s="353"/>
      <c r="D18" s="353"/>
      <c r="E18" s="353" t="s">
        <v>194</v>
      </c>
      <c r="F18" s="353"/>
      <c r="G18" s="353" t="s">
        <v>72</v>
      </c>
      <c r="H18" s="460"/>
      <c r="I18" s="298">
        <v>1250</v>
      </c>
      <c r="J18" s="353"/>
      <c r="K18" s="353" t="s">
        <v>267</v>
      </c>
    </row>
    <row r="19" spans="3:11" ht="15" x14ac:dyDescent="0.2">
      <c r="C19" s="353"/>
      <c r="D19" s="353" t="s">
        <v>195</v>
      </c>
      <c r="E19" s="353"/>
      <c r="F19" s="353"/>
      <c r="G19" s="353"/>
      <c r="H19" s="353"/>
      <c r="I19" s="298"/>
      <c r="J19" s="353"/>
      <c r="K19" s="353"/>
    </row>
    <row r="20" spans="3:11" ht="15" x14ac:dyDescent="0.2">
      <c r="C20" s="353"/>
      <c r="D20" s="353"/>
      <c r="E20" s="353" t="s">
        <v>196</v>
      </c>
      <c r="F20" s="353"/>
      <c r="G20" s="353" t="s">
        <v>195</v>
      </c>
      <c r="H20" s="353"/>
      <c r="I20" s="298">
        <v>1000</v>
      </c>
      <c r="J20" s="353"/>
      <c r="K20" s="353" t="s">
        <v>267</v>
      </c>
    </row>
    <row r="21" spans="3:11" ht="15" x14ac:dyDescent="0.2">
      <c r="C21" s="353"/>
      <c r="D21" s="353"/>
      <c r="E21" s="353" t="s">
        <v>197</v>
      </c>
      <c r="F21" s="353"/>
      <c r="G21" s="353" t="s">
        <v>195</v>
      </c>
      <c r="H21" s="353"/>
      <c r="I21" s="298">
        <v>1000</v>
      </c>
      <c r="J21" s="353"/>
      <c r="K21" s="353" t="s">
        <v>267</v>
      </c>
    </row>
    <row r="22" spans="3:11" ht="15" x14ac:dyDescent="0.2">
      <c r="C22" s="353"/>
      <c r="D22" s="353" t="s">
        <v>198</v>
      </c>
      <c r="E22" s="353"/>
      <c r="F22" s="353"/>
      <c r="G22" s="353" t="s">
        <v>199</v>
      </c>
      <c r="H22" s="353"/>
      <c r="I22" s="359"/>
      <c r="J22" s="353"/>
      <c r="K22" s="353" t="s">
        <v>267</v>
      </c>
    </row>
    <row r="23" spans="3:11" ht="15" x14ac:dyDescent="0.2">
      <c r="C23" s="353"/>
      <c r="D23" s="353" t="s">
        <v>198</v>
      </c>
      <c r="E23" s="353"/>
      <c r="F23" s="353"/>
      <c r="G23" s="353" t="s">
        <v>200</v>
      </c>
      <c r="H23" s="353"/>
      <c r="I23" s="359"/>
      <c r="J23" s="353"/>
      <c r="K23" s="353" t="s">
        <v>267</v>
      </c>
    </row>
    <row r="24" spans="3:11" ht="15" x14ac:dyDescent="0.2">
      <c r="C24" s="353"/>
      <c r="D24" s="353" t="s">
        <v>201</v>
      </c>
      <c r="E24" s="353"/>
      <c r="F24" s="353"/>
      <c r="G24" s="353"/>
      <c r="H24" s="353"/>
      <c r="I24" s="359"/>
      <c r="J24" s="353"/>
      <c r="K24" s="353" t="s">
        <v>267</v>
      </c>
    </row>
    <row r="25" spans="3:11" ht="15" x14ac:dyDescent="0.2">
      <c r="C25" s="353"/>
      <c r="D25" s="353" t="s">
        <v>202</v>
      </c>
      <c r="E25" s="353"/>
      <c r="F25" s="353"/>
      <c r="G25" s="353"/>
      <c r="H25" s="353"/>
      <c r="I25" s="360"/>
      <c r="J25" s="353"/>
      <c r="K25" s="353" t="s">
        <v>267</v>
      </c>
    </row>
    <row r="26" spans="3:11" ht="24.75" customHeight="1" x14ac:dyDescent="0.2">
      <c r="C26" s="358" t="s">
        <v>203</v>
      </c>
      <c r="D26" s="353"/>
      <c r="E26" s="353"/>
      <c r="F26" s="353"/>
      <c r="G26" s="353"/>
      <c r="H26" s="353"/>
      <c r="I26" s="298"/>
      <c r="J26" s="353"/>
      <c r="K26" s="353"/>
    </row>
    <row r="27" spans="3:11" ht="15" x14ac:dyDescent="0.2">
      <c r="C27" s="353"/>
      <c r="D27" s="353" t="s">
        <v>204</v>
      </c>
      <c r="E27" s="353"/>
      <c r="F27" s="353"/>
      <c r="G27" s="353"/>
      <c r="H27" s="353"/>
      <c r="I27" s="298"/>
      <c r="J27" s="353"/>
      <c r="K27" s="353"/>
    </row>
    <row r="28" spans="3:11" ht="15" x14ac:dyDescent="0.2">
      <c r="C28" s="353"/>
      <c r="D28" s="353"/>
      <c r="E28" s="353" t="s">
        <v>205</v>
      </c>
      <c r="F28" s="353"/>
      <c r="G28" s="353" t="s">
        <v>206</v>
      </c>
      <c r="H28" s="353"/>
      <c r="I28" s="298">
        <v>100</v>
      </c>
      <c r="J28" s="353"/>
      <c r="K28" s="353" t="s">
        <v>267</v>
      </c>
    </row>
    <row r="29" spans="3:11" ht="15" x14ac:dyDescent="0.2">
      <c r="C29" s="353"/>
      <c r="D29" s="353"/>
      <c r="E29" s="353" t="s">
        <v>207</v>
      </c>
      <c r="F29" s="353"/>
      <c r="G29" s="353" t="s">
        <v>206</v>
      </c>
      <c r="H29" s="353"/>
      <c r="I29" s="298">
        <v>100</v>
      </c>
      <c r="J29" s="353"/>
      <c r="K29" s="353" t="s">
        <v>267</v>
      </c>
    </row>
    <row r="30" spans="3:11" ht="15" x14ac:dyDescent="0.2">
      <c r="C30" s="353"/>
      <c r="D30" s="353"/>
      <c r="E30" s="353" t="s">
        <v>208</v>
      </c>
      <c r="F30" s="353"/>
      <c r="G30" s="353" t="s">
        <v>206</v>
      </c>
      <c r="H30" s="353"/>
      <c r="I30" s="298">
        <v>400</v>
      </c>
      <c r="J30" s="353"/>
      <c r="K30" s="353" t="s">
        <v>267</v>
      </c>
    </row>
    <row r="31" spans="3:11" ht="15" x14ac:dyDescent="0.2">
      <c r="C31" s="353"/>
      <c r="D31" s="353" t="s">
        <v>209</v>
      </c>
      <c r="E31" s="353"/>
      <c r="F31" s="353"/>
      <c r="G31" s="353"/>
      <c r="H31" s="353"/>
      <c r="I31" s="298"/>
      <c r="J31" s="353"/>
      <c r="K31" s="353"/>
    </row>
    <row r="32" spans="3:11" ht="15" x14ac:dyDescent="0.2">
      <c r="C32" s="353"/>
      <c r="D32" s="353"/>
      <c r="E32" s="353" t="s">
        <v>210</v>
      </c>
      <c r="F32" s="353"/>
      <c r="G32" s="353" t="s">
        <v>206</v>
      </c>
      <c r="H32" s="353"/>
      <c r="I32" s="298">
        <v>60</v>
      </c>
      <c r="J32" s="353"/>
      <c r="K32" s="353" t="s">
        <v>267</v>
      </c>
    </row>
    <row r="33" spans="3:11" ht="15" x14ac:dyDescent="0.2">
      <c r="C33" s="353"/>
      <c r="D33" s="353"/>
      <c r="E33" s="353" t="s">
        <v>211</v>
      </c>
      <c r="F33" s="353"/>
      <c r="G33" s="353" t="s">
        <v>206</v>
      </c>
      <c r="H33" s="353"/>
      <c r="I33" s="459">
        <v>40</v>
      </c>
      <c r="J33" s="353"/>
      <c r="K33" s="353" t="s">
        <v>267</v>
      </c>
    </row>
    <row r="34" spans="3:11" ht="15" x14ac:dyDescent="0.2">
      <c r="C34" s="353"/>
      <c r="D34" s="353"/>
      <c r="E34" s="353"/>
      <c r="F34" s="353"/>
      <c r="G34" s="353"/>
      <c r="H34" s="353"/>
      <c r="I34" s="360"/>
      <c r="J34" s="353"/>
      <c r="K34" s="353"/>
    </row>
    <row r="35" spans="3:11" ht="15" x14ac:dyDescent="0.2">
      <c r="C35" s="353"/>
      <c r="D35" s="353"/>
      <c r="E35" s="361" t="s">
        <v>212</v>
      </c>
      <c r="F35" s="353"/>
      <c r="G35" s="353"/>
      <c r="H35" s="353"/>
      <c r="I35" s="298">
        <f>SUM(I13:I34)</f>
        <v>10200</v>
      </c>
      <c r="J35" s="353"/>
      <c r="K35" s="353"/>
    </row>
    <row r="36" spans="3:11" ht="15" x14ac:dyDescent="0.2">
      <c r="C36" s="353"/>
      <c r="D36" s="353"/>
      <c r="E36" s="353"/>
      <c r="F36" s="353"/>
      <c r="G36" s="353"/>
      <c r="H36" s="353"/>
      <c r="I36" s="298"/>
      <c r="J36" s="353"/>
      <c r="K36" s="353"/>
    </row>
    <row r="37" spans="3:11" ht="15" x14ac:dyDescent="0.2">
      <c r="C37" s="358" t="s">
        <v>69</v>
      </c>
      <c r="D37" s="353"/>
      <c r="E37" s="353"/>
      <c r="F37" s="353"/>
      <c r="G37" s="353"/>
      <c r="H37" s="353"/>
      <c r="I37" s="298"/>
      <c r="J37" s="353"/>
      <c r="K37" s="353"/>
    </row>
    <row r="38" spans="3:11" ht="15" x14ac:dyDescent="0.2">
      <c r="C38" s="353"/>
      <c r="D38" s="353" t="s">
        <v>213</v>
      </c>
      <c r="E38" s="353"/>
      <c r="F38" s="353"/>
      <c r="G38" s="353"/>
      <c r="H38" s="353"/>
      <c r="I38" s="298"/>
      <c r="J38" s="353"/>
      <c r="K38" s="353"/>
    </row>
    <row r="39" spans="3:11" ht="15" x14ac:dyDescent="0.2">
      <c r="C39" s="353"/>
      <c r="D39" s="353"/>
      <c r="E39" s="353" t="s">
        <v>214</v>
      </c>
      <c r="F39" s="353"/>
      <c r="G39" s="353" t="s">
        <v>215</v>
      </c>
      <c r="H39" s="353"/>
      <c r="I39" s="298">
        <v>700</v>
      </c>
      <c r="J39" s="353"/>
      <c r="K39" s="353" t="s">
        <v>216</v>
      </c>
    </row>
    <row r="40" spans="3:11" ht="15" x14ac:dyDescent="0.2">
      <c r="C40" s="353"/>
      <c r="D40" s="353"/>
      <c r="E40" s="353" t="s">
        <v>217</v>
      </c>
      <c r="F40" s="353"/>
      <c r="G40" s="353" t="s">
        <v>215</v>
      </c>
      <c r="H40" s="353"/>
      <c r="I40" s="298">
        <v>700</v>
      </c>
      <c r="J40" s="353"/>
      <c r="K40" s="353" t="s">
        <v>216</v>
      </c>
    </row>
    <row r="41" spans="3:11" ht="15" x14ac:dyDescent="0.2">
      <c r="C41" s="353"/>
      <c r="D41" s="353"/>
      <c r="E41" s="353" t="s">
        <v>218</v>
      </c>
      <c r="F41" s="353"/>
      <c r="G41" s="353" t="s">
        <v>215</v>
      </c>
      <c r="H41" s="353"/>
      <c r="I41" s="298">
        <v>700</v>
      </c>
      <c r="J41" s="353"/>
      <c r="K41" s="353" t="s">
        <v>216</v>
      </c>
    </row>
    <row r="42" spans="3:11" ht="15" x14ac:dyDescent="0.2">
      <c r="C42" s="353"/>
      <c r="D42" s="353"/>
      <c r="E42" s="353" t="s">
        <v>219</v>
      </c>
      <c r="F42" s="353"/>
      <c r="G42" s="353" t="s">
        <v>215</v>
      </c>
      <c r="H42" s="353"/>
      <c r="I42" s="298">
        <v>800</v>
      </c>
      <c r="J42" s="353"/>
      <c r="K42" s="353" t="s">
        <v>216</v>
      </c>
    </row>
    <row r="43" spans="3:11" ht="15" x14ac:dyDescent="0.2">
      <c r="C43" s="353"/>
      <c r="D43" s="353"/>
      <c r="E43" s="353" t="s">
        <v>220</v>
      </c>
      <c r="F43" s="353"/>
      <c r="G43" s="353" t="s">
        <v>215</v>
      </c>
      <c r="H43" s="362"/>
      <c r="I43" s="298">
        <v>800</v>
      </c>
      <c r="J43" s="353"/>
      <c r="K43" s="353" t="s">
        <v>216</v>
      </c>
    </row>
    <row r="44" spans="3:11" ht="15" x14ac:dyDescent="0.2">
      <c r="C44" s="353"/>
      <c r="D44" s="353"/>
      <c r="E44" s="353" t="s">
        <v>221</v>
      </c>
      <c r="F44" s="353"/>
      <c r="G44" s="353" t="s">
        <v>215</v>
      </c>
      <c r="H44" s="353"/>
      <c r="I44" s="298">
        <v>900</v>
      </c>
      <c r="J44" s="353"/>
      <c r="K44" s="353" t="s">
        <v>216</v>
      </c>
    </row>
    <row r="45" spans="3:11" ht="15" x14ac:dyDescent="0.2">
      <c r="C45" s="353"/>
      <c r="D45" s="353" t="s">
        <v>222</v>
      </c>
      <c r="E45" s="353"/>
      <c r="F45" s="353"/>
      <c r="G45" s="353"/>
      <c r="H45" s="353"/>
      <c r="I45" s="298"/>
      <c r="J45" s="353"/>
      <c r="K45" s="353"/>
    </row>
    <row r="46" spans="3:11" ht="15" x14ac:dyDescent="0.2">
      <c r="C46" s="353"/>
      <c r="D46" s="353"/>
      <c r="E46" s="353" t="s">
        <v>223</v>
      </c>
      <c r="F46" s="353"/>
      <c r="G46" s="353" t="s">
        <v>215</v>
      </c>
      <c r="H46" s="353"/>
      <c r="I46" s="298">
        <v>765</v>
      </c>
      <c r="J46" s="353"/>
      <c r="K46" s="353" t="s">
        <v>216</v>
      </c>
    </row>
    <row r="47" spans="3:11" ht="15" x14ac:dyDescent="0.2">
      <c r="C47" s="353"/>
      <c r="D47" s="353" t="s">
        <v>213</v>
      </c>
      <c r="E47" s="353"/>
      <c r="F47" s="353"/>
      <c r="G47" s="353"/>
      <c r="H47" s="353"/>
      <c r="I47" s="298"/>
      <c r="J47" s="353"/>
      <c r="K47" s="353"/>
    </row>
    <row r="48" spans="3:11" ht="15" x14ac:dyDescent="0.2">
      <c r="C48" s="353"/>
      <c r="D48" s="353"/>
      <c r="E48" s="353" t="s">
        <v>224</v>
      </c>
      <c r="F48" s="353"/>
      <c r="G48" s="353" t="s">
        <v>215</v>
      </c>
      <c r="H48" s="353"/>
      <c r="I48" s="298">
        <v>200</v>
      </c>
      <c r="J48" s="353"/>
      <c r="K48" s="353" t="s">
        <v>216</v>
      </c>
    </row>
    <row r="49" spans="3:11" ht="15" x14ac:dyDescent="0.2">
      <c r="C49" s="353"/>
      <c r="D49" s="353"/>
      <c r="E49" s="353" t="s">
        <v>225</v>
      </c>
      <c r="F49" s="353"/>
      <c r="G49" s="353" t="s">
        <v>215</v>
      </c>
      <c r="H49" s="353"/>
      <c r="I49" s="298">
        <v>500</v>
      </c>
      <c r="J49" s="353"/>
      <c r="K49" s="353" t="s">
        <v>216</v>
      </c>
    </row>
    <row r="50" spans="3:11" ht="15" x14ac:dyDescent="0.2">
      <c r="C50" s="353"/>
      <c r="D50" s="353"/>
      <c r="E50" s="353" t="s">
        <v>136</v>
      </c>
      <c r="F50" s="353"/>
      <c r="G50" s="353" t="s">
        <v>215</v>
      </c>
      <c r="H50" s="353"/>
      <c r="I50" s="298">
        <v>250</v>
      </c>
      <c r="J50" s="353"/>
      <c r="K50" s="353" t="s">
        <v>216</v>
      </c>
    </row>
    <row r="51" spans="3:11" ht="15" x14ac:dyDescent="0.2">
      <c r="C51" s="353"/>
      <c r="D51" s="353" t="s">
        <v>137</v>
      </c>
      <c r="E51" s="353"/>
      <c r="F51" s="353"/>
      <c r="G51" s="353"/>
      <c r="H51" s="353"/>
      <c r="I51" s="298"/>
      <c r="J51" s="353"/>
      <c r="K51" s="353"/>
    </row>
    <row r="52" spans="3:11" ht="15" x14ac:dyDescent="0.2">
      <c r="C52" s="353"/>
      <c r="D52" s="353"/>
      <c r="E52" s="353" t="s">
        <v>138</v>
      </c>
      <c r="F52" s="353"/>
      <c r="G52" s="353" t="s">
        <v>139</v>
      </c>
      <c r="H52" s="353"/>
      <c r="I52" s="298">
        <v>372</v>
      </c>
      <c r="J52" s="353"/>
      <c r="K52" s="353" t="s">
        <v>216</v>
      </c>
    </row>
    <row r="53" spans="3:11" ht="15" x14ac:dyDescent="0.2">
      <c r="C53" s="353"/>
      <c r="D53" s="353"/>
      <c r="E53" s="353" t="s">
        <v>140</v>
      </c>
      <c r="F53" s="353"/>
      <c r="G53" s="353" t="s">
        <v>139</v>
      </c>
      <c r="H53" s="362"/>
      <c r="I53" s="298">
        <v>180</v>
      </c>
      <c r="J53" s="353"/>
      <c r="K53" s="353" t="s">
        <v>216</v>
      </c>
    </row>
    <row r="54" spans="3:11" ht="15" x14ac:dyDescent="0.2">
      <c r="C54" s="353"/>
      <c r="D54" s="353"/>
      <c r="E54" s="353" t="s">
        <v>141</v>
      </c>
      <c r="F54" s="353"/>
      <c r="G54" s="353" t="s">
        <v>139</v>
      </c>
      <c r="H54" s="353"/>
      <c r="I54" s="459">
        <v>580</v>
      </c>
      <c r="J54" s="353"/>
      <c r="K54" s="353" t="s">
        <v>216</v>
      </c>
    </row>
    <row r="55" spans="3:11" ht="15" x14ac:dyDescent="0.2">
      <c r="C55" s="353"/>
      <c r="D55" s="353"/>
      <c r="E55" s="353"/>
      <c r="F55" s="353"/>
      <c r="G55" s="353"/>
      <c r="H55" s="353"/>
      <c r="I55" s="298"/>
      <c r="J55" s="353"/>
      <c r="K55" s="353"/>
    </row>
    <row r="56" spans="3:11" ht="15" x14ac:dyDescent="0.2">
      <c r="C56" s="353"/>
      <c r="D56" s="353"/>
      <c r="E56" s="363" t="s">
        <v>142</v>
      </c>
      <c r="F56" s="353"/>
      <c r="G56" s="353"/>
      <c r="H56" s="353"/>
      <c r="I56" s="298">
        <f>SUM(I39:I55)</f>
        <v>7447</v>
      </c>
      <c r="J56" s="353"/>
      <c r="K56" s="353"/>
    </row>
    <row r="57" spans="3:11" ht="15" x14ac:dyDescent="0.2">
      <c r="C57" s="353"/>
      <c r="D57" s="353"/>
      <c r="E57" s="353"/>
      <c r="F57" s="353"/>
      <c r="G57" s="353"/>
      <c r="H57" s="353"/>
      <c r="I57" s="298"/>
      <c r="J57" s="353"/>
      <c r="K57" s="353"/>
    </row>
    <row r="58" spans="3:11" ht="15" x14ac:dyDescent="0.2">
      <c r="C58" s="353"/>
      <c r="D58" s="353"/>
      <c r="E58" s="353"/>
      <c r="F58" s="353"/>
      <c r="G58" s="353"/>
      <c r="H58" s="353"/>
      <c r="I58" s="298"/>
    </row>
    <row r="59" spans="3:11" ht="15" x14ac:dyDescent="0.2">
      <c r="C59" s="353"/>
      <c r="D59" s="353"/>
      <c r="E59" s="363" t="s">
        <v>788</v>
      </c>
      <c r="F59" s="353"/>
      <c r="G59" s="353"/>
      <c r="H59" s="353"/>
      <c r="I59" s="298">
        <v>6305</v>
      </c>
    </row>
    <row r="60" spans="3:11" ht="15" x14ac:dyDescent="0.2">
      <c r="C60" s="353"/>
      <c r="D60" s="353"/>
      <c r="E60" s="353"/>
      <c r="F60" s="353"/>
      <c r="G60" s="353"/>
      <c r="H60" s="353"/>
      <c r="I60" s="298"/>
    </row>
    <row r="61" spans="3:11" ht="15" x14ac:dyDescent="0.2">
      <c r="C61" s="353"/>
      <c r="D61" s="353"/>
      <c r="E61" s="353"/>
      <c r="F61" s="353"/>
      <c r="G61" s="353"/>
      <c r="H61" s="353"/>
      <c r="I61" s="298"/>
    </row>
    <row r="62" spans="3:11" ht="15" x14ac:dyDescent="0.2">
      <c r="C62" s="353"/>
      <c r="D62" s="353"/>
      <c r="E62" s="361" t="s">
        <v>143</v>
      </c>
      <c r="F62" s="353"/>
      <c r="G62" s="353"/>
      <c r="H62" s="353"/>
      <c r="I62" s="298">
        <f>I35+I56+I59</f>
        <v>23952</v>
      </c>
    </row>
    <row r="63" spans="3:11" ht="15" x14ac:dyDescent="0.2">
      <c r="C63" s="353"/>
      <c r="D63" s="353"/>
      <c r="E63" s="353"/>
      <c r="F63" s="353"/>
      <c r="G63" s="353"/>
      <c r="H63" s="353"/>
      <c r="I63" s="298"/>
    </row>
  </sheetData>
  <mergeCells count="3">
    <mergeCell ref="C9:E9"/>
    <mergeCell ref="C4:K4"/>
    <mergeCell ref="C6:K6"/>
  </mergeCells>
  <phoneticPr fontId="1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172"/>
  <sheetViews>
    <sheetView topLeftCell="A5" workbookViewId="0">
      <selection activeCell="P37" sqref="P37"/>
    </sheetView>
  </sheetViews>
  <sheetFormatPr defaultColWidth="8.6640625" defaultRowHeight="12.75" x14ac:dyDescent="0.2"/>
  <cols>
    <col min="3" max="3" width="9.33203125" customWidth="1"/>
    <col min="5" max="5" width="6" customWidth="1"/>
    <col min="6" max="6" width="10" bestFit="1" customWidth="1"/>
    <col min="7" max="7" width="1.33203125" customWidth="1"/>
    <col min="8" max="10" width="10" bestFit="1" customWidth="1"/>
    <col min="11" max="11" width="2.44140625" customWidth="1"/>
    <col min="12" max="12" width="10" bestFit="1" customWidth="1"/>
  </cols>
  <sheetData>
    <row r="7" spans="3:13" ht="15" x14ac:dyDescent="0.2">
      <c r="C7" s="682" t="s">
        <v>371</v>
      </c>
      <c r="D7" s="682"/>
      <c r="E7" s="682"/>
      <c r="F7" s="682"/>
      <c r="G7" s="682"/>
      <c r="H7" s="682"/>
      <c r="I7" s="682"/>
      <c r="J7" s="682"/>
      <c r="K7" s="682"/>
      <c r="L7" s="682"/>
      <c r="M7" s="251"/>
    </row>
    <row r="9" spans="3:13" ht="15" x14ac:dyDescent="0.2">
      <c r="C9" s="682" t="s">
        <v>693</v>
      </c>
      <c r="D9" s="682"/>
      <c r="E9" s="682"/>
      <c r="F9" s="682"/>
      <c r="G9" s="682"/>
      <c r="H9" s="682"/>
      <c r="I9" s="682"/>
      <c r="J9" s="682"/>
      <c r="K9" s="682"/>
      <c r="L9" s="682"/>
    </row>
    <row r="10" spans="3:13" ht="15" x14ac:dyDescent="0.2">
      <c r="C10" s="655"/>
      <c r="D10" s="655"/>
      <c r="E10" s="655"/>
      <c r="F10" s="655"/>
      <c r="G10" s="655"/>
      <c r="H10" s="655"/>
      <c r="I10" s="655"/>
      <c r="J10" s="655"/>
      <c r="K10" s="655"/>
      <c r="L10" s="655"/>
    </row>
    <row r="11" spans="3:13" ht="15" x14ac:dyDescent="0.2">
      <c r="D11" s="249"/>
      <c r="E11" s="249"/>
      <c r="F11" s="249"/>
      <c r="G11" s="249"/>
      <c r="H11" s="249"/>
      <c r="I11" s="249"/>
      <c r="J11" s="249"/>
      <c r="K11" s="249"/>
      <c r="L11" s="249"/>
    </row>
    <row r="12" spans="3:13" ht="15" x14ac:dyDescent="0.2">
      <c r="C12" s="38"/>
      <c r="D12" s="38"/>
      <c r="E12" s="38"/>
      <c r="F12" s="38"/>
      <c r="G12" s="38"/>
      <c r="H12" s="38"/>
      <c r="I12" s="38"/>
      <c r="J12" s="38"/>
      <c r="K12" s="38"/>
      <c r="L12" s="38"/>
    </row>
    <row r="13" spans="3:13" ht="15" x14ac:dyDescent="0.2">
      <c r="C13" s="413" t="s">
        <v>694</v>
      </c>
      <c r="D13" s="38"/>
      <c r="E13" s="38"/>
      <c r="F13" s="38"/>
      <c r="G13" s="38"/>
      <c r="H13" s="38"/>
      <c r="I13" s="38"/>
      <c r="J13" s="38"/>
      <c r="K13" s="38"/>
      <c r="L13" s="38"/>
    </row>
    <row r="14" spans="3:13" ht="8.25" customHeight="1" x14ac:dyDescent="0.2">
      <c r="C14" s="38"/>
      <c r="D14" s="38"/>
      <c r="E14" s="38"/>
      <c r="F14" s="38"/>
      <c r="G14" s="38"/>
      <c r="H14" s="38"/>
      <c r="I14" s="38"/>
      <c r="J14" s="38"/>
      <c r="K14" s="38"/>
      <c r="L14" s="38"/>
    </row>
    <row r="15" spans="3:13" ht="15" x14ac:dyDescent="0.2">
      <c r="C15" s="249" t="s">
        <v>563</v>
      </c>
      <c r="D15" s="38"/>
      <c r="E15" s="38"/>
      <c r="F15" s="249" t="s">
        <v>695</v>
      </c>
      <c r="G15" s="249"/>
      <c r="I15" s="249" t="s">
        <v>696</v>
      </c>
      <c r="J15" s="38"/>
      <c r="K15" s="38"/>
      <c r="L15" s="38"/>
    </row>
    <row r="16" spans="3:13" ht="15" x14ac:dyDescent="0.2">
      <c r="C16" s="414" t="s">
        <v>397</v>
      </c>
      <c r="D16" s="38"/>
      <c r="E16" s="38"/>
      <c r="F16" s="414" t="s">
        <v>697</v>
      </c>
      <c r="G16" s="414"/>
      <c r="I16" s="414" t="s">
        <v>697</v>
      </c>
      <c r="J16" s="38"/>
      <c r="K16" s="38"/>
      <c r="L16" s="38"/>
    </row>
    <row r="17" spans="3:13" ht="9.1999999999999993" customHeight="1" x14ac:dyDescent="0.2">
      <c r="C17" s="38"/>
      <c r="D17" s="38"/>
      <c r="E17" s="38"/>
      <c r="F17" s="38"/>
      <c r="G17" s="38"/>
      <c r="I17" s="38"/>
      <c r="J17" s="38"/>
      <c r="K17" s="38"/>
      <c r="L17" s="38"/>
    </row>
    <row r="18" spans="3:13" ht="15" x14ac:dyDescent="0.2">
      <c r="C18" s="253" t="s">
        <v>565</v>
      </c>
      <c r="D18" s="38"/>
      <c r="E18" s="38"/>
      <c r="F18" s="417">
        <v>8.9</v>
      </c>
      <c r="G18" s="415"/>
      <c r="I18" s="524">
        <v>14</v>
      </c>
      <c r="J18" s="38"/>
      <c r="K18" s="38"/>
      <c r="L18" s="38"/>
    </row>
    <row r="19" spans="3:13" ht="15" x14ac:dyDescent="0.2">
      <c r="C19" s="253" t="s">
        <v>698</v>
      </c>
      <c r="D19" s="38"/>
      <c r="E19" s="38"/>
      <c r="F19" s="411">
        <v>13.35</v>
      </c>
      <c r="G19" s="411"/>
      <c r="I19" s="411">
        <v>21</v>
      </c>
      <c r="J19" s="38"/>
      <c r="K19" s="38"/>
      <c r="L19" s="38"/>
    </row>
    <row r="20" spans="3:13" ht="15" x14ac:dyDescent="0.2">
      <c r="C20" s="249">
        <v>1</v>
      </c>
      <c r="D20" s="38"/>
      <c r="E20" s="38"/>
      <c r="F20" s="411">
        <v>22.25</v>
      </c>
      <c r="G20" s="411"/>
      <c r="I20" s="411">
        <v>35</v>
      </c>
      <c r="J20" s="38"/>
      <c r="K20" s="38"/>
      <c r="L20" s="38"/>
    </row>
    <row r="21" spans="3:13" ht="15" x14ac:dyDescent="0.2">
      <c r="C21" s="253" t="s">
        <v>567</v>
      </c>
      <c r="D21" s="38"/>
      <c r="E21" s="38"/>
      <c r="F21" s="411">
        <v>44.5</v>
      </c>
      <c r="G21" s="411"/>
      <c r="I21" s="411">
        <v>70</v>
      </c>
      <c r="J21" s="38"/>
      <c r="K21" s="38"/>
      <c r="L21" s="38"/>
    </row>
    <row r="22" spans="3:13" ht="15" x14ac:dyDescent="0.2">
      <c r="C22" s="249">
        <v>2</v>
      </c>
      <c r="D22" s="38"/>
      <c r="E22" s="38"/>
      <c r="F22" s="411">
        <v>71.2</v>
      </c>
      <c r="G22" s="411"/>
      <c r="I22" s="411">
        <v>112</v>
      </c>
      <c r="J22" s="38"/>
      <c r="K22" s="38"/>
      <c r="L22" s="38"/>
    </row>
    <row r="23" spans="3:13" ht="15" x14ac:dyDescent="0.2">
      <c r="C23" s="249">
        <v>3</v>
      </c>
      <c r="D23" s="38"/>
      <c r="E23" s="38"/>
      <c r="F23" s="411">
        <v>133.5</v>
      </c>
      <c r="G23" s="411"/>
      <c r="I23" s="411">
        <v>210</v>
      </c>
      <c r="J23" s="38"/>
      <c r="K23" s="38"/>
      <c r="L23" s="38"/>
    </row>
    <row r="24" spans="3:13" ht="15" x14ac:dyDescent="0.2">
      <c r="C24" s="249">
        <v>4</v>
      </c>
      <c r="D24" s="38"/>
      <c r="E24" s="38"/>
      <c r="F24" s="411">
        <v>222.5</v>
      </c>
      <c r="G24" s="411"/>
      <c r="I24" s="411">
        <v>350</v>
      </c>
      <c r="J24" s="38"/>
      <c r="K24" s="38"/>
      <c r="L24" s="38"/>
    </row>
    <row r="25" spans="3:13" ht="15" x14ac:dyDescent="0.2">
      <c r="C25" s="249">
        <v>6</v>
      </c>
      <c r="D25" s="38"/>
      <c r="E25" s="38"/>
      <c r="F25" s="411">
        <v>445</v>
      </c>
      <c r="G25" s="411"/>
      <c r="I25" s="411">
        <v>700</v>
      </c>
      <c r="J25" s="38"/>
      <c r="K25" s="38"/>
      <c r="L25" s="38"/>
    </row>
    <row r="26" spans="3:13" ht="15" x14ac:dyDescent="0.2">
      <c r="C26" s="249">
        <v>8</v>
      </c>
      <c r="D26" s="38"/>
      <c r="E26" s="38"/>
      <c r="F26" s="411">
        <v>712</v>
      </c>
      <c r="G26" s="411"/>
      <c r="I26" s="411">
        <v>1120</v>
      </c>
      <c r="J26" s="38"/>
      <c r="K26" s="38"/>
      <c r="L26" s="38"/>
    </row>
    <row r="27" spans="3:13" ht="15" x14ac:dyDescent="0.2">
      <c r="C27" s="249"/>
      <c r="D27" s="38"/>
      <c r="E27" s="38"/>
      <c r="F27" s="411"/>
      <c r="G27" s="411"/>
      <c r="I27" s="411"/>
      <c r="J27" s="38"/>
      <c r="K27" s="38"/>
      <c r="L27" s="38"/>
    </row>
    <row r="28" spans="3:13" ht="6" customHeight="1" x14ac:dyDescent="0.2">
      <c r="C28" s="38"/>
      <c r="D28" s="38"/>
      <c r="E28" s="38"/>
      <c r="F28" s="411"/>
      <c r="G28" s="411"/>
      <c r="I28" s="411"/>
      <c r="J28" s="38"/>
      <c r="K28" s="38"/>
      <c r="L28" s="38"/>
    </row>
    <row r="29" spans="3:13" ht="15" x14ac:dyDescent="0.2">
      <c r="C29" s="38"/>
      <c r="D29" s="38"/>
      <c r="E29" s="38"/>
      <c r="F29" s="681" t="s">
        <v>699</v>
      </c>
      <c r="G29" s="681"/>
      <c r="H29" s="681"/>
      <c r="I29" s="38"/>
      <c r="J29" s="681" t="s">
        <v>700</v>
      </c>
      <c r="K29" s="681"/>
      <c r="L29" s="681"/>
    </row>
    <row r="30" spans="3:13" ht="15" x14ac:dyDescent="0.2">
      <c r="C30" s="413" t="s">
        <v>701</v>
      </c>
      <c r="D30" s="38"/>
      <c r="E30" s="38"/>
      <c r="F30" s="414" t="s">
        <v>695</v>
      </c>
      <c r="G30" s="414"/>
      <c r="H30" s="414" t="s">
        <v>696</v>
      </c>
      <c r="I30" s="38"/>
      <c r="J30" s="414" t="s">
        <v>695</v>
      </c>
      <c r="K30" s="414"/>
      <c r="L30" s="414" t="s">
        <v>696</v>
      </c>
    </row>
    <row r="31" spans="3:13" ht="7.5" customHeight="1" x14ac:dyDescent="0.2">
      <c r="C31" s="38"/>
      <c r="D31" s="38"/>
      <c r="E31" s="38"/>
      <c r="F31" s="38"/>
      <c r="G31" s="38"/>
      <c r="H31" s="38"/>
      <c r="I31" s="38"/>
      <c r="J31" s="38"/>
      <c r="K31" s="38"/>
      <c r="L31" s="38"/>
    </row>
    <row r="32" spans="3:13" ht="15" x14ac:dyDescent="0.2">
      <c r="C32" s="38" t="s">
        <v>385</v>
      </c>
      <c r="D32" s="38"/>
      <c r="E32" s="38"/>
      <c r="F32" s="406">
        <v>5.3003999999999998</v>
      </c>
      <c r="G32" s="453"/>
      <c r="H32" s="406">
        <v>5.4462000000000002</v>
      </c>
      <c r="I32" s="38"/>
      <c r="J32" s="406">
        <v>7.0860962566844918</v>
      </c>
      <c r="K32" s="406"/>
      <c r="L32" s="406">
        <v>7.2809999999999997</v>
      </c>
      <c r="M32" s="407"/>
    </row>
    <row r="33" spans="2:13" ht="15" x14ac:dyDescent="0.2">
      <c r="B33" s="522"/>
      <c r="C33" s="38" t="s">
        <v>386</v>
      </c>
      <c r="D33" s="38"/>
      <c r="E33" s="38"/>
      <c r="F33" s="406">
        <v>4.8280000000000003</v>
      </c>
      <c r="G33" s="453"/>
      <c r="H33" s="406">
        <v>4.8750999999999998</v>
      </c>
      <c r="I33" s="38"/>
      <c r="J33" s="406">
        <v>6.454545454545455</v>
      </c>
      <c r="K33" s="406"/>
      <c r="L33" s="406">
        <v>6.5175000000000001</v>
      </c>
      <c r="M33" s="407"/>
    </row>
    <row r="34" spans="2:13" ht="15" x14ac:dyDescent="0.2">
      <c r="B34" s="522"/>
      <c r="C34" s="38" t="s">
        <v>387</v>
      </c>
      <c r="D34" s="38"/>
      <c r="E34" s="38"/>
      <c r="F34" s="406">
        <v>3.8946700000000001</v>
      </c>
      <c r="G34" s="453"/>
      <c r="H34" s="406">
        <v>4.5999999999999996</v>
      </c>
      <c r="I34" s="38"/>
      <c r="J34" s="406">
        <v>5.2067780748663104</v>
      </c>
      <c r="K34" s="406"/>
      <c r="L34" s="406">
        <v>6.1497000000000002</v>
      </c>
      <c r="M34" s="407"/>
    </row>
    <row r="35" spans="2:13" ht="15" x14ac:dyDescent="0.2">
      <c r="B35" s="522"/>
      <c r="C35" s="38" t="s">
        <v>389</v>
      </c>
      <c r="D35" s="38"/>
      <c r="E35" s="38"/>
      <c r="F35" s="406">
        <v>4.2451999999999996</v>
      </c>
      <c r="G35" s="453"/>
      <c r="H35" s="406">
        <v>4.5529999999999999</v>
      </c>
      <c r="I35" s="38"/>
      <c r="J35" s="406">
        <v>5.675401069518716</v>
      </c>
      <c r="K35" s="406"/>
      <c r="L35" s="406">
        <v>6.0869</v>
      </c>
      <c r="M35" s="407"/>
    </row>
    <row r="36" spans="2:13" ht="15" x14ac:dyDescent="0.2">
      <c r="B36" s="522"/>
      <c r="C36" s="38" t="s">
        <v>503</v>
      </c>
      <c r="D36" s="38"/>
      <c r="E36" s="38"/>
      <c r="F36" s="406">
        <v>4.2093299999999996</v>
      </c>
      <c r="G36" s="453"/>
      <c r="H36" s="406">
        <v>4.2451999999999996</v>
      </c>
      <c r="I36" s="38"/>
      <c r="J36" s="406">
        <v>5.6274465240641707</v>
      </c>
      <c r="K36" s="406"/>
      <c r="L36" s="406">
        <v>5.6753999999999998</v>
      </c>
      <c r="M36" s="407"/>
    </row>
    <row r="37" spans="2:13" ht="15" x14ac:dyDescent="0.2">
      <c r="B37" s="522"/>
      <c r="C37" s="38"/>
      <c r="D37" s="38"/>
      <c r="E37" s="38"/>
      <c r="F37" s="406"/>
      <c r="G37" s="453"/>
      <c r="H37" s="406"/>
      <c r="I37" s="38"/>
      <c r="J37" s="406"/>
      <c r="K37" s="406"/>
      <c r="L37" s="406"/>
      <c r="M37" s="407"/>
    </row>
    <row r="38" spans="2:13" ht="15" x14ac:dyDescent="0.2">
      <c r="B38" s="522"/>
      <c r="C38" s="38"/>
      <c r="D38" s="38"/>
      <c r="E38" s="38"/>
      <c r="F38" s="408"/>
      <c r="G38" s="409"/>
      <c r="H38" s="409"/>
      <c r="I38" s="38"/>
      <c r="J38" s="409"/>
      <c r="K38" s="409"/>
      <c r="L38" s="409"/>
    </row>
    <row r="39" spans="2:13" ht="10.7" customHeight="1" x14ac:dyDescent="0.2">
      <c r="B39" s="522"/>
      <c r="C39" s="38"/>
      <c r="D39" s="38"/>
      <c r="E39" s="38"/>
      <c r="F39" s="38"/>
      <c r="G39" s="38"/>
      <c r="H39" s="38"/>
      <c r="I39" s="38"/>
      <c r="J39" s="409"/>
      <c r="K39" s="409"/>
      <c r="L39" s="409"/>
    </row>
    <row r="40" spans="2:13" ht="15" x14ac:dyDescent="0.2">
      <c r="C40" s="413" t="s">
        <v>702</v>
      </c>
      <c r="D40" s="38"/>
      <c r="E40" s="38"/>
      <c r="F40" s="38"/>
      <c r="G40" s="38"/>
      <c r="H40" s="38"/>
      <c r="I40" s="38"/>
      <c r="J40" s="38"/>
      <c r="K40" s="38"/>
      <c r="L40" s="38"/>
    </row>
    <row r="41" spans="2:13" ht="15" x14ac:dyDescent="0.2">
      <c r="B41" s="501"/>
      <c r="C41" s="413"/>
      <c r="D41" s="38"/>
      <c r="E41" s="38"/>
      <c r="F41" s="249" t="s">
        <v>695</v>
      </c>
      <c r="G41" s="38"/>
      <c r="H41" s="38"/>
      <c r="I41" s="466" t="s">
        <v>696</v>
      </c>
      <c r="J41" s="38"/>
      <c r="K41" s="38"/>
      <c r="L41" s="38"/>
    </row>
    <row r="42" spans="2:13" ht="15" x14ac:dyDescent="0.2">
      <c r="B42" s="525"/>
      <c r="C42" s="249" t="s">
        <v>184</v>
      </c>
      <c r="D42" s="38"/>
      <c r="E42" s="38"/>
      <c r="F42" s="249" t="s">
        <v>697</v>
      </c>
      <c r="G42" s="249"/>
      <c r="H42" s="465"/>
      <c r="I42" s="466" t="s">
        <v>697</v>
      </c>
      <c r="J42" s="38"/>
      <c r="K42" s="38"/>
      <c r="L42" s="38"/>
    </row>
    <row r="43" spans="2:13" ht="15" x14ac:dyDescent="0.2">
      <c r="C43" s="414" t="s">
        <v>703</v>
      </c>
      <c r="D43" s="38"/>
      <c r="E43" s="38"/>
      <c r="F43" s="414" t="s">
        <v>587</v>
      </c>
      <c r="G43" s="414"/>
      <c r="H43" s="465"/>
      <c r="I43" s="474" t="s">
        <v>587</v>
      </c>
      <c r="J43" s="38"/>
      <c r="K43" s="38"/>
      <c r="L43" s="38"/>
    </row>
    <row r="44" spans="2:13" ht="9.1999999999999993" customHeight="1" x14ac:dyDescent="0.2">
      <c r="C44" s="38"/>
      <c r="D44" s="38"/>
      <c r="E44" s="38"/>
      <c r="F44" s="38"/>
      <c r="G44" s="38"/>
      <c r="H44" s="38"/>
      <c r="I44" s="38"/>
      <c r="J44" s="38"/>
      <c r="K44" s="38"/>
      <c r="L44" s="38"/>
    </row>
    <row r="45" spans="2:13" ht="15" x14ac:dyDescent="0.2">
      <c r="C45" s="249">
        <v>2</v>
      </c>
      <c r="D45" s="38"/>
      <c r="E45" s="38"/>
      <c r="F45" s="417">
        <v>8.11</v>
      </c>
      <c r="G45" s="452"/>
      <c r="H45" s="415"/>
      <c r="I45" s="417">
        <v>8.92</v>
      </c>
      <c r="J45" s="38"/>
      <c r="K45" s="38"/>
      <c r="L45" s="38"/>
    </row>
    <row r="46" spans="2:13" ht="15" x14ac:dyDescent="0.2">
      <c r="C46" s="249">
        <v>4</v>
      </c>
      <c r="D46" s="38"/>
      <c r="E46" s="38"/>
      <c r="F46" s="411">
        <v>32.630000000000003</v>
      </c>
      <c r="G46" s="452"/>
      <c r="H46" s="415"/>
      <c r="I46" s="411">
        <v>35.89</v>
      </c>
      <c r="J46" s="38"/>
      <c r="K46" s="38"/>
      <c r="L46" s="38"/>
    </row>
    <row r="47" spans="2:13" ht="15" x14ac:dyDescent="0.2">
      <c r="C47" s="249">
        <v>6</v>
      </c>
      <c r="D47" s="38"/>
      <c r="E47" s="38"/>
      <c r="F47" s="411">
        <v>73.400000000000006</v>
      </c>
      <c r="G47" s="452"/>
      <c r="H47" s="415"/>
      <c r="I47" s="411">
        <v>80.739999999999995</v>
      </c>
      <c r="J47" s="38"/>
      <c r="K47" s="38"/>
      <c r="L47" s="38"/>
    </row>
    <row r="48" spans="2:13" ht="15" x14ac:dyDescent="0.2">
      <c r="C48" s="249">
        <v>8</v>
      </c>
      <c r="D48" s="38"/>
      <c r="E48" s="38"/>
      <c r="F48" s="411">
        <v>130.49</v>
      </c>
      <c r="G48" s="452"/>
      <c r="H48" s="415"/>
      <c r="I48" s="411">
        <v>143.54</v>
      </c>
      <c r="J48" s="38"/>
      <c r="K48" s="38"/>
      <c r="L48" s="38"/>
    </row>
    <row r="49" spans="3:12" ht="15" x14ac:dyDescent="0.2">
      <c r="C49" s="249">
        <v>10</v>
      </c>
      <c r="D49" s="38"/>
      <c r="E49" s="38"/>
      <c r="F49" s="411">
        <v>203.94</v>
      </c>
      <c r="G49" s="452"/>
      <c r="H49" s="415"/>
      <c r="I49" s="411">
        <v>224.33</v>
      </c>
      <c r="J49" s="38"/>
      <c r="K49" s="38"/>
      <c r="L49" s="38"/>
    </row>
    <row r="50" spans="3:12" ht="15" x14ac:dyDescent="0.2">
      <c r="C50" s="249">
        <v>12</v>
      </c>
      <c r="D50" s="38"/>
      <c r="E50" s="38"/>
      <c r="F50" s="411">
        <v>293.75</v>
      </c>
      <c r="G50" s="452"/>
      <c r="H50" s="415"/>
      <c r="I50" s="411">
        <v>323.13</v>
      </c>
      <c r="J50" s="38"/>
      <c r="K50" s="38"/>
      <c r="L50" s="38"/>
    </row>
    <row r="51" spans="3:12" ht="15" x14ac:dyDescent="0.2">
      <c r="C51" s="249">
        <v>14</v>
      </c>
      <c r="D51" s="38"/>
      <c r="E51" s="38"/>
      <c r="F51" s="411">
        <v>399.89</v>
      </c>
      <c r="G51" s="452"/>
      <c r="H51" s="415"/>
      <c r="I51" s="411">
        <v>439.88</v>
      </c>
      <c r="J51" s="38"/>
      <c r="K51" s="38"/>
      <c r="L51" s="38"/>
    </row>
    <row r="52" spans="3:12" ht="15" x14ac:dyDescent="0.2">
      <c r="C52" s="249">
        <v>16</v>
      </c>
      <c r="D52" s="38"/>
      <c r="E52" s="38"/>
      <c r="F52" s="411">
        <v>522.19000000000005</v>
      </c>
      <c r="G52" s="452"/>
      <c r="H52" s="415"/>
      <c r="I52" s="411">
        <v>574.41</v>
      </c>
      <c r="J52" s="38"/>
      <c r="K52" s="38"/>
      <c r="L52" s="38"/>
    </row>
    <row r="53" spans="3:12" ht="15" x14ac:dyDescent="0.2">
      <c r="C53" s="410" t="s">
        <v>704</v>
      </c>
      <c r="D53" s="38"/>
      <c r="E53" s="38"/>
      <c r="F53" s="411">
        <v>72.52</v>
      </c>
      <c r="G53" s="454"/>
      <c r="H53" s="38"/>
      <c r="I53" s="411">
        <v>79.77</v>
      </c>
      <c r="J53" s="38"/>
      <c r="K53" s="38"/>
      <c r="L53" s="38"/>
    </row>
    <row r="54" spans="3:12" ht="11.25" customHeight="1" x14ac:dyDescent="0.2">
      <c r="C54" s="38"/>
      <c r="D54" s="38"/>
      <c r="E54" s="38"/>
      <c r="F54" s="38"/>
      <c r="G54" s="38"/>
      <c r="H54" s="38"/>
      <c r="I54" s="38"/>
      <c r="J54" s="38"/>
      <c r="K54" s="38"/>
      <c r="L54" s="38"/>
    </row>
    <row r="55" spans="3:12" ht="15" x14ac:dyDescent="0.2">
      <c r="C55" s="38" t="s">
        <v>705</v>
      </c>
      <c r="D55" s="38"/>
      <c r="E55" s="38"/>
      <c r="F55" s="411">
        <v>37.840000000000003</v>
      </c>
      <c r="G55" s="454"/>
      <c r="H55" s="454"/>
      <c r="I55" s="411">
        <v>45.3</v>
      </c>
      <c r="J55" s="38"/>
      <c r="K55" s="38"/>
      <c r="L55" s="38"/>
    </row>
    <row r="56" spans="3:12" ht="15" x14ac:dyDescent="0.2">
      <c r="C56" s="682"/>
      <c r="D56" s="682"/>
      <c r="E56" s="682"/>
      <c r="F56" s="682"/>
      <c r="G56" s="682"/>
      <c r="H56" s="682"/>
      <c r="I56" s="682"/>
      <c r="J56" s="682"/>
      <c r="K56" s="682"/>
      <c r="L56" s="682"/>
    </row>
    <row r="58" spans="3:12" ht="15" x14ac:dyDescent="0.2">
      <c r="C58" s="682"/>
      <c r="D58" s="682"/>
      <c r="E58" s="682"/>
      <c r="F58" s="682"/>
      <c r="G58" s="682"/>
      <c r="H58" s="682"/>
      <c r="I58" s="682"/>
      <c r="J58" s="682"/>
      <c r="K58" s="682"/>
      <c r="L58" s="682"/>
    </row>
    <row r="59" spans="3:12" ht="15" x14ac:dyDescent="0.2">
      <c r="C59" s="655"/>
      <c r="D59" s="655"/>
      <c r="E59" s="655"/>
      <c r="F59" s="655"/>
      <c r="G59" s="655"/>
      <c r="H59" s="655"/>
      <c r="I59" s="655"/>
      <c r="J59" s="655"/>
      <c r="K59" s="655"/>
      <c r="L59" s="655"/>
    </row>
    <row r="60" spans="3:12" ht="15" x14ac:dyDescent="0.2">
      <c r="C60" s="249"/>
      <c r="D60" s="249"/>
      <c r="E60" s="249"/>
      <c r="F60" s="249"/>
      <c r="G60" s="249"/>
      <c r="H60" s="249"/>
      <c r="I60" s="249"/>
      <c r="J60" s="249"/>
      <c r="K60" s="249"/>
      <c r="L60" s="249"/>
    </row>
    <row r="61" spans="3:12" ht="15" x14ac:dyDescent="0.2">
      <c r="C61" s="38"/>
      <c r="D61" s="38"/>
      <c r="E61" s="38"/>
      <c r="F61" s="38"/>
      <c r="G61" s="38"/>
      <c r="H61" s="38"/>
      <c r="I61" s="38"/>
      <c r="J61" s="38"/>
      <c r="K61" s="38"/>
      <c r="L61" s="38"/>
    </row>
    <row r="62" spans="3:12" ht="15" x14ac:dyDescent="0.2">
      <c r="C62" s="413"/>
      <c r="D62" s="38"/>
      <c r="E62" s="38"/>
      <c r="F62" s="38"/>
      <c r="G62" s="38"/>
      <c r="H62" s="38"/>
      <c r="I62" s="38"/>
      <c r="J62" s="38"/>
      <c r="K62" s="38"/>
      <c r="L62" s="38"/>
    </row>
    <row r="63" spans="3:12" ht="15" x14ac:dyDescent="0.2">
      <c r="C63" s="38"/>
      <c r="D63" s="38"/>
      <c r="E63" s="38"/>
      <c r="F63" s="249"/>
      <c r="G63" s="38"/>
      <c r="H63" s="38"/>
      <c r="I63" s="38"/>
      <c r="J63" s="38"/>
      <c r="K63" s="38"/>
      <c r="L63" s="38"/>
    </row>
    <row r="64" spans="3:12" ht="15" x14ac:dyDescent="0.2">
      <c r="C64" s="249"/>
      <c r="D64" s="38"/>
      <c r="E64" s="38"/>
      <c r="F64" s="249"/>
      <c r="G64" s="249"/>
      <c r="I64" s="249"/>
      <c r="J64" s="38"/>
      <c r="K64" s="38"/>
      <c r="L64" s="38"/>
    </row>
    <row r="65" spans="3:12" ht="15" x14ac:dyDescent="0.2">
      <c r="C65" s="414"/>
      <c r="D65" s="38"/>
      <c r="E65" s="38"/>
      <c r="F65" s="414"/>
      <c r="G65" s="414"/>
      <c r="I65" s="414"/>
      <c r="J65" s="38"/>
      <c r="K65" s="38"/>
      <c r="L65" s="38"/>
    </row>
    <row r="66" spans="3:12" ht="15" x14ac:dyDescent="0.2">
      <c r="C66" s="38"/>
      <c r="D66" s="38"/>
      <c r="E66" s="38"/>
      <c r="F66" s="38"/>
      <c r="G66" s="38"/>
      <c r="I66" s="38"/>
      <c r="J66" s="38"/>
      <c r="K66" s="38"/>
      <c r="L66" s="38"/>
    </row>
    <row r="67" spans="3:12" ht="15" x14ac:dyDescent="0.2">
      <c r="C67" s="253"/>
      <c r="D67" s="38"/>
      <c r="E67" s="38"/>
      <c r="F67" s="415"/>
      <c r="G67" s="415"/>
      <c r="I67" s="415"/>
      <c r="J67" s="38"/>
      <c r="K67" s="38"/>
      <c r="L67" s="38"/>
    </row>
    <row r="68" spans="3:12" ht="15" x14ac:dyDescent="0.2">
      <c r="C68" s="253"/>
      <c r="D68" s="38"/>
      <c r="E68" s="38"/>
      <c r="F68" s="411"/>
      <c r="G68" s="411"/>
      <c r="I68" s="411"/>
      <c r="J68" s="38"/>
      <c r="K68" s="38"/>
      <c r="L68" s="38"/>
    </row>
    <row r="69" spans="3:12" ht="15" x14ac:dyDescent="0.2">
      <c r="C69" s="249"/>
      <c r="D69" s="38"/>
      <c r="E69" s="38"/>
      <c r="F69" s="411"/>
      <c r="G69" s="411"/>
      <c r="I69" s="411"/>
      <c r="J69" s="38"/>
      <c r="K69" s="38"/>
      <c r="L69" s="38"/>
    </row>
    <row r="70" spans="3:12" ht="15" x14ac:dyDescent="0.2">
      <c r="C70" s="253"/>
      <c r="D70" s="38"/>
      <c r="E70" s="38"/>
      <c r="F70" s="411"/>
      <c r="G70" s="411"/>
      <c r="I70" s="411"/>
      <c r="J70" s="38"/>
      <c r="K70" s="38"/>
      <c r="L70" s="38"/>
    </row>
    <row r="71" spans="3:12" ht="15" x14ac:dyDescent="0.2">
      <c r="C71" s="249"/>
      <c r="D71" s="38"/>
      <c r="E71" s="38"/>
      <c r="F71" s="411"/>
      <c r="G71" s="411"/>
      <c r="I71" s="411"/>
      <c r="J71" s="38"/>
      <c r="K71" s="38"/>
      <c r="L71" s="38"/>
    </row>
    <row r="72" spans="3:12" ht="15" x14ac:dyDescent="0.2">
      <c r="C72" s="249"/>
      <c r="D72" s="38"/>
      <c r="E72" s="38"/>
      <c r="F72" s="411"/>
      <c r="G72" s="411"/>
      <c r="I72" s="411"/>
      <c r="J72" s="38"/>
      <c r="K72" s="38"/>
      <c r="L72" s="38"/>
    </row>
    <row r="73" spans="3:12" ht="15" x14ac:dyDescent="0.2">
      <c r="C73" s="249"/>
      <c r="D73" s="38"/>
      <c r="E73" s="38"/>
      <c r="F73" s="411"/>
      <c r="G73" s="411"/>
      <c r="I73" s="411"/>
      <c r="J73" s="38"/>
      <c r="K73" s="38"/>
      <c r="L73" s="38"/>
    </row>
    <row r="74" spans="3:12" ht="15" x14ac:dyDescent="0.2">
      <c r="C74" s="249"/>
      <c r="D74" s="38"/>
      <c r="E74" s="38"/>
      <c r="F74" s="411"/>
      <c r="G74" s="411"/>
      <c r="I74" s="411"/>
      <c r="J74" s="38"/>
      <c r="K74" s="38"/>
      <c r="L74" s="38"/>
    </row>
    <row r="75" spans="3:12" ht="15" x14ac:dyDescent="0.2">
      <c r="C75" s="249"/>
      <c r="D75" s="38"/>
      <c r="E75" s="38"/>
      <c r="F75" s="411"/>
      <c r="G75" s="411"/>
      <c r="I75" s="411"/>
      <c r="J75" s="38"/>
      <c r="K75" s="38"/>
      <c r="L75" s="38"/>
    </row>
    <row r="76" spans="3:12" ht="15" x14ac:dyDescent="0.2">
      <c r="C76" s="249"/>
      <c r="D76" s="38"/>
      <c r="E76" s="38"/>
      <c r="F76" s="411"/>
      <c r="G76" s="411"/>
      <c r="I76" s="411"/>
      <c r="J76" s="38"/>
      <c r="K76" s="38"/>
      <c r="L76" s="38"/>
    </row>
    <row r="77" spans="3:12" ht="15" x14ac:dyDescent="0.2">
      <c r="C77" s="38"/>
      <c r="D77" s="38"/>
      <c r="E77" s="38"/>
      <c r="F77" s="411"/>
      <c r="G77" s="411"/>
      <c r="I77" s="411"/>
      <c r="J77" s="38"/>
      <c r="K77" s="38"/>
      <c r="L77" s="38"/>
    </row>
    <row r="78" spans="3:12" ht="15" x14ac:dyDescent="0.2">
      <c r="C78" s="38"/>
      <c r="D78" s="38"/>
      <c r="E78" s="38"/>
      <c r="F78" s="681"/>
      <c r="G78" s="681"/>
      <c r="H78" s="681"/>
      <c r="I78" s="38"/>
      <c r="J78" s="681"/>
      <c r="K78" s="681"/>
      <c r="L78" s="681"/>
    </row>
    <row r="79" spans="3:12" ht="15" x14ac:dyDescent="0.2">
      <c r="C79" s="38"/>
      <c r="D79" s="38"/>
      <c r="E79" s="38"/>
      <c r="F79" s="412"/>
      <c r="G79" s="412"/>
      <c r="H79" s="412"/>
      <c r="I79" s="38"/>
      <c r="J79" s="412"/>
      <c r="K79" s="412"/>
      <c r="L79" s="412"/>
    </row>
    <row r="80" spans="3:12" ht="15" x14ac:dyDescent="0.2">
      <c r="C80" s="413"/>
      <c r="D80" s="38"/>
      <c r="E80" s="38"/>
      <c r="F80" s="414"/>
      <c r="G80" s="414"/>
      <c r="H80" s="414"/>
      <c r="I80" s="38"/>
      <c r="J80" s="414"/>
      <c r="K80" s="414"/>
      <c r="L80" s="414"/>
    </row>
    <row r="81" spans="3:12" ht="15" x14ac:dyDescent="0.2">
      <c r="C81" s="38"/>
      <c r="D81" s="38"/>
      <c r="E81" s="38"/>
      <c r="F81" s="38"/>
      <c r="G81" s="38"/>
      <c r="H81" s="38"/>
      <c r="I81" s="38"/>
      <c r="J81" s="38"/>
      <c r="K81" s="38"/>
      <c r="L81" s="38"/>
    </row>
    <row r="82" spans="3:12" ht="15" x14ac:dyDescent="0.2">
      <c r="C82" s="38"/>
      <c r="D82" s="38"/>
      <c r="E82" s="38"/>
      <c r="F82" s="249"/>
      <c r="G82" s="406"/>
      <c r="H82" s="249"/>
      <c r="I82" s="38"/>
      <c r="J82" s="416"/>
      <c r="K82" s="406"/>
      <c r="L82" s="406"/>
    </row>
    <row r="83" spans="3:12" ht="15" x14ac:dyDescent="0.2">
      <c r="C83" s="38"/>
      <c r="D83" s="38"/>
      <c r="E83" s="38"/>
      <c r="F83" s="417"/>
      <c r="G83" s="409"/>
      <c r="H83" s="418"/>
      <c r="I83" s="38"/>
      <c r="J83" s="419"/>
      <c r="K83" s="409"/>
      <c r="L83" s="409"/>
    </row>
    <row r="84" spans="3:12" ht="15" x14ac:dyDescent="0.2">
      <c r="C84" s="38"/>
      <c r="D84" s="38"/>
      <c r="E84" s="38"/>
      <c r="F84" s="411"/>
      <c r="G84" s="409"/>
      <c r="H84" s="420"/>
      <c r="I84" s="38"/>
      <c r="J84" s="419"/>
      <c r="K84" s="409"/>
      <c r="L84" s="409"/>
    </row>
    <row r="85" spans="3:12" ht="15" x14ac:dyDescent="0.2">
      <c r="C85" s="38"/>
      <c r="D85" s="38"/>
      <c r="E85" s="38"/>
      <c r="F85" s="411"/>
      <c r="G85" s="409"/>
      <c r="H85" s="420"/>
      <c r="I85" s="38"/>
      <c r="J85" s="419"/>
      <c r="K85" s="409"/>
      <c r="L85" s="409"/>
    </row>
    <row r="86" spans="3:12" ht="15" x14ac:dyDescent="0.2">
      <c r="C86" s="38"/>
      <c r="D86" s="38"/>
      <c r="E86" s="38"/>
      <c r="F86" s="411"/>
      <c r="G86" s="409"/>
      <c r="H86" s="420"/>
      <c r="I86" s="38"/>
      <c r="J86" s="419"/>
      <c r="K86" s="409"/>
      <c r="L86" s="409"/>
    </row>
    <row r="87" spans="3:12" ht="15" x14ac:dyDescent="0.2">
      <c r="C87" s="38"/>
      <c r="D87" s="38"/>
      <c r="E87" s="38"/>
      <c r="F87" s="409"/>
      <c r="G87" s="409"/>
      <c r="H87" s="420"/>
      <c r="I87" s="38"/>
      <c r="J87" s="419"/>
      <c r="K87" s="409"/>
      <c r="L87" s="409"/>
    </row>
    <row r="88" spans="3:12" ht="15" x14ac:dyDescent="0.2">
      <c r="C88" s="38"/>
      <c r="D88" s="38"/>
      <c r="E88" s="38"/>
      <c r="F88" s="409"/>
      <c r="G88" s="409"/>
      <c r="H88" s="420"/>
      <c r="I88" s="38"/>
      <c r="J88" s="409"/>
      <c r="K88" s="409"/>
      <c r="L88" s="409"/>
    </row>
    <row r="89" spans="3:12" ht="15" x14ac:dyDescent="0.2">
      <c r="C89" s="38"/>
      <c r="D89" s="38"/>
      <c r="E89" s="38"/>
      <c r="F89" s="38"/>
      <c r="G89" s="38"/>
      <c r="H89" s="38"/>
      <c r="I89" s="38"/>
      <c r="J89" s="409"/>
      <c r="K89" s="409"/>
      <c r="L89" s="409"/>
    </row>
    <row r="90" spans="3:12" ht="15" x14ac:dyDescent="0.2">
      <c r="C90" s="413"/>
      <c r="D90" s="38"/>
      <c r="E90" s="38"/>
      <c r="F90" s="38"/>
      <c r="G90" s="38"/>
      <c r="H90" s="38"/>
      <c r="I90" s="38"/>
      <c r="J90" s="38"/>
      <c r="K90" s="38"/>
      <c r="L90" s="38"/>
    </row>
    <row r="91" spans="3:12" ht="15" x14ac:dyDescent="0.2">
      <c r="C91" s="682"/>
      <c r="D91" s="682"/>
      <c r="E91" s="682"/>
      <c r="F91" s="682"/>
      <c r="G91" s="682"/>
      <c r="H91" s="682"/>
      <c r="I91" s="682"/>
      <c r="J91" s="682"/>
      <c r="K91" s="682"/>
      <c r="L91" s="682"/>
    </row>
    <row r="93" spans="3:12" ht="15" x14ac:dyDescent="0.2">
      <c r="C93" s="682"/>
      <c r="D93" s="682"/>
      <c r="E93" s="682"/>
      <c r="F93" s="682"/>
      <c r="G93" s="682"/>
      <c r="H93" s="682"/>
      <c r="I93" s="682"/>
      <c r="J93" s="682"/>
      <c r="K93" s="682"/>
      <c r="L93" s="682"/>
    </row>
    <row r="94" spans="3:12" ht="15" x14ac:dyDescent="0.2">
      <c r="C94" s="655"/>
      <c r="D94" s="655"/>
      <c r="E94" s="655"/>
      <c r="F94" s="655"/>
      <c r="G94" s="655"/>
      <c r="H94" s="655"/>
      <c r="I94" s="655"/>
      <c r="J94" s="655"/>
      <c r="K94" s="655"/>
      <c r="L94" s="655"/>
    </row>
    <row r="95" spans="3:12" ht="15" x14ac:dyDescent="0.2">
      <c r="C95" s="249"/>
      <c r="D95" s="249"/>
      <c r="E95" s="249"/>
      <c r="F95" s="249"/>
      <c r="G95" s="249"/>
      <c r="H95" s="249"/>
      <c r="I95" s="249"/>
      <c r="J95" s="249"/>
      <c r="K95" s="249"/>
      <c r="L95" s="249"/>
    </row>
    <row r="96" spans="3:12" ht="15" x14ac:dyDescent="0.2">
      <c r="C96" s="38"/>
      <c r="D96" s="38"/>
      <c r="E96" s="38"/>
      <c r="F96" s="38"/>
      <c r="G96" s="38"/>
      <c r="H96" s="38"/>
      <c r="I96" s="38"/>
      <c r="J96" s="38"/>
      <c r="K96" s="38"/>
      <c r="L96" s="38"/>
    </row>
    <row r="97" spans="3:12" ht="15" x14ac:dyDescent="0.2">
      <c r="C97" s="413"/>
      <c r="D97" s="38"/>
      <c r="E97" s="38"/>
      <c r="F97" s="38"/>
      <c r="G97" s="38"/>
      <c r="H97" s="38"/>
      <c r="I97" s="38"/>
      <c r="J97" s="38"/>
      <c r="K97" s="38"/>
      <c r="L97" s="38"/>
    </row>
    <row r="98" spans="3:12" ht="15" x14ac:dyDescent="0.2">
      <c r="C98" s="38"/>
      <c r="D98" s="38"/>
      <c r="E98" s="38"/>
      <c r="F98" s="249"/>
      <c r="G98" s="38"/>
      <c r="H98" s="38"/>
      <c r="I98" s="38"/>
      <c r="J98" s="38"/>
      <c r="K98" s="38"/>
      <c r="L98" s="38"/>
    </row>
    <row r="99" spans="3:12" ht="15" x14ac:dyDescent="0.2">
      <c r="C99" s="249"/>
      <c r="D99" s="38"/>
      <c r="E99" s="38"/>
      <c r="F99" s="249"/>
      <c r="G99" s="249"/>
      <c r="I99" s="249"/>
      <c r="J99" s="38"/>
      <c r="K99" s="38"/>
      <c r="L99" s="38"/>
    </row>
    <row r="100" spans="3:12" ht="15" x14ac:dyDescent="0.2">
      <c r="C100" s="414"/>
      <c r="D100" s="38"/>
      <c r="E100" s="38"/>
      <c r="F100" s="414"/>
      <c r="G100" s="414"/>
      <c r="I100" s="414"/>
      <c r="J100" s="38"/>
      <c r="K100" s="38"/>
      <c r="L100" s="38"/>
    </row>
    <row r="101" spans="3:12" ht="15" x14ac:dyDescent="0.2">
      <c r="C101" s="38"/>
      <c r="D101" s="38"/>
      <c r="E101" s="38"/>
      <c r="F101" s="38"/>
      <c r="G101" s="38"/>
      <c r="I101" s="38"/>
      <c r="J101" s="38"/>
      <c r="K101" s="38"/>
      <c r="L101" s="38"/>
    </row>
    <row r="102" spans="3:12" ht="15" x14ac:dyDescent="0.2">
      <c r="C102" s="253"/>
      <c r="D102" s="38"/>
      <c r="E102" s="38"/>
      <c r="F102" s="415"/>
      <c r="G102" s="415"/>
      <c r="I102" s="415"/>
      <c r="J102" s="38"/>
      <c r="K102" s="38"/>
      <c r="L102" s="38"/>
    </row>
    <row r="103" spans="3:12" ht="15" x14ac:dyDescent="0.2">
      <c r="C103" s="253"/>
      <c r="D103" s="38"/>
      <c r="E103" s="38"/>
      <c r="F103" s="411"/>
      <c r="G103" s="411"/>
      <c r="I103" s="411"/>
      <c r="J103" s="38"/>
      <c r="K103" s="38"/>
      <c r="L103" s="38"/>
    </row>
    <row r="104" spans="3:12" ht="15" x14ac:dyDescent="0.2">
      <c r="C104" s="249"/>
      <c r="D104" s="38"/>
      <c r="E104" s="38"/>
      <c r="F104" s="411"/>
      <c r="G104" s="411"/>
      <c r="I104" s="411"/>
      <c r="J104" s="38"/>
      <c r="K104" s="38"/>
      <c r="L104" s="38"/>
    </row>
    <row r="105" spans="3:12" ht="15" x14ac:dyDescent="0.2">
      <c r="C105" s="253"/>
      <c r="D105" s="38"/>
      <c r="E105" s="38"/>
      <c r="F105" s="411"/>
      <c r="G105" s="411"/>
      <c r="I105" s="411"/>
      <c r="J105" s="38"/>
      <c r="K105" s="38"/>
      <c r="L105" s="38"/>
    </row>
    <row r="106" spans="3:12" ht="15" x14ac:dyDescent="0.2">
      <c r="C106" s="249"/>
      <c r="D106" s="38"/>
      <c r="E106" s="38"/>
      <c r="F106" s="411"/>
      <c r="G106" s="411"/>
      <c r="I106" s="411"/>
      <c r="J106" s="38"/>
      <c r="K106" s="38"/>
      <c r="L106" s="38"/>
    </row>
    <row r="107" spans="3:12" ht="15" x14ac:dyDescent="0.2">
      <c r="C107" s="249"/>
      <c r="D107" s="38"/>
      <c r="E107" s="38"/>
      <c r="F107" s="411"/>
      <c r="G107" s="411"/>
      <c r="I107" s="411"/>
      <c r="J107" s="38"/>
      <c r="K107" s="38"/>
      <c r="L107" s="38"/>
    </row>
    <row r="108" spans="3:12" ht="15" x14ac:dyDescent="0.2">
      <c r="C108" s="249"/>
      <c r="D108" s="38"/>
      <c r="E108" s="38"/>
      <c r="F108" s="411"/>
      <c r="G108" s="411"/>
      <c r="I108" s="411"/>
      <c r="J108" s="38"/>
      <c r="K108" s="38"/>
      <c r="L108" s="38"/>
    </row>
    <row r="109" spans="3:12" ht="15" x14ac:dyDescent="0.2">
      <c r="C109" s="249"/>
      <c r="D109" s="38"/>
      <c r="E109" s="38"/>
      <c r="F109" s="411"/>
      <c r="G109" s="411"/>
      <c r="I109" s="411"/>
      <c r="J109" s="38"/>
      <c r="K109" s="38"/>
      <c r="L109" s="38"/>
    </row>
    <row r="110" spans="3:12" ht="15" x14ac:dyDescent="0.2">
      <c r="C110" s="249"/>
      <c r="D110" s="38"/>
      <c r="E110" s="38"/>
      <c r="F110" s="411"/>
      <c r="G110" s="411"/>
      <c r="I110" s="411"/>
      <c r="J110" s="38"/>
      <c r="K110" s="38"/>
      <c r="L110" s="38"/>
    </row>
    <row r="111" spans="3:12" ht="15" x14ac:dyDescent="0.2">
      <c r="C111" s="249"/>
      <c r="D111" s="38"/>
      <c r="E111" s="38"/>
      <c r="F111" s="411"/>
      <c r="G111" s="411"/>
      <c r="I111" s="411"/>
      <c r="J111" s="38"/>
      <c r="K111" s="38"/>
      <c r="L111" s="38"/>
    </row>
    <row r="112" spans="3:12" ht="15" x14ac:dyDescent="0.2">
      <c r="C112" s="38"/>
      <c r="D112" s="38"/>
      <c r="E112" s="38"/>
      <c r="F112" s="411"/>
      <c r="G112" s="411"/>
      <c r="I112" s="411"/>
      <c r="J112" s="38"/>
      <c r="K112" s="38"/>
      <c r="L112" s="38"/>
    </row>
    <row r="113" spans="3:12" ht="15" x14ac:dyDescent="0.2">
      <c r="C113" s="38"/>
      <c r="D113" s="38"/>
      <c r="E113" s="38"/>
      <c r="F113" s="681"/>
      <c r="G113" s="681"/>
      <c r="H113" s="681"/>
      <c r="I113" s="38"/>
      <c r="J113" s="681"/>
      <c r="K113" s="681"/>
      <c r="L113" s="681"/>
    </row>
    <row r="114" spans="3:12" ht="15" x14ac:dyDescent="0.2">
      <c r="C114" s="38"/>
      <c r="D114" s="38"/>
      <c r="E114" s="38"/>
      <c r="F114" s="412"/>
      <c r="G114" s="412"/>
      <c r="H114" s="412"/>
      <c r="I114" s="38"/>
      <c r="J114" s="412"/>
      <c r="K114" s="412"/>
      <c r="L114" s="412"/>
    </row>
    <row r="115" spans="3:12" ht="15" x14ac:dyDescent="0.2">
      <c r="C115" s="413"/>
      <c r="D115" s="38"/>
      <c r="E115" s="38"/>
      <c r="F115" s="414"/>
      <c r="G115" s="414"/>
      <c r="H115" s="414"/>
      <c r="I115" s="38"/>
      <c r="J115" s="414"/>
      <c r="K115" s="414"/>
      <c r="L115" s="414"/>
    </row>
    <row r="116" spans="3:12" ht="15" x14ac:dyDescent="0.2">
      <c r="C116" s="38"/>
      <c r="D116" s="38"/>
      <c r="E116" s="38"/>
      <c r="F116" s="38"/>
      <c r="G116" s="38"/>
      <c r="H116" s="38"/>
      <c r="I116" s="38"/>
      <c r="J116" s="38"/>
      <c r="K116" s="38"/>
      <c r="L116" s="38"/>
    </row>
    <row r="117" spans="3:12" ht="15" x14ac:dyDescent="0.2">
      <c r="C117" s="38"/>
      <c r="D117" s="38"/>
      <c r="E117" s="38"/>
      <c r="F117" s="249"/>
      <c r="G117" s="406"/>
      <c r="H117" s="249"/>
      <c r="I117" s="38"/>
      <c r="J117" s="416"/>
      <c r="K117" s="406"/>
      <c r="L117" s="406"/>
    </row>
    <row r="118" spans="3:12" ht="15" x14ac:dyDescent="0.2">
      <c r="C118" s="38"/>
      <c r="D118" s="38"/>
      <c r="E118" s="38"/>
      <c r="F118" s="417"/>
      <c r="G118" s="409"/>
      <c r="H118" s="421"/>
      <c r="I118" s="38"/>
      <c r="J118" s="419"/>
      <c r="K118" s="409"/>
      <c r="L118" s="409"/>
    </row>
    <row r="119" spans="3:12" ht="15" x14ac:dyDescent="0.2">
      <c r="C119" s="38"/>
      <c r="D119" s="38"/>
      <c r="E119" s="38"/>
      <c r="F119" s="411"/>
      <c r="G119" s="409"/>
      <c r="H119" s="422"/>
      <c r="I119" s="38"/>
      <c r="J119" s="419"/>
      <c r="K119" s="409"/>
      <c r="L119" s="409"/>
    </row>
    <row r="120" spans="3:12" ht="15" x14ac:dyDescent="0.2">
      <c r="C120" s="38"/>
      <c r="D120" s="38"/>
      <c r="E120" s="38"/>
      <c r="F120" s="409"/>
      <c r="G120" s="409"/>
      <c r="H120" s="420"/>
      <c r="I120" s="38"/>
      <c r="J120" s="419"/>
      <c r="K120" s="409"/>
      <c r="L120" s="409"/>
    </row>
    <row r="121" spans="3:12" ht="15" x14ac:dyDescent="0.2">
      <c r="C121" s="38"/>
      <c r="D121" s="38"/>
      <c r="E121" s="38"/>
      <c r="F121" s="409"/>
      <c r="G121" s="409"/>
      <c r="H121" s="420"/>
      <c r="I121" s="38"/>
      <c r="J121" s="409"/>
      <c r="K121" s="409"/>
      <c r="L121" s="409"/>
    </row>
    <row r="123" spans="3:12" ht="15" x14ac:dyDescent="0.2">
      <c r="C123" s="682"/>
      <c r="D123" s="682"/>
      <c r="E123" s="682"/>
      <c r="F123" s="682"/>
      <c r="G123" s="682"/>
      <c r="H123" s="682"/>
      <c r="I123" s="682"/>
      <c r="J123" s="682"/>
      <c r="K123" s="682"/>
      <c r="L123" s="682"/>
    </row>
    <row r="125" spans="3:12" ht="15" x14ac:dyDescent="0.2">
      <c r="C125" s="682"/>
      <c r="D125" s="682"/>
      <c r="E125" s="682"/>
      <c r="F125" s="682"/>
      <c r="G125" s="682"/>
      <c r="H125" s="682"/>
      <c r="I125" s="682"/>
      <c r="J125" s="682"/>
      <c r="K125" s="682"/>
      <c r="L125" s="682"/>
    </row>
    <row r="126" spans="3:12" ht="15" x14ac:dyDescent="0.2">
      <c r="C126" s="655"/>
      <c r="D126" s="655"/>
      <c r="E126" s="655"/>
      <c r="F126" s="655"/>
      <c r="G126" s="655"/>
      <c r="H126" s="655"/>
      <c r="I126" s="655"/>
      <c r="J126" s="655"/>
      <c r="K126" s="655"/>
      <c r="L126" s="655"/>
    </row>
    <row r="127" spans="3:12" ht="15" x14ac:dyDescent="0.2">
      <c r="C127" s="249"/>
      <c r="D127" s="249"/>
      <c r="E127" s="249"/>
      <c r="F127" s="249"/>
      <c r="G127" s="249"/>
      <c r="H127" s="249"/>
      <c r="I127" s="249"/>
      <c r="J127" s="249"/>
      <c r="K127" s="249"/>
      <c r="L127" s="249"/>
    </row>
    <row r="128" spans="3:12" ht="15" x14ac:dyDescent="0.2">
      <c r="C128" s="38"/>
      <c r="D128" s="38"/>
      <c r="E128" s="38"/>
      <c r="F128" s="38"/>
      <c r="G128" s="38"/>
      <c r="H128" s="38"/>
      <c r="I128" s="38"/>
      <c r="J128" s="38"/>
      <c r="K128" s="38"/>
      <c r="L128" s="38"/>
    </row>
    <row r="129" spans="3:12" ht="15" x14ac:dyDescent="0.2">
      <c r="C129" s="413"/>
      <c r="D129" s="38"/>
      <c r="E129" s="38"/>
      <c r="F129" s="38"/>
      <c r="G129" s="38"/>
      <c r="H129" s="38"/>
      <c r="I129" s="38"/>
      <c r="J129" s="38"/>
      <c r="K129" s="38"/>
      <c r="L129" s="38"/>
    </row>
    <row r="130" spans="3:12" ht="9.75" customHeight="1" x14ac:dyDescent="0.2">
      <c r="C130" s="38"/>
      <c r="D130" s="38"/>
      <c r="E130" s="38"/>
      <c r="F130" s="249"/>
      <c r="G130" s="38"/>
      <c r="H130" s="38"/>
      <c r="I130" s="38"/>
      <c r="J130" s="38"/>
      <c r="K130" s="38"/>
      <c r="L130" s="38"/>
    </row>
    <row r="131" spans="3:12" ht="15" x14ac:dyDescent="0.2">
      <c r="C131" s="249"/>
      <c r="D131" s="38"/>
      <c r="E131" s="38"/>
      <c r="F131" s="683"/>
      <c r="G131" s="683"/>
      <c r="H131" s="683"/>
      <c r="I131" s="683"/>
      <c r="J131" s="38"/>
      <c r="K131" s="38"/>
      <c r="L131" s="249"/>
    </row>
    <row r="132" spans="3:12" ht="15" x14ac:dyDescent="0.2">
      <c r="C132" s="414"/>
      <c r="D132" s="38"/>
      <c r="E132" s="38"/>
      <c r="F132" s="414"/>
      <c r="G132" s="414"/>
      <c r="H132" s="414"/>
      <c r="I132" s="414"/>
      <c r="J132" s="38"/>
      <c r="K132" s="38"/>
      <c r="L132" s="414"/>
    </row>
    <row r="133" spans="3:12" ht="15" x14ac:dyDescent="0.2">
      <c r="C133" s="38"/>
      <c r="D133" s="38"/>
      <c r="E133" s="38"/>
      <c r="F133" s="38"/>
      <c r="G133" s="38"/>
      <c r="J133" s="38"/>
      <c r="K133" s="38"/>
      <c r="L133" s="38"/>
    </row>
    <row r="134" spans="3:12" ht="15" x14ac:dyDescent="0.2">
      <c r="C134" s="253"/>
      <c r="D134" s="38"/>
      <c r="E134" s="38"/>
      <c r="F134" s="415"/>
      <c r="G134" s="415"/>
      <c r="H134" s="415"/>
      <c r="I134" s="415"/>
      <c r="J134" s="38"/>
      <c r="K134" s="38"/>
      <c r="L134" s="415"/>
    </row>
    <row r="135" spans="3:12" ht="15" x14ac:dyDescent="0.2">
      <c r="C135" s="253"/>
      <c r="D135" s="38"/>
      <c r="E135" s="38"/>
      <c r="F135" s="411"/>
      <c r="G135" s="411"/>
      <c r="H135" s="411"/>
      <c r="I135" s="411"/>
      <c r="J135" s="38"/>
      <c r="K135" s="38"/>
      <c r="L135" s="411"/>
    </row>
    <row r="136" spans="3:12" ht="15" x14ac:dyDescent="0.2">
      <c r="C136" s="249"/>
      <c r="D136" s="38"/>
      <c r="E136" s="38"/>
      <c r="F136" s="411"/>
      <c r="G136" s="411"/>
      <c r="H136" s="411"/>
      <c r="I136" s="411"/>
      <c r="J136" s="38"/>
      <c r="K136" s="38"/>
      <c r="L136" s="411"/>
    </row>
    <row r="137" spans="3:12" ht="15" x14ac:dyDescent="0.2">
      <c r="C137" s="253"/>
      <c r="D137" s="38"/>
      <c r="E137" s="38"/>
      <c r="F137" s="411"/>
      <c r="G137" s="411"/>
      <c r="H137" s="411"/>
      <c r="I137" s="411"/>
      <c r="J137" s="38"/>
      <c r="K137" s="38"/>
      <c r="L137" s="411"/>
    </row>
    <row r="138" spans="3:12" ht="15" x14ac:dyDescent="0.2">
      <c r="C138" s="249"/>
      <c r="D138" s="38"/>
      <c r="E138" s="38"/>
      <c r="F138" s="411"/>
      <c r="G138" s="411"/>
      <c r="H138" s="411"/>
      <c r="I138" s="411"/>
      <c r="J138" s="38"/>
      <c r="K138" s="38"/>
      <c r="L138" s="411"/>
    </row>
    <row r="139" spans="3:12" ht="15" x14ac:dyDescent="0.2">
      <c r="C139" s="249"/>
      <c r="D139" s="38"/>
      <c r="E139" s="38"/>
      <c r="F139" s="411"/>
      <c r="G139" s="411"/>
      <c r="H139" s="411"/>
      <c r="I139" s="411"/>
      <c r="J139" s="38"/>
      <c r="K139" s="38"/>
      <c r="L139" s="411"/>
    </row>
    <row r="140" spans="3:12" ht="15" x14ac:dyDescent="0.2">
      <c r="C140" s="249"/>
      <c r="D140" s="38"/>
      <c r="E140" s="38"/>
      <c r="F140" s="411"/>
      <c r="G140" s="411"/>
      <c r="H140" s="411"/>
      <c r="I140" s="411"/>
      <c r="J140" s="38"/>
      <c r="K140" s="38"/>
      <c r="L140" s="411"/>
    </row>
    <row r="141" spans="3:12" ht="15" x14ac:dyDescent="0.2">
      <c r="C141" s="249"/>
      <c r="D141" s="38"/>
      <c r="E141" s="38"/>
      <c r="F141" s="411"/>
      <c r="G141" s="411"/>
      <c r="H141" s="411"/>
      <c r="I141" s="411"/>
      <c r="J141" s="38"/>
      <c r="K141" s="38"/>
      <c r="L141" s="411"/>
    </row>
    <row r="142" spans="3:12" ht="15" x14ac:dyDescent="0.2">
      <c r="C142" s="249"/>
      <c r="D142" s="38"/>
      <c r="E142" s="38"/>
      <c r="F142" s="411"/>
      <c r="G142" s="411"/>
      <c r="H142" s="411"/>
      <c r="I142" s="411"/>
      <c r="J142" s="38"/>
      <c r="K142" s="38"/>
      <c r="L142" s="411"/>
    </row>
    <row r="143" spans="3:12" ht="15" x14ac:dyDescent="0.2">
      <c r="C143" s="249"/>
      <c r="D143" s="38"/>
      <c r="E143" s="38"/>
      <c r="F143" s="411"/>
      <c r="G143" s="411"/>
      <c r="I143" s="411"/>
      <c r="J143" s="38"/>
      <c r="K143" s="38"/>
      <c r="L143" s="38"/>
    </row>
    <row r="144" spans="3:12" ht="15" x14ac:dyDescent="0.2">
      <c r="C144" s="38"/>
      <c r="D144" s="38"/>
      <c r="E144" s="38"/>
      <c r="F144" s="411"/>
      <c r="G144" s="411"/>
      <c r="I144" s="411"/>
      <c r="J144" s="38"/>
      <c r="K144" s="38"/>
      <c r="L144" s="38"/>
    </row>
    <row r="145" spans="3:12" ht="15" x14ac:dyDescent="0.2">
      <c r="C145" s="38"/>
      <c r="D145" s="38"/>
      <c r="E145" s="38"/>
      <c r="F145" s="681"/>
      <c r="G145" s="681"/>
      <c r="H145" s="681"/>
      <c r="I145" s="38"/>
      <c r="J145" s="681"/>
      <c r="K145" s="681"/>
      <c r="L145" s="681"/>
    </row>
    <row r="146" spans="3:12" ht="15" x14ac:dyDescent="0.2">
      <c r="C146" s="38"/>
      <c r="D146" s="38"/>
      <c r="E146" s="38"/>
      <c r="F146" s="412"/>
      <c r="G146" s="412"/>
      <c r="H146" s="412"/>
      <c r="I146" s="38"/>
      <c r="J146" s="412"/>
      <c r="K146" s="412"/>
      <c r="L146" s="412"/>
    </row>
    <row r="147" spans="3:12" ht="15" x14ac:dyDescent="0.2">
      <c r="C147" s="413"/>
      <c r="D147" s="38"/>
      <c r="E147" s="38"/>
      <c r="F147" s="414"/>
      <c r="G147" s="414"/>
      <c r="H147" s="414"/>
      <c r="I147" s="38"/>
      <c r="J147" s="414"/>
      <c r="K147" s="414"/>
      <c r="L147" s="414"/>
    </row>
    <row r="148" spans="3:12" ht="8.25" customHeight="1" x14ac:dyDescent="0.2">
      <c r="C148" s="38"/>
      <c r="D148" s="38"/>
      <c r="E148" s="38"/>
      <c r="F148" s="38"/>
      <c r="G148" s="38"/>
      <c r="H148" s="38"/>
      <c r="I148" s="38"/>
      <c r="J148" s="38"/>
      <c r="K148" s="38"/>
      <c r="L148" s="38"/>
    </row>
    <row r="149" spans="3:12" ht="15" x14ac:dyDescent="0.2">
      <c r="C149" s="38"/>
      <c r="D149" s="38"/>
      <c r="E149" s="38"/>
      <c r="F149" s="249"/>
      <c r="G149" s="406"/>
      <c r="H149" s="249"/>
      <c r="I149" s="38"/>
      <c r="J149" s="416"/>
      <c r="K149" s="406"/>
      <c r="L149" s="406"/>
    </row>
    <row r="150" spans="3:12" ht="15" x14ac:dyDescent="0.2">
      <c r="C150" s="38"/>
      <c r="D150" s="38"/>
      <c r="E150" s="38"/>
      <c r="F150" s="417"/>
      <c r="G150" s="409"/>
      <c r="H150" s="418"/>
      <c r="I150" s="38"/>
      <c r="J150" s="419"/>
      <c r="K150" s="409"/>
      <c r="L150" s="409"/>
    </row>
    <row r="151" spans="3:12" ht="15" x14ac:dyDescent="0.2">
      <c r="C151" s="38"/>
      <c r="D151" s="38"/>
      <c r="E151" s="38"/>
      <c r="F151" s="411"/>
      <c r="G151" s="409"/>
      <c r="H151" s="420"/>
      <c r="I151" s="38"/>
      <c r="J151" s="419"/>
      <c r="K151" s="409"/>
      <c r="L151" s="409"/>
    </row>
    <row r="152" spans="3:12" ht="15" x14ac:dyDescent="0.2">
      <c r="C152" s="38"/>
      <c r="D152" s="38"/>
      <c r="E152" s="38"/>
      <c r="F152" s="411"/>
      <c r="G152" s="409"/>
      <c r="H152" s="420"/>
      <c r="I152" s="38"/>
      <c r="J152" s="419"/>
      <c r="K152" s="409"/>
      <c r="L152" s="409"/>
    </row>
    <row r="153" spans="3:12" ht="15" x14ac:dyDescent="0.2">
      <c r="C153" s="38"/>
      <c r="D153" s="38"/>
      <c r="E153" s="38"/>
      <c r="F153" s="411"/>
      <c r="G153" s="409"/>
      <c r="H153" s="420"/>
      <c r="I153" s="38"/>
      <c r="J153" s="419"/>
      <c r="K153" s="409"/>
      <c r="L153" s="409"/>
    </row>
    <row r="154" spans="3:12" ht="15" x14ac:dyDescent="0.2">
      <c r="C154" s="38"/>
      <c r="D154" s="38"/>
      <c r="E154" s="38"/>
      <c r="F154" s="411"/>
      <c r="G154" s="409"/>
      <c r="H154" s="420"/>
      <c r="I154" s="38"/>
      <c r="J154" s="419"/>
      <c r="K154" s="409"/>
      <c r="L154" s="409"/>
    </row>
    <row r="155" spans="3:12" ht="15" x14ac:dyDescent="0.2">
      <c r="C155" s="38"/>
      <c r="D155" s="38"/>
      <c r="E155" s="38"/>
      <c r="F155" s="411"/>
      <c r="G155" s="409"/>
      <c r="H155" s="420"/>
      <c r="I155" s="38"/>
      <c r="J155" s="419"/>
      <c r="K155" s="409"/>
      <c r="L155" s="409"/>
    </row>
    <row r="156" spans="3:12" ht="15" x14ac:dyDescent="0.2">
      <c r="C156" s="38"/>
      <c r="D156" s="38"/>
      <c r="E156" s="38"/>
      <c r="F156" s="409"/>
      <c r="G156" s="409"/>
      <c r="H156" s="420"/>
      <c r="I156" s="38"/>
      <c r="J156" s="419"/>
      <c r="K156" s="409"/>
      <c r="L156" s="409"/>
    </row>
    <row r="157" spans="3:12" ht="15" x14ac:dyDescent="0.2">
      <c r="C157" s="38"/>
      <c r="D157" s="38"/>
      <c r="E157" s="38"/>
      <c r="F157" s="409"/>
      <c r="G157" s="409"/>
      <c r="H157" s="420"/>
      <c r="I157" s="38"/>
      <c r="J157" s="409"/>
      <c r="K157" s="409"/>
      <c r="L157" s="409"/>
    </row>
    <row r="158" spans="3:12" ht="9.75" customHeight="1" x14ac:dyDescent="0.2">
      <c r="C158" s="38"/>
      <c r="D158" s="38"/>
      <c r="E158" s="38"/>
      <c r="F158" s="411"/>
      <c r="G158" s="411"/>
      <c r="I158" s="38"/>
      <c r="J158" s="38"/>
      <c r="K158" s="38"/>
      <c r="L158" s="38"/>
    </row>
    <row r="159" spans="3:12" ht="15" x14ac:dyDescent="0.2">
      <c r="C159" s="413"/>
      <c r="D159" s="38"/>
      <c r="E159" s="38"/>
      <c r="F159" s="414"/>
      <c r="G159" s="414"/>
      <c r="H159" s="414"/>
      <c r="I159" s="38"/>
      <c r="J159" s="414"/>
      <c r="K159" s="414"/>
      <c r="L159" s="414"/>
    </row>
    <row r="160" spans="3:12" ht="9.1999999999999993" customHeight="1" x14ac:dyDescent="0.2">
      <c r="C160" s="38"/>
      <c r="D160" s="38"/>
      <c r="E160" s="38"/>
      <c r="F160" s="38"/>
      <c r="G160" s="38"/>
      <c r="H160" s="38"/>
      <c r="I160" s="38"/>
      <c r="J160" s="38"/>
      <c r="K160" s="38"/>
      <c r="L160" s="38"/>
    </row>
    <row r="161" spans="3:12" ht="15" x14ac:dyDescent="0.2">
      <c r="C161" s="38"/>
      <c r="D161" s="38"/>
      <c r="E161" s="38"/>
      <c r="F161" s="249"/>
      <c r="G161" s="406"/>
      <c r="H161" s="249"/>
      <c r="I161" s="38"/>
      <c r="J161" s="416"/>
      <c r="K161" s="406"/>
      <c r="L161" s="406"/>
    </row>
    <row r="162" spans="3:12" ht="15" x14ac:dyDescent="0.2">
      <c r="C162" s="38"/>
      <c r="D162" s="38"/>
      <c r="E162" s="38"/>
      <c r="F162" s="417"/>
      <c r="G162" s="409"/>
      <c r="H162" s="421"/>
      <c r="I162" s="38"/>
      <c r="J162" s="419"/>
      <c r="K162" s="409"/>
      <c r="L162" s="409"/>
    </row>
    <row r="163" spans="3:12" ht="15" x14ac:dyDescent="0.2">
      <c r="C163" s="38"/>
      <c r="D163" s="38"/>
      <c r="E163" s="38"/>
      <c r="F163" s="411"/>
      <c r="G163" s="409"/>
      <c r="H163" s="422"/>
      <c r="I163" s="38"/>
      <c r="J163" s="419"/>
      <c r="K163" s="409"/>
      <c r="L163" s="409"/>
    </row>
    <row r="164" spans="3:12" ht="15" x14ac:dyDescent="0.2">
      <c r="C164" s="38"/>
      <c r="D164" s="38"/>
      <c r="E164" s="38"/>
      <c r="F164" s="409"/>
      <c r="G164" s="409"/>
      <c r="H164" s="420"/>
      <c r="I164" s="38"/>
      <c r="J164" s="419"/>
      <c r="K164" s="409"/>
      <c r="L164" s="409"/>
    </row>
    <row r="165" spans="3:12" ht="15" customHeight="1" x14ac:dyDescent="0.2">
      <c r="F165" s="409"/>
      <c r="G165" s="409"/>
      <c r="H165" s="420"/>
      <c r="I165" s="38"/>
      <c r="J165" s="409"/>
      <c r="K165" s="409"/>
      <c r="L165" s="409"/>
    </row>
    <row r="166" spans="3:12" ht="8.25" customHeight="1" x14ac:dyDescent="0.2">
      <c r="C166" s="38"/>
      <c r="D166" s="38"/>
      <c r="E166" s="38"/>
      <c r="F166" s="411"/>
      <c r="G166" s="411"/>
      <c r="I166" s="38"/>
      <c r="J166" s="38"/>
      <c r="K166" s="38"/>
      <c r="L166" s="38"/>
    </row>
    <row r="167" spans="3:12" ht="15" x14ac:dyDescent="0.2">
      <c r="C167" s="413"/>
      <c r="D167" s="38"/>
      <c r="E167" s="38"/>
      <c r="F167" s="414"/>
      <c r="G167" s="414"/>
      <c r="H167" s="414"/>
      <c r="I167" s="38"/>
      <c r="J167" s="414"/>
      <c r="K167" s="414"/>
      <c r="L167" s="414"/>
    </row>
    <row r="168" spans="3:12" ht="7.5" customHeight="1" x14ac:dyDescent="0.2">
      <c r="C168" s="38"/>
      <c r="D168" s="38"/>
      <c r="E168" s="38"/>
      <c r="F168" s="38"/>
      <c r="G168" s="38"/>
      <c r="H168" s="38"/>
      <c r="I168" s="38"/>
      <c r="J168" s="38"/>
      <c r="K168" s="38"/>
      <c r="L168" s="38"/>
    </row>
    <row r="169" spans="3:12" ht="15" x14ac:dyDescent="0.2">
      <c r="C169" s="38"/>
      <c r="D169" s="38"/>
      <c r="E169" s="38"/>
      <c r="F169" s="249"/>
      <c r="G169" s="406"/>
      <c r="H169" s="249"/>
      <c r="I169" s="38"/>
      <c r="J169" s="416"/>
      <c r="K169" s="406"/>
      <c r="L169" s="406"/>
    </row>
    <row r="170" spans="3:12" ht="15" x14ac:dyDescent="0.2">
      <c r="C170" s="38"/>
      <c r="D170" s="38"/>
      <c r="E170" s="38"/>
      <c r="F170" s="417"/>
      <c r="G170" s="409"/>
      <c r="H170" s="421"/>
      <c r="I170" s="38"/>
      <c r="J170" s="419"/>
      <c r="K170" s="409"/>
      <c r="L170" s="409"/>
    </row>
    <row r="171" spans="3:12" ht="15" x14ac:dyDescent="0.2">
      <c r="C171" s="38"/>
      <c r="D171" s="38"/>
      <c r="E171" s="38"/>
      <c r="F171" s="411"/>
      <c r="G171" s="409"/>
      <c r="H171" s="422"/>
      <c r="I171" s="38"/>
      <c r="J171" s="419"/>
      <c r="K171" s="409"/>
      <c r="L171" s="409"/>
    </row>
    <row r="172" spans="3:12" ht="15" x14ac:dyDescent="0.2">
      <c r="C172" s="38"/>
      <c r="D172" s="38"/>
      <c r="E172" s="38"/>
      <c r="F172" s="409"/>
      <c r="G172" s="409"/>
      <c r="H172" s="420"/>
      <c r="I172" s="38"/>
      <c r="J172" s="419"/>
      <c r="K172" s="409"/>
      <c r="L172" s="409"/>
    </row>
  </sheetData>
  <mergeCells count="21">
    <mergeCell ref="C123:L123"/>
    <mergeCell ref="C125:L125"/>
    <mergeCell ref="C126:L126"/>
    <mergeCell ref="F145:H145"/>
    <mergeCell ref="J145:L145"/>
    <mergeCell ref="F131:I131"/>
    <mergeCell ref="C56:L56"/>
    <mergeCell ref="C58:L58"/>
    <mergeCell ref="C59:L59"/>
    <mergeCell ref="F78:H78"/>
    <mergeCell ref="J78:L78"/>
    <mergeCell ref="C91:L91"/>
    <mergeCell ref="C93:L93"/>
    <mergeCell ref="C94:L94"/>
    <mergeCell ref="F113:H113"/>
    <mergeCell ref="J113:L113"/>
    <mergeCell ref="J29:L29"/>
    <mergeCell ref="F29:H29"/>
    <mergeCell ref="C7:L7"/>
    <mergeCell ref="C9:L9"/>
    <mergeCell ref="C10:L10"/>
  </mergeCells>
  <phoneticPr fontId="12" type="noConversion"/>
  <pageMargins left="1" right="0.75" top="1" bottom="0.75" header="0.5" footer="0.5"/>
  <headerFooter alignWithMargins="0"/>
  <rowBreaks count="3" manualBreakCount="3">
    <brk id="55" min="2" max="11" man="1"/>
    <brk id="90" min="2" max="11" man="1"/>
    <brk id="122" min="2" max="11"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89"/>
  <sheetViews>
    <sheetView tabSelected="1" topLeftCell="B260" workbookViewId="0">
      <selection activeCell="X330" sqref="X330"/>
    </sheetView>
  </sheetViews>
  <sheetFormatPr defaultColWidth="8.6640625" defaultRowHeight="12.75" x14ac:dyDescent="0.2"/>
  <cols>
    <col min="1" max="1" width="9.109375" style="529" customWidth="1"/>
    <col min="2" max="2" width="10" style="529" bestFit="1" customWidth="1"/>
    <col min="3" max="3" width="11" style="212" customWidth="1"/>
    <col min="4" max="4" width="8.33203125" style="488" customWidth="1"/>
    <col min="5" max="5" width="1.5546875" style="212" customWidth="1"/>
    <col min="6" max="6" width="37.6640625" style="140" customWidth="1"/>
    <col min="7" max="7" width="1.44140625" style="140" customWidth="1"/>
    <col min="8" max="8" width="4.6640625" style="144" customWidth="1"/>
    <col min="9" max="9" width="1.44140625" style="529" customWidth="1"/>
    <col min="10" max="10" width="10.88671875" style="145" customWidth="1"/>
    <col min="11" max="11" width="3" style="529" customWidth="1"/>
    <col min="12" max="12" width="10.6640625" style="145" customWidth="1"/>
    <col min="13" max="13" width="1.44140625" style="145" customWidth="1"/>
    <col min="14" max="14" width="10.5546875" style="145" customWidth="1"/>
    <col min="15" max="15" width="1.44140625" style="145" customWidth="1"/>
    <col min="16" max="16" width="10.88671875" style="145" customWidth="1"/>
    <col min="17" max="17" width="1.5546875" style="145" customWidth="1"/>
    <col min="18" max="18" width="10.33203125" style="145" customWidth="1"/>
    <col min="19" max="19" width="1.44140625" style="145" customWidth="1"/>
    <col min="20" max="20" width="10" style="145" customWidth="1"/>
    <col min="21" max="21" width="1.44140625" style="145" customWidth="1"/>
    <col min="22" max="22" width="9.6640625" style="145" customWidth="1"/>
    <col min="23" max="23" width="1.5546875" style="145" customWidth="1"/>
    <col min="24" max="24" width="9.88671875" style="145" customWidth="1"/>
    <col min="25" max="25" width="2.44140625" style="529" customWidth="1"/>
    <col min="26" max="26" width="9.33203125" style="529" customWidth="1"/>
    <col min="27" max="27" width="12.33203125" style="529" customWidth="1"/>
    <col min="28" max="28" width="1.6640625" style="529" customWidth="1"/>
    <col min="29" max="29" width="40.6640625" style="529" bestFit="1" customWidth="1"/>
    <col min="30" max="30" width="1.33203125" style="529" customWidth="1"/>
    <col min="31" max="31" width="4" style="529" customWidth="1"/>
    <col min="32" max="32" width="1.6640625" style="529" customWidth="1"/>
    <col min="33" max="33" width="10.6640625" style="529" bestFit="1" customWidth="1"/>
    <col min="34" max="34" width="2.5546875" style="529" customWidth="1"/>
    <col min="35" max="35" width="10.6640625" style="529" bestFit="1" customWidth="1"/>
    <col min="36" max="36" width="0.88671875" style="529" customWidth="1"/>
    <col min="37" max="37" width="10.6640625" style="529" bestFit="1" customWidth="1"/>
    <col min="38" max="38" width="1.33203125" style="529" customWidth="1"/>
    <col min="39" max="39" width="9.6640625" style="529" customWidth="1"/>
    <col min="40" max="40" width="1.33203125" style="529" customWidth="1"/>
    <col min="41" max="41" width="10.109375" style="529" customWidth="1"/>
    <col min="42" max="42" width="0.88671875" style="529" customWidth="1"/>
    <col min="43" max="43" width="11.109375" style="529" customWidth="1"/>
    <col min="44" max="44" width="0.88671875" style="529" customWidth="1"/>
    <col min="45" max="45" width="10.6640625" style="529" customWidth="1"/>
    <col min="46" max="46" width="1.33203125" style="529" customWidth="1"/>
    <col min="47" max="47" width="10.6640625" style="529" customWidth="1"/>
    <col min="48" max="48" width="0.6640625" style="529" customWidth="1"/>
    <col min="49" max="49" width="9.6640625" style="529" customWidth="1"/>
    <col min="50" max="50" width="0.6640625" style="529" customWidth="1"/>
    <col min="51" max="51" width="9.6640625" style="529" customWidth="1"/>
    <col min="52" max="52" width="3.33203125" style="529" customWidth="1"/>
    <col min="53" max="53" width="10.33203125" style="529" customWidth="1"/>
    <col min="54" max="16384" width="8.6640625" style="529"/>
  </cols>
  <sheetData>
    <row r="1" spans="1:56" s="38" customFormat="1" ht="15" x14ac:dyDescent="0.2">
      <c r="C1" s="241"/>
      <c r="D1" s="485"/>
      <c r="E1" s="241"/>
      <c r="F1" s="655" t="s">
        <v>77</v>
      </c>
      <c r="G1" s="655"/>
      <c r="H1" s="655"/>
      <c r="I1" s="655"/>
      <c r="J1" s="655"/>
      <c r="K1" s="655"/>
      <c r="L1" s="655"/>
      <c r="M1" s="655"/>
      <c r="N1" s="655"/>
      <c r="O1" s="655"/>
      <c r="P1" s="655"/>
      <c r="Q1" s="655"/>
      <c r="R1" s="655"/>
      <c r="S1" s="655"/>
      <c r="T1" s="655"/>
      <c r="U1" s="655"/>
      <c r="V1" s="655"/>
      <c r="W1" s="655"/>
      <c r="X1" s="655"/>
      <c r="AC1" s="537" t="s">
        <v>77</v>
      </c>
      <c r="AD1" s="537"/>
      <c r="AE1" s="537"/>
      <c r="AF1" s="537"/>
      <c r="AG1" s="537"/>
      <c r="AH1" s="537"/>
      <c r="AI1" s="537"/>
      <c r="AJ1" s="537"/>
      <c r="AK1" s="537"/>
      <c r="AL1" s="537"/>
      <c r="AM1" s="537"/>
      <c r="AN1" s="537"/>
      <c r="AO1" s="537"/>
      <c r="AP1" s="537"/>
      <c r="AQ1" s="537"/>
      <c r="AR1" s="537"/>
      <c r="AS1" s="537"/>
      <c r="AT1" s="537"/>
      <c r="AU1" s="537"/>
      <c r="AV1" s="537"/>
      <c r="AW1" s="537"/>
      <c r="AX1" s="537"/>
      <c r="AY1" s="537"/>
    </row>
    <row r="2" spans="1:56" s="38" customFormat="1" ht="13.5" customHeight="1" x14ac:dyDescent="0.2">
      <c r="C2" s="241"/>
      <c r="D2" s="485"/>
      <c r="E2" s="241"/>
      <c r="F2" s="653"/>
      <c r="G2" s="653"/>
      <c r="H2" s="653"/>
      <c r="I2" s="653"/>
      <c r="J2" s="653"/>
      <c r="K2" s="653"/>
      <c r="L2" s="653"/>
      <c r="M2" s="653"/>
      <c r="N2" s="653"/>
      <c r="O2" s="653"/>
      <c r="P2" s="653"/>
      <c r="Q2" s="653"/>
      <c r="R2" s="653"/>
      <c r="S2" s="653"/>
      <c r="T2" s="653"/>
      <c r="U2" s="653"/>
      <c r="V2" s="653"/>
      <c r="W2" s="653"/>
      <c r="X2" s="653"/>
      <c r="AC2" s="653"/>
      <c r="AD2" s="653"/>
      <c r="AE2" s="653"/>
      <c r="AF2" s="653"/>
      <c r="AG2" s="653"/>
      <c r="AH2" s="653"/>
      <c r="AI2" s="653"/>
      <c r="AJ2" s="653"/>
      <c r="AK2" s="653"/>
      <c r="AL2" s="653"/>
      <c r="AM2" s="653"/>
      <c r="AN2" s="653"/>
      <c r="AO2" s="653"/>
      <c r="AP2" s="653"/>
      <c r="AQ2" s="653"/>
      <c r="AR2" s="653"/>
      <c r="AS2" s="653"/>
      <c r="AT2" s="653"/>
      <c r="AU2" s="653"/>
      <c r="AV2" s="537"/>
      <c r="AW2" s="537"/>
      <c r="AX2" s="537"/>
      <c r="AY2" s="537"/>
    </row>
    <row r="3" spans="1:56" s="38" customFormat="1" ht="16.350000000000001" customHeight="1" x14ac:dyDescent="0.2">
      <c r="C3" s="241"/>
      <c r="D3" s="485"/>
      <c r="E3" s="241"/>
      <c r="F3" s="655" t="s">
        <v>827</v>
      </c>
      <c r="G3" s="655"/>
      <c r="H3" s="655"/>
      <c r="I3" s="655"/>
      <c r="J3" s="655"/>
      <c r="K3" s="655"/>
      <c r="L3" s="655"/>
      <c r="M3" s="655"/>
      <c r="N3" s="655"/>
      <c r="O3" s="655"/>
      <c r="P3" s="655"/>
      <c r="Q3" s="655"/>
      <c r="R3" s="655"/>
      <c r="S3" s="655"/>
      <c r="T3" s="655"/>
      <c r="U3" s="655"/>
      <c r="V3" s="655"/>
      <c r="W3" s="655"/>
      <c r="X3" s="655"/>
      <c r="AC3" s="537" t="s">
        <v>785</v>
      </c>
      <c r="AD3" s="537"/>
      <c r="AE3" s="537"/>
      <c r="AF3" s="537"/>
      <c r="AG3" s="537"/>
      <c r="AH3" s="537"/>
      <c r="AI3" s="537"/>
      <c r="AJ3" s="537"/>
      <c r="AK3" s="537"/>
      <c r="AL3" s="537"/>
      <c r="AM3" s="537"/>
      <c r="AN3" s="537"/>
      <c r="AO3" s="537"/>
      <c r="AP3" s="537"/>
      <c r="AQ3" s="537"/>
      <c r="AR3" s="537"/>
      <c r="AS3" s="537"/>
      <c r="AT3" s="537"/>
      <c r="AU3" s="537"/>
      <c r="AV3" s="537"/>
      <c r="AW3" s="537"/>
      <c r="AX3" s="537"/>
      <c r="AY3" s="537"/>
    </row>
    <row r="4" spans="1:56" s="38" customFormat="1" ht="11.85" customHeight="1" x14ac:dyDescent="0.2">
      <c r="C4" s="241"/>
      <c r="D4" s="485"/>
      <c r="E4" s="241"/>
      <c r="F4" s="538"/>
      <c r="G4" s="538"/>
      <c r="H4" s="538"/>
      <c r="I4" s="538"/>
      <c r="J4" s="538"/>
      <c r="K4" s="538"/>
      <c r="L4" s="538"/>
      <c r="M4" s="538"/>
      <c r="N4" s="538"/>
      <c r="O4" s="538"/>
      <c r="P4" s="538"/>
      <c r="Q4" s="538"/>
      <c r="R4" s="538"/>
      <c r="S4" s="538"/>
      <c r="T4" s="538"/>
      <c r="U4" s="538"/>
      <c r="V4" s="538"/>
      <c r="W4" s="538"/>
      <c r="X4" s="538"/>
    </row>
    <row r="5" spans="1:56" s="142" customFormat="1" ht="8.1" customHeight="1" x14ac:dyDescent="0.2">
      <c r="C5" s="476"/>
      <c r="D5" s="486"/>
      <c r="E5" s="476"/>
      <c r="F5" s="539"/>
      <c r="G5" s="539"/>
      <c r="H5" s="261"/>
      <c r="I5" s="539"/>
      <c r="J5" s="540"/>
      <c r="K5" s="539"/>
      <c r="L5" s="540"/>
      <c r="M5" s="147"/>
      <c r="N5" s="529"/>
      <c r="O5" s="529"/>
      <c r="P5" s="529"/>
      <c r="Q5" s="529"/>
      <c r="R5" s="529"/>
      <c r="S5" s="529"/>
      <c r="T5" s="529"/>
      <c r="U5" s="529"/>
      <c r="V5" s="529"/>
      <c r="W5" s="529"/>
      <c r="X5" s="529"/>
    </row>
    <row r="6" spans="1:56" s="142" customFormat="1" ht="15" customHeight="1" x14ac:dyDescent="0.2">
      <c r="C6" s="476"/>
      <c r="D6" s="486"/>
      <c r="E6" s="476"/>
      <c r="F6" s="539"/>
      <c r="G6" s="539"/>
      <c r="H6" s="261" t="s">
        <v>381</v>
      </c>
      <c r="I6" s="539"/>
      <c r="J6" s="540" t="s">
        <v>52</v>
      </c>
      <c r="K6" s="539"/>
      <c r="L6" s="540"/>
      <c r="M6" s="147"/>
      <c r="N6" s="529"/>
      <c r="O6" s="529"/>
      <c r="P6" s="529"/>
      <c r="Q6" s="529"/>
      <c r="R6" s="142" t="s">
        <v>435</v>
      </c>
      <c r="T6" s="142" t="s">
        <v>504</v>
      </c>
      <c r="V6" s="654" t="s">
        <v>286</v>
      </c>
      <c r="W6" s="654"/>
      <c r="X6" s="654"/>
      <c r="AC6" s="539"/>
      <c r="AD6" s="539"/>
      <c r="AE6" s="261" t="s">
        <v>381</v>
      </c>
      <c r="AF6" s="539"/>
      <c r="AG6" s="540" t="s">
        <v>52</v>
      </c>
      <c r="AS6" s="142" t="s">
        <v>353</v>
      </c>
      <c r="AU6" s="142" t="s">
        <v>600</v>
      </c>
      <c r="AW6" s="142" t="s">
        <v>184</v>
      </c>
      <c r="AY6" s="142" t="s">
        <v>732</v>
      </c>
    </row>
    <row r="7" spans="1:56" s="142" customFormat="1" ht="11.85" customHeight="1" x14ac:dyDescent="0.2">
      <c r="C7" s="476"/>
      <c r="D7" s="541" t="s">
        <v>53</v>
      </c>
      <c r="E7" s="483"/>
      <c r="F7" s="484"/>
      <c r="G7" s="141"/>
      <c r="H7" s="542" t="s">
        <v>51</v>
      </c>
      <c r="I7" s="539"/>
      <c r="J7" s="543" t="s">
        <v>395</v>
      </c>
      <c r="K7" s="539"/>
      <c r="L7" s="543" t="s">
        <v>385</v>
      </c>
      <c r="M7" s="147"/>
      <c r="N7" s="544" t="s">
        <v>386</v>
      </c>
      <c r="O7" s="147"/>
      <c r="P7" s="544" t="s">
        <v>387</v>
      </c>
      <c r="Q7" s="147"/>
      <c r="R7" s="544" t="s">
        <v>187</v>
      </c>
      <c r="S7" s="147"/>
      <c r="T7" s="544" t="s">
        <v>505</v>
      </c>
      <c r="U7" s="147"/>
      <c r="V7" s="544" t="s">
        <v>54</v>
      </c>
      <c r="W7" s="147"/>
      <c r="X7" s="544" t="s">
        <v>435</v>
      </c>
      <c r="AC7" s="545" t="s">
        <v>53</v>
      </c>
      <c r="AD7" s="141"/>
      <c r="AE7" s="542" t="s">
        <v>51</v>
      </c>
      <c r="AF7" s="539"/>
      <c r="AG7" s="543" t="s">
        <v>395</v>
      </c>
      <c r="AI7" s="528" t="s">
        <v>350</v>
      </c>
      <c r="AK7" s="528" t="s">
        <v>351</v>
      </c>
      <c r="AM7" s="528" t="s">
        <v>352</v>
      </c>
      <c r="AO7" s="528" t="s">
        <v>564</v>
      </c>
      <c r="AQ7" s="528" t="s">
        <v>508</v>
      </c>
      <c r="AS7" s="528" t="s">
        <v>354</v>
      </c>
      <c r="AU7" s="528" t="s">
        <v>601</v>
      </c>
      <c r="AW7" s="528" t="s">
        <v>395</v>
      </c>
      <c r="AY7" s="528" t="s">
        <v>395</v>
      </c>
    </row>
    <row r="8" spans="1:56" s="144" customFormat="1" ht="14.25" customHeight="1" x14ac:dyDescent="0.2">
      <c r="C8" s="476"/>
      <c r="D8" s="546">
        <v>-1</v>
      </c>
      <c r="E8" s="481"/>
      <c r="F8" s="482"/>
      <c r="G8" s="143"/>
      <c r="H8" s="547">
        <v>-2</v>
      </c>
      <c r="I8" s="261"/>
      <c r="J8" s="540">
        <v>-3</v>
      </c>
      <c r="K8" s="261"/>
      <c r="L8" s="540">
        <v>-4</v>
      </c>
      <c r="M8" s="147"/>
      <c r="N8" s="147">
        <v>-5</v>
      </c>
      <c r="O8" s="147"/>
      <c r="P8" s="147">
        <v>-6</v>
      </c>
      <c r="Q8" s="147"/>
      <c r="R8" s="147">
        <v>-7</v>
      </c>
      <c r="S8" s="147"/>
      <c r="T8" s="147">
        <v>-8</v>
      </c>
      <c r="U8" s="147"/>
      <c r="V8" s="147">
        <v>-9</v>
      </c>
      <c r="W8" s="147"/>
      <c r="X8" s="147">
        <v>-10</v>
      </c>
      <c r="AC8" s="547">
        <v>-1</v>
      </c>
      <c r="AD8" s="143"/>
      <c r="AE8" s="547">
        <v>-2</v>
      </c>
      <c r="AF8" s="261"/>
      <c r="AG8" s="540">
        <v>-3</v>
      </c>
      <c r="AH8" s="143"/>
      <c r="AI8" s="547">
        <v>-4</v>
      </c>
      <c r="AJ8" s="261"/>
      <c r="AK8" s="540">
        <v>-5</v>
      </c>
      <c r="AL8" s="143"/>
      <c r="AM8" s="547">
        <v>-6</v>
      </c>
      <c r="AN8" s="261"/>
      <c r="AO8" s="540">
        <v>-7</v>
      </c>
      <c r="AP8" s="143"/>
      <c r="AQ8" s="547">
        <v>-8</v>
      </c>
      <c r="AR8" s="261"/>
      <c r="AS8" s="540">
        <v>-9</v>
      </c>
      <c r="AT8" s="143"/>
      <c r="AU8" s="547">
        <v>-10</v>
      </c>
      <c r="AV8" s="261"/>
      <c r="AW8" s="540">
        <v>-11</v>
      </c>
      <c r="AX8" s="143"/>
      <c r="AY8" s="547">
        <v>-12</v>
      </c>
    </row>
    <row r="9" spans="1:56" s="142" customFormat="1" x14ac:dyDescent="0.2">
      <c r="C9" s="477"/>
      <c r="D9" s="487"/>
      <c r="E9" s="477"/>
      <c r="F9" s="141"/>
      <c r="G9" s="141"/>
      <c r="H9" s="547"/>
      <c r="I9" s="539"/>
      <c r="J9" s="540"/>
      <c r="K9" s="539"/>
      <c r="L9" s="540"/>
      <c r="M9" s="147"/>
      <c r="N9" s="147"/>
      <c r="O9" s="147"/>
      <c r="P9" s="147"/>
      <c r="Q9" s="147"/>
      <c r="R9" s="147"/>
      <c r="S9" s="147"/>
      <c r="T9" s="147"/>
      <c r="U9" s="147"/>
      <c r="V9" s="147"/>
      <c r="W9" s="147"/>
      <c r="X9" s="147"/>
    </row>
    <row r="10" spans="1:56" x14ac:dyDescent="0.2">
      <c r="F10" s="391" t="s">
        <v>50</v>
      </c>
      <c r="G10" s="139"/>
      <c r="H10" s="261"/>
      <c r="I10" s="216"/>
      <c r="J10" s="262"/>
      <c r="K10" s="216"/>
      <c r="L10" s="262"/>
      <c r="AC10" s="391" t="s">
        <v>50</v>
      </c>
    </row>
    <row r="11" spans="1:56" x14ac:dyDescent="0.2">
      <c r="F11" s="139" t="s">
        <v>599</v>
      </c>
      <c r="G11" s="139"/>
      <c r="H11" s="261"/>
      <c r="I11" s="216"/>
      <c r="J11" s="262"/>
      <c r="K11" s="216"/>
      <c r="L11" s="262"/>
      <c r="AC11" s="139" t="s">
        <v>599</v>
      </c>
    </row>
    <row r="12" spans="1:56" x14ac:dyDescent="0.2">
      <c r="F12" s="216" t="s">
        <v>49</v>
      </c>
      <c r="G12" s="139"/>
      <c r="H12" s="261"/>
      <c r="I12" s="216"/>
      <c r="J12" s="262"/>
      <c r="K12" s="216"/>
      <c r="L12" s="262"/>
      <c r="AC12" s="216" t="s">
        <v>49</v>
      </c>
    </row>
    <row r="13" spans="1:56" x14ac:dyDescent="0.2">
      <c r="A13" s="146"/>
      <c r="B13" s="146"/>
      <c r="F13" s="216" t="s">
        <v>11</v>
      </c>
      <c r="G13" s="200"/>
      <c r="H13" s="261"/>
      <c r="I13" s="216"/>
      <c r="J13" s="548"/>
      <c r="K13" s="548"/>
      <c r="L13" s="548"/>
      <c r="M13" s="205"/>
      <c r="N13" s="548"/>
      <c r="O13" s="205"/>
      <c r="P13" s="548"/>
      <c r="Q13" s="205"/>
      <c r="R13" s="548"/>
      <c r="S13" s="205"/>
      <c r="T13" s="548"/>
      <c r="U13" s="205"/>
      <c r="V13" s="548"/>
      <c r="W13" s="205"/>
      <c r="X13" s="548"/>
      <c r="Z13" s="175"/>
      <c r="AC13" s="216" t="s">
        <v>11</v>
      </c>
      <c r="AE13" s="239"/>
      <c r="AG13" s="145"/>
      <c r="AI13" s="262"/>
      <c r="AJ13" s="262"/>
      <c r="AK13" s="262"/>
      <c r="AL13" s="262"/>
      <c r="AM13" s="262"/>
      <c r="AN13" s="262"/>
      <c r="AO13" s="262"/>
      <c r="AP13" s="262"/>
      <c r="AQ13" s="262"/>
      <c r="AR13" s="262"/>
      <c r="AS13" s="262"/>
      <c r="AT13" s="262"/>
      <c r="AU13" s="262"/>
      <c r="AV13" s="262"/>
      <c r="AW13" s="262"/>
      <c r="AX13" s="262"/>
      <c r="AY13" s="262"/>
      <c r="BA13" s="175"/>
    </row>
    <row r="14" spans="1:56" x14ac:dyDescent="0.2">
      <c r="A14" s="146"/>
      <c r="B14" s="146"/>
      <c r="D14" s="488">
        <v>610.1</v>
      </c>
      <c r="F14" s="216" t="s">
        <v>470</v>
      </c>
      <c r="G14" s="200"/>
      <c r="H14" s="261">
        <v>1</v>
      </c>
      <c r="I14" s="216"/>
      <c r="J14" s="312">
        <v>207227.34217190393</v>
      </c>
      <c r="K14" s="548"/>
      <c r="L14" s="260">
        <f t="shared" ref="L14:L19" si="0">(VLOOKUP($H14,Factors,L$382))*$J14</f>
        <v>100836.82470084845</v>
      </c>
      <c r="M14" s="212"/>
      <c r="N14" s="260">
        <f t="shared" ref="N14:N19" si="1">(VLOOKUP($H14,Factors,N$382))*$J14</f>
        <v>64033.248731118314</v>
      </c>
      <c r="O14" s="212"/>
      <c r="P14" s="260">
        <f t="shared" ref="P14:P19" si="2">(VLOOKUP($H14,Factors,P$382))*$J14</f>
        <v>9801.8532847310562</v>
      </c>
      <c r="Q14" s="212"/>
      <c r="R14" s="260">
        <f t="shared" ref="R14:R19" si="3">(VLOOKUP($H14,Factors,R$382))*$J14</f>
        <v>23914.035286637714</v>
      </c>
      <c r="S14" s="212"/>
      <c r="T14" s="260">
        <f t="shared" ref="T14:T19" si="4">(VLOOKUP($H14,Factors,T$382))*$J14</f>
        <v>7439.4615839713515</v>
      </c>
      <c r="U14" s="212"/>
      <c r="V14" s="260">
        <f t="shared" ref="V14:V19" si="5">(VLOOKUP($H14,Factors,V$382))*$J14</f>
        <v>538.79108964695024</v>
      </c>
      <c r="W14" s="212"/>
      <c r="X14" s="260">
        <f t="shared" ref="X14:X19" si="6">(VLOOKUP($H14,Factors,X$382))*$J14</f>
        <v>663.12749495009257</v>
      </c>
      <c r="Y14" s="212"/>
      <c r="Z14" s="212"/>
      <c r="AC14" s="216" t="s">
        <v>470</v>
      </c>
      <c r="AE14" s="239">
        <f t="shared" ref="AE14:AE19" si="7">+H14</f>
        <v>1</v>
      </c>
      <c r="AG14" s="312">
        <f t="shared" ref="AG14:AG19" si="8">+J14</f>
        <v>207227.34217190393</v>
      </c>
      <c r="AH14" s="548"/>
      <c r="AI14" s="260">
        <f t="shared" ref="AI14:AI19" si="9">(VLOOKUP($AE14,func,AI$382))*$AG14</f>
        <v>206025.4235873069</v>
      </c>
      <c r="AJ14" s="212"/>
      <c r="AK14" s="260">
        <f t="shared" ref="AK14:AK19" si="10">(VLOOKUP($AE14,func,AK$382))*$AG14</f>
        <v>0</v>
      </c>
      <c r="AL14" s="212"/>
      <c r="AM14" s="260">
        <f t="shared" ref="AM14:AM19" si="11">(VLOOKUP($AE14,func,AM$382))*$AG14</f>
        <v>0</v>
      </c>
      <c r="AN14" s="212"/>
      <c r="AO14" s="260">
        <f t="shared" ref="AO14:AO19" si="12">(VLOOKUP($AE14,func,AO$382))*$AG14</f>
        <v>0</v>
      </c>
      <c r="AP14" s="212"/>
      <c r="AQ14" s="260">
        <f t="shared" ref="AQ14:AQ19" si="13">(VLOOKUP($AE14,func,AQ$382))*$AG14</f>
        <v>0</v>
      </c>
      <c r="AR14" s="212"/>
      <c r="AS14" s="260">
        <f t="shared" ref="AS14:AS19" si="14">(VLOOKUP($AE14,func,AS$382))*$AG14</f>
        <v>0</v>
      </c>
      <c r="AT14" s="212"/>
      <c r="AU14" s="260">
        <f t="shared" ref="AU14:AU19" si="15">(VLOOKUP($AE14,func,AU$382))*$AG14</f>
        <v>0</v>
      </c>
      <c r="AV14" s="262"/>
      <c r="AW14" s="262">
        <f t="shared" ref="AW14:AW19" si="16">(VLOOKUP($AE14,func,AW$382))*$AG14</f>
        <v>538.79108964695024</v>
      </c>
      <c r="AX14" s="262"/>
      <c r="AY14" s="262">
        <f t="shared" ref="AY14:AY19" si="17">(VLOOKUP($AE14,func,AY$382))*$AG14</f>
        <v>663.12749495009257</v>
      </c>
      <c r="BA14" s="175"/>
      <c r="BB14" s="145"/>
      <c r="BC14" s="145"/>
      <c r="BD14" s="145"/>
    </row>
    <row r="15" spans="1:56" x14ac:dyDescent="0.2">
      <c r="A15" s="146"/>
      <c r="B15" s="146"/>
      <c r="D15" s="488">
        <v>615.1</v>
      </c>
      <c r="F15" s="216" t="s">
        <v>471</v>
      </c>
      <c r="G15" s="200"/>
      <c r="H15" s="261">
        <v>1</v>
      </c>
      <c r="I15" s="216"/>
      <c r="J15" s="312">
        <v>26123.857731109663</v>
      </c>
      <c r="K15" s="548"/>
      <c r="L15" s="260">
        <f t="shared" si="0"/>
        <v>12711.869171957962</v>
      </c>
      <c r="M15" s="212"/>
      <c r="N15" s="260">
        <f t="shared" si="1"/>
        <v>8072.2720389128863</v>
      </c>
      <c r="O15" s="212"/>
      <c r="P15" s="260">
        <f t="shared" si="2"/>
        <v>1235.6584706814872</v>
      </c>
      <c r="Q15" s="212"/>
      <c r="R15" s="260">
        <f t="shared" si="3"/>
        <v>3014.693182170055</v>
      </c>
      <c r="S15" s="212"/>
      <c r="T15" s="260">
        <f t="shared" si="4"/>
        <v>937.846492546837</v>
      </c>
      <c r="U15" s="212"/>
      <c r="V15" s="260">
        <f t="shared" si="5"/>
        <v>67.922030100885124</v>
      </c>
      <c r="W15" s="212"/>
      <c r="X15" s="260">
        <f t="shared" si="6"/>
        <v>83.596344739550929</v>
      </c>
      <c r="Y15" s="212"/>
      <c r="Z15" s="212"/>
      <c r="AC15" s="216" t="s">
        <v>471</v>
      </c>
      <c r="AE15" s="239">
        <f t="shared" si="7"/>
        <v>1</v>
      </c>
      <c r="AG15" s="312">
        <f t="shared" si="8"/>
        <v>26123.857731109663</v>
      </c>
      <c r="AH15" s="548"/>
      <c r="AI15" s="260">
        <f t="shared" si="9"/>
        <v>25972.339356269225</v>
      </c>
      <c r="AJ15" s="212"/>
      <c r="AK15" s="260">
        <f t="shared" si="10"/>
        <v>0</v>
      </c>
      <c r="AL15" s="212"/>
      <c r="AM15" s="260">
        <f t="shared" si="11"/>
        <v>0</v>
      </c>
      <c r="AN15" s="212"/>
      <c r="AO15" s="260">
        <f t="shared" si="12"/>
        <v>0</v>
      </c>
      <c r="AP15" s="212"/>
      <c r="AQ15" s="260">
        <f t="shared" si="13"/>
        <v>0</v>
      </c>
      <c r="AR15" s="212"/>
      <c r="AS15" s="260">
        <f t="shared" si="14"/>
        <v>0</v>
      </c>
      <c r="AT15" s="212"/>
      <c r="AU15" s="260">
        <f t="shared" si="15"/>
        <v>0</v>
      </c>
      <c r="AV15" s="262"/>
      <c r="AW15" s="262">
        <f t="shared" si="16"/>
        <v>67.922030100885124</v>
      </c>
      <c r="AX15" s="262"/>
      <c r="AY15" s="262">
        <f t="shared" si="17"/>
        <v>83.596344739550929</v>
      </c>
      <c r="BA15" s="175"/>
      <c r="BB15" s="145"/>
      <c r="BC15" s="145"/>
      <c r="BD15" s="145"/>
    </row>
    <row r="16" spans="1:56" x14ac:dyDescent="0.2">
      <c r="A16" s="146"/>
      <c r="B16" s="146"/>
      <c r="D16" s="488">
        <v>675.1</v>
      </c>
      <c r="F16" s="216" t="s">
        <v>472</v>
      </c>
      <c r="G16" s="200"/>
      <c r="H16" s="261">
        <v>2</v>
      </c>
      <c r="I16" s="216"/>
      <c r="J16" s="312">
        <v>4231.3233049635246</v>
      </c>
      <c r="K16" s="548"/>
      <c r="L16" s="260">
        <f t="shared" si="0"/>
        <v>2111.4303291767988</v>
      </c>
      <c r="M16" s="212"/>
      <c r="N16" s="260">
        <f t="shared" si="1"/>
        <v>1310.4408275472035</v>
      </c>
      <c r="O16" s="212"/>
      <c r="P16" s="260">
        <f t="shared" si="2"/>
        <v>186.60135774889144</v>
      </c>
      <c r="Q16" s="212"/>
      <c r="R16" s="260">
        <f t="shared" si="3"/>
        <v>466.29182820698043</v>
      </c>
      <c r="S16" s="212"/>
      <c r="T16" s="260">
        <f t="shared" si="4"/>
        <v>141.74933071627808</v>
      </c>
      <c r="U16" s="212"/>
      <c r="V16" s="260">
        <f t="shared" si="5"/>
        <v>6.7701172879416394</v>
      </c>
      <c r="W16" s="212"/>
      <c r="X16" s="260">
        <f t="shared" si="6"/>
        <v>8.039514279430696</v>
      </c>
      <c r="Y16" s="212"/>
      <c r="Z16" s="212"/>
      <c r="AC16" s="216" t="s">
        <v>472</v>
      </c>
      <c r="AE16" s="239">
        <f t="shared" si="7"/>
        <v>2</v>
      </c>
      <c r="AG16" s="312">
        <f t="shared" si="8"/>
        <v>4231.3233049635246</v>
      </c>
      <c r="AH16" s="548"/>
      <c r="AI16" s="260">
        <f t="shared" si="9"/>
        <v>2549.7954235710195</v>
      </c>
      <c r="AJ16" s="212"/>
      <c r="AK16" s="260">
        <f t="shared" si="10"/>
        <v>1666.7182498251323</v>
      </c>
      <c r="AL16" s="212"/>
      <c r="AM16" s="260">
        <f t="shared" si="11"/>
        <v>0</v>
      </c>
      <c r="AN16" s="212"/>
      <c r="AO16" s="260">
        <f t="shared" si="12"/>
        <v>0</v>
      </c>
      <c r="AP16" s="212"/>
      <c r="AQ16" s="260">
        <f t="shared" si="13"/>
        <v>0</v>
      </c>
      <c r="AR16" s="212"/>
      <c r="AS16" s="260">
        <f t="shared" si="14"/>
        <v>0</v>
      </c>
      <c r="AT16" s="212"/>
      <c r="AU16" s="260">
        <f t="shared" si="15"/>
        <v>0</v>
      </c>
      <c r="AV16" s="262"/>
      <c r="AW16" s="262">
        <f t="shared" si="16"/>
        <v>6.7701172879416394</v>
      </c>
      <c r="AX16" s="262"/>
      <c r="AY16" s="262">
        <f t="shared" si="17"/>
        <v>8.039514279430696</v>
      </c>
      <c r="BA16" s="175"/>
      <c r="BB16" s="145"/>
      <c r="BC16" s="145"/>
      <c r="BD16" s="145"/>
    </row>
    <row r="17" spans="1:56" x14ac:dyDescent="0.2">
      <c r="A17" s="146"/>
      <c r="B17" s="146"/>
      <c r="D17" s="488">
        <v>675.1</v>
      </c>
      <c r="F17" s="216" t="s">
        <v>711</v>
      </c>
      <c r="G17" s="200"/>
      <c r="H17" s="261">
        <v>2</v>
      </c>
      <c r="I17" s="216"/>
      <c r="J17" s="312">
        <v>244.5804680620586</v>
      </c>
      <c r="K17" s="548"/>
      <c r="L17" s="260">
        <f t="shared" si="0"/>
        <v>122.04565356296725</v>
      </c>
      <c r="M17" s="212"/>
      <c r="N17" s="260">
        <f t="shared" si="1"/>
        <v>75.746570958819547</v>
      </c>
      <c r="O17" s="212"/>
      <c r="P17" s="260">
        <f t="shared" si="2"/>
        <v>10.785998641536784</v>
      </c>
      <c r="Q17" s="212"/>
      <c r="R17" s="260">
        <f t="shared" si="3"/>
        <v>26.952767580438859</v>
      </c>
      <c r="S17" s="212"/>
      <c r="T17" s="260">
        <f t="shared" si="4"/>
        <v>8.1934456800789643</v>
      </c>
      <c r="U17" s="212"/>
      <c r="V17" s="260">
        <f t="shared" si="5"/>
        <v>0.39132874889929375</v>
      </c>
      <c r="W17" s="212"/>
      <c r="X17" s="260">
        <f t="shared" si="6"/>
        <v>0.46470288931791132</v>
      </c>
      <c r="Y17" s="212"/>
      <c r="Z17" s="212"/>
      <c r="AC17" s="216" t="s">
        <v>711</v>
      </c>
      <c r="AE17" s="239">
        <f t="shared" si="7"/>
        <v>2</v>
      </c>
      <c r="AG17" s="312">
        <f t="shared" si="8"/>
        <v>244.5804680620586</v>
      </c>
      <c r="AH17" s="548"/>
      <c r="AI17" s="260">
        <f t="shared" si="9"/>
        <v>147.38419005419649</v>
      </c>
      <c r="AJ17" s="212"/>
      <c r="AK17" s="260">
        <f t="shared" si="10"/>
        <v>96.340246369644873</v>
      </c>
      <c r="AL17" s="212"/>
      <c r="AM17" s="260">
        <f t="shared" si="11"/>
        <v>0</v>
      </c>
      <c r="AN17" s="212"/>
      <c r="AO17" s="260">
        <f t="shared" si="12"/>
        <v>0</v>
      </c>
      <c r="AP17" s="212"/>
      <c r="AQ17" s="260">
        <f t="shared" si="13"/>
        <v>0</v>
      </c>
      <c r="AR17" s="212"/>
      <c r="AS17" s="260">
        <f t="shared" si="14"/>
        <v>0</v>
      </c>
      <c r="AT17" s="212"/>
      <c r="AU17" s="260">
        <f t="shared" si="15"/>
        <v>0</v>
      </c>
      <c r="AV17" s="262"/>
      <c r="AW17" s="262">
        <f t="shared" si="16"/>
        <v>0.39132874889929375</v>
      </c>
      <c r="AX17" s="262"/>
      <c r="AY17" s="262">
        <f t="shared" si="17"/>
        <v>0.46470288931791132</v>
      </c>
      <c r="BA17" s="175"/>
      <c r="BB17" s="145"/>
      <c r="BC17" s="145"/>
      <c r="BD17" s="145"/>
    </row>
    <row r="18" spans="1:56" x14ac:dyDescent="0.2">
      <c r="A18" s="146"/>
      <c r="B18" s="146"/>
      <c r="D18" s="488">
        <v>675.1</v>
      </c>
      <c r="F18" s="216" t="s">
        <v>715</v>
      </c>
      <c r="G18" s="200"/>
      <c r="H18" s="261">
        <v>2</v>
      </c>
      <c r="I18" s="216"/>
      <c r="J18" s="312">
        <v>7728.7920970428158</v>
      </c>
      <c r="K18" s="548"/>
      <c r="L18" s="260">
        <f t="shared" si="0"/>
        <v>3856.667256424365</v>
      </c>
      <c r="M18" s="212"/>
      <c r="N18" s="260">
        <f t="shared" si="1"/>
        <v>2393.60691245416</v>
      </c>
      <c r="O18" s="212"/>
      <c r="P18" s="260">
        <f t="shared" si="2"/>
        <v>340.83973147958818</v>
      </c>
      <c r="Q18" s="212"/>
      <c r="R18" s="260">
        <f t="shared" si="3"/>
        <v>851.7128890941184</v>
      </c>
      <c r="S18" s="212"/>
      <c r="T18" s="260">
        <f t="shared" si="4"/>
        <v>258.91453525093436</v>
      </c>
      <c r="U18" s="212"/>
      <c r="V18" s="260">
        <f t="shared" si="5"/>
        <v>12.366067355268505</v>
      </c>
      <c r="W18" s="212"/>
      <c r="X18" s="260">
        <f t="shared" si="6"/>
        <v>14.68470498438135</v>
      </c>
      <c r="Y18" s="212"/>
      <c r="Z18" s="212"/>
      <c r="AC18" s="216" t="s">
        <v>715</v>
      </c>
      <c r="AE18" s="239">
        <f t="shared" si="7"/>
        <v>2</v>
      </c>
      <c r="AG18" s="312">
        <f t="shared" si="8"/>
        <v>7728.7920970428158</v>
      </c>
      <c r="AH18" s="548"/>
      <c r="AI18" s="260">
        <f t="shared" si="9"/>
        <v>4657.3701176780005</v>
      </c>
      <c r="AJ18" s="212"/>
      <c r="AK18" s="260">
        <f t="shared" si="10"/>
        <v>3044.3712070251649</v>
      </c>
      <c r="AL18" s="212"/>
      <c r="AM18" s="260">
        <f t="shared" si="11"/>
        <v>0</v>
      </c>
      <c r="AN18" s="212"/>
      <c r="AO18" s="260">
        <f t="shared" si="12"/>
        <v>0</v>
      </c>
      <c r="AP18" s="212"/>
      <c r="AQ18" s="260">
        <f t="shared" si="13"/>
        <v>0</v>
      </c>
      <c r="AR18" s="212"/>
      <c r="AS18" s="260">
        <f t="shared" si="14"/>
        <v>0</v>
      </c>
      <c r="AT18" s="212"/>
      <c r="AU18" s="260">
        <f t="shared" si="15"/>
        <v>0</v>
      </c>
      <c r="AV18" s="262"/>
      <c r="AW18" s="262">
        <f t="shared" si="16"/>
        <v>12.366067355268505</v>
      </c>
      <c r="AX18" s="262"/>
      <c r="AY18" s="262">
        <f t="shared" si="17"/>
        <v>14.68470498438135</v>
      </c>
      <c r="BA18" s="175"/>
      <c r="BB18" s="145"/>
      <c r="BC18" s="145"/>
      <c r="BD18" s="145"/>
    </row>
    <row r="19" spans="1:56" x14ac:dyDescent="0.2">
      <c r="A19" s="146"/>
      <c r="B19" s="146"/>
      <c r="D19" s="488">
        <v>675.1</v>
      </c>
      <c r="F19" s="216" t="s">
        <v>842</v>
      </c>
      <c r="G19" s="200"/>
      <c r="H19" s="261">
        <v>1</v>
      </c>
      <c r="I19" s="216"/>
      <c r="J19" s="389">
        <v>43838.454362876648</v>
      </c>
      <c r="K19" s="548"/>
      <c r="L19" s="549">
        <f t="shared" si="0"/>
        <v>21331.791892975776</v>
      </c>
      <c r="M19" s="548"/>
      <c r="N19" s="549">
        <f t="shared" si="1"/>
        <v>13546.082398128883</v>
      </c>
      <c r="O19" s="548"/>
      <c r="P19" s="549">
        <f t="shared" si="2"/>
        <v>2073.5588913640654</v>
      </c>
      <c r="Q19" s="548"/>
      <c r="R19" s="549">
        <f t="shared" si="3"/>
        <v>5058.9576334759649</v>
      </c>
      <c r="S19" s="548"/>
      <c r="T19" s="549">
        <f t="shared" si="4"/>
        <v>1573.8005116272718</v>
      </c>
      <c r="U19" s="548"/>
      <c r="V19" s="549">
        <f t="shared" si="5"/>
        <v>113.97998134347928</v>
      </c>
      <c r="W19" s="548"/>
      <c r="X19" s="549">
        <f t="shared" si="6"/>
        <v>140.28305396120527</v>
      </c>
      <c r="Y19" s="212"/>
      <c r="Z19" s="212"/>
      <c r="AC19" s="216" t="s">
        <v>842</v>
      </c>
      <c r="AE19" s="239">
        <f t="shared" si="7"/>
        <v>1</v>
      </c>
      <c r="AG19" s="389">
        <f t="shared" si="8"/>
        <v>43838.454362876648</v>
      </c>
      <c r="AH19" s="548"/>
      <c r="AI19" s="549">
        <f t="shared" si="9"/>
        <v>43584.191327571963</v>
      </c>
      <c r="AJ19" s="548"/>
      <c r="AK19" s="549">
        <f t="shared" si="10"/>
        <v>0</v>
      </c>
      <c r="AL19" s="548"/>
      <c r="AM19" s="549">
        <f t="shared" si="11"/>
        <v>0</v>
      </c>
      <c r="AN19" s="548"/>
      <c r="AO19" s="549">
        <f t="shared" si="12"/>
        <v>0</v>
      </c>
      <c r="AP19" s="548"/>
      <c r="AQ19" s="549">
        <f t="shared" si="13"/>
        <v>0</v>
      </c>
      <c r="AR19" s="548"/>
      <c r="AS19" s="549">
        <f t="shared" si="14"/>
        <v>0</v>
      </c>
      <c r="AT19" s="548"/>
      <c r="AU19" s="549">
        <f t="shared" si="15"/>
        <v>0</v>
      </c>
      <c r="AV19" s="548"/>
      <c r="AW19" s="549">
        <f t="shared" si="16"/>
        <v>113.97998134347928</v>
      </c>
      <c r="AX19" s="548"/>
      <c r="AY19" s="549">
        <f t="shared" si="17"/>
        <v>140.28305396120527</v>
      </c>
      <c r="BA19" s="175"/>
      <c r="BB19" s="145"/>
      <c r="BC19" s="145"/>
      <c r="BD19" s="145"/>
    </row>
    <row r="20" spans="1:56" x14ac:dyDescent="0.2">
      <c r="A20" s="146"/>
      <c r="B20" s="146"/>
      <c r="C20" s="478"/>
      <c r="D20" s="489"/>
      <c r="E20" s="478"/>
      <c r="F20" s="480"/>
      <c r="G20" s="200"/>
      <c r="H20" s="547"/>
      <c r="I20" s="216"/>
      <c r="J20" s="312"/>
      <c r="K20" s="385"/>
      <c r="L20" s="386"/>
      <c r="M20" s="387"/>
      <c r="N20" s="386"/>
      <c r="O20" s="387"/>
      <c r="P20" s="386"/>
      <c r="Q20" s="387"/>
      <c r="R20" s="386"/>
      <c r="S20" s="387"/>
      <c r="T20" s="386"/>
      <c r="U20" s="387"/>
      <c r="V20" s="386"/>
      <c r="W20" s="387"/>
      <c r="X20" s="386"/>
      <c r="Z20" s="175"/>
      <c r="AC20" s="480"/>
      <c r="AD20" s="200"/>
      <c r="AE20" s="547"/>
      <c r="AF20" s="216"/>
      <c r="AG20" s="312"/>
      <c r="AH20" s="385"/>
      <c r="AI20" s="386"/>
      <c r="AJ20" s="387"/>
      <c r="AK20" s="386"/>
      <c r="AL20" s="387"/>
      <c r="AM20" s="386"/>
      <c r="AN20" s="387"/>
      <c r="AO20" s="386"/>
      <c r="AP20" s="387"/>
      <c r="AQ20" s="386"/>
      <c r="AR20" s="387"/>
      <c r="AS20" s="386"/>
      <c r="AT20" s="387"/>
      <c r="AU20" s="386"/>
      <c r="AV20" s="146"/>
      <c r="AW20" s="386"/>
      <c r="AX20" s="146"/>
      <c r="AY20" s="386"/>
      <c r="BA20" s="175"/>
      <c r="BB20" s="145"/>
      <c r="BC20" s="145"/>
      <c r="BD20" s="145"/>
    </row>
    <row r="21" spans="1:56" x14ac:dyDescent="0.2">
      <c r="A21" s="146"/>
      <c r="B21" s="146"/>
      <c r="C21" s="478"/>
      <c r="D21" s="489"/>
      <c r="E21" s="478"/>
      <c r="F21" s="216" t="s">
        <v>12</v>
      </c>
      <c r="G21" s="139"/>
      <c r="H21" s="261"/>
      <c r="I21" s="216"/>
      <c r="J21" s="312">
        <f>SUM(J14:J19)</f>
        <v>289394.35013595864</v>
      </c>
      <c r="K21" s="262"/>
      <c r="L21" s="262">
        <f>SUM(L14:L19)</f>
        <v>140970.62900494633</v>
      </c>
      <c r="M21" s="262"/>
      <c r="N21" s="262">
        <f>SUM(N14:N19)</f>
        <v>89431.397479120264</v>
      </c>
      <c r="O21" s="262"/>
      <c r="P21" s="262">
        <f>SUM(P14:P19)</f>
        <v>13649.297734646625</v>
      </c>
      <c r="Q21" s="262"/>
      <c r="R21" s="262">
        <f>SUM(R14:R19)</f>
        <v>33332.643587165272</v>
      </c>
      <c r="S21" s="262"/>
      <c r="T21" s="262">
        <f>SUM(T14:T19)</f>
        <v>10359.965899792753</v>
      </c>
      <c r="U21" s="262"/>
      <c r="V21" s="262">
        <f>SUM(V14:V19)</f>
        <v>740.2206144834239</v>
      </c>
      <c r="W21" s="262"/>
      <c r="X21" s="262">
        <f>SUM(X14:X19)</f>
        <v>910.19581580397869</v>
      </c>
      <c r="Y21" s="262"/>
      <c r="Z21" s="262"/>
      <c r="AA21" s="262"/>
      <c r="AB21" s="262"/>
      <c r="AC21" s="216" t="s">
        <v>12</v>
      </c>
      <c r="AD21" s="139"/>
      <c r="AE21" s="261"/>
      <c r="AF21" s="216"/>
      <c r="AG21" s="389">
        <f>SUM(AG14:AG19)</f>
        <v>289394.35013595864</v>
      </c>
      <c r="AH21" s="262"/>
      <c r="AI21" s="509">
        <f>SUM(AI14:AI19)</f>
        <v>282936.50400245131</v>
      </c>
      <c r="AJ21" s="262"/>
      <c r="AK21" s="509">
        <f>SUM(AK14:AK19)</f>
        <v>4807.429703219942</v>
      </c>
      <c r="AL21" s="262"/>
      <c r="AM21" s="509">
        <f>SUM(AM14:AM19)</f>
        <v>0</v>
      </c>
      <c r="AN21" s="262"/>
      <c r="AO21" s="509">
        <f>SUM(AO14:AO19)</f>
        <v>0</v>
      </c>
      <c r="AP21" s="262"/>
      <c r="AQ21" s="509">
        <f>SUM(AQ14:AQ19)</f>
        <v>0</v>
      </c>
      <c r="AR21" s="262"/>
      <c r="AS21" s="509">
        <f>SUM(AS14:AS19)</f>
        <v>0</v>
      </c>
      <c r="AT21" s="262"/>
      <c r="AU21" s="509">
        <f>SUM(AU14:AU19)</f>
        <v>0</v>
      </c>
      <c r="AV21" s="262"/>
      <c r="AW21" s="509">
        <f>SUM(AW14:AW19)</f>
        <v>740.2206144834239</v>
      </c>
      <c r="AX21" s="262"/>
      <c r="AY21" s="509">
        <f>SUM(AY14:AY19)</f>
        <v>910.19581580397869</v>
      </c>
      <c r="AZ21" s="262"/>
      <c r="BA21" s="175"/>
      <c r="BB21" s="145"/>
      <c r="BC21" s="145"/>
      <c r="BD21" s="145"/>
    </row>
    <row r="22" spans="1:56" x14ac:dyDescent="0.2">
      <c r="A22" s="146"/>
      <c r="B22" s="146"/>
      <c r="C22" s="478"/>
      <c r="D22" s="489"/>
      <c r="E22" s="478"/>
      <c r="F22" s="480"/>
      <c r="G22" s="200"/>
      <c r="H22" s="547"/>
      <c r="I22" s="216"/>
      <c r="J22" s="312"/>
      <c r="K22" s="385"/>
      <c r="L22" s="386"/>
      <c r="M22" s="387"/>
      <c r="N22" s="386"/>
      <c r="O22" s="387"/>
      <c r="P22" s="386"/>
      <c r="Q22" s="387"/>
      <c r="R22" s="386"/>
      <c r="S22" s="387"/>
      <c r="T22" s="386"/>
      <c r="U22" s="387"/>
      <c r="V22" s="386"/>
      <c r="W22" s="387"/>
      <c r="X22" s="386"/>
      <c r="Z22" s="175"/>
      <c r="AC22" s="480"/>
      <c r="AE22" s="239"/>
      <c r="AG22" s="312"/>
      <c r="AH22" s="385"/>
      <c r="AI22" s="386"/>
      <c r="AJ22" s="387"/>
      <c r="AK22" s="386"/>
      <c r="AL22" s="387"/>
      <c r="AM22" s="386"/>
      <c r="AN22" s="387"/>
      <c r="AO22" s="386"/>
      <c r="AP22" s="387"/>
      <c r="AQ22" s="386"/>
      <c r="AR22" s="387"/>
      <c r="AS22" s="386"/>
      <c r="AT22" s="387"/>
      <c r="AU22" s="386"/>
      <c r="AV22" s="386"/>
      <c r="AW22" s="386"/>
      <c r="AX22" s="386"/>
      <c r="AY22" s="386"/>
      <c r="BA22" s="175"/>
      <c r="BB22" s="145"/>
      <c r="BC22" s="145"/>
      <c r="BD22" s="145"/>
    </row>
    <row r="23" spans="1:56" x14ac:dyDescent="0.2">
      <c r="A23" s="146"/>
      <c r="B23" s="146"/>
      <c r="F23" s="216" t="s">
        <v>13</v>
      </c>
      <c r="G23" s="139"/>
      <c r="H23" s="261"/>
      <c r="I23" s="216"/>
      <c r="J23" s="312"/>
      <c r="K23" s="385"/>
      <c r="L23" s="386"/>
      <c r="M23" s="387"/>
      <c r="N23" s="386"/>
      <c r="O23" s="387"/>
      <c r="P23" s="386"/>
      <c r="Q23" s="387"/>
      <c r="R23" s="386"/>
      <c r="S23" s="387"/>
      <c r="T23" s="386"/>
      <c r="U23" s="387"/>
      <c r="V23" s="386"/>
      <c r="W23" s="387"/>
      <c r="X23" s="386"/>
      <c r="Z23" s="175"/>
      <c r="AC23" s="216" t="s">
        <v>13</v>
      </c>
      <c r="AE23" s="239"/>
      <c r="AG23" s="312"/>
      <c r="AH23" s="385"/>
      <c r="AI23" s="386"/>
      <c r="AJ23" s="387"/>
      <c r="AK23" s="386"/>
      <c r="AL23" s="387"/>
      <c r="AM23" s="386"/>
      <c r="AN23" s="387"/>
      <c r="AO23" s="386"/>
      <c r="AP23" s="387"/>
      <c r="AQ23" s="386"/>
      <c r="AR23" s="387"/>
      <c r="AS23" s="386"/>
      <c r="AT23" s="387"/>
      <c r="AU23" s="386"/>
      <c r="AV23" s="262"/>
      <c r="AW23" s="262"/>
      <c r="AX23" s="262"/>
      <c r="AY23" s="262"/>
      <c r="BA23" s="175"/>
      <c r="BB23" s="145"/>
      <c r="BC23" s="145"/>
      <c r="BD23" s="145"/>
    </row>
    <row r="24" spans="1:56" x14ac:dyDescent="0.2">
      <c r="A24" s="146"/>
      <c r="B24" s="146"/>
      <c r="D24" s="488">
        <v>601.20000000000005</v>
      </c>
      <c r="F24" s="216" t="s">
        <v>742</v>
      </c>
      <c r="G24" s="139"/>
      <c r="H24" s="261">
        <v>2</v>
      </c>
      <c r="I24" s="216"/>
      <c r="J24" s="495">
        <v>10557.670657693094</v>
      </c>
      <c r="K24" s="385"/>
      <c r="L24" s="260">
        <f>(VLOOKUP($H24,Factors,L$382))*$J24</f>
        <v>5268.2776581888538</v>
      </c>
      <c r="M24" s="212"/>
      <c r="N24" s="260">
        <f>(VLOOKUP($H24,Factors,N$382))*$J24</f>
        <v>3269.7106026875508</v>
      </c>
      <c r="O24" s="212"/>
      <c r="P24" s="260">
        <f>(VLOOKUP($H24,Factors,P$382))*$J24</f>
        <v>465.59327600426542</v>
      </c>
      <c r="Q24" s="212"/>
      <c r="R24" s="260">
        <f>(VLOOKUP($H24,Factors,R$382))*$J24</f>
        <v>1163.455306477779</v>
      </c>
      <c r="S24" s="212"/>
      <c r="T24" s="260">
        <f>(VLOOKUP($H24,Factors,T$382))*$J24</f>
        <v>353.68196703271866</v>
      </c>
      <c r="U24" s="212"/>
      <c r="V24" s="260">
        <f>(VLOOKUP($H24,Factors,V$382))*$J24</f>
        <v>16.892273052308951</v>
      </c>
      <c r="W24" s="212"/>
      <c r="X24" s="260">
        <f>(VLOOKUP($H24,Factors,X$382))*$J24</f>
        <v>20.05957424961688</v>
      </c>
      <c r="Y24" s="212"/>
      <c r="Z24" s="260"/>
      <c r="AC24" s="216" t="s">
        <v>742</v>
      </c>
      <c r="AE24" s="239">
        <f t="shared" ref="AE24:AE25" si="18">+H24</f>
        <v>2</v>
      </c>
      <c r="AG24" s="495">
        <f t="shared" ref="AG24:AG25" si="19">+J24</f>
        <v>10557.670657693094</v>
      </c>
      <c r="AH24" s="385"/>
      <c r="AI24" s="260">
        <f>(VLOOKUP($AE24,func,AI$382))*$AG24</f>
        <v>6362.0523383258578</v>
      </c>
      <c r="AJ24" s="212"/>
      <c r="AK24" s="260">
        <f>(VLOOKUP($AE24,func,AK$382))*$AG24</f>
        <v>4158.6664720653089</v>
      </c>
      <c r="AL24" s="212"/>
      <c r="AM24" s="260">
        <f>(VLOOKUP($AE24,func,AM$382))*$AG24</f>
        <v>0</v>
      </c>
      <c r="AN24" s="212"/>
      <c r="AO24" s="260">
        <f>(VLOOKUP($AE24,func,AO$382))*$AG24</f>
        <v>0</v>
      </c>
      <c r="AP24" s="212"/>
      <c r="AQ24" s="260">
        <f>(VLOOKUP($AE24,func,AQ$382))*$AG24</f>
        <v>0</v>
      </c>
      <c r="AR24" s="212"/>
      <c r="AS24" s="260">
        <f>(VLOOKUP($AE24,func,AS$382))*$AG24</f>
        <v>0</v>
      </c>
      <c r="AT24" s="212"/>
      <c r="AU24" s="260">
        <f>(VLOOKUP($AE24,func,AU$382))*$AG24</f>
        <v>0</v>
      </c>
      <c r="AV24" s="262"/>
      <c r="AW24" s="262">
        <f>(VLOOKUP($AE24,func,AW$382))*$AG24</f>
        <v>16.892273052308951</v>
      </c>
      <c r="AX24" s="262"/>
      <c r="AY24" s="262">
        <f>(VLOOKUP($AE24,func,AY$382))*$AG24</f>
        <v>20.05957424961688</v>
      </c>
      <c r="BA24" s="175"/>
      <c r="BB24" s="145"/>
      <c r="BC24" s="145"/>
      <c r="BD24" s="145"/>
    </row>
    <row r="25" spans="1:56" x14ac:dyDescent="0.2">
      <c r="A25" s="146"/>
      <c r="B25" s="146"/>
      <c r="D25" s="488">
        <v>620.20000000000005</v>
      </c>
      <c r="F25" s="216" t="s">
        <v>793</v>
      </c>
      <c r="G25" s="139"/>
      <c r="H25" s="261">
        <v>2</v>
      </c>
      <c r="I25" s="216"/>
      <c r="J25" s="388">
        <v>149691.66666666669</v>
      </c>
      <c r="K25" s="385"/>
      <c r="L25" s="549">
        <f>(VLOOKUP($H25,Factors,L$382))*$J25</f>
        <v>74696.141666666677</v>
      </c>
      <c r="M25" s="385"/>
      <c r="N25" s="549">
        <f>(VLOOKUP($H25,Factors,N$382))*$J25</f>
        <v>46359.50916666667</v>
      </c>
      <c r="O25" s="385"/>
      <c r="P25" s="549">
        <f>(VLOOKUP($H25,Factors,P$382))*$J25</f>
        <v>6601.4025000000011</v>
      </c>
      <c r="Q25" s="385"/>
      <c r="R25" s="549">
        <f>(VLOOKUP($H25,Factors,R$382))*$J25</f>
        <v>16496.021666666671</v>
      </c>
      <c r="S25" s="385"/>
      <c r="T25" s="549">
        <f>(VLOOKUP($H25,Factors,T$382))*$J25</f>
        <v>5014.6708333333345</v>
      </c>
      <c r="U25" s="385"/>
      <c r="V25" s="549">
        <f>(VLOOKUP($H25,Factors,V$382))*$J25</f>
        <v>239.50666666666672</v>
      </c>
      <c r="W25" s="385"/>
      <c r="X25" s="549">
        <f>(VLOOKUP($H25,Factors,X$382))*$J25</f>
        <v>284.41416666666669</v>
      </c>
      <c r="Y25" s="212"/>
      <c r="Z25" s="212"/>
      <c r="AC25" s="216" t="s">
        <v>793</v>
      </c>
      <c r="AE25" s="239">
        <f t="shared" si="18"/>
        <v>2</v>
      </c>
      <c r="AG25" s="388">
        <f t="shared" si="19"/>
        <v>149691.66666666669</v>
      </c>
      <c r="AH25" s="385"/>
      <c r="AI25" s="549">
        <f>(VLOOKUP($AE25,func,AI$382))*$AG25</f>
        <v>90204.198333333334</v>
      </c>
      <c r="AJ25" s="385"/>
      <c r="AK25" s="549">
        <f>(VLOOKUP($AE25,func,AK$382))*$AG25</f>
        <v>58963.547500000001</v>
      </c>
      <c r="AL25" s="385"/>
      <c r="AM25" s="549">
        <f>(VLOOKUP($AE25,func,AM$382))*$AG25</f>
        <v>0</v>
      </c>
      <c r="AN25" s="385"/>
      <c r="AO25" s="549">
        <f>(VLOOKUP($AE25,func,AO$382))*$AG25</f>
        <v>0</v>
      </c>
      <c r="AP25" s="385"/>
      <c r="AQ25" s="549">
        <f>(VLOOKUP($AE25,func,AQ$382))*$AG25</f>
        <v>0</v>
      </c>
      <c r="AR25" s="385"/>
      <c r="AS25" s="549">
        <f>(VLOOKUP($AE25,func,AS$382))*$AG25</f>
        <v>0</v>
      </c>
      <c r="AT25" s="385"/>
      <c r="AU25" s="549">
        <f>(VLOOKUP($AE25,func,AU$382))*$AG25</f>
        <v>0</v>
      </c>
      <c r="AV25" s="385"/>
      <c r="AW25" s="549">
        <f>(VLOOKUP($AE25,func,AW$382))*$AG25</f>
        <v>239.50666666666672</v>
      </c>
      <c r="AX25" s="385"/>
      <c r="AY25" s="549">
        <f>(VLOOKUP($AE25,func,AY$382))*$AG25</f>
        <v>284.41416666666669</v>
      </c>
      <c r="BA25" s="175"/>
      <c r="BB25" s="145"/>
      <c r="BC25" s="145"/>
      <c r="BD25" s="145"/>
    </row>
    <row r="26" spans="1:56" x14ac:dyDescent="0.2">
      <c r="A26" s="146"/>
      <c r="B26" s="146"/>
      <c r="F26" s="216"/>
      <c r="G26" s="139"/>
      <c r="H26" s="261"/>
      <c r="I26" s="216"/>
      <c r="J26" s="312"/>
      <c r="K26" s="385"/>
      <c r="L26" s="386"/>
      <c r="M26" s="385"/>
      <c r="N26" s="386"/>
      <c r="O26" s="385"/>
      <c r="P26" s="386"/>
      <c r="Q26" s="385"/>
      <c r="R26" s="386"/>
      <c r="S26" s="385"/>
      <c r="T26" s="386"/>
      <c r="U26" s="385"/>
      <c r="V26" s="386"/>
      <c r="W26" s="385"/>
      <c r="X26" s="386"/>
      <c r="Z26" s="175"/>
      <c r="AC26" s="216"/>
      <c r="AE26" s="239"/>
      <c r="AG26" s="312"/>
      <c r="AH26" s="385"/>
      <c r="AI26" s="386"/>
      <c r="AJ26" s="385"/>
      <c r="AK26" s="386"/>
      <c r="AL26" s="385"/>
      <c r="AM26" s="386"/>
      <c r="AN26" s="385"/>
      <c r="AO26" s="386"/>
      <c r="AP26" s="385"/>
      <c r="AQ26" s="386"/>
      <c r="AR26" s="385"/>
      <c r="AS26" s="386"/>
      <c r="AT26" s="385"/>
      <c r="AU26" s="386"/>
      <c r="AV26" s="385"/>
      <c r="AW26" s="386"/>
      <c r="AX26" s="385"/>
      <c r="AY26" s="386"/>
      <c r="BA26" s="175"/>
      <c r="BB26" s="145"/>
      <c r="BC26" s="145"/>
      <c r="BD26" s="145"/>
    </row>
    <row r="27" spans="1:56" x14ac:dyDescent="0.2">
      <c r="A27" s="146"/>
      <c r="B27" s="146"/>
      <c r="F27" s="216" t="s">
        <v>14</v>
      </c>
      <c r="G27" s="139"/>
      <c r="H27" s="261"/>
      <c r="I27" s="216"/>
      <c r="J27" s="389">
        <f>SUM(J24:J25)</f>
        <v>160249.33732435977</v>
      </c>
      <c r="K27" s="216"/>
      <c r="L27" s="389">
        <f>SUM(L24:L25)</f>
        <v>79964.419324855524</v>
      </c>
      <c r="M27" s="216"/>
      <c r="N27" s="389">
        <f t="shared" ref="N27" si="20">SUM(N24:N25)</f>
        <v>49629.219769354218</v>
      </c>
      <c r="O27" s="216"/>
      <c r="P27" s="389">
        <f t="shared" ref="P27" si="21">SUM(P24:P25)</f>
        <v>7066.9957760042662</v>
      </c>
      <c r="Q27" s="216"/>
      <c r="R27" s="389">
        <f t="shared" ref="R27" si="22">SUM(R24:R25)</f>
        <v>17659.47697314445</v>
      </c>
      <c r="S27" s="216"/>
      <c r="T27" s="389">
        <f t="shared" ref="T27" si="23">SUM(T24:T25)</f>
        <v>5368.3528003660531</v>
      </c>
      <c r="U27" s="216"/>
      <c r="V27" s="389">
        <f t="shared" ref="V27" si="24">SUM(V24:V25)</f>
        <v>256.39893971897567</v>
      </c>
      <c r="W27" s="216"/>
      <c r="X27" s="389">
        <f t="shared" ref="X27" si="25">SUM(X24:X25)</f>
        <v>304.47374091628359</v>
      </c>
      <c r="Z27" s="175"/>
      <c r="AC27" s="216" t="s">
        <v>14</v>
      </c>
      <c r="AD27" s="139"/>
      <c r="AE27" s="261"/>
      <c r="AF27" s="216"/>
      <c r="AG27" s="389">
        <f>SUM(AG24:AG25)</f>
        <v>160249.33732435977</v>
      </c>
      <c r="AH27" s="216"/>
      <c r="AI27" s="389">
        <f>SUM(AI24:AI25)</f>
        <v>96566.250671659189</v>
      </c>
      <c r="AJ27" s="216"/>
      <c r="AK27" s="389">
        <f>SUM(AK24:AK25)</f>
        <v>63122.213972065307</v>
      </c>
      <c r="AL27" s="216"/>
      <c r="AM27" s="389">
        <f>SUM(AM24:AM25)</f>
        <v>0</v>
      </c>
      <c r="AN27" s="216"/>
      <c r="AO27" s="389">
        <f>SUM(AO24:AO25)</f>
        <v>0</v>
      </c>
      <c r="AP27" s="216"/>
      <c r="AQ27" s="389">
        <f>SUM(AQ24:AQ25)</f>
        <v>0</v>
      </c>
      <c r="AR27" s="216"/>
      <c r="AS27" s="389">
        <f>SUM(AS24:AS25)</f>
        <v>0</v>
      </c>
      <c r="AT27" s="216"/>
      <c r="AU27" s="389">
        <f>SUM(AU24:AU25)</f>
        <v>0</v>
      </c>
      <c r="AV27" s="216"/>
      <c r="AW27" s="389">
        <f>SUM(AW24:AW25)</f>
        <v>256.39893971897567</v>
      </c>
      <c r="AX27" s="216"/>
      <c r="AY27" s="389">
        <f>SUM(AY24:AY25)</f>
        <v>304.47374091628359</v>
      </c>
      <c r="BA27" s="175"/>
      <c r="BB27" s="145"/>
      <c r="BC27" s="145"/>
      <c r="BD27" s="145"/>
    </row>
    <row r="28" spans="1:56" x14ac:dyDescent="0.2">
      <c r="A28" s="146"/>
      <c r="B28" s="146"/>
      <c r="F28" s="216"/>
      <c r="G28" s="139"/>
      <c r="H28" s="261"/>
      <c r="I28" s="216"/>
      <c r="J28" s="312"/>
      <c r="K28" s="216"/>
      <c r="L28" s="312"/>
      <c r="M28" s="216"/>
      <c r="N28" s="312"/>
      <c r="O28" s="216"/>
      <c r="P28" s="312"/>
      <c r="Q28" s="216"/>
      <c r="R28" s="312"/>
      <c r="S28" s="216"/>
      <c r="T28" s="312"/>
      <c r="U28" s="216"/>
      <c r="V28" s="312"/>
      <c r="W28" s="216"/>
      <c r="X28" s="312"/>
      <c r="Z28" s="175"/>
      <c r="AC28" s="216"/>
      <c r="AD28" s="139"/>
      <c r="AE28" s="261"/>
      <c r="AF28" s="216"/>
      <c r="AG28" s="312"/>
      <c r="AH28" s="216"/>
      <c r="AI28" s="312"/>
      <c r="AJ28" s="216"/>
      <c r="AK28" s="312"/>
      <c r="AL28" s="216"/>
      <c r="AM28" s="312"/>
      <c r="AN28" s="216"/>
      <c r="AO28" s="312"/>
      <c r="AP28" s="216"/>
      <c r="AQ28" s="312"/>
      <c r="AR28" s="216"/>
      <c r="AS28" s="312"/>
      <c r="AT28" s="216"/>
      <c r="AU28" s="312"/>
      <c r="AV28" s="216"/>
      <c r="AW28" s="312"/>
      <c r="AX28" s="216"/>
      <c r="AY28" s="312"/>
      <c r="BA28" s="175"/>
      <c r="BB28" s="145"/>
      <c r="BC28" s="145"/>
      <c r="BD28" s="145"/>
    </row>
    <row r="29" spans="1:56" x14ac:dyDescent="0.2">
      <c r="A29" s="146"/>
      <c r="B29" s="146"/>
      <c r="F29" s="216" t="s">
        <v>15</v>
      </c>
      <c r="G29" s="139"/>
      <c r="H29" s="261"/>
      <c r="I29" s="216"/>
      <c r="J29" s="389">
        <f>J21+J27</f>
        <v>449643.68746031844</v>
      </c>
      <c r="K29" s="216"/>
      <c r="L29" s="389">
        <f>L21+L27</f>
        <v>220935.04832980185</v>
      </c>
      <c r="M29" s="216"/>
      <c r="N29" s="389">
        <f t="shared" ref="N29" si="26">N21+N27</f>
        <v>139060.61724847447</v>
      </c>
      <c r="O29" s="216"/>
      <c r="P29" s="389">
        <f t="shared" ref="P29" si="27">P21+P27</f>
        <v>20716.293510650892</v>
      </c>
      <c r="Q29" s="216"/>
      <c r="R29" s="389">
        <f t="shared" ref="R29" si="28">R21+R27</f>
        <v>50992.120560309719</v>
      </c>
      <c r="S29" s="216"/>
      <c r="T29" s="389">
        <f t="shared" ref="T29" si="29">T21+T27</f>
        <v>15728.318700158805</v>
      </c>
      <c r="U29" s="216"/>
      <c r="V29" s="389">
        <f t="shared" ref="V29" si="30">V21+V27</f>
        <v>996.61955420239951</v>
      </c>
      <c r="W29" s="216"/>
      <c r="X29" s="389">
        <f t="shared" ref="X29" si="31">X21+X27</f>
        <v>1214.6695567202623</v>
      </c>
      <c r="Z29" s="175"/>
      <c r="AC29" s="216" t="s">
        <v>15</v>
      </c>
      <c r="AD29" s="139"/>
      <c r="AE29" s="261"/>
      <c r="AF29" s="216"/>
      <c r="AG29" s="389">
        <f>AG21+AG27</f>
        <v>449643.68746031844</v>
      </c>
      <c r="AH29" s="216"/>
      <c r="AI29" s="389">
        <f>AI21+AI27</f>
        <v>379502.7546741105</v>
      </c>
      <c r="AJ29" s="216"/>
      <c r="AK29" s="389">
        <f>AK21+AK27</f>
        <v>67929.643675285246</v>
      </c>
      <c r="AL29" s="216"/>
      <c r="AM29" s="389">
        <f>AM21+AM27</f>
        <v>0</v>
      </c>
      <c r="AN29" s="216"/>
      <c r="AO29" s="389">
        <f>AO21+AO27</f>
        <v>0</v>
      </c>
      <c r="AP29" s="216"/>
      <c r="AQ29" s="389">
        <f>AQ21+AQ27</f>
        <v>0</v>
      </c>
      <c r="AR29" s="216"/>
      <c r="AS29" s="389">
        <f>AS21+AS27</f>
        <v>0</v>
      </c>
      <c r="AT29" s="216"/>
      <c r="AU29" s="389">
        <f>AU21+AU27</f>
        <v>0</v>
      </c>
      <c r="AV29" s="216"/>
      <c r="AW29" s="389">
        <f t="shared" ref="AW29" si="32">AW21+AW27</f>
        <v>996.61955420239951</v>
      </c>
      <c r="AX29" s="216"/>
      <c r="AY29" s="389">
        <f t="shared" ref="AY29" si="33">AY21+AY27</f>
        <v>1214.6695567202623</v>
      </c>
      <c r="BA29" s="175"/>
      <c r="BB29" s="145"/>
      <c r="BC29" s="145"/>
      <c r="BD29" s="145"/>
    </row>
    <row r="30" spans="1:56" x14ac:dyDescent="0.2">
      <c r="A30" s="146"/>
      <c r="B30" s="146"/>
      <c r="C30" s="478"/>
      <c r="D30" s="489"/>
      <c r="E30" s="478"/>
      <c r="F30" s="480"/>
      <c r="G30" s="200"/>
      <c r="H30" s="547"/>
      <c r="I30" s="216"/>
      <c r="J30" s="312"/>
      <c r="K30" s="385"/>
      <c r="L30" s="386"/>
      <c r="M30" s="385"/>
      <c r="N30" s="386"/>
      <c r="O30" s="385"/>
      <c r="P30" s="386"/>
      <c r="Q30" s="385"/>
      <c r="R30" s="386"/>
      <c r="S30" s="385"/>
      <c r="T30" s="386"/>
      <c r="U30" s="385"/>
      <c r="V30" s="386"/>
      <c r="W30" s="385"/>
      <c r="X30" s="386"/>
      <c r="Z30" s="175"/>
      <c r="AC30" s="480"/>
      <c r="AG30" s="312"/>
      <c r="AH30" s="385"/>
      <c r="AI30" s="386"/>
      <c r="AJ30" s="385"/>
      <c r="AK30" s="386"/>
      <c r="AL30" s="385"/>
      <c r="AM30" s="386"/>
      <c r="AN30" s="385"/>
      <c r="AO30" s="386"/>
      <c r="AP30" s="385"/>
      <c r="AQ30" s="386"/>
      <c r="AR30" s="385"/>
      <c r="AS30" s="386"/>
      <c r="AT30" s="385"/>
      <c r="AU30" s="386"/>
      <c r="AV30" s="385"/>
      <c r="AW30" s="386"/>
      <c r="AX30" s="385"/>
      <c r="AY30" s="386"/>
      <c r="BA30" s="175"/>
      <c r="BB30" s="145"/>
      <c r="BC30" s="145"/>
      <c r="BD30" s="145"/>
    </row>
    <row r="31" spans="1:56" x14ac:dyDescent="0.2">
      <c r="A31" s="146"/>
      <c r="B31" s="146"/>
      <c r="F31" s="216" t="s">
        <v>48</v>
      </c>
      <c r="G31" s="139"/>
      <c r="H31" s="261"/>
      <c r="I31" s="216"/>
      <c r="J31" s="312"/>
      <c r="K31" s="386"/>
      <c r="L31" s="386"/>
      <c r="M31" s="386"/>
      <c r="N31" s="386"/>
      <c r="O31" s="386"/>
      <c r="P31" s="386"/>
      <c r="Q31" s="386"/>
      <c r="R31" s="386"/>
      <c r="S31" s="386"/>
      <c r="T31" s="386"/>
      <c r="U31" s="386"/>
      <c r="V31" s="386"/>
      <c r="W31" s="386"/>
      <c r="X31" s="386"/>
      <c r="Z31" s="175"/>
      <c r="AC31" s="216" t="s">
        <v>48</v>
      </c>
      <c r="AG31" s="312"/>
      <c r="AH31" s="386"/>
      <c r="AI31" s="386"/>
      <c r="AJ31" s="386"/>
      <c r="AK31" s="386"/>
      <c r="AL31" s="386"/>
      <c r="AM31" s="386"/>
      <c r="AN31" s="386"/>
      <c r="AO31" s="386"/>
      <c r="AP31" s="386"/>
      <c r="AQ31" s="386"/>
      <c r="AR31" s="386"/>
      <c r="AS31" s="386"/>
      <c r="AT31" s="386"/>
      <c r="AU31" s="386"/>
      <c r="AV31" s="386"/>
      <c r="AW31" s="386"/>
      <c r="AX31" s="386"/>
      <c r="AY31" s="386"/>
      <c r="BA31" s="175"/>
      <c r="BB31" s="145"/>
      <c r="BC31" s="145"/>
      <c r="BD31" s="145"/>
    </row>
    <row r="32" spans="1:56" x14ac:dyDescent="0.2">
      <c r="A32" s="146"/>
      <c r="B32" s="146"/>
      <c r="D32" s="488">
        <v>615.1</v>
      </c>
      <c r="F32" s="216" t="s">
        <v>471</v>
      </c>
      <c r="G32" s="139"/>
      <c r="H32" s="261">
        <v>1</v>
      </c>
      <c r="I32" s="216"/>
      <c r="J32" s="389">
        <v>631320.72059455735</v>
      </c>
      <c r="K32" s="385"/>
      <c r="L32" s="389">
        <f>(VLOOKUP($H32,Factors,L$382))*$J32</f>
        <v>307200.66264131159</v>
      </c>
      <c r="M32" s="385"/>
      <c r="N32" s="389">
        <f>(VLOOKUP($H32,Factors,N$382))*$J32</f>
        <v>195078.10266371822</v>
      </c>
      <c r="O32" s="385"/>
      <c r="P32" s="389">
        <f>(VLOOKUP($H32,Factors,P$382))*$J32</f>
        <v>29861.470084122564</v>
      </c>
      <c r="Q32" s="385"/>
      <c r="R32" s="389">
        <f>(VLOOKUP($H32,Factors,R$382))*$J32</f>
        <v>72854.411156611925</v>
      </c>
      <c r="S32" s="385"/>
      <c r="T32" s="389">
        <f>(VLOOKUP($H32,Factors,T$382))*$J32</f>
        <v>22664.413869344611</v>
      </c>
      <c r="U32" s="385"/>
      <c r="V32" s="389">
        <f>(VLOOKUP($H32,Factors,V$382))*$J32</f>
        <v>1641.4338735458491</v>
      </c>
      <c r="W32" s="385"/>
      <c r="X32" s="389">
        <f>(VLOOKUP($H32,Factors,X$382))*$J32</f>
        <v>2020.2263059025836</v>
      </c>
      <c r="Y32" s="212"/>
      <c r="Z32" s="212"/>
      <c r="AC32" s="216" t="s">
        <v>471</v>
      </c>
      <c r="AE32" s="239">
        <f t="shared" ref="AE32" si="34">+H32</f>
        <v>1</v>
      </c>
      <c r="AG32" s="389">
        <f>+J32</f>
        <v>631320.72059455735</v>
      </c>
      <c r="AH32" s="385"/>
      <c r="AI32" s="389">
        <f>(VLOOKUP($AE32,func,AI$382))*$AG32</f>
        <v>627659.06041510892</v>
      </c>
      <c r="AJ32" s="385"/>
      <c r="AK32" s="389">
        <f>(VLOOKUP($AE32,func,AK$382))*$AG32</f>
        <v>0</v>
      </c>
      <c r="AL32" s="385"/>
      <c r="AM32" s="389">
        <f>(VLOOKUP($AE32,func,AM$382))*$AG32</f>
        <v>0</v>
      </c>
      <c r="AN32" s="385"/>
      <c r="AO32" s="389">
        <f>(VLOOKUP($AE32,func,AO$382))*$AG32</f>
        <v>0</v>
      </c>
      <c r="AP32" s="385"/>
      <c r="AQ32" s="389">
        <f>(VLOOKUP($AE32,func,AQ$382))*$AG32</f>
        <v>0</v>
      </c>
      <c r="AR32" s="385"/>
      <c r="AS32" s="389">
        <f>(VLOOKUP($AE32,func,AS$382))*$AG32</f>
        <v>0</v>
      </c>
      <c r="AT32" s="385"/>
      <c r="AU32" s="389">
        <f>(VLOOKUP($AE32,func,AU$382))*$AG32</f>
        <v>0</v>
      </c>
      <c r="AV32" s="385"/>
      <c r="AW32" s="389">
        <f>(VLOOKUP($AE32,func,AW$382))*$AG32</f>
        <v>1641.4338735458491</v>
      </c>
      <c r="AX32" s="385"/>
      <c r="AY32" s="389">
        <f>(VLOOKUP($AE32,func,AY$382))*$AG32</f>
        <v>2020.2263059025836</v>
      </c>
      <c r="BA32" s="175"/>
      <c r="BB32" s="145"/>
      <c r="BC32" s="145"/>
      <c r="BD32" s="145"/>
    </row>
    <row r="33" spans="1:56" x14ac:dyDescent="0.2">
      <c r="A33" s="146"/>
      <c r="B33" s="146"/>
      <c r="F33" s="216"/>
      <c r="G33" s="139"/>
      <c r="H33" s="261"/>
      <c r="I33" s="216"/>
      <c r="J33" s="312"/>
      <c r="K33" s="385"/>
      <c r="L33" s="312"/>
      <c r="M33" s="385"/>
      <c r="N33" s="312"/>
      <c r="O33" s="385"/>
      <c r="P33" s="312"/>
      <c r="Q33" s="385"/>
      <c r="R33" s="312"/>
      <c r="S33" s="385"/>
      <c r="T33" s="312"/>
      <c r="U33" s="385"/>
      <c r="V33" s="312"/>
      <c r="W33" s="385"/>
      <c r="X33" s="312"/>
      <c r="Z33" s="175"/>
      <c r="AC33" s="216"/>
      <c r="AD33" s="139"/>
      <c r="AE33" s="261"/>
      <c r="AF33" s="216"/>
      <c r="AG33" s="312"/>
      <c r="AH33" s="385"/>
      <c r="AI33" s="312"/>
      <c r="AJ33" s="385"/>
      <c r="AK33" s="312"/>
      <c r="AL33" s="385"/>
      <c r="AM33" s="312"/>
      <c r="AN33" s="385"/>
      <c r="AO33" s="312"/>
      <c r="AP33" s="385"/>
      <c r="AQ33" s="312"/>
      <c r="AR33" s="385"/>
      <c r="AS33" s="312"/>
      <c r="AT33" s="385"/>
      <c r="AU33" s="312"/>
      <c r="AV33" s="385"/>
      <c r="AW33" s="312"/>
      <c r="AX33" s="385"/>
      <c r="AY33" s="312"/>
      <c r="BA33" s="175"/>
      <c r="BB33" s="145"/>
      <c r="BC33" s="145"/>
      <c r="BD33" s="145"/>
    </row>
    <row r="34" spans="1:56" x14ac:dyDescent="0.2">
      <c r="A34" s="146"/>
      <c r="B34" s="146"/>
      <c r="F34" s="216" t="s">
        <v>12</v>
      </c>
      <c r="G34" s="139"/>
      <c r="H34" s="261"/>
      <c r="I34" s="216"/>
      <c r="J34" s="389">
        <f>SUM(J32:J32)</f>
        <v>631320.72059455735</v>
      </c>
      <c r="K34" s="216"/>
      <c r="L34" s="389">
        <f>SUM(L32:L32)</f>
        <v>307200.66264131159</v>
      </c>
      <c r="M34" s="216"/>
      <c r="N34" s="389">
        <f t="shared" ref="N34" si="35">SUM(N32:N32)</f>
        <v>195078.10266371822</v>
      </c>
      <c r="O34" s="216"/>
      <c r="P34" s="389">
        <f t="shared" ref="P34" si="36">SUM(P32:P32)</f>
        <v>29861.470084122564</v>
      </c>
      <c r="Q34" s="216"/>
      <c r="R34" s="389">
        <f t="shared" ref="R34" si="37">SUM(R32:R32)</f>
        <v>72854.411156611925</v>
      </c>
      <c r="S34" s="216"/>
      <c r="T34" s="389">
        <f t="shared" ref="T34" si="38">SUM(T32:T32)</f>
        <v>22664.413869344611</v>
      </c>
      <c r="U34" s="216"/>
      <c r="V34" s="389">
        <f t="shared" ref="V34" si="39">SUM(V32:V32)</f>
        <v>1641.4338735458491</v>
      </c>
      <c r="W34" s="216"/>
      <c r="X34" s="389">
        <f t="shared" ref="X34" si="40">SUM(X32:X32)</f>
        <v>2020.2263059025836</v>
      </c>
      <c r="Z34" s="175"/>
      <c r="AC34" s="216" t="s">
        <v>12</v>
      </c>
      <c r="AD34" s="139"/>
      <c r="AE34" s="261"/>
      <c r="AF34" s="216"/>
      <c r="AG34" s="389">
        <f>SUM(AG32:AG32)</f>
        <v>631320.72059455735</v>
      </c>
      <c r="AH34" s="216"/>
      <c r="AI34" s="389">
        <f>SUM(AI32:AI32)</f>
        <v>627659.06041510892</v>
      </c>
      <c r="AJ34" s="216"/>
      <c r="AK34" s="389">
        <f>SUM(AK32:AK32)</f>
        <v>0</v>
      </c>
      <c r="AL34" s="216"/>
      <c r="AM34" s="389">
        <f>SUM(AM32:AM32)</f>
        <v>0</v>
      </c>
      <c r="AN34" s="216"/>
      <c r="AO34" s="389">
        <f>SUM(AO32:AO32)</f>
        <v>0</v>
      </c>
      <c r="AP34" s="216"/>
      <c r="AQ34" s="389">
        <f>SUM(AQ32:AQ32)</f>
        <v>0</v>
      </c>
      <c r="AR34" s="216"/>
      <c r="AS34" s="389">
        <f>SUM(AS32:AS32)</f>
        <v>0</v>
      </c>
      <c r="AT34" s="216"/>
      <c r="AU34" s="389">
        <f>SUM(AU32:AU32)</f>
        <v>0</v>
      </c>
      <c r="AV34" s="216"/>
      <c r="AW34" s="389">
        <f t="shared" ref="AW34" si="41">SUM(AW32:AW32)</f>
        <v>1641.4338735458491</v>
      </c>
      <c r="AX34" s="216"/>
      <c r="AY34" s="389">
        <f t="shared" ref="AY34" si="42">SUM(AY32:AY32)</f>
        <v>2020.2263059025836</v>
      </c>
      <c r="BA34" s="175"/>
      <c r="BB34" s="145"/>
      <c r="BC34" s="145"/>
      <c r="BD34" s="145"/>
    </row>
    <row r="35" spans="1:56" x14ac:dyDescent="0.2">
      <c r="A35" s="146"/>
      <c r="B35" s="146"/>
      <c r="F35" s="216" t="s">
        <v>13</v>
      </c>
      <c r="G35" s="139"/>
      <c r="H35" s="261"/>
      <c r="I35" s="216"/>
      <c r="J35" s="312"/>
      <c r="K35" s="385"/>
      <c r="L35" s="312"/>
      <c r="M35" s="385"/>
      <c r="N35" s="312"/>
      <c r="O35" s="385"/>
      <c r="P35" s="312"/>
      <c r="Q35" s="385"/>
      <c r="R35" s="312"/>
      <c r="S35" s="385"/>
      <c r="T35" s="312"/>
      <c r="U35" s="385"/>
      <c r="V35" s="312"/>
      <c r="W35" s="385"/>
      <c r="X35" s="312"/>
      <c r="Z35" s="175"/>
      <c r="AC35" s="216" t="s">
        <v>13</v>
      </c>
      <c r="AG35" s="312"/>
      <c r="AH35" s="385"/>
      <c r="AI35" s="312"/>
      <c r="AJ35" s="385"/>
      <c r="AK35" s="312"/>
      <c r="AL35" s="385"/>
      <c r="AM35" s="312"/>
      <c r="AN35" s="385"/>
      <c r="AO35" s="312"/>
      <c r="AP35" s="385"/>
      <c r="AQ35" s="312"/>
      <c r="AR35" s="385"/>
      <c r="AS35" s="312"/>
      <c r="AT35" s="385"/>
      <c r="AU35" s="312"/>
      <c r="AV35" s="385"/>
      <c r="AW35" s="312"/>
      <c r="AX35" s="385"/>
      <c r="AY35" s="312"/>
      <c r="BA35" s="175"/>
      <c r="BB35" s="145"/>
      <c r="BC35" s="145"/>
      <c r="BD35" s="145"/>
    </row>
    <row r="36" spans="1:56" x14ac:dyDescent="0.2">
      <c r="A36" s="550"/>
      <c r="B36" s="550"/>
      <c r="D36" s="488">
        <v>601.20000000000005</v>
      </c>
      <c r="F36" s="216" t="s">
        <v>742</v>
      </c>
      <c r="G36" s="139"/>
      <c r="H36" s="261">
        <v>6</v>
      </c>
      <c r="I36" s="216"/>
      <c r="J36" s="389">
        <v>43683.625071967574</v>
      </c>
      <c r="K36" s="385"/>
      <c r="L36" s="389">
        <f>(VLOOKUP($H36,Factors,L$382))*$J36</f>
        <v>20828.35243431414</v>
      </c>
      <c r="M36" s="385"/>
      <c r="N36" s="389">
        <f>(VLOOKUP($H36,Factors,N$382))*$J36</f>
        <v>12873.564308708845</v>
      </c>
      <c r="O36" s="385"/>
      <c r="P36" s="389">
        <f>(VLOOKUP($H36,Factors,P$382))*$J36</f>
        <v>1782.2919029362772</v>
      </c>
      <c r="Q36" s="385"/>
      <c r="R36" s="389">
        <f>(VLOOKUP($H36,Factors,R$382))*$J36</f>
        <v>4407.677769761528</v>
      </c>
      <c r="S36" s="385"/>
      <c r="T36" s="389">
        <f>(VLOOKUP($H36,Factors,T$382))*$J36</f>
        <v>1039.6702767128284</v>
      </c>
      <c r="U36" s="385"/>
      <c r="V36" s="389">
        <f>(VLOOKUP($H36,Factors,V$382))*$J36</f>
        <v>1240.6149520438792</v>
      </c>
      <c r="W36" s="385"/>
      <c r="X36" s="389">
        <f>(VLOOKUP($H36,Factors,X$382))*$J36</f>
        <v>1511.453427490078</v>
      </c>
      <c r="Y36" s="212"/>
      <c r="Z36" s="212"/>
      <c r="AC36" s="216" t="s">
        <v>742</v>
      </c>
      <c r="AE36" s="239">
        <f>+H36</f>
        <v>6</v>
      </c>
      <c r="AG36" s="389">
        <f>+J36</f>
        <v>43683.625071967574</v>
      </c>
      <c r="AH36" s="385"/>
      <c r="AI36" s="389">
        <f>(VLOOKUP($AE36,func,AI$382))*$AG36</f>
        <v>22687.153585546464</v>
      </c>
      <c r="AJ36" s="385"/>
      <c r="AK36" s="389">
        <f>(VLOOKUP($AE36,func,AK$382))*$AG36</f>
        <v>12227.046657643725</v>
      </c>
      <c r="AL36" s="385"/>
      <c r="AM36" s="389">
        <f>(VLOOKUP($AE36,func,AM$382))*$AG36</f>
        <v>6016.6575112422779</v>
      </c>
      <c r="AN36" s="385"/>
      <c r="AO36" s="389">
        <f>(VLOOKUP($AE36,func,AO$382))*$AG36</f>
        <v>0</v>
      </c>
      <c r="AP36" s="385"/>
      <c r="AQ36" s="389">
        <f>(VLOOKUP($AE36,func,AQ$382))*$AG36</f>
        <v>0</v>
      </c>
      <c r="AR36" s="385"/>
      <c r="AS36" s="389">
        <f>(VLOOKUP($AE36,func,AS$382))*$AG36</f>
        <v>0</v>
      </c>
      <c r="AT36" s="385"/>
      <c r="AU36" s="389">
        <f>(VLOOKUP($AE36,func,AU$382))*$AG36</f>
        <v>0</v>
      </c>
      <c r="AV36" s="385"/>
      <c r="AW36" s="389">
        <f>(VLOOKUP($AE36,func,AW$382))*$AG36</f>
        <v>1240.4926378936775</v>
      </c>
      <c r="AX36" s="385"/>
      <c r="AY36" s="389">
        <f>(VLOOKUP($AE36,func,AY$382))*$AG36</f>
        <v>1512.274679641431</v>
      </c>
      <c r="BA36" s="175"/>
      <c r="BB36" s="145"/>
      <c r="BC36" s="145"/>
      <c r="BD36" s="145"/>
    </row>
    <row r="37" spans="1:56" x14ac:dyDescent="0.2">
      <c r="A37" s="146"/>
      <c r="B37" s="146"/>
      <c r="F37" s="216"/>
      <c r="G37" s="139"/>
      <c r="H37" s="261"/>
      <c r="I37" s="216"/>
      <c r="J37" s="312"/>
      <c r="K37" s="385"/>
      <c r="L37" s="312"/>
      <c r="M37" s="385"/>
      <c r="N37" s="312"/>
      <c r="O37" s="385"/>
      <c r="P37" s="312"/>
      <c r="Q37" s="385"/>
      <c r="R37" s="312"/>
      <c r="S37" s="385"/>
      <c r="T37" s="312"/>
      <c r="U37" s="385"/>
      <c r="V37" s="312"/>
      <c r="W37" s="385"/>
      <c r="X37" s="312"/>
      <c r="Z37" s="175"/>
      <c r="AC37" s="216"/>
      <c r="AD37" s="139"/>
      <c r="AE37" s="261"/>
      <c r="AF37" s="216"/>
      <c r="AG37" s="312"/>
      <c r="AH37" s="385"/>
      <c r="AI37" s="312"/>
      <c r="AJ37" s="385"/>
      <c r="AK37" s="312"/>
      <c r="AL37" s="385"/>
      <c r="AM37" s="312"/>
      <c r="AN37" s="385"/>
      <c r="AO37" s="312"/>
      <c r="AP37" s="385"/>
      <c r="AQ37" s="312"/>
      <c r="AR37" s="385"/>
      <c r="AS37" s="312"/>
      <c r="AT37" s="385"/>
      <c r="AU37" s="312"/>
      <c r="AV37" s="385"/>
      <c r="AW37" s="312"/>
      <c r="AX37" s="385"/>
      <c r="AY37" s="312"/>
      <c r="BA37" s="175"/>
      <c r="BB37" s="145"/>
      <c r="BC37" s="145"/>
      <c r="BD37" s="145"/>
    </row>
    <row r="38" spans="1:56" x14ac:dyDescent="0.2">
      <c r="A38" s="146"/>
      <c r="B38" s="146"/>
      <c r="F38" s="216" t="s">
        <v>14</v>
      </c>
      <c r="G38" s="139"/>
      <c r="H38" s="261"/>
      <c r="I38" s="216"/>
      <c r="J38" s="389">
        <f>SUM(J36:J36)</f>
        <v>43683.625071967574</v>
      </c>
      <c r="K38" s="216"/>
      <c r="L38" s="389">
        <f>SUM(L36:L36)</f>
        <v>20828.35243431414</v>
      </c>
      <c r="M38" s="216"/>
      <c r="N38" s="389">
        <f t="shared" ref="N38" si="43">SUM(N36:N36)</f>
        <v>12873.564308708845</v>
      </c>
      <c r="O38" s="216"/>
      <c r="P38" s="389">
        <f t="shared" ref="P38" si="44">SUM(P36:P36)</f>
        <v>1782.2919029362772</v>
      </c>
      <c r="Q38" s="216"/>
      <c r="R38" s="389">
        <f t="shared" ref="R38" si="45">SUM(R36:R36)</f>
        <v>4407.677769761528</v>
      </c>
      <c r="S38" s="216"/>
      <c r="T38" s="389">
        <f t="shared" ref="T38" si="46">SUM(T36:T36)</f>
        <v>1039.6702767128284</v>
      </c>
      <c r="U38" s="216"/>
      <c r="V38" s="389">
        <f t="shared" ref="V38" si="47">SUM(V36:V36)</f>
        <v>1240.6149520438792</v>
      </c>
      <c r="W38" s="216"/>
      <c r="X38" s="389">
        <f t="shared" ref="X38" si="48">SUM(X36:X36)</f>
        <v>1511.453427490078</v>
      </c>
      <c r="Z38" s="175"/>
      <c r="AC38" s="216" t="s">
        <v>14</v>
      </c>
      <c r="AD38" s="139"/>
      <c r="AE38" s="261"/>
      <c r="AF38" s="216"/>
      <c r="AG38" s="389">
        <f>SUM(AG36:AG36)</f>
        <v>43683.625071967574</v>
      </c>
      <c r="AH38" s="216"/>
      <c r="AI38" s="389">
        <f>SUM(AI36:AI36)</f>
        <v>22687.153585546464</v>
      </c>
      <c r="AJ38" s="216"/>
      <c r="AK38" s="389">
        <f>SUM(AK36:AK36)</f>
        <v>12227.046657643725</v>
      </c>
      <c r="AL38" s="216"/>
      <c r="AM38" s="389">
        <f>SUM(AM36:AM36)</f>
        <v>6016.6575112422779</v>
      </c>
      <c r="AN38" s="216"/>
      <c r="AO38" s="389">
        <f>SUM(AO36:AO36)</f>
        <v>0</v>
      </c>
      <c r="AP38" s="216"/>
      <c r="AQ38" s="389">
        <f>SUM(AQ36:AQ36)</f>
        <v>0</v>
      </c>
      <c r="AR38" s="216"/>
      <c r="AS38" s="389">
        <f>SUM(AS36:AS36)</f>
        <v>0</v>
      </c>
      <c r="AT38" s="216"/>
      <c r="AU38" s="389">
        <f>SUM(AU36:AU36)</f>
        <v>0</v>
      </c>
      <c r="AV38" s="216"/>
      <c r="AW38" s="389">
        <f t="shared" ref="AW38" si="49">SUM(AW36:AW36)</f>
        <v>1240.4926378936775</v>
      </c>
      <c r="AX38" s="216"/>
      <c r="AY38" s="389">
        <f t="shared" ref="AY38" si="50">SUM(AY36:AY36)</f>
        <v>1512.274679641431</v>
      </c>
      <c r="BA38" s="175"/>
      <c r="BB38" s="145"/>
      <c r="BC38" s="145"/>
      <c r="BD38" s="145"/>
    </row>
    <row r="39" spans="1:56" x14ac:dyDescent="0.2">
      <c r="A39" s="550"/>
      <c r="B39" s="480"/>
      <c r="F39" s="216"/>
      <c r="G39" s="139"/>
      <c r="H39" s="261"/>
      <c r="I39" s="216"/>
      <c r="J39" s="312"/>
      <c r="K39" s="216"/>
      <c r="L39" s="312"/>
      <c r="M39" s="216"/>
      <c r="N39" s="312"/>
      <c r="O39" s="216"/>
      <c r="P39" s="312"/>
      <c r="Q39" s="216"/>
      <c r="R39" s="312"/>
      <c r="S39" s="216"/>
      <c r="T39" s="312"/>
      <c r="U39" s="216"/>
      <c r="V39" s="312"/>
      <c r="W39" s="216"/>
      <c r="X39" s="312"/>
      <c r="Z39" s="175"/>
      <c r="AC39" s="216"/>
      <c r="AD39" s="139"/>
      <c r="AE39" s="261"/>
      <c r="AF39" s="216"/>
      <c r="AG39" s="312"/>
      <c r="AH39" s="216"/>
      <c r="AI39" s="312"/>
      <c r="AJ39" s="216"/>
      <c r="AK39" s="312"/>
      <c r="AL39" s="216"/>
      <c r="AM39" s="312"/>
      <c r="AN39" s="216"/>
      <c r="AO39" s="312"/>
      <c r="AP39" s="216"/>
      <c r="AQ39" s="312"/>
      <c r="AR39" s="216"/>
      <c r="AS39" s="312"/>
      <c r="AT39" s="216"/>
      <c r="AU39" s="312"/>
      <c r="AV39" s="216"/>
      <c r="AW39" s="312"/>
      <c r="AX39" s="216"/>
      <c r="AY39" s="312"/>
      <c r="BA39" s="175"/>
      <c r="BB39" s="145"/>
      <c r="BC39" s="145"/>
      <c r="BD39" s="145"/>
    </row>
    <row r="40" spans="1:56" x14ac:dyDescent="0.2">
      <c r="A40" s="550"/>
      <c r="B40" s="480"/>
      <c r="F40" s="216" t="s">
        <v>16</v>
      </c>
      <c r="G40" s="139"/>
      <c r="H40" s="261"/>
      <c r="I40" s="216"/>
      <c r="J40" s="389">
        <f>J38+J34</f>
        <v>675004.34566652495</v>
      </c>
      <c r="K40" s="216"/>
      <c r="L40" s="389">
        <f>L38+L34</f>
        <v>328029.01507562574</v>
      </c>
      <c r="M40" s="216"/>
      <c r="N40" s="389">
        <f t="shared" ref="N40" si="51">N38+N34</f>
        <v>207951.66697242708</v>
      </c>
      <c r="O40" s="216"/>
      <c r="P40" s="389">
        <f t="shared" ref="P40" si="52">P38+P34</f>
        <v>31643.761987058842</v>
      </c>
      <c r="Q40" s="216"/>
      <c r="R40" s="389">
        <f t="shared" ref="R40" si="53">R38+R34</f>
        <v>77262.088926373457</v>
      </c>
      <c r="S40" s="216"/>
      <c r="T40" s="389">
        <f t="shared" ref="T40" si="54">T38+T34</f>
        <v>23704.084146057441</v>
      </c>
      <c r="U40" s="216"/>
      <c r="V40" s="389">
        <f t="shared" ref="V40" si="55">V38+V34</f>
        <v>2882.048825589728</v>
      </c>
      <c r="W40" s="216"/>
      <c r="X40" s="389">
        <f t="shared" ref="X40" si="56">X38+X34</f>
        <v>3531.6797333926615</v>
      </c>
      <c r="Z40" s="175"/>
      <c r="AC40" s="216" t="s">
        <v>16</v>
      </c>
      <c r="AD40" s="139"/>
      <c r="AE40" s="261"/>
      <c r="AF40" s="216"/>
      <c r="AG40" s="389">
        <f>AG38+AG34</f>
        <v>675004.34566652495</v>
      </c>
      <c r="AH40" s="216"/>
      <c r="AI40" s="389">
        <f>AI38+AI34</f>
        <v>650346.21400065534</v>
      </c>
      <c r="AJ40" s="216"/>
      <c r="AK40" s="389">
        <f>AK38+AK34</f>
        <v>12227.046657643725</v>
      </c>
      <c r="AL40" s="216"/>
      <c r="AM40" s="389">
        <f>AM38+AM34</f>
        <v>6016.6575112422779</v>
      </c>
      <c r="AN40" s="216"/>
      <c r="AO40" s="389">
        <f>AO38+AO34</f>
        <v>0</v>
      </c>
      <c r="AP40" s="216"/>
      <c r="AQ40" s="389">
        <f>AQ38+AQ34</f>
        <v>0</v>
      </c>
      <c r="AR40" s="216"/>
      <c r="AS40" s="389">
        <f>AS38+AS34</f>
        <v>0</v>
      </c>
      <c r="AT40" s="216"/>
      <c r="AU40" s="389">
        <f>AU38+AU34</f>
        <v>0</v>
      </c>
      <c r="AV40" s="216"/>
      <c r="AW40" s="389">
        <f t="shared" ref="AW40" si="57">AW38+AW34</f>
        <v>2881.9265114395266</v>
      </c>
      <c r="AX40" s="216"/>
      <c r="AY40" s="389">
        <f t="shared" ref="AY40" si="58">AY38+AY34</f>
        <v>3532.5009855440148</v>
      </c>
      <c r="BA40" s="175"/>
      <c r="BB40" s="145"/>
      <c r="BC40" s="145"/>
      <c r="BD40" s="145"/>
    </row>
    <row r="41" spans="1:56" x14ac:dyDescent="0.2">
      <c r="A41" s="550"/>
      <c r="B41" s="480"/>
      <c r="F41" s="216"/>
      <c r="G41" s="139"/>
      <c r="H41" s="261"/>
      <c r="I41" s="216"/>
      <c r="J41" s="312"/>
      <c r="K41" s="385"/>
      <c r="L41" s="386"/>
      <c r="M41" s="387"/>
      <c r="N41" s="386"/>
      <c r="O41" s="387"/>
      <c r="P41" s="386"/>
      <c r="Q41" s="387"/>
      <c r="R41" s="386"/>
      <c r="S41" s="387"/>
      <c r="T41" s="386"/>
      <c r="U41" s="387"/>
      <c r="V41" s="386"/>
      <c r="W41" s="387"/>
      <c r="X41" s="386"/>
      <c r="Z41" s="175"/>
      <c r="AC41" s="216"/>
      <c r="AE41" s="239"/>
      <c r="AG41" s="312"/>
      <c r="AH41" s="385"/>
      <c r="AI41" s="386"/>
      <c r="AJ41" s="387"/>
      <c r="AK41" s="386"/>
      <c r="AL41" s="387"/>
      <c r="AM41" s="386"/>
      <c r="AN41" s="387"/>
      <c r="AO41" s="386"/>
      <c r="AP41" s="387"/>
      <c r="AQ41" s="386"/>
      <c r="AR41" s="387"/>
      <c r="AS41" s="386"/>
      <c r="AT41" s="387"/>
      <c r="AU41" s="386"/>
      <c r="AV41" s="386"/>
      <c r="AW41" s="386"/>
      <c r="AX41" s="386"/>
      <c r="AY41" s="386"/>
      <c r="BA41" s="175"/>
      <c r="BB41" s="145"/>
      <c r="BC41" s="145"/>
      <c r="BD41" s="145"/>
    </row>
    <row r="42" spans="1:56" x14ac:dyDescent="0.2">
      <c r="A42" s="550"/>
      <c r="B42" s="480"/>
      <c r="F42" s="216" t="s">
        <v>47</v>
      </c>
      <c r="G42" s="139"/>
      <c r="H42" s="261"/>
      <c r="I42" s="216"/>
      <c r="J42" s="312"/>
      <c r="K42" s="385"/>
      <c r="L42" s="386"/>
      <c r="M42" s="387"/>
      <c r="N42" s="386"/>
      <c r="O42" s="387"/>
      <c r="P42" s="386"/>
      <c r="Q42" s="387"/>
      <c r="R42" s="386"/>
      <c r="S42" s="387"/>
      <c r="T42" s="386"/>
      <c r="U42" s="387"/>
      <c r="V42" s="386"/>
      <c r="W42" s="387"/>
      <c r="X42" s="386"/>
      <c r="Z42" s="175"/>
      <c r="AC42" s="216" t="s">
        <v>47</v>
      </c>
      <c r="AE42" s="239"/>
      <c r="AG42" s="312"/>
      <c r="AH42" s="385"/>
      <c r="AI42" s="386"/>
      <c r="AJ42" s="387"/>
      <c r="AK42" s="386"/>
      <c r="AL42" s="387"/>
      <c r="AM42" s="386"/>
      <c r="AN42" s="387"/>
      <c r="AO42" s="386"/>
      <c r="AP42" s="387"/>
      <c r="AQ42" s="386"/>
      <c r="AR42" s="387"/>
      <c r="AS42" s="386"/>
      <c r="AT42" s="387"/>
      <c r="AU42" s="386"/>
      <c r="AV42" s="386"/>
      <c r="AW42" s="386"/>
      <c r="AX42" s="386"/>
      <c r="AY42" s="386"/>
      <c r="BA42" s="175"/>
      <c r="BB42" s="145"/>
      <c r="BC42" s="145"/>
      <c r="BD42" s="145"/>
    </row>
    <row r="43" spans="1:56" x14ac:dyDescent="0.2">
      <c r="A43" s="550"/>
      <c r="B43" s="480"/>
      <c r="F43" s="216" t="s">
        <v>11</v>
      </c>
      <c r="G43" s="139"/>
      <c r="H43" s="261"/>
      <c r="I43" s="216"/>
      <c r="J43" s="312"/>
      <c r="K43" s="385"/>
      <c r="L43" s="386"/>
      <c r="M43" s="387"/>
      <c r="N43" s="386"/>
      <c r="O43" s="387"/>
      <c r="P43" s="386"/>
      <c r="Q43" s="387"/>
      <c r="R43" s="386"/>
      <c r="S43" s="387"/>
      <c r="T43" s="386"/>
      <c r="U43" s="387"/>
      <c r="V43" s="386"/>
      <c r="W43" s="387"/>
      <c r="X43" s="386"/>
      <c r="Z43" s="175"/>
      <c r="AC43" s="216" t="s">
        <v>11</v>
      </c>
      <c r="AE43" s="239"/>
      <c r="AG43" s="312"/>
      <c r="AH43" s="385"/>
      <c r="AI43" s="386"/>
      <c r="AJ43" s="387"/>
      <c r="AK43" s="386"/>
      <c r="AL43" s="387"/>
      <c r="AM43" s="386"/>
      <c r="AN43" s="387"/>
      <c r="AO43" s="386"/>
      <c r="AP43" s="387"/>
      <c r="AQ43" s="386"/>
      <c r="AR43" s="387"/>
      <c r="AS43" s="386"/>
      <c r="AT43" s="387"/>
      <c r="AU43" s="386"/>
      <c r="AV43" s="386"/>
      <c r="AW43" s="386"/>
      <c r="AX43" s="386"/>
      <c r="AY43" s="386"/>
      <c r="BA43" s="175"/>
      <c r="BB43" s="145"/>
      <c r="BC43" s="145"/>
      <c r="BD43" s="145"/>
    </row>
    <row r="44" spans="1:56" x14ac:dyDescent="0.2">
      <c r="A44" s="550"/>
      <c r="B44" s="480"/>
      <c r="F44" s="529"/>
      <c r="G44" s="139"/>
      <c r="H44" s="261"/>
      <c r="I44" s="216"/>
      <c r="J44" s="312"/>
      <c r="K44" s="385"/>
      <c r="L44" s="386"/>
      <c r="M44" s="387"/>
      <c r="N44" s="386"/>
      <c r="O44" s="387"/>
      <c r="P44" s="386"/>
      <c r="Q44" s="387"/>
      <c r="R44" s="386"/>
      <c r="S44" s="387"/>
      <c r="T44" s="386"/>
      <c r="U44" s="387"/>
      <c r="V44" s="386"/>
      <c r="W44" s="387"/>
      <c r="X44" s="386"/>
      <c r="Z44" s="175"/>
      <c r="AE44" s="239"/>
      <c r="AG44" s="312"/>
      <c r="AH44" s="385"/>
      <c r="AI44" s="386"/>
      <c r="AJ44" s="387"/>
      <c r="AK44" s="386"/>
      <c r="AL44" s="387"/>
      <c r="AM44" s="386"/>
      <c r="AN44" s="387"/>
      <c r="AO44" s="386"/>
      <c r="AP44" s="387"/>
      <c r="AQ44" s="386"/>
      <c r="AR44" s="387"/>
      <c r="AS44" s="386"/>
      <c r="AT44" s="387"/>
      <c r="AU44" s="386"/>
      <c r="AV44" s="386"/>
      <c r="AW44" s="386"/>
      <c r="AX44" s="386"/>
      <c r="AY44" s="386"/>
      <c r="BA44" s="175"/>
      <c r="BB44" s="145"/>
      <c r="BC44" s="145"/>
      <c r="BD44" s="145"/>
    </row>
    <row r="45" spans="1:56" x14ac:dyDescent="0.2">
      <c r="A45" s="550"/>
      <c r="B45" s="480"/>
      <c r="D45" s="488">
        <v>601.29999999999995</v>
      </c>
      <c r="F45" s="216" t="s">
        <v>475</v>
      </c>
      <c r="G45" s="139"/>
      <c r="H45" s="261">
        <v>2</v>
      </c>
      <c r="I45" s="216"/>
      <c r="J45" s="312">
        <v>936654.74597741826</v>
      </c>
      <c r="K45" s="385"/>
      <c r="L45" s="260">
        <f t="shared" ref="L45:L62" si="59">(VLOOKUP($H45,Factors,L$382))*$J45</f>
        <v>467390.7182427317</v>
      </c>
      <c r="M45" s="212"/>
      <c r="N45" s="260">
        <f t="shared" ref="N45:N62" si="60">(VLOOKUP($H45,Factors,N$382))*$J45</f>
        <v>290081.97482920642</v>
      </c>
      <c r="O45" s="212"/>
      <c r="P45" s="260">
        <f t="shared" ref="P45:P62" si="61">(VLOOKUP($H45,Factors,P$382))*$J45</f>
        <v>41306.474297604145</v>
      </c>
      <c r="Q45" s="212"/>
      <c r="R45" s="260">
        <f t="shared" ref="R45:R62" si="62">(VLOOKUP($H45,Factors,R$382))*$J45</f>
        <v>103219.35300671149</v>
      </c>
      <c r="S45" s="212"/>
      <c r="T45" s="260">
        <f t="shared" ref="T45:T62" si="63">(VLOOKUP($H45,Factors,T$382))*$J45</f>
        <v>31377.933990243513</v>
      </c>
      <c r="U45" s="212"/>
      <c r="V45" s="260">
        <f t="shared" ref="V45:V62" si="64">(VLOOKUP($H45,Factors,V$382))*$J45</f>
        <v>1498.6475935638693</v>
      </c>
      <c r="W45" s="212"/>
      <c r="X45" s="260">
        <f t="shared" ref="X45:X62" si="65">(VLOOKUP($H45,Factors,X$382))*$J45</f>
        <v>1779.6440173570948</v>
      </c>
      <c r="Y45" s="212"/>
      <c r="Z45" s="212"/>
      <c r="AC45" s="216" t="s">
        <v>475</v>
      </c>
      <c r="AE45" s="239">
        <f>+H45</f>
        <v>2</v>
      </c>
      <c r="AG45" s="312">
        <f>+J45</f>
        <v>936654.74597741826</v>
      </c>
      <c r="AH45" s="385"/>
      <c r="AI45" s="260">
        <f t="shared" ref="AI45:AI62" si="66">(VLOOKUP($AE45,func,AI$382))*$AG45</f>
        <v>564428.14992599213</v>
      </c>
      <c r="AJ45" s="212"/>
      <c r="AK45" s="260">
        <f t="shared" ref="AK45:AK62" si="67">(VLOOKUP($AE45,func,AK$382))*$AG45</f>
        <v>368948.30444050505</v>
      </c>
      <c r="AL45" s="212"/>
      <c r="AM45" s="260">
        <f t="shared" ref="AM45:AM62" si="68">(VLOOKUP($AE45,func,AM$382))*$AG45</f>
        <v>0</v>
      </c>
      <c r="AN45" s="212"/>
      <c r="AO45" s="260">
        <f t="shared" ref="AO45:AO62" si="69">(VLOOKUP($AE45,func,AO$382))*$AG45</f>
        <v>0</v>
      </c>
      <c r="AP45" s="212"/>
      <c r="AQ45" s="260">
        <f t="shared" ref="AQ45:AQ62" si="70">(VLOOKUP($AE45,func,AQ$382))*$AG45</f>
        <v>0</v>
      </c>
      <c r="AR45" s="212"/>
      <c r="AS45" s="260">
        <f t="shared" ref="AS45:AS62" si="71">(VLOOKUP($AE45,func,AS$382))*$AG45</f>
        <v>0</v>
      </c>
      <c r="AT45" s="212"/>
      <c r="AU45" s="260">
        <f t="shared" ref="AU45:AU62" si="72">(VLOOKUP($AE45,func,AU$382))*$AG45</f>
        <v>0</v>
      </c>
      <c r="AV45" s="262"/>
      <c r="AW45" s="262">
        <f t="shared" ref="AW45:AW62" si="73">(VLOOKUP($AE45,func,AW$382))*$AG45</f>
        <v>1498.6475935638693</v>
      </c>
      <c r="AX45" s="262"/>
      <c r="AY45" s="262">
        <f t="shared" ref="AY45:AY62" si="74">(VLOOKUP($AE45,func,AY$382))*$AG45</f>
        <v>1779.6440173570948</v>
      </c>
      <c r="BA45" s="175"/>
      <c r="BB45" s="145"/>
      <c r="BC45" s="145"/>
      <c r="BD45" s="145"/>
    </row>
    <row r="46" spans="1:56" x14ac:dyDescent="0.2">
      <c r="A46" s="550"/>
      <c r="B46" s="480"/>
      <c r="D46" s="488">
        <v>601.29999999999995</v>
      </c>
      <c r="F46" s="216" t="s">
        <v>741</v>
      </c>
      <c r="G46" s="139"/>
      <c r="H46" s="261">
        <v>2</v>
      </c>
      <c r="I46" s="216"/>
      <c r="J46" s="312">
        <v>1694827.4158970923</v>
      </c>
      <c r="K46" s="385"/>
      <c r="L46" s="260">
        <f t="shared" si="59"/>
        <v>845718.88053264911</v>
      </c>
      <c r="M46" s="212"/>
      <c r="N46" s="260">
        <f t="shared" si="60"/>
        <v>524888.0507033295</v>
      </c>
      <c r="O46" s="212"/>
      <c r="P46" s="260">
        <f t="shared" si="61"/>
        <v>74741.889041061775</v>
      </c>
      <c r="Q46" s="212"/>
      <c r="R46" s="260">
        <f t="shared" si="62"/>
        <v>186769.98123185959</v>
      </c>
      <c r="S46" s="212"/>
      <c r="T46" s="260">
        <f t="shared" si="63"/>
        <v>56776.718432552596</v>
      </c>
      <c r="U46" s="212"/>
      <c r="V46" s="260">
        <f t="shared" si="64"/>
        <v>2711.7238654353478</v>
      </c>
      <c r="W46" s="212"/>
      <c r="X46" s="260">
        <f t="shared" si="65"/>
        <v>3220.1720902044754</v>
      </c>
      <c r="Y46" s="212"/>
      <c r="Z46" s="212"/>
      <c r="AC46" s="216" t="s">
        <v>741</v>
      </c>
      <c r="AE46" s="239">
        <f t="shared" ref="AE46:AE62" si="75">+H46</f>
        <v>2</v>
      </c>
      <c r="AG46" s="312">
        <f t="shared" ref="AG46:AG62" si="76">+J46</f>
        <v>1694827.4158970923</v>
      </c>
      <c r="AH46" s="385"/>
      <c r="AI46" s="260">
        <f t="shared" si="66"/>
        <v>1021303.0008195877</v>
      </c>
      <c r="AJ46" s="212"/>
      <c r="AK46" s="260">
        <f t="shared" si="67"/>
        <v>667592.51912186458</v>
      </c>
      <c r="AL46" s="212"/>
      <c r="AM46" s="260">
        <f t="shared" si="68"/>
        <v>0</v>
      </c>
      <c r="AN46" s="212"/>
      <c r="AO46" s="260">
        <f t="shared" si="69"/>
        <v>0</v>
      </c>
      <c r="AP46" s="212"/>
      <c r="AQ46" s="260">
        <f t="shared" si="70"/>
        <v>0</v>
      </c>
      <c r="AR46" s="212"/>
      <c r="AS46" s="260">
        <f t="shared" si="71"/>
        <v>0</v>
      </c>
      <c r="AT46" s="212"/>
      <c r="AU46" s="260">
        <f t="shared" si="72"/>
        <v>0</v>
      </c>
      <c r="AV46" s="262"/>
      <c r="AW46" s="262">
        <f t="shared" si="73"/>
        <v>2711.7238654353478</v>
      </c>
      <c r="AX46" s="262"/>
      <c r="AY46" s="262">
        <f t="shared" si="74"/>
        <v>3220.1720902044754</v>
      </c>
      <c r="BA46" s="175"/>
      <c r="BB46" s="145"/>
      <c r="BC46" s="145"/>
      <c r="BD46" s="145"/>
    </row>
    <row r="47" spans="1:56" x14ac:dyDescent="0.2">
      <c r="A47" s="550"/>
      <c r="B47" s="480"/>
      <c r="D47" s="488">
        <v>618.29999999999995</v>
      </c>
      <c r="F47" s="646" t="s">
        <v>476</v>
      </c>
      <c r="G47" s="139"/>
      <c r="H47" s="261">
        <v>1</v>
      </c>
      <c r="I47" s="216"/>
      <c r="J47" s="647">
        <f>'AG Pres Wrk'!H10</f>
        <v>1850243</v>
      </c>
      <c r="K47" s="385"/>
      <c r="L47" s="260">
        <f t="shared" si="59"/>
        <v>900328.24379999994</v>
      </c>
      <c r="M47" s="212"/>
      <c r="N47" s="260">
        <f t="shared" si="60"/>
        <v>571725.08699999994</v>
      </c>
      <c r="O47" s="212"/>
      <c r="P47" s="260">
        <f t="shared" si="61"/>
        <v>87516.493900000001</v>
      </c>
      <c r="Q47" s="212"/>
      <c r="R47" s="260">
        <f t="shared" si="62"/>
        <v>213518.0422</v>
      </c>
      <c r="S47" s="212"/>
      <c r="T47" s="260">
        <f t="shared" si="63"/>
        <v>66423.723700000002</v>
      </c>
      <c r="U47" s="212"/>
      <c r="V47" s="260">
        <f t="shared" si="64"/>
        <v>4810.6318000000001</v>
      </c>
      <c r="W47" s="212"/>
      <c r="X47" s="260">
        <f t="shared" si="65"/>
        <v>5920.7776000000003</v>
      </c>
      <c r="Y47" s="212"/>
      <c r="Z47" s="212"/>
      <c r="AC47" s="216" t="s">
        <v>476</v>
      </c>
      <c r="AE47" s="239">
        <f t="shared" si="75"/>
        <v>1</v>
      </c>
      <c r="AG47" s="312">
        <f t="shared" si="76"/>
        <v>1850243</v>
      </c>
      <c r="AH47" s="385"/>
      <c r="AI47" s="260">
        <f t="shared" si="66"/>
        <v>1839511.5906</v>
      </c>
      <c r="AJ47" s="212"/>
      <c r="AK47" s="260">
        <f t="shared" si="67"/>
        <v>0</v>
      </c>
      <c r="AL47" s="212"/>
      <c r="AM47" s="260">
        <f t="shared" si="68"/>
        <v>0</v>
      </c>
      <c r="AN47" s="212"/>
      <c r="AO47" s="260">
        <f t="shared" si="69"/>
        <v>0</v>
      </c>
      <c r="AP47" s="212"/>
      <c r="AQ47" s="260">
        <f t="shared" si="70"/>
        <v>0</v>
      </c>
      <c r="AR47" s="212"/>
      <c r="AS47" s="260">
        <f t="shared" si="71"/>
        <v>0</v>
      </c>
      <c r="AT47" s="212"/>
      <c r="AU47" s="260">
        <f t="shared" si="72"/>
        <v>0</v>
      </c>
      <c r="AV47" s="262"/>
      <c r="AW47" s="262">
        <f t="shared" si="73"/>
        <v>4810.6318000000001</v>
      </c>
      <c r="AX47" s="262"/>
      <c r="AY47" s="262">
        <f t="shared" si="74"/>
        <v>5920.7776000000003</v>
      </c>
      <c r="BA47" s="175"/>
      <c r="BB47" s="145"/>
      <c r="BC47" s="145"/>
      <c r="BD47" s="145"/>
    </row>
    <row r="48" spans="1:56" x14ac:dyDescent="0.2">
      <c r="A48" s="550"/>
      <c r="B48" s="480"/>
      <c r="D48" s="488">
        <v>615.29999999999995</v>
      </c>
      <c r="F48" s="646" t="s">
        <v>471</v>
      </c>
      <c r="G48" s="139"/>
      <c r="H48" s="261">
        <v>1</v>
      </c>
      <c r="I48" s="216"/>
      <c r="J48" s="647">
        <f>'AG Pres Wrk'!H11</f>
        <v>3263891</v>
      </c>
      <c r="K48" s="385"/>
      <c r="L48" s="260">
        <f t="shared" si="59"/>
        <v>1588209.3606</v>
      </c>
      <c r="M48" s="212"/>
      <c r="N48" s="260">
        <f t="shared" si="60"/>
        <v>1008542.319</v>
      </c>
      <c r="O48" s="212"/>
      <c r="P48" s="260">
        <f t="shared" si="61"/>
        <v>154382.04430000001</v>
      </c>
      <c r="Q48" s="212"/>
      <c r="R48" s="260">
        <f t="shared" si="62"/>
        <v>376653.02140000003</v>
      </c>
      <c r="S48" s="212"/>
      <c r="T48" s="260">
        <f t="shared" si="63"/>
        <v>117173.6869</v>
      </c>
      <c r="U48" s="212"/>
      <c r="V48" s="260">
        <f t="shared" si="64"/>
        <v>8486.1165999999994</v>
      </c>
      <c r="W48" s="212"/>
      <c r="X48" s="260">
        <f t="shared" si="65"/>
        <v>10444.451200000001</v>
      </c>
      <c r="Y48" s="212"/>
      <c r="Z48" s="212"/>
      <c r="AC48" s="216" t="s">
        <v>471</v>
      </c>
      <c r="AE48" s="239">
        <f t="shared" si="75"/>
        <v>1</v>
      </c>
      <c r="AG48" s="312">
        <f t="shared" si="76"/>
        <v>3263891</v>
      </c>
      <c r="AH48" s="385"/>
      <c r="AI48" s="260">
        <f t="shared" si="66"/>
        <v>3244960.4321999997</v>
      </c>
      <c r="AJ48" s="212"/>
      <c r="AK48" s="260">
        <f t="shared" si="67"/>
        <v>0</v>
      </c>
      <c r="AL48" s="212"/>
      <c r="AM48" s="260">
        <f t="shared" si="68"/>
        <v>0</v>
      </c>
      <c r="AN48" s="212"/>
      <c r="AO48" s="260">
        <f t="shared" si="69"/>
        <v>0</v>
      </c>
      <c r="AP48" s="212"/>
      <c r="AQ48" s="260">
        <f t="shared" si="70"/>
        <v>0</v>
      </c>
      <c r="AR48" s="212"/>
      <c r="AS48" s="260">
        <f t="shared" si="71"/>
        <v>0</v>
      </c>
      <c r="AT48" s="212"/>
      <c r="AU48" s="260">
        <f t="shared" si="72"/>
        <v>0</v>
      </c>
      <c r="AV48" s="262"/>
      <c r="AW48" s="262">
        <f t="shared" si="73"/>
        <v>8486.1165999999994</v>
      </c>
      <c r="AX48" s="262"/>
      <c r="AY48" s="262">
        <f t="shared" si="74"/>
        <v>10444.451200000001</v>
      </c>
      <c r="BA48" s="175"/>
      <c r="BB48" s="145"/>
      <c r="BC48" s="145"/>
      <c r="BD48" s="145"/>
    </row>
    <row r="49" spans="1:56" x14ac:dyDescent="0.2">
      <c r="A49" s="550"/>
      <c r="B49" s="480"/>
      <c r="D49" s="488">
        <v>620.29999999999995</v>
      </c>
      <c r="F49" s="216" t="s">
        <v>792</v>
      </c>
      <c r="G49" s="139"/>
      <c r="H49" s="261">
        <v>2</v>
      </c>
      <c r="I49" s="216"/>
      <c r="J49" s="312">
        <v>32349.321330082828</v>
      </c>
      <c r="K49" s="385"/>
      <c r="L49" s="260">
        <f t="shared" si="59"/>
        <v>16142.311343711332</v>
      </c>
      <c r="M49" s="212"/>
      <c r="N49" s="260">
        <f t="shared" si="60"/>
        <v>10018.584815926652</v>
      </c>
      <c r="O49" s="212"/>
      <c r="P49" s="260">
        <f t="shared" si="61"/>
        <v>1426.6050706566527</v>
      </c>
      <c r="Q49" s="212"/>
      <c r="R49" s="260">
        <f t="shared" si="62"/>
        <v>3564.8952105751277</v>
      </c>
      <c r="S49" s="212"/>
      <c r="T49" s="260">
        <f t="shared" si="63"/>
        <v>1083.7022645577749</v>
      </c>
      <c r="U49" s="212"/>
      <c r="V49" s="260">
        <f t="shared" si="64"/>
        <v>51.758914128132531</v>
      </c>
      <c r="W49" s="212"/>
      <c r="X49" s="260">
        <f t="shared" si="65"/>
        <v>61.463710527157374</v>
      </c>
      <c r="Y49" s="212"/>
      <c r="Z49" s="212"/>
      <c r="AC49" s="216" t="s">
        <v>792</v>
      </c>
      <c r="AE49" s="239">
        <f t="shared" si="75"/>
        <v>2</v>
      </c>
      <c r="AG49" s="312">
        <f t="shared" si="76"/>
        <v>32349.321330082828</v>
      </c>
      <c r="AH49" s="385"/>
      <c r="AI49" s="260">
        <f t="shared" si="66"/>
        <v>19493.70103350791</v>
      </c>
      <c r="AJ49" s="212"/>
      <c r="AK49" s="260">
        <f t="shared" si="67"/>
        <v>12742.397671919625</v>
      </c>
      <c r="AL49" s="212"/>
      <c r="AM49" s="260">
        <f t="shared" si="68"/>
        <v>0</v>
      </c>
      <c r="AN49" s="212"/>
      <c r="AO49" s="260">
        <f t="shared" si="69"/>
        <v>0</v>
      </c>
      <c r="AP49" s="212"/>
      <c r="AQ49" s="260">
        <f t="shared" si="70"/>
        <v>0</v>
      </c>
      <c r="AR49" s="212"/>
      <c r="AS49" s="260">
        <f t="shared" si="71"/>
        <v>0</v>
      </c>
      <c r="AT49" s="212"/>
      <c r="AU49" s="260">
        <f t="shared" si="72"/>
        <v>0</v>
      </c>
      <c r="AV49" s="262"/>
      <c r="AW49" s="262">
        <f t="shared" si="73"/>
        <v>51.758914128132531</v>
      </c>
      <c r="AX49" s="262"/>
      <c r="AY49" s="262">
        <f t="shared" si="74"/>
        <v>61.463710527157374</v>
      </c>
      <c r="BA49" s="175"/>
      <c r="BB49" s="145"/>
      <c r="BC49" s="145"/>
      <c r="BD49" s="145"/>
    </row>
    <row r="50" spans="1:56" x14ac:dyDescent="0.2">
      <c r="A50" s="550"/>
      <c r="B50" s="480"/>
      <c r="D50" s="488">
        <v>636.29999999999995</v>
      </c>
      <c r="F50" s="216" t="s">
        <v>545</v>
      </c>
      <c r="G50" s="139"/>
      <c r="H50" s="261">
        <v>2</v>
      </c>
      <c r="I50" s="216"/>
      <c r="J50" s="312">
        <v>172893.13490569909</v>
      </c>
      <c r="K50" s="385"/>
      <c r="L50" s="260">
        <f t="shared" si="59"/>
        <v>86273.674317943849</v>
      </c>
      <c r="M50" s="212"/>
      <c r="N50" s="260">
        <f t="shared" si="60"/>
        <v>53545.003880295</v>
      </c>
      <c r="O50" s="212"/>
      <c r="P50" s="260">
        <f t="shared" si="61"/>
        <v>7624.5872493413299</v>
      </c>
      <c r="Q50" s="212"/>
      <c r="R50" s="260">
        <f t="shared" si="62"/>
        <v>19052.823466608039</v>
      </c>
      <c r="S50" s="212"/>
      <c r="T50" s="260">
        <f t="shared" si="63"/>
        <v>5791.9200193409197</v>
      </c>
      <c r="U50" s="212"/>
      <c r="V50" s="260">
        <f t="shared" si="64"/>
        <v>276.62901584911856</v>
      </c>
      <c r="W50" s="212"/>
      <c r="X50" s="260">
        <f t="shared" si="65"/>
        <v>328.49695632082825</v>
      </c>
      <c r="Y50" s="212"/>
      <c r="Z50" s="212"/>
      <c r="AC50" s="216" t="s">
        <v>545</v>
      </c>
      <c r="AE50" s="239">
        <f t="shared" si="75"/>
        <v>2</v>
      </c>
      <c r="AG50" s="312">
        <f t="shared" si="76"/>
        <v>172893.13490569909</v>
      </c>
      <c r="AH50" s="385"/>
      <c r="AI50" s="260">
        <f t="shared" si="66"/>
        <v>104185.40309417425</v>
      </c>
      <c r="AJ50" s="212"/>
      <c r="AK50" s="260">
        <f t="shared" si="67"/>
        <v>68102.605839354859</v>
      </c>
      <c r="AL50" s="212"/>
      <c r="AM50" s="260">
        <f t="shared" si="68"/>
        <v>0</v>
      </c>
      <c r="AN50" s="212"/>
      <c r="AO50" s="260">
        <f t="shared" si="69"/>
        <v>0</v>
      </c>
      <c r="AP50" s="212"/>
      <c r="AQ50" s="260">
        <f t="shared" si="70"/>
        <v>0</v>
      </c>
      <c r="AR50" s="212"/>
      <c r="AS50" s="260">
        <f t="shared" si="71"/>
        <v>0</v>
      </c>
      <c r="AT50" s="212"/>
      <c r="AU50" s="260">
        <f t="shared" si="72"/>
        <v>0</v>
      </c>
      <c r="AV50" s="386"/>
      <c r="AW50" s="386">
        <f t="shared" si="73"/>
        <v>276.62901584911856</v>
      </c>
      <c r="AX50" s="386"/>
      <c r="AY50" s="386">
        <f t="shared" si="74"/>
        <v>328.49695632082825</v>
      </c>
      <c r="BA50" s="175"/>
      <c r="BB50" s="145"/>
      <c r="BC50" s="145"/>
      <c r="BD50" s="145"/>
    </row>
    <row r="51" spans="1:56" x14ac:dyDescent="0.2">
      <c r="A51" s="550"/>
      <c r="B51" s="480"/>
      <c r="D51" s="488">
        <v>635.29999999999995</v>
      </c>
      <c r="F51" s="216" t="s">
        <v>796</v>
      </c>
      <c r="G51" s="139"/>
      <c r="H51" s="261">
        <v>2</v>
      </c>
      <c r="I51" s="216"/>
      <c r="J51" s="312">
        <v>11922</v>
      </c>
      <c r="K51" s="385"/>
      <c r="L51" s="260">
        <f t="shared" si="59"/>
        <v>5949.0780000000004</v>
      </c>
      <c r="M51" s="212"/>
      <c r="N51" s="260">
        <f t="shared" si="60"/>
        <v>3692.2433999999998</v>
      </c>
      <c r="O51" s="212"/>
      <c r="P51" s="260">
        <f t="shared" si="61"/>
        <v>525.76020000000005</v>
      </c>
      <c r="Q51" s="212"/>
      <c r="R51" s="260">
        <f t="shared" si="62"/>
        <v>1313.8044</v>
      </c>
      <c r="S51" s="212"/>
      <c r="T51" s="260">
        <f t="shared" si="63"/>
        <v>399.387</v>
      </c>
      <c r="U51" s="212"/>
      <c r="V51" s="260">
        <f t="shared" si="64"/>
        <v>19.075200000000002</v>
      </c>
      <c r="W51" s="212"/>
      <c r="X51" s="260">
        <f t="shared" si="65"/>
        <v>22.651800000000001</v>
      </c>
      <c r="Y51" s="212"/>
      <c r="Z51" s="212"/>
      <c r="AC51" s="216" t="s">
        <v>796</v>
      </c>
      <c r="AE51" s="239">
        <f t="shared" si="75"/>
        <v>2</v>
      </c>
      <c r="AG51" s="312">
        <f t="shared" si="76"/>
        <v>11922</v>
      </c>
      <c r="AH51" s="385"/>
      <c r="AI51" s="260">
        <f t="shared" si="66"/>
        <v>7184.1971999999987</v>
      </c>
      <c r="AJ51" s="212"/>
      <c r="AK51" s="260">
        <f t="shared" si="67"/>
        <v>4696.0757999999996</v>
      </c>
      <c r="AL51" s="212"/>
      <c r="AM51" s="260">
        <f t="shared" si="68"/>
        <v>0</v>
      </c>
      <c r="AN51" s="212"/>
      <c r="AO51" s="260">
        <f t="shared" si="69"/>
        <v>0</v>
      </c>
      <c r="AP51" s="212"/>
      <c r="AQ51" s="260">
        <f t="shared" si="70"/>
        <v>0</v>
      </c>
      <c r="AR51" s="212"/>
      <c r="AS51" s="260">
        <f t="shared" si="71"/>
        <v>0</v>
      </c>
      <c r="AT51" s="212"/>
      <c r="AU51" s="260">
        <f t="shared" si="72"/>
        <v>0</v>
      </c>
      <c r="AV51" s="386"/>
      <c r="AW51" s="386">
        <f t="shared" si="73"/>
        <v>19.075200000000002</v>
      </c>
      <c r="AX51" s="386"/>
      <c r="AY51" s="386">
        <f t="shared" si="74"/>
        <v>22.651800000000001</v>
      </c>
      <c r="BA51" s="175"/>
      <c r="BB51" s="145"/>
      <c r="BC51" s="145"/>
      <c r="BD51" s="145"/>
    </row>
    <row r="52" spans="1:56" x14ac:dyDescent="0.2">
      <c r="A52" s="550"/>
      <c r="B52" s="480"/>
      <c r="D52" s="488">
        <v>675.3</v>
      </c>
      <c r="F52" s="216" t="s">
        <v>798</v>
      </c>
      <c r="G52" s="139"/>
      <c r="H52" s="261">
        <v>2</v>
      </c>
      <c r="I52" s="216"/>
      <c r="J52" s="312">
        <v>13595.455887117683</v>
      </c>
      <c r="K52" s="385"/>
      <c r="L52" s="260">
        <f t="shared" si="59"/>
        <v>6784.1324876717235</v>
      </c>
      <c r="M52" s="212"/>
      <c r="N52" s="260">
        <f t="shared" si="60"/>
        <v>4210.5126882403465</v>
      </c>
      <c r="O52" s="212"/>
      <c r="P52" s="260">
        <f t="shared" si="61"/>
        <v>599.55960462188989</v>
      </c>
      <c r="Q52" s="212"/>
      <c r="R52" s="260">
        <f t="shared" si="62"/>
        <v>1498.2192387603689</v>
      </c>
      <c r="S52" s="212"/>
      <c r="T52" s="260">
        <f t="shared" si="63"/>
        <v>455.44777221844242</v>
      </c>
      <c r="U52" s="212"/>
      <c r="V52" s="260">
        <f t="shared" si="64"/>
        <v>21.752729419388295</v>
      </c>
      <c r="W52" s="212"/>
      <c r="X52" s="260">
        <f t="shared" si="65"/>
        <v>25.831366185523599</v>
      </c>
      <c r="Y52" s="212"/>
      <c r="Z52" s="212"/>
      <c r="AC52" s="216" t="s">
        <v>798</v>
      </c>
      <c r="AE52" s="239">
        <f t="shared" si="75"/>
        <v>2</v>
      </c>
      <c r="AG52" s="312">
        <f t="shared" si="76"/>
        <v>13595.455887117683</v>
      </c>
      <c r="AH52" s="385"/>
      <c r="AI52" s="260">
        <f t="shared" si="66"/>
        <v>8192.6217175771144</v>
      </c>
      <c r="AJ52" s="212"/>
      <c r="AK52" s="260">
        <f t="shared" si="67"/>
        <v>5355.2500739356547</v>
      </c>
      <c r="AL52" s="212"/>
      <c r="AM52" s="260">
        <f t="shared" si="68"/>
        <v>0</v>
      </c>
      <c r="AN52" s="212"/>
      <c r="AO52" s="260">
        <f t="shared" si="69"/>
        <v>0</v>
      </c>
      <c r="AP52" s="212"/>
      <c r="AQ52" s="260">
        <f t="shared" si="70"/>
        <v>0</v>
      </c>
      <c r="AR52" s="212"/>
      <c r="AS52" s="260">
        <f t="shared" si="71"/>
        <v>0</v>
      </c>
      <c r="AT52" s="212"/>
      <c r="AU52" s="260">
        <f t="shared" si="72"/>
        <v>0</v>
      </c>
      <c r="AV52" s="262"/>
      <c r="AW52" s="262">
        <f t="shared" si="73"/>
        <v>21.752729419388295</v>
      </c>
      <c r="AX52" s="262"/>
      <c r="AY52" s="262">
        <f t="shared" si="74"/>
        <v>25.831366185523599</v>
      </c>
      <c r="BA52" s="175"/>
      <c r="BB52" s="145"/>
      <c r="BC52" s="145"/>
      <c r="BD52" s="145"/>
    </row>
    <row r="53" spans="1:56" x14ac:dyDescent="0.2">
      <c r="A53" s="550"/>
      <c r="B53" s="480"/>
      <c r="D53" s="488">
        <v>675.3</v>
      </c>
      <c r="F53" s="216" t="s">
        <v>801</v>
      </c>
      <c r="G53" s="139"/>
      <c r="H53" s="261">
        <v>2</v>
      </c>
      <c r="I53" s="216"/>
      <c r="J53" s="312">
        <v>121525</v>
      </c>
      <c r="K53" s="385"/>
      <c r="L53" s="260">
        <f t="shared" si="59"/>
        <v>60640.974999999999</v>
      </c>
      <c r="M53" s="212"/>
      <c r="N53" s="260">
        <f t="shared" si="60"/>
        <v>37636.292499999996</v>
      </c>
      <c r="O53" s="212"/>
      <c r="P53" s="260">
        <f t="shared" si="61"/>
        <v>5359.2524999999996</v>
      </c>
      <c r="Q53" s="212"/>
      <c r="R53" s="260">
        <f t="shared" si="62"/>
        <v>13392.055</v>
      </c>
      <c r="S53" s="212"/>
      <c r="T53" s="260">
        <f t="shared" si="63"/>
        <v>4071.0875000000001</v>
      </c>
      <c r="U53" s="212"/>
      <c r="V53" s="260">
        <f t="shared" si="64"/>
        <v>194.44</v>
      </c>
      <c r="W53" s="212"/>
      <c r="X53" s="260">
        <f t="shared" si="65"/>
        <v>230.89750000000001</v>
      </c>
      <c r="Y53" s="212"/>
      <c r="Z53" s="212"/>
      <c r="AC53" s="216" t="s">
        <v>801</v>
      </c>
      <c r="AE53" s="239">
        <f t="shared" si="75"/>
        <v>2</v>
      </c>
      <c r="AG53" s="312">
        <f t="shared" si="76"/>
        <v>121525</v>
      </c>
      <c r="AH53" s="385"/>
      <c r="AI53" s="260">
        <f t="shared" si="66"/>
        <v>73230.964999999997</v>
      </c>
      <c r="AJ53" s="212"/>
      <c r="AK53" s="260">
        <f t="shared" si="67"/>
        <v>47868.697499999995</v>
      </c>
      <c r="AL53" s="212"/>
      <c r="AM53" s="260">
        <f t="shared" si="68"/>
        <v>0</v>
      </c>
      <c r="AN53" s="212"/>
      <c r="AO53" s="260">
        <f t="shared" si="69"/>
        <v>0</v>
      </c>
      <c r="AP53" s="212"/>
      <c r="AQ53" s="260">
        <f t="shared" si="70"/>
        <v>0</v>
      </c>
      <c r="AR53" s="212"/>
      <c r="AS53" s="260">
        <f t="shared" si="71"/>
        <v>0</v>
      </c>
      <c r="AT53" s="212"/>
      <c r="AU53" s="260">
        <f t="shared" si="72"/>
        <v>0</v>
      </c>
      <c r="AV53" s="262"/>
      <c r="AW53" s="262">
        <f t="shared" si="73"/>
        <v>194.44</v>
      </c>
      <c r="AX53" s="262"/>
      <c r="AY53" s="262">
        <f t="shared" si="74"/>
        <v>230.89750000000001</v>
      </c>
      <c r="BA53" s="175"/>
      <c r="BB53" s="145"/>
      <c r="BC53" s="145"/>
      <c r="BD53" s="145"/>
    </row>
    <row r="54" spans="1:56" x14ac:dyDescent="0.2">
      <c r="A54" s="550"/>
      <c r="B54" s="480"/>
      <c r="D54" s="488">
        <v>675.3</v>
      </c>
      <c r="F54" s="216" t="s">
        <v>829</v>
      </c>
      <c r="G54" s="139"/>
      <c r="H54" s="261">
        <v>1</v>
      </c>
      <c r="I54" s="216"/>
      <c r="J54" s="312">
        <v>336750.00000000006</v>
      </c>
      <c r="K54" s="385"/>
      <c r="L54" s="260">
        <f t="shared" si="59"/>
        <v>163862.55000000002</v>
      </c>
      <c r="M54" s="212"/>
      <c r="N54" s="260">
        <f t="shared" si="60"/>
        <v>104055.75000000001</v>
      </c>
      <c r="O54" s="212"/>
      <c r="P54" s="260">
        <f t="shared" si="61"/>
        <v>15928.275000000003</v>
      </c>
      <c r="Q54" s="212"/>
      <c r="R54" s="260">
        <f t="shared" si="62"/>
        <v>38860.950000000004</v>
      </c>
      <c r="S54" s="212"/>
      <c r="T54" s="260">
        <f t="shared" si="63"/>
        <v>12089.325000000003</v>
      </c>
      <c r="U54" s="212"/>
      <c r="V54" s="260">
        <f t="shared" si="64"/>
        <v>875.55000000000007</v>
      </c>
      <c r="W54" s="212"/>
      <c r="X54" s="260">
        <f t="shared" si="65"/>
        <v>1077.6000000000001</v>
      </c>
      <c r="Y54" s="212"/>
      <c r="Z54" s="212"/>
      <c r="AC54" s="216" t="s">
        <v>829</v>
      </c>
      <c r="AE54" s="239">
        <f t="shared" si="75"/>
        <v>1</v>
      </c>
      <c r="AG54" s="312">
        <f t="shared" si="76"/>
        <v>336750.00000000006</v>
      </c>
      <c r="AH54" s="385"/>
      <c r="AI54" s="260">
        <f t="shared" si="66"/>
        <v>334796.85000000003</v>
      </c>
      <c r="AJ54" s="212"/>
      <c r="AK54" s="260">
        <f t="shared" si="67"/>
        <v>0</v>
      </c>
      <c r="AL54" s="212"/>
      <c r="AM54" s="260">
        <f t="shared" si="68"/>
        <v>0</v>
      </c>
      <c r="AN54" s="212"/>
      <c r="AO54" s="260">
        <f t="shared" si="69"/>
        <v>0</v>
      </c>
      <c r="AP54" s="212"/>
      <c r="AQ54" s="260">
        <f t="shared" si="70"/>
        <v>0</v>
      </c>
      <c r="AR54" s="212"/>
      <c r="AS54" s="260">
        <f t="shared" si="71"/>
        <v>0</v>
      </c>
      <c r="AT54" s="212"/>
      <c r="AU54" s="260">
        <f t="shared" si="72"/>
        <v>0</v>
      </c>
      <c r="AV54" s="262"/>
      <c r="AW54" s="262">
        <f t="shared" si="73"/>
        <v>875.55000000000007</v>
      </c>
      <c r="AX54" s="262"/>
      <c r="AY54" s="262">
        <f t="shared" si="74"/>
        <v>1077.6000000000001</v>
      </c>
      <c r="BA54" s="175"/>
      <c r="BB54" s="145"/>
      <c r="BC54" s="145"/>
      <c r="BD54" s="145"/>
    </row>
    <row r="55" spans="1:56" x14ac:dyDescent="0.2">
      <c r="A55" s="550"/>
      <c r="B55" s="480"/>
      <c r="D55" s="488">
        <v>675.3</v>
      </c>
      <c r="F55" s="216" t="s">
        <v>811</v>
      </c>
      <c r="G55" s="139"/>
      <c r="H55" s="261">
        <v>2</v>
      </c>
      <c r="I55" s="216"/>
      <c r="J55" s="312">
        <v>12271.347663333247</v>
      </c>
      <c r="K55" s="385"/>
      <c r="L55" s="260">
        <f t="shared" si="59"/>
        <v>6123.4024840032898</v>
      </c>
      <c r="M55" s="212"/>
      <c r="N55" s="260">
        <f t="shared" si="60"/>
        <v>3800.4363713343064</v>
      </c>
      <c r="O55" s="212"/>
      <c r="P55" s="260">
        <f t="shared" si="61"/>
        <v>541.16643195299616</v>
      </c>
      <c r="Q55" s="212"/>
      <c r="R55" s="260">
        <f t="shared" si="62"/>
        <v>1352.3025124993239</v>
      </c>
      <c r="S55" s="212"/>
      <c r="T55" s="260">
        <f t="shared" si="63"/>
        <v>411.09014672166381</v>
      </c>
      <c r="U55" s="212"/>
      <c r="V55" s="260">
        <f t="shared" si="64"/>
        <v>19.634156261333196</v>
      </c>
      <c r="W55" s="212"/>
      <c r="X55" s="260">
        <f t="shared" si="65"/>
        <v>23.315560560333168</v>
      </c>
      <c r="Y55" s="212"/>
      <c r="Z55" s="212"/>
      <c r="AC55" s="216" t="s">
        <v>811</v>
      </c>
      <c r="AE55" s="239">
        <f t="shared" si="75"/>
        <v>2</v>
      </c>
      <c r="AG55" s="312">
        <f t="shared" si="76"/>
        <v>12271.347663333247</v>
      </c>
      <c r="AH55" s="385"/>
      <c r="AI55" s="260">
        <f t="shared" si="66"/>
        <v>7394.7141019246137</v>
      </c>
      <c r="AJ55" s="212"/>
      <c r="AK55" s="260">
        <f t="shared" si="67"/>
        <v>4833.6838445869653</v>
      </c>
      <c r="AL55" s="212"/>
      <c r="AM55" s="260">
        <f t="shared" si="68"/>
        <v>0</v>
      </c>
      <c r="AN55" s="212"/>
      <c r="AO55" s="260">
        <f t="shared" si="69"/>
        <v>0</v>
      </c>
      <c r="AP55" s="212"/>
      <c r="AQ55" s="260">
        <f t="shared" si="70"/>
        <v>0</v>
      </c>
      <c r="AR55" s="212"/>
      <c r="AS55" s="260">
        <f t="shared" si="71"/>
        <v>0</v>
      </c>
      <c r="AT55" s="212"/>
      <c r="AU55" s="260">
        <f t="shared" si="72"/>
        <v>0</v>
      </c>
      <c r="AV55" s="262"/>
      <c r="AW55" s="262">
        <f t="shared" si="73"/>
        <v>19.634156261333196</v>
      </c>
      <c r="AX55" s="262"/>
      <c r="AY55" s="262">
        <f t="shared" si="74"/>
        <v>23.315560560333168</v>
      </c>
      <c r="BA55" s="175"/>
      <c r="BB55" s="145"/>
      <c r="BC55" s="145"/>
      <c r="BD55" s="145"/>
    </row>
    <row r="56" spans="1:56" x14ac:dyDescent="0.2">
      <c r="A56" s="550"/>
      <c r="B56" s="480"/>
      <c r="D56" s="488">
        <v>675.3</v>
      </c>
      <c r="F56" s="216" t="s">
        <v>810</v>
      </c>
      <c r="G56" s="139"/>
      <c r="H56" s="261">
        <v>2</v>
      </c>
      <c r="I56" s="216"/>
      <c r="J56" s="312">
        <v>29763.052296843773</v>
      </c>
      <c r="K56" s="385"/>
      <c r="L56" s="260">
        <f t="shared" si="59"/>
        <v>14851.763096125043</v>
      </c>
      <c r="M56" s="212"/>
      <c r="N56" s="260">
        <f t="shared" si="60"/>
        <v>9217.6172963325153</v>
      </c>
      <c r="O56" s="212"/>
      <c r="P56" s="260">
        <f t="shared" si="61"/>
        <v>1312.5506062908105</v>
      </c>
      <c r="Q56" s="212"/>
      <c r="R56" s="260">
        <f t="shared" si="62"/>
        <v>3279.8883631121839</v>
      </c>
      <c r="S56" s="212"/>
      <c r="T56" s="260">
        <f t="shared" si="63"/>
        <v>997.06225194426645</v>
      </c>
      <c r="U56" s="212"/>
      <c r="V56" s="260">
        <f t="shared" si="64"/>
        <v>47.620883674950036</v>
      </c>
      <c r="W56" s="212"/>
      <c r="X56" s="260">
        <f t="shared" si="65"/>
        <v>56.549799364003171</v>
      </c>
      <c r="Y56" s="212"/>
      <c r="Z56" s="212"/>
      <c r="AC56" s="216" t="s">
        <v>810</v>
      </c>
      <c r="AE56" s="239">
        <f t="shared" si="75"/>
        <v>2</v>
      </c>
      <c r="AG56" s="312">
        <f t="shared" si="76"/>
        <v>29763.052296843773</v>
      </c>
      <c r="AH56" s="385"/>
      <c r="AI56" s="260">
        <f t="shared" si="66"/>
        <v>17935.215314078054</v>
      </c>
      <c r="AJ56" s="212"/>
      <c r="AK56" s="260">
        <f t="shared" si="67"/>
        <v>11723.666299726761</v>
      </c>
      <c r="AL56" s="212"/>
      <c r="AM56" s="260">
        <f t="shared" si="68"/>
        <v>0</v>
      </c>
      <c r="AN56" s="212"/>
      <c r="AO56" s="260">
        <f t="shared" si="69"/>
        <v>0</v>
      </c>
      <c r="AP56" s="212"/>
      <c r="AQ56" s="260">
        <f t="shared" si="70"/>
        <v>0</v>
      </c>
      <c r="AR56" s="212"/>
      <c r="AS56" s="260">
        <f t="shared" si="71"/>
        <v>0</v>
      </c>
      <c r="AT56" s="212"/>
      <c r="AU56" s="260">
        <f t="shared" si="72"/>
        <v>0</v>
      </c>
      <c r="AV56" s="262"/>
      <c r="AW56" s="262">
        <f t="shared" si="73"/>
        <v>47.620883674950036</v>
      </c>
      <c r="AX56" s="262"/>
      <c r="AY56" s="262">
        <f t="shared" si="74"/>
        <v>56.549799364003171</v>
      </c>
      <c r="BA56" s="175"/>
      <c r="BB56" s="145"/>
      <c r="BC56" s="145"/>
      <c r="BD56" s="145"/>
    </row>
    <row r="57" spans="1:56" x14ac:dyDescent="0.2">
      <c r="A57" s="550"/>
      <c r="B57" s="480"/>
      <c r="D57" s="488">
        <v>675.3</v>
      </c>
      <c r="F57" s="216" t="s">
        <v>706</v>
      </c>
      <c r="G57" s="139"/>
      <c r="H57" s="261">
        <v>2</v>
      </c>
      <c r="I57" s="216"/>
      <c r="J57" s="312">
        <v>2401.6306985389033</v>
      </c>
      <c r="K57" s="385"/>
      <c r="L57" s="260">
        <f t="shared" si="59"/>
        <v>1198.4137185709128</v>
      </c>
      <c r="M57" s="212"/>
      <c r="N57" s="260">
        <f t="shared" si="60"/>
        <v>743.78502733749826</v>
      </c>
      <c r="O57" s="212"/>
      <c r="P57" s="260">
        <f t="shared" si="61"/>
        <v>105.91191380556563</v>
      </c>
      <c r="Q57" s="212"/>
      <c r="R57" s="260">
        <f t="shared" si="62"/>
        <v>264.65970297898718</v>
      </c>
      <c r="S57" s="212"/>
      <c r="T57" s="260">
        <f t="shared" si="63"/>
        <v>80.45462840105327</v>
      </c>
      <c r="U57" s="212"/>
      <c r="V57" s="260">
        <f t="shared" si="64"/>
        <v>3.8426091176622457</v>
      </c>
      <c r="W57" s="212"/>
      <c r="X57" s="260">
        <f t="shared" si="65"/>
        <v>4.5630983272239165</v>
      </c>
      <c r="Y57" s="212"/>
      <c r="Z57" s="212"/>
      <c r="AC57" s="216" t="s">
        <v>706</v>
      </c>
      <c r="AE57" s="239">
        <f t="shared" si="75"/>
        <v>2</v>
      </c>
      <c r="AG57" s="312">
        <f t="shared" si="76"/>
        <v>2401.6306985389033</v>
      </c>
      <c r="AH57" s="385"/>
      <c r="AI57" s="260">
        <f t="shared" si="66"/>
        <v>1447.222658939543</v>
      </c>
      <c r="AJ57" s="212"/>
      <c r="AK57" s="260">
        <f t="shared" si="67"/>
        <v>946.00233215447395</v>
      </c>
      <c r="AL57" s="212"/>
      <c r="AM57" s="260">
        <f t="shared" si="68"/>
        <v>0</v>
      </c>
      <c r="AN57" s="212"/>
      <c r="AO57" s="260">
        <f t="shared" si="69"/>
        <v>0</v>
      </c>
      <c r="AP57" s="212"/>
      <c r="AQ57" s="260">
        <f t="shared" si="70"/>
        <v>0</v>
      </c>
      <c r="AR57" s="212"/>
      <c r="AS57" s="260">
        <f t="shared" si="71"/>
        <v>0</v>
      </c>
      <c r="AT57" s="212"/>
      <c r="AU57" s="260">
        <f t="shared" si="72"/>
        <v>0</v>
      </c>
      <c r="AV57" s="262"/>
      <c r="AW57" s="262">
        <f t="shared" si="73"/>
        <v>3.8426091176622457</v>
      </c>
      <c r="AX57" s="262"/>
      <c r="AY57" s="262">
        <f t="shared" si="74"/>
        <v>4.5630983272239165</v>
      </c>
      <c r="BA57" s="175"/>
      <c r="BB57" s="145"/>
      <c r="BC57" s="145"/>
      <c r="BD57" s="145"/>
    </row>
    <row r="58" spans="1:56" x14ac:dyDescent="0.2">
      <c r="A58" s="550"/>
      <c r="B58" s="480"/>
      <c r="D58" s="488">
        <v>675.3</v>
      </c>
      <c r="F58" s="216" t="s">
        <v>712</v>
      </c>
      <c r="G58" s="139"/>
      <c r="H58" s="261">
        <v>2</v>
      </c>
      <c r="I58" s="216"/>
      <c r="J58" s="312">
        <v>10036.829469140199</v>
      </c>
      <c r="K58" s="385"/>
      <c r="L58" s="260">
        <f t="shared" si="59"/>
        <v>5008.3779051009597</v>
      </c>
      <c r="M58" s="212"/>
      <c r="N58" s="260">
        <f t="shared" si="60"/>
        <v>3108.4060865927195</v>
      </c>
      <c r="O58" s="212"/>
      <c r="P58" s="260">
        <f t="shared" si="61"/>
        <v>442.62417958908276</v>
      </c>
      <c r="Q58" s="212"/>
      <c r="R58" s="260">
        <f t="shared" si="62"/>
        <v>1106.05860749925</v>
      </c>
      <c r="S58" s="212"/>
      <c r="T58" s="260">
        <f t="shared" si="63"/>
        <v>336.23378721619667</v>
      </c>
      <c r="U58" s="212"/>
      <c r="V58" s="260">
        <f t="shared" si="64"/>
        <v>16.058927150624317</v>
      </c>
      <c r="W58" s="212"/>
      <c r="X58" s="260">
        <f t="shared" si="65"/>
        <v>19.069975991366377</v>
      </c>
      <c r="Y58" s="212"/>
      <c r="Z58" s="212"/>
      <c r="AC58" s="216" t="s">
        <v>712</v>
      </c>
      <c r="AE58" s="239">
        <f t="shared" si="75"/>
        <v>2</v>
      </c>
      <c r="AG58" s="312">
        <f t="shared" si="76"/>
        <v>10036.829469140199</v>
      </c>
      <c r="AH58" s="385"/>
      <c r="AI58" s="260">
        <f t="shared" si="66"/>
        <v>6048.1934381038827</v>
      </c>
      <c r="AJ58" s="212"/>
      <c r="AK58" s="260">
        <f t="shared" si="67"/>
        <v>3953.5071278943242</v>
      </c>
      <c r="AL58" s="212"/>
      <c r="AM58" s="260">
        <f t="shared" si="68"/>
        <v>0</v>
      </c>
      <c r="AN58" s="212"/>
      <c r="AO58" s="260">
        <f t="shared" si="69"/>
        <v>0</v>
      </c>
      <c r="AP58" s="212"/>
      <c r="AQ58" s="260">
        <f t="shared" si="70"/>
        <v>0</v>
      </c>
      <c r="AR58" s="212"/>
      <c r="AS58" s="260">
        <f t="shared" si="71"/>
        <v>0</v>
      </c>
      <c r="AT58" s="212"/>
      <c r="AU58" s="260">
        <f t="shared" si="72"/>
        <v>0</v>
      </c>
      <c r="AV58" s="262"/>
      <c r="AW58" s="262">
        <f t="shared" si="73"/>
        <v>16.058927150624317</v>
      </c>
      <c r="AX58" s="262"/>
      <c r="AY58" s="262">
        <f t="shared" si="74"/>
        <v>19.069975991366377</v>
      </c>
      <c r="BA58" s="175"/>
      <c r="BB58" s="145"/>
      <c r="BC58" s="145"/>
      <c r="BD58" s="145"/>
    </row>
    <row r="59" spans="1:56" x14ac:dyDescent="0.2">
      <c r="A59" s="550"/>
      <c r="B59" s="480"/>
      <c r="D59" s="488">
        <v>675.3</v>
      </c>
      <c r="F59" s="216" t="s">
        <v>716</v>
      </c>
      <c r="G59" s="139"/>
      <c r="H59" s="261">
        <v>2</v>
      </c>
      <c r="I59" s="216"/>
      <c r="J59" s="312">
        <v>2682.431646502695</v>
      </c>
      <c r="K59" s="385"/>
      <c r="L59" s="260">
        <f t="shared" si="59"/>
        <v>1338.5333916048448</v>
      </c>
      <c r="M59" s="212"/>
      <c r="N59" s="260">
        <f t="shared" si="60"/>
        <v>830.74908092188457</v>
      </c>
      <c r="O59" s="212"/>
      <c r="P59" s="260">
        <f t="shared" si="61"/>
        <v>118.29523561076886</v>
      </c>
      <c r="Q59" s="212"/>
      <c r="R59" s="260">
        <f t="shared" si="62"/>
        <v>295.603967444597</v>
      </c>
      <c r="S59" s="212"/>
      <c r="T59" s="260">
        <f t="shared" si="63"/>
        <v>89.861460157840284</v>
      </c>
      <c r="U59" s="212"/>
      <c r="V59" s="260">
        <f t="shared" si="64"/>
        <v>4.2918906344043126</v>
      </c>
      <c r="W59" s="212"/>
      <c r="X59" s="260">
        <f t="shared" si="65"/>
        <v>5.0966201283551209</v>
      </c>
      <c r="Y59" s="212"/>
      <c r="Z59" s="212"/>
      <c r="AC59" s="216" t="s">
        <v>716</v>
      </c>
      <c r="AE59" s="239">
        <f t="shared" si="75"/>
        <v>2</v>
      </c>
      <c r="AG59" s="312">
        <f t="shared" si="76"/>
        <v>2682.431646502695</v>
      </c>
      <c r="AH59" s="385"/>
      <c r="AI59" s="260">
        <f t="shared" si="66"/>
        <v>1616.4333101825239</v>
      </c>
      <c r="AJ59" s="212"/>
      <c r="AK59" s="260">
        <f t="shared" si="67"/>
        <v>1056.6098255574116</v>
      </c>
      <c r="AL59" s="212"/>
      <c r="AM59" s="260">
        <f t="shared" si="68"/>
        <v>0</v>
      </c>
      <c r="AN59" s="212"/>
      <c r="AO59" s="260">
        <f t="shared" si="69"/>
        <v>0</v>
      </c>
      <c r="AP59" s="212"/>
      <c r="AQ59" s="260">
        <f t="shared" si="70"/>
        <v>0</v>
      </c>
      <c r="AR59" s="212"/>
      <c r="AS59" s="260">
        <f t="shared" si="71"/>
        <v>0</v>
      </c>
      <c r="AT59" s="212"/>
      <c r="AU59" s="260">
        <f t="shared" si="72"/>
        <v>0</v>
      </c>
      <c r="AV59" s="262"/>
      <c r="AW59" s="262">
        <f t="shared" si="73"/>
        <v>4.2918906344043126</v>
      </c>
      <c r="AX59" s="262"/>
      <c r="AY59" s="262">
        <f t="shared" si="74"/>
        <v>5.0966201283551209</v>
      </c>
      <c r="BA59" s="175"/>
      <c r="BB59" s="145"/>
      <c r="BC59" s="145"/>
      <c r="BD59" s="145"/>
    </row>
    <row r="60" spans="1:56" x14ac:dyDescent="0.2">
      <c r="A60" s="550"/>
      <c r="B60" s="480"/>
      <c r="D60" s="488">
        <v>675.3</v>
      </c>
      <c r="F60" s="216" t="s">
        <v>843</v>
      </c>
      <c r="G60" s="139"/>
      <c r="H60" s="261">
        <v>2</v>
      </c>
      <c r="I60" s="216"/>
      <c r="J60" s="312">
        <v>34.056736978072898</v>
      </c>
      <c r="K60" s="385"/>
      <c r="L60" s="260">
        <f t="shared" si="59"/>
        <v>16.994311752058376</v>
      </c>
      <c r="M60" s="212"/>
      <c r="N60" s="260">
        <f t="shared" si="60"/>
        <v>10.547371442109176</v>
      </c>
      <c r="O60" s="212"/>
      <c r="P60" s="260">
        <f t="shared" si="61"/>
        <v>1.5019021007330149</v>
      </c>
      <c r="Q60" s="212"/>
      <c r="R60" s="260">
        <f t="shared" si="62"/>
        <v>3.7530524149836335</v>
      </c>
      <c r="S60" s="212"/>
      <c r="T60" s="260">
        <f t="shared" si="63"/>
        <v>1.1409006887654423</v>
      </c>
      <c r="U60" s="212"/>
      <c r="V60" s="260">
        <f t="shared" si="64"/>
        <v>5.4490779164916639E-2</v>
      </c>
      <c r="W60" s="212"/>
      <c r="X60" s="260">
        <f t="shared" si="65"/>
        <v>6.4707800258338513E-2</v>
      </c>
      <c r="Y60" s="212"/>
      <c r="Z60" s="212"/>
      <c r="AC60" s="216" t="s">
        <v>843</v>
      </c>
      <c r="AE60" s="239">
        <f t="shared" si="75"/>
        <v>2</v>
      </c>
      <c r="AG60" s="312">
        <f t="shared" si="76"/>
        <v>34.056736978072898</v>
      </c>
      <c r="AH60" s="385"/>
      <c r="AI60" s="260">
        <f t="shared" si="66"/>
        <v>20.522589702986725</v>
      </c>
      <c r="AJ60" s="212"/>
      <c r="AK60" s="260">
        <f t="shared" si="67"/>
        <v>13.414948695662913</v>
      </c>
      <c r="AL60" s="212"/>
      <c r="AM60" s="260">
        <f t="shared" si="68"/>
        <v>0</v>
      </c>
      <c r="AN60" s="212"/>
      <c r="AO60" s="260">
        <f t="shared" si="69"/>
        <v>0</v>
      </c>
      <c r="AP60" s="212"/>
      <c r="AQ60" s="260">
        <f t="shared" si="70"/>
        <v>0</v>
      </c>
      <c r="AR60" s="212"/>
      <c r="AS60" s="260">
        <f t="shared" si="71"/>
        <v>0</v>
      </c>
      <c r="AT60" s="212"/>
      <c r="AU60" s="260">
        <f t="shared" si="72"/>
        <v>0</v>
      </c>
      <c r="AV60" s="262"/>
      <c r="AW60" s="262">
        <f t="shared" si="73"/>
        <v>5.4490779164916639E-2</v>
      </c>
      <c r="AX60" s="262"/>
      <c r="AY60" s="262">
        <f t="shared" si="74"/>
        <v>6.4707800258338513E-2</v>
      </c>
      <c r="BA60" s="175"/>
      <c r="BB60" s="145"/>
      <c r="BC60" s="145"/>
      <c r="BD60" s="145"/>
    </row>
    <row r="61" spans="1:56" x14ac:dyDescent="0.2">
      <c r="A61" s="550"/>
      <c r="B61" s="480"/>
      <c r="D61" s="488">
        <v>675.3</v>
      </c>
      <c r="F61" s="216" t="s">
        <v>845</v>
      </c>
      <c r="G61" s="139"/>
      <c r="H61" s="261">
        <v>2</v>
      </c>
      <c r="I61" s="216"/>
      <c r="J61" s="312">
        <v>10937.752038589932</v>
      </c>
      <c r="K61" s="385"/>
      <c r="L61" s="260">
        <f t="shared" si="59"/>
        <v>5457.9382672563761</v>
      </c>
      <c r="M61" s="212"/>
      <c r="N61" s="260">
        <f t="shared" si="60"/>
        <v>3387.4218063513017</v>
      </c>
      <c r="O61" s="212"/>
      <c r="P61" s="260">
        <f t="shared" si="61"/>
        <v>482.35486490181597</v>
      </c>
      <c r="Q61" s="212"/>
      <c r="R61" s="260">
        <f t="shared" si="62"/>
        <v>1205.3402746526106</v>
      </c>
      <c r="S61" s="212"/>
      <c r="T61" s="260">
        <f t="shared" si="63"/>
        <v>366.41469329276271</v>
      </c>
      <c r="U61" s="212"/>
      <c r="V61" s="260">
        <f t="shared" si="64"/>
        <v>17.500403261743891</v>
      </c>
      <c r="W61" s="212"/>
      <c r="X61" s="260">
        <f t="shared" si="65"/>
        <v>20.781728873320869</v>
      </c>
      <c r="Y61" s="212"/>
      <c r="Z61" s="212"/>
      <c r="AC61" s="216" t="s">
        <v>845</v>
      </c>
      <c r="AE61" s="239">
        <f t="shared" si="75"/>
        <v>2</v>
      </c>
      <c r="AG61" s="312">
        <f t="shared" si="76"/>
        <v>10937.752038589932</v>
      </c>
      <c r="AH61" s="385"/>
      <c r="AI61" s="260">
        <f t="shared" si="66"/>
        <v>6591.0893784542914</v>
      </c>
      <c r="AJ61" s="212"/>
      <c r="AK61" s="260">
        <f t="shared" si="67"/>
        <v>4308.3805280005736</v>
      </c>
      <c r="AL61" s="212"/>
      <c r="AM61" s="260">
        <f t="shared" si="68"/>
        <v>0</v>
      </c>
      <c r="AN61" s="212"/>
      <c r="AO61" s="260">
        <f t="shared" si="69"/>
        <v>0</v>
      </c>
      <c r="AP61" s="212"/>
      <c r="AQ61" s="260">
        <f t="shared" si="70"/>
        <v>0</v>
      </c>
      <c r="AR61" s="212"/>
      <c r="AS61" s="260">
        <f t="shared" si="71"/>
        <v>0</v>
      </c>
      <c r="AT61" s="212"/>
      <c r="AU61" s="260">
        <f t="shared" si="72"/>
        <v>0</v>
      </c>
      <c r="AV61" s="262"/>
      <c r="AW61" s="262">
        <f t="shared" si="73"/>
        <v>17.500403261743891</v>
      </c>
      <c r="AX61" s="262"/>
      <c r="AY61" s="262">
        <f t="shared" si="74"/>
        <v>20.781728873320869</v>
      </c>
      <c r="BA61" s="175"/>
      <c r="BB61" s="145"/>
      <c r="BC61" s="145"/>
      <c r="BD61" s="145"/>
    </row>
    <row r="62" spans="1:56" x14ac:dyDescent="0.2">
      <c r="A62" s="550"/>
      <c r="B62" s="480"/>
      <c r="D62" s="488">
        <v>675.3</v>
      </c>
      <c r="F62" s="216" t="s">
        <v>736</v>
      </c>
      <c r="G62" s="139"/>
      <c r="H62" s="261">
        <v>2</v>
      </c>
      <c r="I62" s="216"/>
      <c r="J62" s="389">
        <v>936.36613603206365</v>
      </c>
      <c r="K62" s="385"/>
      <c r="L62" s="549">
        <f t="shared" si="59"/>
        <v>467.24670187999976</v>
      </c>
      <c r="M62" s="385"/>
      <c r="N62" s="549">
        <f t="shared" si="60"/>
        <v>289.9925923291301</v>
      </c>
      <c r="O62" s="385"/>
      <c r="P62" s="549">
        <f t="shared" si="61"/>
        <v>41.293746599014007</v>
      </c>
      <c r="Q62" s="385"/>
      <c r="R62" s="549">
        <f t="shared" si="62"/>
        <v>103.18754819073342</v>
      </c>
      <c r="S62" s="385"/>
      <c r="T62" s="549">
        <f t="shared" si="63"/>
        <v>31.368265557074135</v>
      </c>
      <c r="U62" s="385"/>
      <c r="V62" s="549">
        <f t="shared" si="64"/>
        <v>1.4981858176513019</v>
      </c>
      <c r="W62" s="385"/>
      <c r="X62" s="549">
        <f t="shared" si="65"/>
        <v>1.779095658460921</v>
      </c>
      <c r="Y62" s="212"/>
      <c r="Z62" s="212"/>
      <c r="AC62" s="216" t="s">
        <v>736</v>
      </c>
      <c r="AE62" s="239">
        <f t="shared" si="75"/>
        <v>2</v>
      </c>
      <c r="AG62" s="389">
        <f t="shared" si="76"/>
        <v>936.36613603206365</v>
      </c>
      <c r="AH62" s="385"/>
      <c r="AI62" s="549">
        <f t="shared" si="66"/>
        <v>564.25423357292152</v>
      </c>
      <c r="AJ62" s="385"/>
      <c r="AK62" s="549">
        <f t="shared" si="67"/>
        <v>368.83462098302982</v>
      </c>
      <c r="AL62" s="385"/>
      <c r="AM62" s="549">
        <f t="shared" si="68"/>
        <v>0</v>
      </c>
      <c r="AN62" s="385"/>
      <c r="AO62" s="549">
        <f t="shared" si="69"/>
        <v>0</v>
      </c>
      <c r="AP62" s="385"/>
      <c r="AQ62" s="549">
        <f t="shared" si="70"/>
        <v>0</v>
      </c>
      <c r="AR62" s="385"/>
      <c r="AS62" s="549">
        <f t="shared" si="71"/>
        <v>0</v>
      </c>
      <c r="AT62" s="385"/>
      <c r="AU62" s="549">
        <f t="shared" si="72"/>
        <v>0</v>
      </c>
      <c r="AV62" s="385"/>
      <c r="AW62" s="549">
        <f t="shared" si="73"/>
        <v>1.4981858176513019</v>
      </c>
      <c r="AX62" s="385"/>
      <c r="AY62" s="549">
        <f t="shared" si="74"/>
        <v>1.779095658460921</v>
      </c>
      <c r="BA62" s="175"/>
      <c r="BB62" s="145"/>
      <c r="BC62" s="145"/>
      <c r="BD62" s="145"/>
    </row>
    <row r="63" spans="1:56" x14ac:dyDescent="0.2">
      <c r="A63" s="146"/>
      <c r="B63" s="146"/>
      <c r="F63" s="216"/>
      <c r="G63" s="139"/>
      <c r="H63" s="261"/>
      <c r="I63" s="216"/>
      <c r="J63" s="312"/>
      <c r="K63" s="386"/>
      <c r="L63" s="386"/>
      <c r="M63" s="386"/>
      <c r="N63" s="386"/>
      <c r="O63" s="386"/>
      <c r="P63" s="386"/>
      <c r="Q63" s="386"/>
      <c r="R63" s="386"/>
      <c r="S63" s="386"/>
      <c r="T63" s="386"/>
      <c r="U63" s="386"/>
      <c r="V63" s="386"/>
      <c r="W63" s="386"/>
      <c r="X63" s="386"/>
      <c r="Z63" s="175"/>
      <c r="AC63" s="216"/>
      <c r="AG63" s="312"/>
      <c r="AH63" s="386"/>
      <c r="AI63" s="386"/>
      <c r="AJ63" s="386"/>
      <c r="AK63" s="386"/>
      <c r="AL63" s="386"/>
      <c r="AM63" s="386"/>
      <c r="AN63" s="386"/>
      <c r="AO63" s="386"/>
      <c r="AP63" s="386"/>
      <c r="AQ63" s="386"/>
      <c r="AR63" s="386"/>
      <c r="AS63" s="386"/>
      <c r="AT63" s="386"/>
      <c r="AU63" s="386"/>
      <c r="AV63" s="386"/>
      <c r="AW63" s="386"/>
      <c r="AX63" s="386"/>
      <c r="AY63" s="386"/>
      <c r="BA63" s="175"/>
      <c r="BB63" s="145"/>
      <c r="BC63" s="145"/>
      <c r="BD63" s="145"/>
    </row>
    <row r="64" spans="1:56" x14ac:dyDescent="0.2">
      <c r="A64" s="146"/>
      <c r="B64" s="146"/>
      <c r="F64" s="216" t="s">
        <v>12</v>
      </c>
      <c r="G64" s="139"/>
      <c r="H64" s="261"/>
      <c r="I64" s="216"/>
      <c r="J64" s="389">
        <f>SUM(J45:J63)</f>
        <v>8503714.5406833701</v>
      </c>
      <c r="K64" s="216"/>
      <c r="L64" s="389">
        <f>SUM(L45:L63)</f>
        <v>4175762.5942010018</v>
      </c>
      <c r="M64" s="216"/>
      <c r="N64" s="389">
        <f t="shared" ref="N64" si="77">SUM(N45:N63)</f>
        <v>2629784.7744496404</v>
      </c>
      <c r="O64" s="216"/>
      <c r="P64" s="389">
        <f t="shared" ref="P64" si="78">SUM(P45:P63)</f>
        <v>392456.64004413661</v>
      </c>
      <c r="Q64" s="216"/>
      <c r="R64" s="389">
        <f t="shared" ref="R64" si="79">SUM(R45:R63)</f>
        <v>965453.93918330735</v>
      </c>
      <c r="S64" s="216"/>
      <c r="T64" s="389">
        <f t="shared" ref="T64" si="80">SUM(T45:T63)</f>
        <v>297956.55871289287</v>
      </c>
      <c r="U64" s="216"/>
      <c r="V64" s="389">
        <f t="shared" ref="V64" si="81">SUM(V45:V63)</f>
        <v>19056.82726509339</v>
      </c>
      <c r="W64" s="216"/>
      <c r="X64" s="389">
        <f t="shared" ref="X64" si="82">SUM(X45:X63)</f>
        <v>23243.206827298396</v>
      </c>
      <c r="Z64" s="175"/>
      <c r="AC64" s="216" t="s">
        <v>12</v>
      </c>
      <c r="AD64" s="139"/>
      <c r="AE64" s="261"/>
      <c r="AF64" s="216"/>
      <c r="AG64" s="389">
        <f>SUM(AG45:AG63)</f>
        <v>8503714.5406833701</v>
      </c>
      <c r="AH64" s="216"/>
      <c r="AI64" s="389">
        <f>SUM(AI45:AI63)</f>
        <v>7258904.5566157969</v>
      </c>
      <c r="AJ64" s="216"/>
      <c r="AK64" s="389">
        <f>SUM(AK45:AK63)</f>
        <v>1202509.949975179</v>
      </c>
      <c r="AL64" s="216"/>
      <c r="AM64" s="389">
        <f>SUM(AM45:AM63)</f>
        <v>0</v>
      </c>
      <c r="AN64" s="216"/>
      <c r="AO64" s="389">
        <f>SUM(AO45:AO63)</f>
        <v>0</v>
      </c>
      <c r="AP64" s="216"/>
      <c r="AQ64" s="389">
        <f>SUM(AQ45:AQ63)</f>
        <v>0</v>
      </c>
      <c r="AR64" s="216"/>
      <c r="AS64" s="389">
        <f>SUM(AS45:AS63)</f>
        <v>0</v>
      </c>
      <c r="AT64" s="216"/>
      <c r="AU64" s="389">
        <f>SUM(AU45:AU63)</f>
        <v>0</v>
      </c>
      <c r="AV64" s="216"/>
      <c r="AW64" s="389">
        <f t="shared" ref="AW64" si="83">SUM(AW45:AW63)</f>
        <v>19056.82726509339</v>
      </c>
      <c r="AX64" s="216"/>
      <c r="AY64" s="389">
        <f t="shared" ref="AY64" si="84">SUM(AY45:AY63)</f>
        <v>23243.206827298396</v>
      </c>
      <c r="BA64" s="175"/>
      <c r="BB64" s="145"/>
      <c r="BC64" s="145"/>
      <c r="BD64" s="145"/>
    </row>
    <row r="65" spans="1:56" x14ac:dyDescent="0.2">
      <c r="A65" s="146"/>
      <c r="B65" s="146"/>
      <c r="F65" s="216"/>
      <c r="G65" s="139"/>
      <c r="H65" s="261"/>
      <c r="I65" s="216"/>
      <c r="J65" s="312"/>
      <c r="K65" s="385"/>
      <c r="L65" s="386"/>
      <c r="M65" s="387"/>
      <c r="N65" s="387"/>
      <c r="O65" s="387"/>
      <c r="P65" s="387"/>
      <c r="Q65" s="387"/>
      <c r="R65" s="387"/>
      <c r="S65" s="387"/>
      <c r="T65" s="387"/>
      <c r="U65" s="387"/>
      <c r="V65" s="387"/>
      <c r="W65" s="387"/>
      <c r="X65" s="387"/>
      <c r="Z65" s="175"/>
      <c r="AC65" s="216"/>
      <c r="AG65" s="312"/>
      <c r="AH65" s="385"/>
      <c r="AI65" s="386"/>
      <c r="AJ65" s="387"/>
      <c r="AK65" s="387"/>
      <c r="AL65" s="387"/>
      <c r="AM65" s="387"/>
      <c r="AN65" s="387"/>
      <c r="AO65" s="387"/>
      <c r="AP65" s="387"/>
      <c r="AQ65" s="387"/>
      <c r="AR65" s="387"/>
      <c r="AS65" s="387"/>
      <c r="AT65" s="387"/>
      <c r="AU65" s="387"/>
      <c r="AV65" s="387"/>
      <c r="AW65" s="387"/>
      <c r="AX65" s="387"/>
      <c r="AY65" s="387"/>
      <c r="BA65" s="175"/>
      <c r="BB65" s="145"/>
      <c r="BC65" s="145"/>
      <c r="BD65" s="145"/>
    </row>
    <row r="66" spans="1:56" x14ac:dyDescent="0.2">
      <c r="A66" s="146"/>
      <c r="B66" s="146"/>
      <c r="F66" s="216" t="s">
        <v>13</v>
      </c>
      <c r="G66" s="139"/>
      <c r="H66" s="261"/>
      <c r="I66" s="216"/>
      <c r="J66" s="312"/>
      <c r="K66" s="385"/>
      <c r="L66" s="386"/>
      <c r="M66" s="387"/>
      <c r="N66" s="387"/>
      <c r="O66" s="387"/>
      <c r="P66" s="387"/>
      <c r="Q66" s="387"/>
      <c r="R66" s="387"/>
      <c r="S66" s="387"/>
      <c r="T66" s="387"/>
      <c r="U66" s="387"/>
      <c r="V66" s="387"/>
      <c r="W66" s="387"/>
      <c r="X66" s="387"/>
      <c r="Z66" s="175"/>
      <c r="AC66" s="216" t="s">
        <v>13</v>
      </c>
      <c r="AG66" s="312"/>
      <c r="AH66" s="385"/>
      <c r="AI66" s="386"/>
      <c r="AJ66" s="387"/>
      <c r="AK66" s="387"/>
      <c r="AL66" s="387"/>
      <c r="AM66" s="387"/>
      <c r="AN66" s="387"/>
      <c r="AO66" s="387"/>
      <c r="AP66" s="387"/>
      <c r="AQ66" s="387"/>
      <c r="AR66" s="387"/>
      <c r="AS66" s="387"/>
      <c r="AT66" s="387"/>
      <c r="AU66" s="387"/>
      <c r="AV66" s="387"/>
      <c r="AW66" s="387"/>
      <c r="AX66" s="387"/>
      <c r="AY66" s="387"/>
      <c r="BA66" s="175"/>
      <c r="BB66" s="145"/>
      <c r="BC66" s="145"/>
      <c r="BD66" s="145"/>
    </row>
    <row r="67" spans="1:56" x14ac:dyDescent="0.2">
      <c r="A67" s="146"/>
      <c r="B67" s="146"/>
      <c r="D67" s="488">
        <v>601.4</v>
      </c>
      <c r="F67" s="216" t="s">
        <v>475</v>
      </c>
      <c r="G67" s="139"/>
      <c r="H67" s="261">
        <v>2</v>
      </c>
      <c r="I67" s="216"/>
      <c r="J67" s="312">
        <v>9477.233820672971</v>
      </c>
      <c r="K67" s="385"/>
      <c r="L67" s="260">
        <f>(VLOOKUP($H67,Factors,L$382))*$J67</f>
        <v>4729.1396765158124</v>
      </c>
      <c r="M67" s="212"/>
      <c r="N67" s="260">
        <f>(VLOOKUP($H67,Factors,N$382))*$J67</f>
        <v>2935.0993142624188</v>
      </c>
      <c r="O67" s="212"/>
      <c r="P67" s="260">
        <f>(VLOOKUP($H67,Factors,P$382))*$J67</f>
        <v>417.94601149167801</v>
      </c>
      <c r="Q67" s="212"/>
      <c r="R67" s="260">
        <f>(VLOOKUP($H67,Factors,R$382))*$J67</f>
        <v>1044.3911670381615</v>
      </c>
      <c r="S67" s="212"/>
      <c r="T67" s="260">
        <f>(VLOOKUP($H67,Factors,T$382))*$J67</f>
        <v>317.48733299254457</v>
      </c>
      <c r="U67" s="212"/>
      <c r="V67" s="260">
        <f>(VLOOKUP($H67,Factors,V$382))*$J67</f>
        <v>15.163574113076754</v>
      </c>
      <c r="W67" s="212"/>
      <c r="X67" s="260">
        <f>(VLOOKUP($H67,Factors,X$382))*$J67</f>
        <v>18.006744259278644</v>
      </c>
      <c r="Y67" s="212"/>
      <c r="Z67" s="212"/>
      <c r="AC67" s="216" t="s">
        <v>475</v>
      </c>
      <c r="AE67" s="239">
        <f>+H67</f>
        <v>2</v>
      </c>
      <c r="AG67" s="312">
        <f>+J67</f>
        <v>9477.233820672971</v>
      </c>
      <c r="AH67" s="385"/>
      <c r="AI67" s="260">
        <f>(VLOOKUP($AE67,func,AI$382))*$AG67</f>
        <v>5710.9811003375316</v>
      </c>
      <c r="AJ67" s="212"/>
      <c r="AK67" s="260">
        <f>(VLOOKUP($AE67,func,AK$382))*$AG67</f>
        <v>3733.0824019630832</v>
      </c>
      <c r="AL67" s="212"/>
      <c r="AM67" s="260">
        <f>(VLOOKUP($AE67,func,AM$382))*$AG67</f>
        <v>0</v>
      </c>
      <c r="AN67" s="212"/>
      <c r="AO67" s="260">
        <f>(VLOOKUP($AE67,func,AO$382))*$AG67</f>
        <v>0</v>
      </c>
      <c r="AP67" s="212"/>
      <c r="AQ67" s="260">
        <f>(VLOOKUP($AE67,func,AQ$382))*$AG67</f>
        <v>0</v>
      </c>
      <c r="AR67" s="212"/>
      <c r="AS67" s="260">
        <f>(VLOOKUP($AE67,func,AS$382))*$AG67</f>
        <v>0</v>
      </c>
      <c r="AT67" s="212"/>
      <c r="AU67" s="260">
        <f>(VLOOKUP($AE67,func,AU$382))*$AG67</f>
        <v>0</v>
      </c>
      <c r="AV67" s="212"/>
      <c r="AW67" s="260">
        <f>(VLOOKUP($AE67,func,AW$382))*$AG67</f>
        <v>15.163574113076754</v>
      </c>
      <c r="AX67" s="212"/>
      <c r="AY67" s="260">
        <f>(VLOOKUP($AE67,func,AY$382))*$AG67</f>
        <v>18.006744259278644</v>
      </c>
      <c r="BA67" s="175"/>
      <c r="BB67" s="145"/>
      <c r="BC67" s="145"/>
      <c r="BD67" s="145"/>
    </row>
    <row r="68" spans="1:56" x14ac:dyDescent="0.2">
      <c r="A68" s="146"/>
      <c r="B68" s="146"/>
      <c r="D68" s="488">
        <v>601.4</v>
      </c>
      <c r="F68" s="216" t="s">
        <v>742</v>
      </c>
      <c r="G68" s="139"/>
      <c r="H68" s="261">
        <v>2</v>
      </c>
      <c r="I68" s="216"/>
      <c r="J68" s="312">
        <v>171091.08408943703</v>
      </c>
      <c r="K68" s="385"/>
      <c r="L68" s="260">
        <f>(VLOOKUP($H68,Factors,L$382))*$J68</f>
        <v>85374.450960629081</v>
      </c>
      <c r="M68" s="212"/>
      <c r="N68" s="260">
        <f>(VLOOKUP($H68,Factors,N$382))*$J68</f>
        <v>52986.908742498643</v>
      </c>
      <c r="O68" s="212"/>
      <c r="P68" s="260">
        <f>(VLOOKUP($H68,Factors,P$382))*$J68</f>
        <v>7545.1168083441735</v>
      </c>
      <c r="Q68" s="212"/>
      <c r="R68" s="260">
        <f>(VLOOKUP($H68,Factors,R$382))*$J68</f>
        <v>18854.237466655963</v>
      </c>
      <c r="S68" s="212"/>
      <c r="T68" s="260">
        <f>(VLOOKUP($H68,Factors,T$382))*$J68</f>
        <v>5731.5513169961414</v>
      </c>
      <c r="U68" s="212"/>
      <c r="V68" s="260">
        <f>(VLOOKUP($H68,Factors,V$382))*$J68</f>
        <v>273.74573454309927</v>
      </c>
      <c r="W68" s="212"/>
      <c r="X68" s="260">
        <f>(VLOOKUP($H68,Factors,X$382))*$J68</f>
        <v>325.07305976993035</v>
      </c>
      <c r="Y68" s="212"/>
      <c r="Z68" s="212"/>
      <c r="AC68" s="216" t="s">
        <v>742</v>
      </c>
      <c r="AE68" s="239">
        <f t="shared" ref="AE68:AE71" si="85">+H68</f>
        <v>2</v>
      </c>
      <c r="AG68" s="312">
        <f t="shared" ref="AG68:AG71" si="86">+J68</f>
        <v>171091.08408943703</v>
      </c>
      <c r="AH68" s="385"/>
      <c r="AI68" s="260">
        <f>(VLOOKUP($AE68,func,AI$382))*$AG68</f>
        <v>103099.48727229475</v>
      </c>
      <c r="AJ68" s="212"/>
      <c r="AK68" s="260">
        <f>(VLOOKUP($AE68,func,AK$382))*$AG68</f>
        <v>67392.778022829239</v>
      </c>
      <c r="AL68" s="212"/>
      <c r="AM68" s="260">
        <f>(VLOOKUP($AE68,func,AM$382))*$AG68</f>
        <v>0</v>
      </c>
      <c r="AN68" s="212"/>
      <c r="AO68" s="260">
        <f>(VLOOKUP($AE68,func,AO$382))*$AG68</f>
        <v>0</v>
      </c>
      <c r="AP68" s="212"/>
      <c r="AQ68" s="260">
        <f>(VLOOKUP($AE68,func,AQ$382))*$AG68</f>
        <v>0</v>
      </c>
      <c r="AR68" s="212"/>
      <c r="AS68" s="260">
        <f>(VLOOKUP($AE68,func,AS$382))*$AG68</f>
        <v>0</v>
      </c>
      <c r="AT68" s="212"/>
      <c r="AU68" s="260">
        <f>(VLOOKUP($AE68,func,AU$382))*$AG68</f>
        <v>0</v>
      </c>
      <c r="AV68" s="212"/>
      <c r="AW68" s="260">
        <f>(VLOOKUP($AE68,func,AW$382))*$AG68</f>
        <v>273.74573454309927</v>
      </c>
      <c r="AX68" s="212"/>
      <c r="AY68" s="260">
        <f>(VLOOKUP($AE68,func,AY$382))*$AG68</f>
        <v>325.07305976993035</v>
      </c>
      <c r="BA68" s="175"/>
      <c r="BB68" s="145"/>
      <c r="BC68" s="145"/>
      <c r="BD68" s="145"/>
    </row>
    <row r="69" spans="1:56" x14ac:dyDescent="0.2">
      <c r="A69" s="146"/>
      <c r="B69" s="146"/>
      <c r="D69" s="488">
        <v>620.4</v>
      </c>
      <c r="F69" s="216" t="s">
        <v>792</v>
      </c>
      <c r="G69" s="139"/>
      <c r="H69" s="261">
        <v>2</v>
      </c>
      <c r="I69" s="216"/>
      <c r="J69" s="312">
        <v>299388</v>
      </c>
      <c r="K69" s="385"/>
      <c r="L69" s="260">
        <f>(VLOOKUP($H69,Factors,L$382))*$J69</f>
        <v>149394.61199999999</v>
      </c>
      <c r="M69" s="212"/>
      <c r="N69" s="260">
        <f>(VLOOKUP($H69,Factors,N$382))*$J69</f>
        <v>92720.463599999988</v>
      </c>
      <c r="O69" s="212"/>
      <c r="P69" s="260">
        <f>(VLOOKUP($H69,Factors,P$382))*$J69</f>
        <v>13203.0108</v>
      </c>
      <c r="Q69" s="212"/>
      <c r="R69" s="260">
        <f>(VLOOKUP($H69,Factors,R$382))*$J69</f>
        <v>32992.5576</v>
      </c>
      <c r="S69" s="212"/>
      <c r="T69" s="260">
        <f>(VLOOKUP($H69,Factors,T$382))*$J69</f>
        <v>10029.498000000001</v>
      </c>
      <c r="U69" s="212"/>
      <c r="V69" s="260">
        <f>(VLOOKUP($H69,Factors,V$382))*$J69</f>
        <v>479.02080000000001</v>
      </c>
      <c r="W69" s="212"/>
      <c r="X69" s="260">
        <f>(VLOOKUP($H69,Factors,X$382))*$J69</f>
        <v>568.83720000000005</v>
      </c>
      <c r="Y69" s="212"/>
      <c r="Z69" s="212"/>
      <c r="AC69" s="216" t="s">
        <v>792</v>
      </c>
      <c r="AE69" s="239">
        <f t="shared" si="85"/>
        <v>2</v>
      </c>
      <c r="AG69" s="312">
        <f t="shared" si="86"/>
        <v>299388</v>
      </c>
      <c r="AH69" s="385"/>
      <c r="AI69" s="260">
        <f>(VLOOKUP($AE69,func,AI$382))*$AG69</f>
        <v>180411.20879999996</v>
      </c>
      <c r="AJ69" s="212"/>
      <c r="AK69" s="260">
        <f>(VLOOKUP($AE69,func,AK$382))*$AG69</f>
        <v>117928.93319999998</v>
      </c>
      <c r="AL69" s="212"/>
      <c r="AM69" s="260">
        <f>(VLOOKUP($AE69,func,AM$382))*$AG69</f>
        <v>0</v>
      </c>
      <c r="AN69" s="212"/>
      <c r="AO69" s="260">
        <f>(VLOOKUP($AE69,func,AO$382))*$AG69</f>
        <v>0</v>
      </c>
      <c r="AP69" s="212"/>
      <c r="AQ69" s="260">
        <f>(VLOOKUP($AE69,func,AQ$382))*$AG69</f>
        <v>0</v>
      </c>
      <c r="AR69" s="212"/>
      <c r="AS69" s="260">
        <f>(VLOOKUP($AE69,func,AS$382))*$AG69</f>
        <v>0</v>
      </c>
      <c r="AT69" s="212"/>
      <c r="AU69" s="260">
        <f>(VLOOKUP($AE69,func,AU$382))*$AG69</f>
        <v>0</v>
      </c>
      <c r="AV69" s="212"/>
      <c r="AW69" s="260">
        <f>(VLOOKUP($AE69,func,AW$382))*$AG69</f>
        <v>479.02080000000001</v>
      </c>
      <c r="AX69" s="212"/>
      <c r="AY69" s="260">
        <f>(VLOOKUP($AE69,func,AY$382))*$AG69</f>
        <v>568.83720000000005</v>
      </c>
      <c r="BA69" s="175"/>
      <c r="BB69" s="145"/>
      <c r="BC69" s="145"/>
      <c r="BD69" s="145"/>
    </row>
    <row r="70" spans="1:56" x14ac:dyDescent="0.2">
      <c r="A70" s="146"/>
      <c r="B70" s="146"/>
      <c r="D70" s="488">
        <v>675.4</v>
      </c>
      <c r="F70" s="493" t="s">
        <v>813</v>
      </c>
      <c r="G70" s="139"/>
      <c r="H70" s="261">
        <v>2</v>
      </c>
      <c r="I70" s="216"/>
      <c r="J70" s="312">
        <v>24050</v>
      </c>
      <c r="K70" s="385"/>
      <c r="L70" s="260">
        <f>(VLOOKUP($H70,Factors,L$382))*$J70</f>
        <v>12000.95</v>
      </c>
      <c r="M70" s="212"/>
      <c r="N70" s="260">
        <f>(VLOOKUP($H70,Factors,N$382))*$J70</f>
        <v>7448.2849999999999</v>
      </c>
      <c r="O70" s="212"/>
      <c r="P70" s="260">
        <f>(VLOOKUP($H70,Factors,P$382))*$J70</f>
        <v>1060.605</v>
      </c>
      <c r="Q70" s="212"/>
      <c r="R70" s="260">
        <f>(VLOOKUP($H70,Factors,R$382))*$J70</f>
        <v>2650.31</v>
      </c>
      <c r="S70" s="212"/>
      <c r="T70" s="260">
        <f>(VLOOKUP($H70,Factors,T$382))*$J70</f>
        <v>805.67500000000007</v>
      </c>
      <c r="U70" s="212"/>
      <c r="V70" s="260">
        <f>(VLOOKUP($H70,Factors,V$382))*$J70</f>
        <v>38.480000000000004</v>
      </c>
      <c r="W70" s="212"/>
      <c r="X70" s="260">
        <f>(VLOOKUP($H70,Factors,X$382))*$J70</f>
        <v>45.695</v>
      </c>
      <c r="Y70" s="212"/>
      <c r="Z70" s="212"/>
      <c r="AC70" s="493" t="s">
        <v>813</v>
      </c>
      <c r="AE70" s="239">
        <f t="shared" si="85"/>
        <v>2</v>
      </c>
      <c r="AG70" s="312">
        <f t="shared" si="86"/>
        <v>24050</v>
      </c>
      <c r="AH70" s="385"/>
      <c r="AI70" s="260">
        <f>(VLOOKUP($AE70,func,AI$382))*$AG70</f>
        <v>14492.529999999997</v>
      </c>
      <c r="AJ70" s="212"/>
      <c r="AK70" s="260">
        <f>(VLOOKUP($AE70,func,AK$382))*$AG70</f>
        <v>9473.2950000000001</v>
      </c>
      <c r="AL70" s="212"/>
      <c r="AM70" s="260">
        <f>(VLOOKUP($AE70,func,AM$382))*$AG70</f>
        <v>0</v>
      </c>
      <c r="AN70" s="212"/>
      <c r="AO70" s="260">
        <f>(VLOOKUP($AE70,func,AO$382))*$AG70</f>
        <v>0</v>
      </c>
      <c r="AP70" s="212"/>
      <c r="AQ70" s="260">
        <f>(VLOOKUP($AE70,func,AQ$382))*$AG70</f>
        <v>0</v>
      </c>
      <c r="AR70" s="212"/>
      <c r="AS70" s="260">
        <f>(VLOOKUP($AE70,func,AS$382))*$AG70</f>
        <v>0</v>
      </c>
      <c r="AT70" s="212"/>
      <c r="AU70" s="260">
        <f>(VLOOKUP($AE70,func,AU$382))*$AG70</f>
        <v>0</v>
      </c>
      <c r="AV70" s="212"/>
      <c r="AW70" s="260">
        <f>(VLOOKUP($AE70,func,AW$382))*$AG70</f>
        <v>38.480000000000004</v>
      </c>
      <c r="AX70" s="212"/>
      <c r="AY70" s="260">
        <f>(VLOOKUP($AE70,func,AY$382))*$AG70</f>
        <v>45.695</v>
      </c>
      <c r="BA70" s="175"/>
      <c r="BB70" s="145"/>
      <c r="BC70" s="145"/>
      <c r="BD70" s="145"/>
    </row>
    <row r="71" spans="1:56" x14ac:dyDescent="0.2">
      <c r="A71" s="146"/>
      <c r="B71" s="146"/>
      <c r="D71" s="488">
        <v>675.4</v>
      </c>
      <c r="F71" s="216" t="s">
        <v>816</v>
      </c>
      <c r="G71" s="139"/>
      <c r="H71" s="261">
        <v>2</v>
      </c>
      <c r="I71" s="216"/>
      <c r="J71" s="389">
        <v>212599.43080762404</v>
      </c>
      <c r="K71" s="385"/>
      <c r="L71" s="549">
        <f>(VLOOKUP($H71,Factors,L$382))*$J71</f>
        <v>106087.1159730044</v>
      </c>
      <c r="M71" s="385"/>
      <c r="N71" s="549">
        <f>(VLOOKUP($H71,Factors,N$382))*$J71</f>
        <v>65842.043721121154</v>
      </c>
      <c r="O71" s="385"/>
      <c r="P71" s="549">
        <f>(VLOOKUP($H71,Factors,P$382))*$J71</f>
        <v>9375.6348986162211</v>
      </c>
      <c r="Q71" s="385"/>
      <c r="R71" s="549">
        <f>(VLOOKUP($H71,Factors,R$382))*$J71</f>
        <v>23428.457275000172</v>
      </c>
      <c r="S71" s="385"/>
      <c r="T71" s="549">
        <f>(VLOOKUP($H71,Factors,T$382))*$J71</f>
        <v>7122.0809320554054</v>
      </c>
      <c r="U71" s="385"/>
      <c r="V71" s="549">
        <f>(VLOOKUP($H71,Factors,V$382))*$J71</f>
        <v>340.15908929219847</v>
      </c>
      <c r="W71" s="385"/>
      <c r="X71" s="549">
        <f>(VLOOKUP($H71,Factors,X$382))*$J71</f>
        <v>403.93891853448565</v>
      </c>
      <c r="Y71" s="212"/>
      <c r="Z71" s="212"/>
      <c r="AC71" s="216" t="s">
        <v>816</v>
      </c>
      <c r="AE71" s="239">
        <f t="shared" si="85"/>
        <v>2</v>
      </c>
      <c r="AG71" s="389">
        <f t="shared" si="86"/>
        <v>212599.43080762404</v>
      </c>
      <c r="AH71" s="385"/>
      <c r="AI71" s="549">
        <f>(VLOOKUP($AE71,func,AI$382))*$AG71</f>
        <v>128112.41700467422</v>
      </c>
      <c r="AJ71" s="385"/>
      <c r="AK71" s="549">
        <f>(VLOOKUP($AE71,func,AK$382))*$AG71</f>
        <v>83742.915795123103</v>
      </c>
      <c r="AL71" s="385"/>
      <c r="AM71" s="549">
        <f>(VLOOKUP($AE71,func,AM$382))*$AG71</f>
        <v>0</v>
      </c>
      <c r="AN71" s="385"/>
      <c r="AO71" s="549">
        <f>(VLOOKUP($AE71,func,AO$382))*$AG71</f>
        <v>0</v>
      </c>
      <c r="AP71" s="385"/>
      <c r="AQ71" s="549">
        <f>(VLOOKUP($AE71,func,AQ$382))*$AG71</f>
        <v>0</v>
      </c>
      <c r="AR71" s="385"/>
      <c r="AS71" s="549">
        <f>(VLOOKUP($AE71,func,AS$382))*$AG71</f>
        <v>0</v>
      </c>
      <c r="AT71" s="385"/>
      <c r="AU71" s="549">
        <f>(VLOOKUP($AE71,func,AU$382))*$AG71</f>
        <v>0</v>
      </c>
      <c r="AV71" s="385"/>
      <c r="AW71" s="549">
        <f>(VLOOKUP($AE71,func,AW$382))*$AG71</f>
        <v>340.15908929219847</v>
      </c>
      <c r="AX71" s="385"/>
      <c r="AY71" s="549">
        <f>(VLOOKUP($AE71,func,AY$382))*$AG71</f>
        <v>403.93891853448565</v>
      </c>
      <c r="BA71" s="175"/>
      <c r="BB71" s="145"/>
      <c r="BC71" s="145"/>
      <c r="BD71" s="145"/>
    </row>
    <row r="72" spans="1:56" x14ac:dyDescent="0.2">
      <c r="A72" s="146"/>
      <c r="B72" s="146"/>
      <c r="F72" s="216"/>
      <c r="G72" s="139"/>
      <c r="H72" s="261"/>
      <c r="I72" s="216"/>
      <c r="J72" s="312"/>
      <c r="K72" s="385"/>
      <c r="L72" s="386"/>
      <c r="M72" s="385"/>
      <c r="N72" s="386"/>
      <c r="O72" s="385"/>
      <c r="P72" s="386"/>
      <c r="Q72" s="385"/>
      <c r="R72" s="386"/>
      <c r="S72" s="385"/>
      <c r="T72" s="386"/>
      <c r="U72" s="385"/>
      <c r="V72" s="386"/>
      <c r="W72" s="385"/>
      <c r="X72" s="386"/>
      <c r="Z72" s="175"/>
      <c r="AC72" s="216"/>
      <c r="AE72" s="239"/>
      <c r="AG72" s="312"/>
      <c r="AH72" s="385"/>
      <c r="AI72" s="386"/>
      <c r="AJ72" s="385"/>
      <c r="AK72" s="386"/>
      <c r="AL72" s="385"/>
      <c r="AM72" s="386"/>
      <c r="AN72" s="385"/>
      <c r="AO72" s="386"/>
      <c r="AP72" s="385"/>
      <c r="AQ72" s="386"/>
      <c r="AR72" s="385"/>
      <c r="AS72" s="386"/>
      <c r="AT72" s="385"/>
      <c r="AU72" s="386"/>
      <c r="AV72" s="385"/>
      <c r="AW72" s="386"/>
      <c r="AX72" s="385"/>
      <c r="AY72" s="386"/>
      <c r="BA72" s="175"/>
      <c r="BB72" s="145"/>
      <c r="BC72" s="145"/>
      <c r="BD72" s="145"/>
    </row>
    <row r="73" spans="1:56" x14ac:dyDescent="0.2">
      <c r="A73" s="146"/>
      <c r="B73" s="146"/>
      <c r="F73" s="216" t="s">
        <v>14</v>
      </c>
      <c r="G73" s="139"/>
      <c r="H73" s="261"/>
      <c r="I73" s="216"/>
      <c r="J73" s="389">
        <f>SUM(J67:J72)</f>
        <v>716605.74871773401</v>
      </c>
      <c r="K73" s="216"/>
      <c r="L73" s="389">
        <f>SUM(L67:L72)</f>
        <v>357586.26861014927</v>
      </c>
      <c r="M73" s="216"/>
      <c r="N73" s="389">
        <f>SUM(N67:N72)</f>
        <v>221932.8003778822</v>
      </c>
      <c r="O73" s="216"/>
      <c r="P73" s="389">
        <f>SUM(P67:P72)</f>
        <v>31602.313518452072</v>
      </c>
      <c r="Q73" s="216"/>
      <c r="R73" s="389">
        <f>SUM(R67:R72)</f>
        <v>78969.953508694292</v>
      </c>
      <c r="S73" s="216"/>
      <c r="T73" s="389">
        <f>SUM(T67:T72)</f>
        <v>24006.292582044094</v>
      </c>
      <c r="U73" s="216"/>
      <c r="V73" s="389">
        <f>SUM(V67:V72)</f>
        <v>1146.5691979483745</v>
      </c>
      <c r="W73" s="216"/>
      <c r="X73" s="389">
        <f>SUM(X67:X72)</f>
        <v>1361.5509225636947</v>
      </c>
      <c r="Z73" s="175"/>
      <c r="AC73" s="216" t="s">
        <v>14</v>
      </c>
      <c r="AD73" s="139"/>
      <c r="AE73" s="261"/>
      <c r="AF73" s="216"/>
      <c r="AG73" s="389">
        <f>SUM(AG67:AG72)</f>
        <v>716605.74871773401</v>
      </c>
      <c r="AH73" s="216"/>
      <c r="AI73" s="389">
        <f>SUM(AI67:AI72)</f>
        <v>431826.62417730642</v>
      </c>
      <c r="AJ73" s="216"/>
      <c r="AK73" s="389">
        <f>SUM(AK67:AK72)</f>
        <v>282271.00441991544</v>
      </c>
      <c r="AL73" s="216"/>
      <c r="AM73" s="389">
        <f>SUM(AM67:AM72)</f>
        <v>0</v>
      </c>
      <c r="AN73" s="216"/>
      <c r="AO73" s="389">
        <f>SUM(AO67:AO72)</f>
        <v>0</v>
      </c>
      <c r="AP73" s="216"/>
      <c r="AQ73" s="389">
        <f>SUM(AQ67:AQ72)</f>
        <v>0</v>
      </c>
      <c r="AR73" s="216"/>
      <c r="AS73" s="389">
        <f>SUM(AS67:AS72)</f>
        <v>0</v>
      </c>
      <c r="AT73" s="216"/>
      <c r="AU73" s="389">
        <f>SUM(AU67:AU72)</f>
        <v>0</v>
      </c>
      <c r="AV73" s="216"/>
      <c r="AW73" s="389">
        <f t="shared" ref="AW73" si="87">SUM(AW67:AW72)</f>
        <v>1146.5691979483745</v>
      </c>
      <c r="AX73" s="216"/>
      <c r="AY73" s="389">
        <f t="shared" ref="AY73" si="88">SUM(AY67:AY72)</f>
        <v>1361.5509225636947</v>
      </c>
      <c r="BA73" s="175"/>
      <c r="BB73" s="145"/>
      <c r="BC73" s="145"/>
      <c r="BD73" s="145"/>
    </row>
    <row r="74" spans="1:56" x14ac:dyDescent="0.2">
      <c r="A74" s="146"/>
      <c r="B74" s="146"/>
      <c r="F74" s="216"/>
      <c r="G74" s="139"/>
      <c r="H74" s="261"/>
      <c r="I74" s="216"/>
      <c r="J74" s="312"/>
      <c r="K74" s="216"/>
      <c r="L74" s="312"/>
      <c r="M74" s="216"/>
      <c r="N74" s="312"/>
      <c r="O74" s="216"/>
      <c r="P74" s="312"/>
      <c r="Q74" s="216"/>
      <c r="R74" s="312"/>
      <c r="S74" s="216"/>
      <c r="T74" s="312"/>
      <c r="U74" s="216"/>
      <c r="V74" s="312"/>
      <c r="W74" s="216"/>
      <c r="X74" s="312"/>
      <c r="Z74" s="175"/>
      <c r="AC74" s="216"/>
      <c r="AE74" s="239"/>
      <c r="AG74" s="312"/>
      <c r="AH74" s="216"/>
      <c r="AI74" s="312"/>
      <c r="AJ74" s="216"/>
      <c r="AK74" s="312"/>
      <c r="AL74" s="216"/>
      <c r="AM74" s="312"/>
      <c r="AN74" s="216"/>
      <c r="AO74" s="312"/>
      <c r="AP74" s="216"/>
      <c r="AQ74" s="312"/>
      <c r="AR74" s="216"/>
      <c r="AS74" s="312"/>
      <c r="AT74" s="216"/>
      <c r="AU74" s="312"/>
      <c r="AV74" s="216"/>
      <c r="AW74" s="312"/>
      <c r="AX74" s="216"/>
      <c r="AY74" s="312"/>
      <c r="BA74" s="175"/>
      <c r="BB74" s="145"/>
      <c r="BC74" s="145"/>
      <c r="BD74" s="145"/>
    </row>
    <row r="75" spans="1:56" x14ac:dyDescent="0.2">
      <c r="A75" s="146"/>
      <c r="B75" s="146"/>
      <c r="F75" s="216" t="s">
        <v>127</v>
      </c>
      <c r="G75" s="139"/>
      <c r="H75" s="261"/>
      <c r="I75" s="216"/>
      <c r="J75" s="389">
        <f>J64+J73</f>
        <v>9220320.2894011047</v>
      </c>
      <c r="K75" s="216"/>
      <c r="L75" s="389">
        <f>L64+L73</f>
        <v>4533348.862811151</v>
      </c>
      <c r="M75" s="216"/>
      <c r="N75" s="389">
        <f>N64+N73</f>
        <v>2851717.5748275225</v>
      </c>
      <c r="O75" s="216"/>
      <c r="P75" s="389">
        <f>P64+P73</f>
        <v>424058.95356258866</v>
      </c>
      <c r="Q75" s="216"/>
      <c r="R75" s="389">
        <f>R64+R73</f>
        <v>1044423.8926920017</v>
      </c>
      <c r="S75" s="216"/>
      <c r="T75" s="389">
        <f>T64+T73</f>
        <v>321962.85129493696</v>
      </c>
      <c r="U75" s="216"/>
      <c r="V75" s="389">
        <f>V64+V73</f>
        <v>20203.396463041765</v>
      </c>
      <c r="W75" s="216"/>
      <c r="X75" s="389">
        <f>X64+X73</f>
        <v>24604.757749862092</v>
      </c>
      <c r="Z75" s="175"/>
      <c r="AC75" s="216" t="s">
        <v>127</v>
      </c>
      <c r="AE75" s="239"/>
      <c r="AG75" s="389">
        <f>+AG73+AG64</f>
        <v>9220320.2894011047</v>
      </c>
      <c r="AH75" s="216"/>
      <c r="AI75" s="389">
        <f>+AI73+AI64</f>
        <v>7690731.1807931028</v>
      </c>
      <c r="AJ75" s="216"/>
      <c r="AK75" s="389">
        <f>+AK73+AK64</f>
        <v>1484780.9543950944</v>
      </c>
      <c r="AL75" s="216"/>
      <c r="AM75" s="389">
        <f>+AM73+AM64</f>
        <v>0</v>
      </c>
      <c r="AN75" s="216"/>
      <c r="AO75" s="389">
        <f>+AO73+AO64</f>
        <v>0</v>
      </c>
      <c r="AP75" s="216"/>
      <c r="AQ75" s="389">
        <f>+AQ73+AQ64</f>
        <v>0</v>
      </c>
      <c r="AR75" s="216"/>
      <c r="AS75" s="389">
        <f>+AS73+AS64</f>
        <v>0</v>
      </c>
      <c r="AT75" s="216"/>
      <c r="AU75" s="389">
        <f>+AU73+AU64</f>
        <v>0</v>
      </c>
      <c r="AV75" s="216"/>
      <c r="AW75" s="389">
        <f t="shared" ref="AW75" si="89">+AW73+AW64</f>
        <v>20203.396463041765</v>
      </c>
      <c r="AX75" s="216"/>
      <c r="AY75" s="389">
        <f t="shared" ref="AY75" si="90">+AY73+AY64</f>
        <v>24604.757749862092</v>
      </c>
      <c r="BA75" s="175"/>
      <c r="BB75" s="145"/>
      <c r="BC75" s="145"/>
      <c r="BD75" s="145"/>
    </row>
    <row r="76" spans="1:56" x14ac:dyDescent="0.2">
      <c r="A76" s="146"/>
      <c r="B76" s="146"/>
      <c r="F76" s="216" t="s">
        <v>46</v>
      </c>
      <c r="G76" s="139"/>
      <c r="H76" s="261"/>
      <c r="I76" s="216"/>
      <c r="J76" s="312"/>
      <c r="K76" s="385"/>
      <c r="L76" s="386"/>
      <c r="M76" s="387"/>
      <c r="N76" s="386"/>
      <c r="O76" s="387"/>
      <c r="P76" s="386"/>
      <c r="Q76" s="387"/>
      <c r="R76" s="386"/>
      <c r="S76" s="387"/>
      <c r="T76" s="386"/>
      <c r="U76" s="387"/>
      <c r="V76" s="386"/>
      <c r="W76" s="387"/>
      <c r="X76" s="386"/>
      <c r="Z76" s="175"/>
      <c r="AC76" s="216" t="s">
        <v>46</v>
      </c>
      <c r="AE76" s="239"/>
      <c r="AG76" s="312"/>
      <c r="AH76" s="385"/>
      <c r="AI76" s="386"/>
      <c r="AJ76" s="387"/>
      <c r="AK76" s="386"/>
      <c r="AL76" s="387"/>
      <c r="AM76" s="386"/>
      <c r="AN76" s="387"/>
      <c r="AO76" s="386"/>
      <c r="AP76" s="387"/>
      <c r="AQ76" s="386"/>
      <c r="AR76" s="387"/>
      <c r="AS76" s="386"/>
      <c r="AT76" s="387"/>
      <c r="AU76" s="386"/>
      <c r="AV76" s="386"/>
      <c r="AW76" s="386"/>
      <c r="AX76" s="386"/>
      <c r="AY76" s="386"/>
      <c r="BA76" s="175"/>
      <c r="BB76" s="145"/>
      <c r="BC76" s="145"/>
      <c r="BD76" s="145"/>
    </row>
    <row r="77" spans="1:56" x14ac:dyDescent="0.2">
      <c r="A77" s="146"/>
      <c r="B77" s="146"/>
      <c r="F77" s="216" t="s">
        <v>11</v>
      </c>
      <c r="G77" s="139"/>
      <c r="H77" s="261"/>
      <c r="I77" s="216"/>
      <c r="J77" s="312"/>
      <c r="K77" s="385"/>
      <c r="L77" s="386"/>
      <c r="M77" s="387"/>
      <c r="N77" s="386"/>
      <c r="O77" s="387"/>
      <c r="P77" s="386"/>
      <c r="Q77" s="387"/>
      <c r="R77" s="386"/>
      <c r="S77" s="387"/>
      <c r="T77" s="386"/>
      <c r="U77" s="387"/>
      <c r="V77" s="386"/>
      <c r="W77" s="387"/>
      <c r="X77" s="386"/>
      <c r="Z77" s="175"/>
      <c r="AC77" s="216" t="s">
        <v>11</v>
      </c>
      <c r="AE77" s="239"/>
      <c r="AG77" s="312"/>
      <c r="AH77" s="385"/>
      <c r="AI77" s="386"/>
      <c r="AJ77" s="387"/>
      <c r="AK77" s="386"/>
      <c r="AL77" s="387"/>
      <c r="AM77" s="386"/>
      <c r="AN77" s="387"/>
      <c r="AO77" s="386"/>
      <c r="AP77" s="387"/>
      <c r="AQ77" s="386"/>
      <c r="AR77" s="387"/>
      <c r="AS77" s="386"/>
      <c r="AT77" s="387"/>
      <c r="AU77" s="386"/>
      <c r="AV77" s="386"/>
      <c r="AW77" s="386"/>
      <c r="AX77" s="386"/>
      <c r="AY77" s="386"/>
      <c r="BA77" s="175"/>
      <c r="BB77" s="145"/>
      <c r="BC77" s="145"/>
      <c r="BD77" s="145"/>
    </row>
    <row r="78" spans="1:56" x14ac:dyDescent="0.2">
      <c r="A78" s="146"/>
      <c r="B78" s="146"/>
      <c r="F78" s="529"/>
      <c r="G78" s="139"/>
      <c r="H78" s="261"/>
      <c r="I78" s="216"/>
      <c r="J78" s="312"/>
      <c r="K78" s="386"/>
      <c r="L78" s="386"/>
      <c r="M78" s="386"/>
      <c r="N78" s="386"/>
      <c r="O78" s="386"/>
      <c r="P78" s="386"/>
      <c r="Q78" s="386"/>
      <c r="R78" s="386"/>
      <c r="S78" s="386"/>
      <c r="T78" s="386"/>
      <c r="U78" s="386"/>
      <c r="V78" s="386"/>
      <c r="W78" s="386"/>
      <c r="X78" s="386"/>
      <c r="Z78" s="175"/>
      <c r="AG78" s="312"/>
      <c r="AH78" s="386"/>
      <c r="AI78" s="386"/>
      <c r="AJ78" s="386"/>
      <c r="AK78" s="386"/>
      <c r="AL78" s="386"/>
      <c r="AM78" s="386"/>
      <c r="AN78" s="386"/>
      <c r="AO78" s="386"/>
      <c r="AP78" s="386"/>
      <c r="AQ78" s="386"/>
      <c r="AR78" s="386"/>
      <c r="AS78" s="386"/>
      <c r="AT78" s="386"/>
      <c r="AU78" s="386"/>
      <c r="AV78" s="386"/>
      <c r="AW78" s="386"/>
      <c r="AX78" s="386"/>
      <c r="AY78" s="386"/>
      <c r="BA78" s="175"/>
      <c r="BB78" s="145"/>
      <c r="BC78" s="145"/>
      <c r="BD78" s="145"/>
    </row>
    <row r="79" spans="1:56" x14ac:dyDescent="0.2">
      <c r="A79" s="146"/>
      <c r="B79" s="146"/>
      <c r="D79" s="488">
        <v>601.5</v>
      </c>
      <c r="F79" s="216" t="s">
        <v>475</v>
      </c>
      <c r="G79" s="139"/>
      <c r="H79" s="261">
        <v>11</v>
      </c>
      <c r="I79" s="216"/>
      <c r="J79" s="312">
        <v>45012.726538927935</v>
      </c>
      <c r="K79" s="385"/>
      <c r="L79" s="260">
        <f t="shared" ref="L79:L94" si="91">(VLOOKUP($H79,Factors,L$382))*$J79</f>
        <v>33881.079265851055</v>
      </c>
      <c r="M79" s="212"/>
      <c r="N79" s="260">
        <f t="shared" ref="N79:N94" si="92">(VLOOKUP($H79,Factors,N$382))*$J79</f>
        <v>7305.5655172680035</v>
      </c>
      <c r="O79" s="212"/>
      <c r="P79" s="260">
        <f t="shared" ref="P79:P94" si="93">(VLOOKUP($H79,Factors,P$382))*$J79</f>
        <v>486.13744662042171</v>
      </c>
      <c r="Q79" s="212"/>
      <c r="R79" s="260">
        <f t="shared" ref="R79:R94" si="94">(VLOOKUP($H79,Factors,R$382))*$J79</f>
        <v>1665.4708819403336</v>
      </c>
      <c r="S79" s="212"/>
      <c r="T79" s="260">
        <f t="shared" ref="T79:T94" si="95">(VLOOKUP($H79,Factors,T$382))*$J79</f>
        <v>144.04072492456939</v>
      </c>
      <c r="U79" s="212"/>
      <c r="V79" s="260">
        <f t="shared" ref="V79:V94" si="96">(VLOOKUP($H79,Factors,V$382))*$J79</f>
        <v>918.25962139412991</v>
      </c>
      <c r="W79" s="212"/>
      <c r="X79" s="260">
        <f t="shared" ref="X79:X94" si="97">(VLOOKUP($H79,Factors,X$382))*$J79</f>
        <v>612.17308092941983</v>
      </c>
      <c r="Y79" s="212"/>
      <c r="Z79" s="212"/>
      <c r="AC79" s="216" t="s">
        <v>475</v>
      </c>
      <c r="AE79" s="239">
        <f>+H79</f>
        <v>11</v>
      </c>
      <c r="AG79" s="312">
        <f>+J79</f>
        <v>45012.726538927935</v>
      </c>
      <c r="AH79" s="385"/>
      <c r="AI79" s="260">
        <f t="shared" ref="AI79:AI94" si="98">(VLOOKUP($AE79,func,AI$382))*$AG79</f>
        <v>3574.0104871908779</v>
      </c>
      <c r="AJ79" s="212"/>
      <c r="AK79" s="260">
        <f t="shared" ref="AK79:AK94" si="99">(VLOOKUP($AE79,func,AK$382))*$AG79</f>
        <v>679.69217073781181</v>
      </c>
      <c r="AL79" s="212"/>
      <c r="AM79" s="260">
        <f t="shared" ref="AM79:AM94" si="100">(VLOOKUP($AE79,func,AM$382))*$AG79</f>
        <v>3812.5779378471962</v>
      </c>
      <c r="AN79" s="212"/>
      <c r="AO79" s="260">
        <f t="shared" ref="AO79:AO94" si="101">(VLOOKUP($AE79,func,AO$382))*$AG79</f>
        <v>35398.008150212925</v>
      </c>
      <c r="AP79" s="212"/>
      <c r="AQ79" s="260">
        <f t="shared" ref="AQ79:AQ94" si="102">(VLOOKUP($AE79,func,AQ$382))*$AG79</f>
        <v>18.005090615571174</v>
      </c>
      <c r="AR79" s="212"/>
      <c r="AS79" s="260">
        <f t="shared" ref="AS79:AS94" si="103">(VLOOKUP($AE79,func,AS$382))*$AG79</f>
        <v>0</v>
      </c>
      <c r="AT79" s="212"/>
      <c r="AU79" s="260">
        <f t="shared" ref="AU79:AU94" si="104">(VLOOKUP($AE79,func,AU$382))*$AG79</f>
        <v>0</v>
      </c>
      <c r="AV79" s="262"/>
      <c r="AW79" s="262">
        <f t="shared" ref="AW79:AW94" si="105">(VLOOKUP($AE79,func,AW$382))*$AG79</f>
        <v>918.25962139412991</v>
      </c>
      <c r="AX79" s="262"/>
      <c r="AY79" s="262">
        <f t="shared" ref="AY79:AY94" si="106">(VLOOKUP($AE79,func,AY$382))*$AG79</f>
        <v>612.17308092941983</v>
      </c>
      <c r="BA79" s="175"/>
      <c r="BB79" s="145"/>
      <c r="BC79" s="145"/>
      <c r="BD79" s="145"/>
    </row>
    <row r="80" spans="1:56" x14ac:dyDescent="0.2">
      <c r="A80" s="146"/>
      <c r="B80" s="146"/>
      <c r="D80" s="488">
        <v>601.5</v>
      </c>
      <c r="F80" s="216" t="s">
        <v>741</v>
      </c>
      <c r="G80" s="139"/>
      <c r="H80" s="261">
        <v>11</v>
      </c>
      <c r="I80" s="216"/>
      <c r="J80" s="312">
        <v>1128138.0348497713</v>
      </c>
      <c r="K80" s="385"/>
      <c r="L80" s="260">
        <f t="shared" si="91"/>
        <v>849149.49883142288</v>
      </c>
      <c r="M80" s="212"/>
      <c r="N80" s="260">
        <f t="shared" si="92"/>
        <v>183096.80305611787</v>
      </c>
      <c r="O80" s="212"/>
      <c r="P80" s="260">
        <f t="shared" si="93"/>
        <v>12183.890776377531</v>
      </c>
      <c r="Q80" s="212"/>
      <c r="R80" s="260">
        <f t="shared" si="94"/>
        <v>41741.107289441534</v>
      </c>
      <c r="S80" s="212"/>
      <c r="T80" s="260">
        <f t="shared" si="95"/>
        <v>3610.0417115192681</v>
      </c>
      <c r="U80" s="212"/>
      <c r="V80" s="260">
        <f t="shared" si="96"/>
        <v>23014.015910935337</v>
      </c>
      <c r="W80" s="212"/>
      <c r="X80" s="260">
        <f t="shared" si="97"/>
        <v>15342.67727395689</v>
      </c>
      <c r="Y80" s="212"/>
      <c r="Z80" s="212"/>
      <c r="AC80" s="216" t="s">
        <v>741</v>
      </c>
      <c r="AE80" s="239">
        <f t="shared" ref="AE80:AE94" si="107">+H80</f>
        <v>11</v>
      </c>
      <c r="AG80" s="312">
        <f t="shared" ref="AG80:AG94" si="108">+J80</f>
        <v>1128138.0348497713</v>
      </c>
      <c r="AH80" s="385"/>
      <c r="AI80" s="260">
        <f t="shared" si="98"/>
        <v>89574.159967071842</v>
      </c>
      <c r="AJ80" s="212"/>
      <c r="AK80" s="260">
        <f t="shared" si="99"/>
        <v>17034.884326231546</v>
      </c>
      <c r="AL80" s="212"/>
      <c r="AM80" s="260">
        <f t="shared" si="100"/>
        <v>95553.291551775619</v>
      </c>
      <c r="AN80" s="212"/>
      <c r="AO80" s="260">
        <f t="shared" si="101"/>
        <v>887167.75060586014</v>
      </c>
      <c r="AP80" s="212"/>
      <c r="AQ80" s="260">
        <f t="shared" si="102"/>
        <v>451.25521393990851</v>
      </c>
      <c r="AR80" s="212"/>
      <c r="AS80" s="260">
        <f t="shared" si="103"/>
        <v>0</v>
      </c>
      <c r="AT80" s="212"/>
      <c r="AU80" s="260">
        <f t="shared" si="104"/>
        <v>0</v>
      </c>
      <c r="AV80" s="262"/>
      <c r="AW80" s="262">
        <f t="shared" si="105"/>
        <v>23014.015910935337</v>
      </c>
      <c r="AX80" s="262"/>
      <c r="AY80" s="262">
        <f t="shared" si="106"/>
        <v>15342.67727395689</v>
      </c>
      <c r="BA80" s="175"/>
      <c r="BB80" s="145"/>
      <c r="BC80" s="145"/>
      <c r="BD80" s="145"/>
    </row>
    <row r="81" spans="1:56" x14ac:dyDescent="0.2">
      <c r="A81" s="146"/>
      <c r="B81" s="146"/>
      <c r="D81" s="488">
        <v>615.5</v>
      </c>
      <c r="F81" s="216" t="s">
        <v>471</v>
      </c>
      <c r="G81" s="139"/>
      <c r="H81" s="261">
        <v>11</v>
      </c>
      <c r="I81" s="216"/>
      <c r="J81" s="312">
        <v>162.52875201709585</v>
      </c>
      <c r="K81" s="385"/>
      <c r="L81" s="260">
        <f t="shared" si="91"/>
        <v>122.33539164326805</v>
      </c>
      <c r="M81" s="212"/>
      <c r="N81" s="260">
        <f t="shared" si="92"/>
        <v>26.378416452374658</v>
      </c>
      <c r="O81" s="212"/>
      <c r="P81" s="260">
        <f t="shared" si="93"/>
        <v>1.7553105217846354</v>
      </c>
      <c r="Q81" s="212"/>
      <c r="R81" s="260">
        <f t="shared" si="94"/>
        <v>6.0135638246325467</v>
      </c>
      <c r="S81" s="212"/>
      <c r="T81" s="260">
        <f t="shared" si="95"/>
        <v>0.52009200645470677</v>
      </c>
      <c r="U81" s="212"/>
      <c r="V81" s="260">
        <f t="shared" si="96"/>
        <v>3.3155865411487557</v>
      </c>
      <c r="W81" s="212"/>
      <c r="X81" s="260">
        <f t="shared" si="97"/>
        <v>2.2103910274325034</v>
      </c>
      <c r="Y81" s="212"/>
      <c r="Z81" s="212"/>
      <c r="AC81" s="216" t="s">
        <v>471</v>
      </c>
      <c r="AE81" s="239">
        <f t="shared" si="107"/>
        <v>11</v>
      </c>
      <c r="AG81" s="312">
        <f t="shared" si="108"/>
        <v>162.52875201709585</v>
      </c>
      <c r="AH81" s="385"/>
      <c r="AI81" s="260">
        <f t="shared" si="98"/>
        <v>12.90478291015741</v>
      </c>
      <c r="AJ81" s="212"/>
      <c r="AK81" s="260">
        <f t="shared" si="99"/>
        <v>2.4541841554581474</v>
      </c>
      <c r="AL81" s="212"/>
      <c r="AM81" s="260">
        <f t="shared" si="100"/>
        <v>13.766185295848018</v>
      </c>
      <c r="AN81" s="212"/>
      <c r="AO81" s="260">
        <f t="shared" si="101"/>
        <v>127.81261058624418</v>
      </c>
      <c r="AP81" s="212"/>
      <c r="AQ81" s="260">
        <f t="shared" si="102"/>
        <v>6.5011500806838346E-2</v>
      </c>
      <c r="AR81" s="212"/>
      <c r="AS81" s="260">
        <f t="shared" si="103"/>
        <v>0</v>
      </c>
      <c r="AT81" s="212"/>
      <c r="AU81" s="260">
        <f t="shared" si="104"/>
        <v>0</v>
      </c>
      <c r="AV81" s="262"/>
      <c r="AW81" s="262">
        <f t="shared" si="105"/>
        <v>3.3155865411487557</v>
      </c>
      <c r="AX81" s="262"/>
      <c r="AY81" s="262">
        <f t="shared" si="106"/>
        <v>2.2103910274325034</v>
      </c>
      <c r="BA81" s="175"/>
      <c r="BB81" s="145"/>
      <c r="BC81" s="145"/>
      <c r="BD81" s="145"/>
    </row>
    <row r="82" spans="1:56" x14ac:dyDescent="0.2">
      <c r="A82" s="146"/>
      <c r="B82" s="146"/>
      <c r="D82" s="488">
        <v>601.5</v>
      </c>
      <c r="F82" s="216" t="s">
        <v>743</v>
      </c>
      <c r="G82" s="139"/>
      <c r="H82" s="261">
        <v>7</v>
      </c>
      <c r="I82" s="216"/>
      <c r="J82" s="312">
        <v>183297.49990657729</v>
      </c>
      <c r="K82" s="385"/>
      <c r="L82" s="260">
        <f t="shared" si="91"/>
        <v>84775.093706791988</v>
      </c>
      <c r="M82" s="212"/>
      <c r="N82" s="260">
        <f t="shared" si="92"/>
        <v>52038.160223477287</v>
      </c>
      <c r="O82" s="212"/>
      <c r="P82" s="260">
        <f t="shared" si="93"/>
        <v>6763.677746552702</v>
      </c>
      <c r="Q82" s="212"/>
      <c r="R82" s="260">
        <f t="shared" si="94"/>
        <v>16313.477491685378</v>
      </c>
      <c r="S82" s="212"/>
      <c r="T82" s="260">
        <f t="shared" si="95"/>
        <v>1154.7742494114368</v>
      </c>
      <c r="U82" s="212"/>
      <c r="V82" s="260">
        <f t="shared" si="96"/>
        <v>10008.043494899119</v>
      </c>
      <c r="W82" s="212"/>
      <c r="X82" s="260">
        <f t="shared" si="97"/>
        <v>12244.272993759363</v>
      </c>
      <c r="Y82" s="212"/>
      <c r="Z82" s="212"/>
      <c r="AC82" s="216" t="s">
        <v>743</v>
      </c>
      <c r="AE82" s="239">
        <f t="shared" si="107"/>
        <v>7</v>
      </c>
      <c r="AG82" s="312">
        <f t="shared" si="108"/>
        <v>183297.49990657729</v>
      </c>
      <c r="AH82" s="385"/>
      <c r="AI82" s="260">
        <f t="shared" si="98"/>
        <v>71284.397713667902</v>
      </c>
      <c r="AJ82" s="212"/>
      <c r="AK82" s="260">
        <f t="shared" si="99"/>
        <v>13582.344743077378</v>
      </c>
      <c r="AL82" s="212"/>
      <c r="AM82" s="260">
        <f t="shared" si="100"/>
        <v>76196.770711164179</v>
      </c>
      <c r="AN82" s="212"/>
      <c r="AO82" s="260">
        <f t="shared" si="101"/>
        <v>0</v>
      </c>
      <c r="AP82" s="212"/>
      <c r="AQ82" s="260">
        <f t="shared" si="102"/>
        <v>0</v>
      </c>
      <c r="AR82" s="212"/>
      <c r="AS82" s="260">
        <f t="shared" si="103"/>
        <v>0</v>
      </c>
      <c r="AT82" s="212"/>
      <c r="AU82" s="260">
        <f t="shared" si="104"/>
        <v>0</v>
      </c>
      <c r="AV82" s="262"/>
      <c r="AW82" s="262">
        <f t="shared" si="105"/>
        <v>10008.043494899119</v>
      </c>
      <c r="AX82" s="262"/>
      <c r="AY82" s="262">
        <f t="shared" si="106"/>
        <v>12244.272993759363</v>
      </c>
      <c r="BA82" s="175"/>
      <c r="BB82" s="145"/>
      <c r="BC82" s="145"/>
      <c r="BD82" s="145"/>
    </row>
    <row r="83" spans="1:56" x14ac:dyDescent="0.2">
      <c r="A83" s="146"/>
      <c r="B83" s="146"/>
      <c r="D83" s="488">
        <v>601.5</v>
      </c>
      <c r="F83" s="216" t="s">
        <v>744</v>
      </c>
      <c r="G83" s="139"/>
      <c r="H83" s="261">
        <v>9</v>
      </c>
      <c r="I83" s="216"/>
      <c r="J83" s="312">
        <v>715412.62610524346</v>
      </c>
      <c r="K83" s="385"/>
      <c r="L83" s="260">
        <f t="shared" si="91"/>
        <v>591646.24178903631</v>
      </c>
      <c r="M83" s="212"/>
      <c r="N83" s="260">
        <f t="shared" si="92"/>
        <v>93862.136545007947</v>
      </c>
      <c r="O83" s="212"/>
      <c r="P83" s="260">
        <f t="shared" si="93"/>
        <v>2933.1917670314983</v>
      </c>
      <c r="Q83" s="212"/>
      <c r="R83" s="260">
        <f t="shared" si="94"/>
        <v>16955.279238694267</v>
      </c>
      <c r="S83" s="212"/>
      <c r="T83" s="260">
        <f t="shared" si="95"/>
        <v>1716.9903026525842</v>
      </c>
      <c r="U83" s="212"/>
      <c r="V83" s="260">
        <f t="shared" si="96"/>
        <v>8298.7864628208226</v>
      </c>
      <c r="W83" s="212"/>
      <c r="X83" s="260">
        <f t="shared" si="97"/>
        <v>0</v>
      </c>
      <c r="Y83" s="212"/>
      <c r="Z83" s="212"/>
      <c r="AC83" s="216" t="s">
        <v>744</v>
      </c>
      <c r="AE83" s="239">
        <f t="shared" si="107"/>
        <v>9</v>
      </c>
      <c r="AG83" s="312">
        <f t="shared" si="108"/>
        <v>715412.62610524346</v>
      </c>
      <c r="AH83" s="385"/>
      <c r="AI83" s="260">
        <f t="shared" si="98"/>
        <v>0</v>
      </c>
      <c r="AJ83" s="212"/>
      <c r="AK83" s="260">
        <f t="shared" si="99"/>
        <v>0</v>
      </c>
      <c r="AL83" s="212"/>
      <c r="AM83" s="260">
        <f t="shared" si="100"/>
        <v>0</v>
      </c>
      <c r="AN83" s="212"/>
      <c r="AO83" s="260">
        <f t="shared" si="101"/>
        <v>707113.83964242262</v>
      </c>
      <c r="AP83" s="212"/>
      <c r="AQ83" s="260">
        <f t="shared" si="102"/>
        <v>0</v>
      </c>
      <c r="AR83" s="212"/>
      <c r="AS83" s="260">
        <f t="shared" si="103"/>
        <v>0</v>
      </c>
      <c r="AT83" s="212"/>
      <c r="AU83" s="260">
        <f t="shared" si="104"/>
        <v>0</v>
      </c>
      <c r="AV83" s="262"/>
      <c r="AW83" s="262">
        <f t="shared" si="105"/>
        <v>8298.7864628208226</v>
      </c>
      <c r="AX83" s="262"/>
      <c r="AY83" s="262">
        <f t="shared" si="106"/>
        <v>0</v>
      </c>
      <c r="BA83" s="175"/>
      <c r="BB83" s="145"/>
      <c r="BC83" s="145"/>
      <c r="BD83" s="145"/>
    </row>
    <row r="84" spans="1:56" x14ac:dyDescent="0.2">
      <c r="A84" s="146"/>
      <c r="B84" s="146"/>
      <c r="D84" s="488">
        <v>601.5</v>
      </c>
      <c r="F84" s="216" t="s">
        <v>745</v>
      </c>
      <c r="G84" s="139"/>
      <c r="H84" s="261">
        <v>10</v>
      </c>
      <c r="I84" s="216"/>
      <c r="J84" s="312">
        <v>413.78409166763578</v>
      </c>
      <c r="K84" s="385"/>
      <c r="L84" s="260">
        <f t="shared" si="91"/>
        <v>340.95809153413188</v>
      </c>
      <c r="M84" s="212"/>
      <c r="N84" s="260">
        <f t="shared" si="92"/>
        <v>46.840359176776367</v>
      </c>
      <c r="O84" s="212"/>
      <c r="P84" s="260">
        <f t="shared" si="93"/>
        <v>0.49654091000116291</v>
      </c>
      <c r="Q84" s="212"/>
      <c r="R84" s="260">
        <f t="shared" si="94"/>
        <v>5.7929772833469011</v>
      </c>
      <c r="S84" s="212"/>
      <c r="T84" s="260">
        <f t="shared" si="95"/>
        <v>0.24827045500058145</v>
      </c>
      <c r="U84" s="212"/>
      <c r="V84" s="260">
        <f t="shared" si="96"/>
        <v>19.447852308378881</v>
      </c>
      <c r="W84" s="212"/>
      <c r="X84" s="260">
        <f t="shared" si="97"/>
        <v>0</v>
      </c>
      <c r="Y84" s="212"/>
      <c r="Z84" s="212"/>
      <c r="AC84" s="216" t="s">
        <v>745</v>
      </c>
      <c r="AE84" s="239">
        <f t="shared" si="107"/>
        <v>10</v>
      </c>
      <c r="AG84" s="312">
        <f t="shared" si="108"/>
        <v>413.78409166763578</v>
      </c>
      <c r="AH84" s="385"/>
      <c r="AI84" s="260">
        <f t="shared" si="98"/>
        <v>0</v>
      </c>
      <c r="AJ84" s="212"/>
      <c r="AK84" s="260">
        <f t="shared" si="99"/>
        <v>0</v>
      </c>
      <c r="AL84" s="212"/>
      <c r="AM84" s="260">
        <f t="shared" si="100"/>
        <v>0</v>
      </c>
      <c r="AN84" s="212"/>
      <c r="AO84" s="260">
        <f t="shared" si="101"/>
        <v>0</v>
      </c>
      <c r="AP84" s="212"/>
      <c r="AQ84" s="260">
        <f t="shared" si="102"/>
        <v>394.33623935925687</v>
      </c>
      <c r="AR84" s="212"/>
      <c r="AS84" s="260">
        <f t="shared" si="103"/>
        <v>0</v>
      </c>
      <c r="AT84" s="212"/>
      <c r="AU84" s="260">
        <f t="shared" si="104"/>
        <v>0</v>
      </c>
      <c r="AV84" s="262"/>
      <c r="AW84" s="262">
        <f t="shared" si="105"/>
        <v>19.447852308378881</v>
      </c>
      <c r="AX84" s="262"/>
      <c r="AY84" s="262">
        <f t="shared" si="106"/>
        <v>0</v>
      </c>
      <c r="BA84" s="175"/>
      <c r="BB84" s="145"/>
      <c r="BC84" s="145"/>
      <c r="BD84" s="145"/>
    </row>
    <row r="85" spans="1:56" x14ac:dyDescent="0.2">
      <c r="A85" s="146"/>
      <c r="B85" s="146"/>
      <c r="D85" s="488">
        <v>620.5</v>
      </c>
      <c r="F85" s="216" t="s">
        <v>792</v>
      </c>
      <c r="G85" s="139"/>
      <c r="H85" s="261">
        <v>11</v>
      </c>
      <c r="I85" s="216"/>
      <c r="J85" s="312">
        <v>80867.880446401483</v>
      </c>
      <c r="K85" s="385"/>
      <c r="L85" s="260">
        <f t="shared" si="91"/>
        <v>60869.253612006396</v>
      </c>
      <c r="M85" s="212"/>
      <c r="N85" s="260">
        <f t="shared" si="92"/>
        <v>13124.856996450961</v>
      </c>
      <c r="O85" s="212"/>
      <c r="P85" s="260">
        <f t="shared" si="93"/>
        <v>873.37310882113604</v>
      </c>
      <c r="Q85" s="212"/>
      <c r="R85" s="260">
        <f t="shared" si="94"/>
        <v>2992.1115765168547</v>
      </c>
      <c r="S85" s="212"/>
      <c r="T85" s="260">
        <f t="shared" si="95"/>
        <v>258.77721742848473</v>
      </c>
      <c r="U85" s="212"/>
      <c r="V85" s="260">
        <f t="shared" si="96"/>
        <v>1649.7047611065905</v>
      </c>
      <c r="W85" s="212"/>
      <c r="X85" s="260">
        <f t="shared" si="97"/>
        <v>1099.8031740710601</v>
      </c>
      <c r="Y85" s="212"/>
      <c r="Z85" s="212"/>
      <c r="AC85" s="216" t="s">
        <v>792</v>
      </c>
      <c r="AE85" s="239">
        <f t="shared" si="107"/>
        <v>11</v>
      </c>
      <c r="AG85" s="312">
        <f t="shared" si="108"/>
        <v>80867.880446401483</v>
      </c>
      <c r="AH85" s="385"/>
      <c r="AI85" s="260">
        <f t="shared" si="98"/>
        <v>6420.909707444278</v>
      </c>
      <c r="AJ85" s="212"/>
      <c r="AK85" s="260">
        <f t="shared" si="99"/>
        <v>1221.1049947406625</v>
      </c>
      <c r="AL85" s="212"/>
      <c r="AM85" s="260">
        <f t="shared" si="100"/>
        <v>6849.5094738102052</v>
      </c>
      <c r="AN85" s="212"/>
      <c r="AO85" s="260">
        <f t="shared" si="101"/>
        <v>63594.501183050124</v>
      </c>
      <c r="AP85" s="212"/>
      <c r="AQ85" s="260">
        <f t="shared" si="102"/>
        <v>32.347152178560592</v>
      </c>
      <c r="AR85" s="212"/>
      <c r="AS85" s="260">
        <f t="shared" si="103"/>
        <v>0</v>
      </c>
      <c r="AT85" s="212"/>
      <c r="AU85" s="260">
        <f t="shared" si="104"/>
        <v>0</v>
      </c>
      <c r="AV85" s="262"/>
      <c r="AW85" s="262">
        <f t="shared" si="105"/>
        <v>1649.7047611065905</v>
      </c>
      <c r="AX85" s="262"/>
      <c r="AY85" s="262">
        <f t="shared" si="106"/>
        <v>1099.8031740710601</v>
      </c>
      <c r="BA85" s="175"/>
      <c r="BB85" s="145"/>
      <c r="BC85" s="145"/>
      <c r="BD85" s="145"/>
    </row>
    <row r="86" spans="1:56" x14ac:dyDescent="0.2">
      <c r="A86" s="146"/>
      <c r="B86" s="146"/>
      <c r="D86" s="488">
        <v>636.5</v>
      </c>
      <c r="F86" s="216" t="s">
        <v>545</v>
      </c>
      <c r="G86" s="139"/>
      <c r="H86" s="261">
        <v>11</v>
      </c>
      <c r="I86" s="216"/>
      <c r="J86" s="312">
        <v>104733.22682568204</v>
      </c>
      <c r="K86" s="385"/>
      <c r="L86" s="260">
        <f t="shared" si="91"/>
        <v>78832.699831690872</v>
      </c>
      <c r="M86" s="212"/>
      <c r="N86" s="260">
        <f t="shared" si="92"/>
        <v>16998.202713808194</v>
      </c>
      <c r="O86" s="212"/>
      <c r="P86" s="260">
        <f t="shared" si="93"/>
        <v>1131.1188497173662</v>
      </c>
      <c r="Q86" s="212"/>
      <c r="R86" s="260">
        <f t="shared" si="94"/>
        <v>3875.129392550235</v>
      </c>
      <c r="S86" s="212"/>
      <c r="T86" s="260">
        <f t="shared" si="95"/>
        <v>335.14632584218253</v>
      </c>
      <c r="U86" s="212"/>
      <c r="V86" s="260">
        <f t="shared" si="96"/>
        <v>2136.5578272439138</v>
      </c>
      <c r="W86" s="212"/>
      <c r="X86" s="260">
        <f t="shared" si="97"/>
        <v>1424.3718848292756</v>
      </c>
      <c r="Y86" s="212"/>
      <c r="Z86" s="212"/>
      <c r="AC86" s="216" t="s">
        <v>545</v>
      </c>
      <c r="AE86" s="239">
        <f t="shared" si="107"/>
        <v>11</v>
      </c>
      <c r="AG86" s="312">
        <f t="shared" si="108"/>
        <v>104733.22682568204</v>
      </c>
      <c r="AH86" s="385"/>
      <c r="AI86" s="260">
        <f t="shared" si="98"/>
        <v>8315.818209959154</v>
      </c>
      <c r="AJ86" s="212"/>
      <c r="AK86" s="260">
        <f t="shared" si="99"/>
        <v>1581.4717250677988</v>
      </c>
      <c r="AL86" s="212"/>
      <c r="AM86" s="260">
        <f t="shared" si="100"/>
        <v>8870.9043121352679</v>
      </c>
      <c r="AN86" s="212"/>
      <c r="AO86" s="260">
        <f t="shared" si="101"/>
        <v>82362.209575716348</v>
      </c>
      <c r="AP86" s="212"/>
      <c r="AQ86" s="260">
        <f t="shared" si="102"/>
        <v>41.893290730272817</v>
      </c>
      <c r="AR86" s="212"/>
      <c r="AS86" s="260">
        <f t="shared" si="103"/>
        <v>0</v>
      </c>
      <c r="AT86" s="212"/>
      <c r="AU86" s="260">
        <f t="shared" si="104"/>
        <v>0</v>
      </c>
      <c r="AV86" s="262"/>
      <c r="AW86" s="262">
        <f t="shared" si="105"/>
        <v>2136.5578272439138</v>
      </c>
      <c r="AX86" s="262"/>
      <c r="AY86" s="262">
        <f t="shared" si="106"/>
        <v>1424.3718848292756</v>
      </c>
      <c r="BA86" s="175"/>
      <c r="BB86" s="145"/>
      <c r="BC86" s="145"/>
      <c r="BD86" s="145"/>
    </row>
    <row r="87" spans="1:56" x14ac:dyDescent="0.2">
      <c r="A87" s="512"/>
      <c r="B87" s="512"/>
      <c r="D87" s="488">
        <v>650.5</v>
      </c>
      <c r="F87" s="216" t="s">
        <v>802</v>
      </c>
      <c r="G87" s="139"/>
      <c r="H87" s="261">
        <v>11</v>
      </c>
      <c r="I87" s="216"/>
      <c r="J87" s="312">
        <v>3050.9985562725892</v>
      </c>
      <c r="K87" s="385"/>
      <c r="L87" s="260">
        <f t="shared" si="91"/>
        <v>2296.4866133063779</v>
      </c>
      <c r="M87" s="212"/>
      <c r="N87" s="260">
        <f t="shared" si="92"/>
        <v>495.17706568304123</v>
      </c>
      <c r="O87" s="212"/>
      <c r="P87" s="260">
        <f t="shared" si="93"/>
        <v>32.950784407743967</v>
      </c>
      <c r="Q87" s="212"/>
      <c r="R87" s="260">
        <f t="shared" si="94"/>
        <v>112.8869465820858</v>
      </c>
      <c r="S87" s="212"/>
      <c r="T87" s="260">
        <f t="shared" si="95"/>
        <v>9.7631953800722862</v>
      </c>
      <c r="U87" s="212"/>
      <c r="V87" s="260">
        <f t="shared" si="96"/>
        <v>62.240370547960822</v>
      </c>
      <c r="W87" s="212"/>
      <c r="X87" s="260">
        <f t="shared" si="97"/>
        <v>41.49358036530721</v>
      </c>
      <c r="Y87" s="212"/>
      <c r="Z87" s="212"/>
      <c r="AC87" s="216" t="s">
        <v>802</v>
      </c>
      <c r="AE87" s="239">
        <f t="shared" si="107"/>
        <v>11</v>
      </c>
      <c r="AG87" s="312">
        <f t="shared" si="108"/>
        <v>3050.9985562725892</v>
      </c>
      <c r="AH87" s="385"/>
      <c r="AI87" s="260">
        <f t="shared" si="98"/>
        <v>242.24928536804359</v>
      </c>
      <c r="AJ87" s="212"/>
      <c r="AK87" s="260">
        <f t="shared" si="99"/>
        <v>46.0700781997161</v>
      </c>
      <c r="AL87" s="212"/>
      <c r="AM87" s="260">
        <f t="shared" si="100"/>
        <v>258.4195777162883</v>
      </c>
      <c r="AN87" s="212"/>
      <c r="AO87" s="260">
        <f t="shared" si="101"/>
        <v>2399.305264652764</v>
      </c>
      <c r="AP87" s="212"/>
      <c r="AQ87" s="260">
        <f t="shared" si="102"/>
        <v>1.2203994225090358</v>
      </c>
      <c r="AR87" s="212"/>
      <c r="AS87" s="260">
        <f t="shared" si="103"/>
        <v>0</v>
      </c>
      <c r="AT87" s="212"/>
      <c r="AU87" s="260">
        <f t="shared" si="104"/>
        <v>0</v>
      </c>
      <c r="AV87" s="262"/>
      <c r="AW87" s="262">
        <f t="shared" si="105"/>
        <v>62.240370547960822</v>
      </c>
      <c r="AX87" s="262"/>
      <c r="AY87" s="262">
        <f t="shared" si="106"/>
        <v>41.49358036530721</v>
      </c>
      <c r="BA87" s="175"/>
      <c r="BB87" s="145"/>
      <c r="BC87" s="145"/>
      <c r="BD87" s="145"/>
    </row>
    <row r="88" spans="1:56" x14ac:dyDescent="0.2">
      <c r="A88" s="512"/>
      <c r="B88" s="512"/>
      <c r="D88" s="488">
        <v>675.5</v>
      </c>
      <c r="F88" s="216" t="s">
        <v>812</v>
      </c>
      <c r="G88" s="139"/>
      <c r="H88" s="261">
        <v>11</v>
      </c>
      <c r="I88" s="216"/>
      <c r="J88" s="312">
        <v>36368.763353744398</v>
      </c>
      <c r="K88" s="385"/>
      <c r="L88" s="260">
        <f t="shared" si="91"/>
        <v>27374.76817636341</v>
      </c>
      <c r="M88" s="212"/>
      <c r="N88" s="260">
        <f t="shared" si="92"/>
        <v>5902.6502923127155</v>
      </c>
      <c r="O88" s="212"/>
      <c r="P88" s="260">
        <f t="shared" si="93"/>
        <v>392.78264422043952</v>
      </c>
      <c r="Q88" s="212"/>
      <c r="R88" s="260">
        <f t="shared" si="94"/>
        <v>1345.6442440885426</v>
      </c>
      <c r="S88" s="212"/>
      <c r="T88" s="260">
        <f t="shared" si="95"/>
        <v>116.38004273198207</v>
      </c>
      <c r="U88" s="212"/>
      <c r="V88" s="260">
        <f t="shared" si="96"/>
        <v>741.92277241638578</v>
      </c>
      <c r="W88" s="212"/>
      <c r="X88" s="260">
        <f t="shared" si="97"/>
        <v>494.6151816109238</v>
      </c>
      <c r="Y88" s="212"/>
      <c r="Z88" s="212"/>
      <c r="AC88" s="216" t="s">
        <v>812</v>
      </c>
      <c r="AE88" s="239">
        <f t="shared" si="107"/>
        <v>11</v>
      </c>
      <c r="AG88" s="312">
        <f t="shared" si="108"/>
        <v>36368.763353744398</v>
      </c>
      <c r="AH88" s="385"/>
      <c r="AI88" s="260">
        <f t="shared" si="98"/>
        <v>2887.6798102873054</v>
      </c>
      <c r="AJ88" s="212"/>
      <c r="AK88" s="260">
        <f t="shared" si="99"/>
        <v>549.16832664154038</v>
      </c>
      <c r="AL88" s="212"/>
      <c r="AM88" s="260">
        <f t="shared" si="100"/>
        <v>3080.4342560621503</v>
      </c>
      <c r="AN88" s="212"/>
      <c r="AO88" s="260">
        <f t="shared" si="101"/>
        <v>28600.395501384595</v>
      </c>
      <c r="AP88" s="212"/>
      <c r="AQ88" s="260">
        <f t="shared" si="102"/>
        <v>14.547505341497759</v>
      </c>
      <c r="AR88" s="212"/>
      <c r="AS88" s="260">
        <f t="shared" si="103"/>
        <v>0</v>
      </c>
      <c r="AT88" s="212"/>
      <c r="AU88" s="260">
        <f t="shared" si="104"/>
        <v>0</v>
      </c>
      <c r="AV88" s="262"/>
      <c r="AW88" s="262">
        <f t="shared" si="105"/>
        <v>741.92277241638578</v>
      </c>
      <c r="AX88" s="262"/>
      <c r="AY88" s="262">
        <f t="shared" si="106"/>
        <v>494.6151816109238</v>
      </c>
      <c r="BA88" s="175"/>
      <c r="BB88" s="145"/>
      <c r="BC88" s="145"/>
      <c r="BD88" s="145"/>
    </row>
    <row r="89" spans="1:56" x14ac:dyDescent="0.2">
      <c r="A89" s="512"/>
      <c r="B89" s="512"/>
      <c r="D89" s="488">
        <v>675.5</v>
      </c>
      <c r="F89" s="216" t="s">
        <v>797</v>
      </c>
      <c r="G89" s="139"/>
      <c r="H89" s="261">
        <v>11</v>
      </c>
      <c r="I89" s="216"/>
      <c r="J89" s="312">
        <v>24014.321474985809</v>
      </c>
      <c r="K89" s="385"/>
      <c r="L89" s="260">
        <f t="shared" si="91"/>
        <v>18075.57977422182</v>
      </c>
      <c r="M89" s="212"/>
      <c r="N89" s="260">
        <f t="shared" si="92"/>
        <v>3897.5243753901968</v>
      </c>
      <c r="O89" s="212"/>
      <c r="P89" s="260">
        <f t="shared" si="93"/>
        <v>259.35467192984675</v>
      </c>
      <c r="Q89" s="212"/>
      <c r="R89" s="260">
        <f t="shared" si="94"/>
        <v>888.52989457447484</v>
      </c>
      <c r="S89" s="212"/>
      <c r="T89" s="260">
        <f t="shared" si="95"/>
        <v>76.845828719954596</v>
      </c>
      <c r="U89" s="212"/>
      <c r="V89" s="260">
        <f t="shared" si="96"/>
        <v>489.89215808971056</v>
      </c>
      <c r="W89" s="212"/>
      <c r="X89" s="260">
        <f t="shared" si="97"/>
        <v>326.59477205980698</v>
      </c>
      <c r="Y89" s="212"/>
      <c r="Z89" s="212"/>
      <c r="AC89" s="216" t="s">
        <v>797</v>
      </c>
      <c r="AE89" s="239">
        <f t="shared" si="107"/>
        <v>11</v>
      </c>
      <c r="AG89" s="312">
        <f t="shared" si="108"/>
        <v>24014.321474985809</v>
      </c>
      <c r="AH89" s="385"/>
      <c r="AI89" s="260">
        <f t="shared" si="98"/>
        <v>1906.7371251138732</v>
      </c>
      <c r="AJ89" s="212"/>
      <c r="AK89" s="260">
        <f t="shared" si="99"/>
        <v>362.61625427228574</v>
      </c>
      <c r="AL89" s="212"/>
      <c r="AM89" s="260">
        <f t="shared" si="100"/>
        <v>2034.0130289312979</v>
      </c>
      <c r="AN89" s="212"/>
      <c r="AO89" s="260">
        <f t="shared" si="101"/>
        <v>18884.862407928838</v>
      </c>
      <c r="AP89" s="212"/>
      <c r="AQ89" s="260">
        <f t="shared" si="102"/>
        <v>9.6057285899943246</v>
      </c>
      <c r="AR89" s="212"/>
      <c r="AS89" s="260">
        <f t="shared" si="103"/>
        <v>0</v>
      </c>
      <c r="AT89" s="212"/>
      <c r="AU89" s="260">
        <f t="shared" si="104"/>
        <v>0</v>
      </c>
      <c r="AV89" s="262"/>
      <c r="AW89" s="262">
        <f t="shared" si="105"/>
        <v>489.89215808971056</v>
      </c>
      <c r="AX89" s="262"/>
      <c r="AY89" s="262">
        <f t="shared" si="106"/>
        <v>326.59477205980698</v>
      </c>
      <c r="BA89" s="175"/>
      <c r="BB89" s="145"/>
      <c r="BC89" s="145"/>
      <c r="BD89" s="145"/>
    </row>
    <row r="90" spans="1:56" x14ac:dyDescent="0.2">
      <c r="A90" s="512"/>
      <c r="B90" s="512"/>
      <c r="D90" s="488">
        <v>675.5</v>
      </c>
      <c r="F90" s="216" t="s">
        <v>707</v>
      </c>
      <c r="G90" s="139"/>
      <c r="H90" s="261">
        <v>11</v>
      </c>
      <c r="I90" s="216"/>
      <c r="J90" s="312">
        <v>62735.950147668293</v>
      </c>
      <c r="K90" s="385"/>
      <c r="L90" s="260">
        <f t="shared" si="91"/>
        <v>47221.349676149926</v>
      </c>
      <c r="M90" s="212"/>
      <c r="N90" s="260">
        <f t="shared" si="92"/>
        <v>10182.044708966563</v>
      </c>
      <c r="O90" s="212"/>
      <c r="P90" s="260">
        <f t="shared" si="93"/>
        <v>677.54826159481763</v>
      </c>
      <c r="Q90" s="212"/>
      <c r="R90" s="260">
        <f t="shared" si="94"/>
        <v>2321.2301554637265</v>
      </c>
      <c r="S90" s="212"/>
      <c r="T90" s="260">
        <f t="shared" si="95"/>
        <v>200.75504047253855</v>
      </c>
      <c r="U90" s="212"/>
      <c r="V90" s="260">
        <f t="shared" si="96"/>
        <v>1279.8133830124332</v>
      </c>
      <c r="W90" s="212"/>
      <c r="X90" s="260">
        <f t="shared" si="97"/>
        <v>853.20892200828871</v>
      </c>
      <c r="Y90" s="212"/>
      <c r="Z90" s="212"/>
      <c r="AC90" s="216" t="s">
        <v>707</v>
      </c>
      <c r="AE90" s="239">
        <f t="shared" si="107"/>
        <v>11</v>
      </c>
      <c r="AG90" s="312">
        <f t="shared" si="108"/>
        <v>62735.950147668293</v>
      </c>
      <c r="AH90" s="385"/>
      <c r="AI90" s="260">
        <f t="shared" si="98"/>
        <v>4981.2344417248623</v>
      </c>
      <c r="AJ90" s="212"/>
      <c r="AK90" s="260">
        <f t="shared" si="99"/>
        <v>947.31284722979126</v>
      </c>
      <c r="AL90" s="212"/>
      <c r="AM90" s="260">
        <f t="shared" si="100"/>
        <v>5313.7349775075045</v>
      </c>
      <c r="AN90" s="212"/>
      <c r="AO90" s="260">
        <f t="shared" si="101"/>
        <v>49335.551196126347</v>
      </c>
      <c r="AP90" s="212"/>
      <c r="AQ90" s="260">
        <f t="shared" si="102"/>
        <v>25.094380059067319</v>
      </c>
      <c r="AR90" s="212"/>
      <c r="AS90" s="260">
        <f t="shared" si="103"/>
        <v>0</v>
      </c>
      <c r="AT90" s="212"/>
      <c r="AU90" s="260">
        <f t="shared" si="104"/>
        <v>0</v>
      </c>
      <c r="AV90" s="262"/>
      <c r="AW90" s="262">
        <f t="shared" si="105"/>
        <v>1279.8133830124332</v>
      </c>
      <c r="AX90" s="262"/>
      <c r="AY90" s="262">
        <f t="shared" si="106"/>
        <v>853.20892200828871</v>
      </c>
      <c r="BA90" s="175"/>
      <c r="BB90" s="145"/>
      <c r="BC90" s="145"/>
      <c r="BD90" s="145"/>
    </row>
    <row r="91" spans="1:56" x14ac:dyDescent="0.2">
      <c r="A91" s="512"/>
      <c r="B91" s="512"/>
      <c r="D91" s="488">
        <v>675.5</v>
      </c>
      <c r="F91" s="216" t="s">
        <v>709</v>
      </c>
      <c r="G91" s="139"/>
      <c r="H91" s="261">
        <v>11</v>
      </c>
      <c r="I91" s="216"/>
      <c r="J91" s="312">
        <v>23845.674710566258</v>
      </c>
      <c r="K91" s="385"/>
      <c r="L91" s="260">
        <f t="shared" si="91"/>
        <v>17948.639354643223</v>
      </c>
      <c r="M91" s="212"/>
      <c r="N91" s="260">
        <f t="shared" si="92"/>
        <v>3870.1530055249036</v>
      </c>
      <c r="O91" s="212"/>
      <c r="P91" s="260">
        <f t="shared" si="93"/>
        <v>257.53328687411562</v>
      </c>
      <c r="Q91" s="212"/>
      <c r="R91" s="260">
        <f t="shared" si="94"/>
        <v>882.2899642909515</v>
      </c>
      <c r="S91" s="212"/>
      <c r="T91" s="260">
        <f t="shared" si="95"/>
        <v>76.306159073812026</v>
      </c>
      <c r="U91" s="212"/>
      <c r="V91" s="260">
        <f t="shared" si="96"/>
        <v>486.45176409555171</v>
      </c>
      <c r="W91" s="212"/>
      <c r="X91" s="260">
        <f t="shared" si="97"/>
        <v>324.30117606370106</v>
      </c>
      <c r="Y91" s="212"/>
      <c r="Z91" s="212"/>
      <c r="AC91" s="216" t="s">
        <v>709</v>
      </c>
      <c r="AE91" s="239">
        <f t="shared" si="107"/>
        <v>11</v>
      </c>
      <c r="AG91" s="312">
        <f t="shared" si="108"/>
        <v>23845.674710566258</v>
      </c>
      <c r="AH91" s="385"/>
      <c r="AI91" s="260">
        <f t="shared" si="98"/>
        <v>1893.3465720189608</v>
      </c>
      <c r="AJ91" s="212"/>
      <c r="AK91" s="260">
        <f t="shared" si="99"/>
        <v>360.06968812955051</v>
      </c>
      <c r="AL91" s="212"/>
      <c r="AM91" s="260">
        <f t="shared" si="100"/>
        <v>2019.728647984962</v>
      </c>
      <c r="AN91" s="212"/>
      <c r="AO91" s="260">
        <f t="shared" si="101"/>
        <v>18752.238592389305</v>
      </c>
      <c r="AP91" s="212"/>
      <c r="AQ91" s="260">
        <f t="shared" si="102"/>
        <v>9.5382698842265032</v>
      </c>
      <c r="AR91" s="212"/>
      <c r="AS91" s="260">
        <f t="shared" si="103"/>
        <v>0</v>
      </c>
      <c r="AT91" s="212"/>
      <c r="AU91" s="260">
        <f t="shared" si="104"/>
        <v>0</v>
      </c>
      <c r="AV91" s="262"/>
      <c r="AW91" s="262">
        <f t="shared" si="105"/>
        <v>486.45176409555171</v>
      </c>
      <c r="AX91" s="262"/>
      <c r="AY91" s="262">
        <f t="shared" si="106"/>
        <v>324.30117606370106</v>
      </c>
      <c r="BA91" s="175"/>
      <c r="BB91" s="145"/>
      <c r="BC91" s="145"/>
      <c r="BD91" s="145"/>
    </row>
    <row r="92" spans="1:56" x14ac:dyDescent="0.2">
      <c r="A92" s="512"/>
      <c r="B92" s="512"/>
      <c r="D92" s="488">
        <v>675.5</v>
      </c>
      <c r="F92" s="216" t="s">
        <v>717</v>
      </c>
      <c r="G92" s="139"/>
      <c r="H92" s="261">
        <v>11</v>
      </c>
      <c r="I92" s="216"/>
      <c r="J92" s="312">
        <v>10337.860232598316</v>
      </c>
      <c r="K92" s="385"/>
      <c r="L92" s="260">
        <f t="shared" si="91"/>
        <v>7781.3073970767527</v>
      </c>
      <c r="M92" s="212"/>
      <c r="N92" s="260">
        <f t="shared" si="92"/>
        <v>1677.8347157507067</v>
      </c>
      <c r="O92" s="212"/>
      <c r="P92" s="260">
        <f t="shared" si="93"/>
        <v>111.64889051206181</v>
      </c>
      <c r="Q92" s="212"/>
      <c r="R92" s="260">
        <f t="shared" si="94"/>
        <v>382.50082860613765</v>
      </c>
      <c r="S92" s="212"/>
      <c r="T92" s="260">
        <f t="shared" si="95"/>
        <v>33.081152744314615</v>
      </c>
      <c r="U92" s="212"/>
      <c r="V92" s="260">
        <f t="shared" si="96"/>
        <v>210.89234874500565</v>
      </c>
      <c r="W92" s="212"/>
      <c r="X92" s="260">
        <f t="shared" si="97"/>
        <v>140.59489916333709</v>
      </c>
      <c r="Y92" s="212"/>
      <c r="Z92" s="212"/>
      <c r="AC92" s="216" t="s">
        <v>717</v>
      </c>
      <c r="AE92" s="239">
        <f t="shared" si="107"/>
        <v>11</v>
      </c>
      <c r="AG92" s="312">
        <f t="shared" si="108"/>
        <v>10337.860232598316</v>
      </c>
      <c r="AH92" s="385"/>
      <c r="AI92" s="260">
        <f t="shared" si="98"/>
        <v>820.8261024683062</v>
      </c>
      <c r="AJ92" s="212"/>
      <c r="AK92" s="260">
        <f t="shared" si="99"/>
        <v>156.10168951223457</v>
      </c>
      <c r="AL92" s="212"/>
      <c r="AM92" s="260">
        <f t="shared" si="100"/>
        <v>875.61676170107728</v>
      </c>
      <c r="AN92" s="212"/>
      <c r="AO92" s="260">
        <f t="shared" si="101"/>
        <v>8129.6932869153152</v>
      </c>
      <c r="AP92" s="212"/>
      <c r="AQ92" s="260">
        <f t="shared" si="102"/>
        <v>4.1351440930393268</v>
      </c>
      <c r="AR92" s="212"/>
      <c r="AS92" s="260">
        <f t="shared" si="103"/>
        <v>0</v>
      </c>
      <c r="AT92" s="212"/>
      <c r="AU92" s="260">
        <f t="shared" si="104"/>
        <v>0</v>
      </c>
      <c r="AV92" s="262"/>
      <c r="AW92" s="262">
        <f t="shared" si="105"/>
        <v>210.89234874500565</v>
      </c>
      <c r="AX92" s="262"/>
      <c r="AY92" s="262">
        <f t="shared" si="106"/>
        <v>140.59489916333709</v>
      </c>
      <c r="BA92" s="175"/>
      <c r="BB92" s="145"/>
      <c r="BC92" s="145"/>
      <c r="BD92" s="145"/>
    </row>
    <row r="93" spans="1:56" x14ac:dyDescent="0.2">
      <c r="A93" s="512"/>
      <c r="B93" s="512"/>
      <c r="D93" s="488">
        <v>675.5</v>
      </c>
      <c r="F93" s="216" t="s">
        <v>737</v>
      </c>
      <c r="G93" s="139"/>
      <c r="H93" s="261">
        <v>11</v>
      </c>
      <c r="I93" s="216"/>
      <c r="J93" s="312">
        <v>14269.998095768635</v>
      </c>
      <c r="K93" s="385"/>
      <c r="L93" s="260">
        <f t="shared" si="91"/>
        <v>10741.027566685052</v>
      </c>
      <c r="M93" s="212"/>
      <c r="N93" s="260">
        <f t="shared" si="92"/>
        <v>2316.0206909432495</v>
      </c>
      <c r="O93" s="212"/>
      <c r="P93" s="260">
        <f t="shared" si="93"/>
        <v>154.11597943430127</v>
      </c>
      <c r="Q93" s="212"/>
      <c r="R93" s="260">
        <f t="shared" si="94"/>
        <v>527.98992954343942</v>
      </c>
      <c r="S93" s="212"/>
      <c r="T93" s="260">
        <f t="shared" si="95"/>
        <v>45.663993906459631</v>
      </c>
      <c r="U93" s="212"/>
      <c r="V93" s="260">
        <f t="shared" si="96"/>
        <v>291.10796115368015</v>
      </c>
      <c r="W93" s="212"/>
      <c r="X93" s="260">
        <f t="shared" si="97"/>
        <v>194.07197410245342</v>
      </c>
      <c r="Y93" s="212"/>
      <c r="Z93" s="212"/>
      <c r="AC93" s="216" t="s">
        <v>737</v>
      </c>
      <c r="AE93" s="239">
        <f t="shared" si="107"/>
        <v>11</v>
      </c>
      <c r="AG93" s="312">
        <f t="shared" si="108"/>
        <v>14269.998095768635</v>
      </c>
      <c r="AH93" s="385"/>
      <c r="AI93" s="260">
        <f t="shared" si="98"/>
        <v>1133.0378488040296</v>
      </c>
      <c r="AJ93" s="212"/>
      <c r="AK93" s="260">
        <f t="shared" si="99"/>
        <v>215.47697124610639</v>
      </c>
      <c r="AL93" s="212"/>
      <c r="AM93" s="260">
        <f t="shared" si="100"/>
        <v>1208.6688387116033</v>
      </c>
      <c r="AN93" s="212"/>
      <c r="AO93" s="260">
        <f t="shared" si="101"/>
        <v>11221.926502512455</v>
      </c>
      <c r="AP93" s="212"/>
      <c r="AQ93" s="260">
        <f t="shared" si="102"/>
        <v>5.7079992383074538</v>
      </c>
      <c r="AR93" s="212"/>
      <c r="AS93" s="260">
        <f t="shared" si="103"/>
        <v>0</v>
      </c>
      <c r="AT93" s="212"/>
      <c r="AU93" s="260">
        <f t="shared" si="104"/>
        <v>0</v>
      </c>
      <c r="AV93" s="262"/>
      <c r="AW93" s="262">
        <f t="shared" si="105"/>
        <v>291.10796115368015</v>
      </c>
      <c r="AX93" s="262"/>
      <c r="AY93" s="262">
        <f t="shared" si="106"/>
        <v>194.07197410245342</v>
      </c>
      <c r="BA93" s="175"/>
      <c r="BB93" s="145"/>
      <c r="BC93" s="145"/>
      <c r="BD93" s="145"/>
    </row>
    <row r="94" spans="1:56" x14ac:dyDescent="0.2">
      <c r="A94" s="512"/>
      <c r="B94" s="512"/>
      <c r="D94" s="488">
        <v>641.5</v>
      </c>
      <c r="F94" s="216" t="s">
        <v>473</v>
      </c>
      <c r="G94" s="139"/>
      <c r="H94" s="261">
        <v>11</v>
      </c>
      <c r="I94" s="216"/>
      <c r="J94" s="389">
        <v>5808</v>
      </c>
      <c r="K94" s="385"/>
      <c r="L94" s="549">
        <f t="shared" si="91"/>
        <v>4371.6815999999999</v>
      </c>
      <c r="M94" s="385"/>
      <c r="N94" s="549">
        <f t="shared" si="92"/>
        <v>942.63840000000005</v>
      </c>
      <c r="O94" s="385"/>
      <c r="P94" s="549">
        <f t="shared" si="93"/>
        <v>62.726400000000005</v>
      </c>
      <c r="Q94" s="385"/>
      <c r="R94" s="549">
        <f t="shared" si="94"/>
        <v>214.89599999999999</v>
      </c>
      <c r="S94" s="385"/>
      <c r="T94" s="549">
        <f t="shared" si="95"/>
        <v>18.585599999999999</v>
      </c>
      <c r="U94" s="385"/>
      <c r="V94" s="549">
        <f t="shared" si="96"/>
        <v>118.48320000000001</v>
      </c>
      <c r="W94" s="385"/>
      <c r="X94" s="549">
        <f t="shared" si="97"/>
        <v>78.988799999999998</v>
      </c>
      <c r="Y94" s="212"/>
      <c r="Z94" s="212"/>
      <c r="AC94" s="216" t="s">
        <v>473</v>
      </c>
      <c r="AE94" s="239">
        <f t="shared" si="107"/>
        <v>11</v>
      </c>
      <c r="AG94" s="389">
        <f t="shared" si="108"/>
        <v>5808</v>
      </c>
      <c r="AH94" s="385"/>
      <c r="AI94" s="549">
        <f t="shared" si="98"/>
        <v>461.15519999999998</v>
      </c>
      <c r="AJ94" s="385"/>
      <c r="AK94" s="549">
        <f t="shared" si="99"/>
        <v>87.700800000000001</v>
      </c>
      <c r="AL94" s="385"/>
      <c r="AM94" s="549">
        <f t="shared" si="100"/>
        <v>491.93759999999997</v>
      </c>
      <c r="AN94" s="385"/>
      <c r="AO94" s="549">
        <f t="shared" si="101"/>
        <v>4567.4111999999996</v>
      </c>
      <c r="AP94" s="385"/>
      <c r="AQ94" s="549">
        <f t="shared" si="102"/>
        <v>2.3231999999999999</v>
      </c>
      <c r="AR94" s="385"/>
      <c r="AS94" s="549">
        <f t="shared" si="103"/>
        <v>0</v>
      </c>
      <c r="AT94" s="385"/>
      <c r="AU94" s="549">
        <f t="shared" si="104"/>
        <v>0</v>
      </c>
      <c r="AV94" s="385"/>
      <c r="AW94" s="549">
        <f t="shared" si="105"/>
        <v>118.48320000000001</v>
      </c>
      <c r="AX94" s="385"/>
      <c r="AY94" s="549">
        <f t="shared" si="106"/>
        <v>78.988799999999998</v>
      </c>
      <c r="BA94" s="175"/>
      <c r="BB94" s="145"/>
      <c r="BC94" s="145"/>
      <c r="BD94" s="145"/>
    </row>
    <row r="95" spans="1:56" x14ac:dyDescent="0.2">
      <c r="A95" s="146"/>
      <c r="B95" s="146"/>
      <c r="F95" s="216"/>
      <c r="G95" s="139"/>
      <c r="H95" s="261"/>
      <c r="I95" s="216"/>
      <c r="J95" s="312"/>
      <c r="K95" s="385"/>
      <c r="L95" s="386"/>
      <c r="M95" s="385"/>
      <c r="N95" s="386"/>
      <c r="O95" s="385"/>
      <c r="P95" s="386"/>
      <c r="Q95" s="385"/>
      <c r="R95" s="386"/>
      <c r="S95" s="385"/>
      <c r="T95" s="386"/>
      <c r="U95" s="385"/>
      <c r="V95" s="386"/>
      <c r="W95" s="385"/>
      <c r="X95" s="386"/>
      <c r="Z95" s="175"/>
      <c r="AC95" s="216"/>
      <c r="AG95" s="312"/>
      <c r="AH95" s="385"/>
      <c r="AI95" s="386"/>
      <c r="AJ95" s="385"/>
      <c r="AK95" s="386"/>
      <c r="AL95" s="385"/>
      <c r="AM95" s="386"/>
      <c r="AN95" s="385"/>
      <c r="AO95" s="386"/>
      <c r="AP95" s="385"/>
      <c r="AQ95" s="386"/>
      <c r="AR95" s="385"/>
      <c r="AS95" s="386"/>
      <c r="AT95" s="385"/>
      <c r="AU95" s="386"/>
      <c r="AV95" s="385"/>
      <c r="AW95" s="386"/>
      <c r="AX95" s="385"/>
      <c r="AY95" s="386"/>
      <c r="BA95" s="175"/>
      <c r="BB95" s="145"/>
      <c r="BC95" s="145"/>
      <c r="BD95" s="145"/>
    </row>
    <row r="96" spans="1:56" x14ac:dyDescent="0.2">
      <c r="A96" s="146"/>
      <c r="B96" s="146"/>
      <c r="F96" s="216" t="s">
        <v>12</v>
      </c>
      <c r="G96" s="139"/>
      <c r="H96" s="261"/>
      <c r="I96" s="216"/>
      <c r="J96" s="389">
        <f>SUM(J79:J95)</f>
        <v>2438469.874087892</v>
      </c>
      <c r="K96" s="216"/>
      <c r="L96" s="389">
        <f>SUM(L79:L95)</f>
        <v>1835428.0006784236</v>
      </c>
      <c r="M96" s="216"/>
      <c r="N96" s="389">
        <f t="shared" ref="N96" si="109">SUM(N79:N95)</f>
        <v>395782.98708233086</v>
      </c>
      <c r="O96" s="216"/>
      <c r="P96" s="389">
        <f t="shared" ref="P96" si="110">SUM(P79:P95)</f>
        <v>26322.302465525765</v>
      </c>
      <c r="Q96" s="216"/>
      <c r="R96" s="389">
        <f t="shared" ref="R96" si="111">SUM(R79:R95)</f>
        <v>90230.350375085924</v>
      </c>
      <c r="S96" s="216"/>
      <c r="T96" s="389">
        <f t="shared" ref="T96" si="112">SUM(T79:T95)</f>
        <v>7797.9199072691154</v>
      </c>
      <c r="U96" s="216"/>
      <c r="V96" s="389">
        <f t="shared" ref="V96" si="113">SUM(V79:V95)</f>
        <v>49728.93547531018</v>
      </c>
      <c r="W96" s="216"/>
      <c r="X96" s="389">
        <f t="shared" ref="X96" si="114">SUM(X79:X95)</f>
        <v>33179.37810394726</v>
      </c>
      <c r="Z96" s="175"/>
      <c r="AC96" s="216" t="s">
        <v>12</v>
      </c>
      <c r="AD96" s="139"/>
      <c r="AE96" s="261"/>
      <c r="AF96" s="216"/>
      <c r="AG96" s="389">
        <f>SUM(AG79:AG95)</f>
        <v>2438469.874087892</v>
      </c>
      <c r="AH96" s="216"/>
      <c r="AI96" s="389">
        <f>SUM(AI79:AI95)</f>
        <v>193508.46725402962</v>
      </c>
      <c r="AJ96" s="216"/>
      <c r="AK96" s="389">
        <f>SUM(AK79:AK95)</f>
        <v>36826.468799241884</v>
      </c>
      <c r="AL96" s="216"/>
      <c r="AM96" s="389">
        <f>SUM(AM79:AM95)</f>
        <v>206579.37386064319</v>
      </c>
      <c r="AN96" s="216"/>
      <c r="AO96" s="389">
        <f>SUM(AO79:AO95)</f>
        <v>1917655.5057197581</v>
      </c>
      <c r="AP96" s="216"/>
      <c r="AQ96" s="389">
        <f>SUM(AQ79:AQ95)</f>
        <v>1010.0746249530187</v>
      </c>
      <c r="AR96" s="216"/>
      <c r="AS96" s="389">
        <f>SUM(AS79:AS95)</f>
        <v>0</v>
      </c>
      <c r="AT96" s="216"/>
      <c r="AU96" s="389">
        <f>SUM(AU79:AU95)</f>
        <v>0</v>
      </c>
      <c r="AV96" s="216"/>
      <c r="AW96" s="389">
        <f t="shared" ref="AW96" si="115">SUM(AW79:AW95)</f>
        <v>49728.93547531018</v>
      </c>
      <c r="AX96" s="216"/>
      <c r="AY96" s="389">
        <f t="shared" ref="AY96" si="116">SUM(AY79:AY95)</f>
        <v>33179.37810394726</v>
      </c>
      <c r="BA96" s="175"/>
      <c r="BB96" s="145"/>
      <c r="BC96" s="145"/>
      <c r="BD96" s="145"/>
    </row>
    <row r="97" spans="1:56" x14ac:dyDescent="0.2">
      <c r="A97" s="146"/>
      <c r="B97" s="146"/>
      <c r="F97" s="216"/>
      <c r="G97" s="139"/>
      <c r="H97" s="261"/>
      <c r="I97" s="216"/>
      <c r="J97" s="312"/>
      <c r="K97" s="386"/>
      <c r="L97" s="386"/>
      <c r="M97" s="386"/>
      <c r="N97" s="386"/>
      <c r="O97" s="386"/>
      <c r="P97" s="386"/>
      <c r="Q97" s="386"/>
      <c r="R97" s="386"/>
      <c r="S97" s="386"/>
      <c r="T97" s="386"/>
      <c r="U97" s="386"/>
      <c r="V97" s="386"/>
      <c r="W97" s="386"/>
      <c r="X97" s="386"/>
      <c r="Z97" s="175"/>
      <c r="AC97" s="216"/>
      <c r="AG97" s="312"/>
      <c r="AH97" s="386"/>
      <c r="AI97" s="386"/>
      <c r="AJ97" s="386"/>
      <c r="AK97" s="386"/>
      <c r="AL97" s="386"/>
      <c r="AM97" s="386"/>
      <c r="AN97" s="386"/>
      <c r="AO97" s="386"/>
      <c r="AP97" s="386"/>
      <c r="AQ97" s="386"/>
      <c r="AR97" s="386"/>
      <c r="AS97" s="386"/>
      <c r="AT97" s="386"/>
      <c r="AU97" s="386"/>
      <c r="AV97" s="386"/>
      <c r="AW97" s="386"/>
      <c r="AX97" s="386"/>
      <c r="AY97" s="386"/>
      <c r="BA97" s="175"/>
      <c r="BB97" s="145"/>
      <c r="BC97" s="145"/>
      <c r="BD97" s="145"/>
    </row>
    <row r="98" spans="1:56" x14ac:dyDescent="0.2">
      <c r="A98" s="146"/>
      <c r="B98" s="146"/>
      <c r="F98" s="216" t="s">
        <v>13</v>
      </c>
      <c r="G98" s="139"/>
      <c r="H98" s="261"/>
      <c r="I98" s="216"/>
      <c r="J98" s="312"/>
      <c r="K98" s="385"/>
      <c r="L98" s="386"/>
      <c r="M98" s="387"/>
      <c r="N98" s="387"/>
      <c r="O98" s="387"/>
      <c r="P98" s="387"/>
      <c r="Q98" s="387"/>
      <c r="R98" s="387"/>
      <c r="S98" s="387"/>
      <c r="T98" s="387"/>
      <c r="U98" s="387"/>
      <c r="V98" s="387"/>
      <c r="W98" s="387"/>
      <c r="X98" s="387"/>
      <c r="Z98" s="175"/>
      <c r="AC98" s="216" t="s">
        <v>13</v>
      </c>
      <c r="AG98" s="312"/>
      <c r="AH98" s="385"/>
      <c r="AI98" s="386"/>
      <c r="AJ98" s="387"/>
      <c r="AK98" s="387"/>
      <c r="AL98" s="387"/>
      <c r="AM98" s="387"/>
      <c r="AN98" s="387"/>
      <c r="AO98" s="387"/>
      <c r="AP98" s="387"/>
      <c r="AQ98" s="387"/>
      <c r="AR98" s="387"/>
      <c r="AS98" s="387"/>
      <c r="AT98" s="387"/>
      <c r="AU98" s="387"/>
      <c r="AV98" s="387"/>
      <c r="AW98" s="387"/>
      <c r="AX98" s="387"/>
      <c r="AY98" s="387"/>
      <c r="BA98" s="175"/>
      <c r="BB98" s="145"/>
      <c r="BC98" s="145"/>
      <c r="BD98" s="145"/>
    </row>
    <row r="99" spans="1:56" x14ac:dyDescent="0.2">
      <c r="A99" s="146"/>
      <c r="B99" s="146"/>
      <c r="F99" s="529"/>
      <c r="G99" s="139"/>
      <c r="H99" s="261"/>
      <c r="I99" s="216"/>
      <c r="J99" s="312"/>
      <c r="K99" s="385"/>
      <c r="L99" s="386"/>
      <c r="M99" s="387"/>
      <c r="N99" s="387"/>
      <c r="O99" s="387"/>
      <c r="P99" s="387"/>
      <c r="Q99" s="387"/>
      <c r="R99" s="387"/>
      <c r="S99" s="387"/>
      <c r="T99" s="387"/>
      <c r="U99" s="387"/>
      <c r="V99" s="387"/>
      <c r="W99" s="387"/>
      <c r="X99" s="387"/>
      <c r="Z99" s="175"/>
      <c r="AG99" s="312"/>
      <c r="AH99" s="385"/>
      <c r="AI99" s="386"/>
      <c r="AJ99" s="387"/>
      <c r="AK99" s="387"/>
      <c r="AL99" s="387"/>
      <c r="AM99" s="387"/>
      <c r="AN99" s="387"/>
      <c r="AO99" s="387"/>
      <c r="AP99" s="387"/>
      <c r="AQ99" s="387"/>
      <c r="AR99" s="387"/>
      <c r="AS99" s="387"/>
      <c r="AT99" s="387"/>
      <c r="AU99" s="387"/>
      <c r="AV99" s="387"/>
      <c r="AW99" s="387"/>
      <c r="AX99" s="387"/>
      <c r="AY99" s="387"/>
      <c r="BA99" s="175"/>
      <c r="BB99" s="145"/>
      <c r="BC99" s="145"/>
      <c r="BD99" s="145"/>
    </row>
    <row r="100" spans="1:56" x14ac:dyDescent="0.2">
      <c r="A100" s="146"/>
      <c r="B100" s="146"/>
      <c r="D100" s="488">
        <v>601.6</v>
      </c>
      <c r="F100" s="216" t="s">
        <v>742</v>
      </c>
      <c r="G100" s="139"/>
      <c r="H100" s="261">
        <v>12</v>
      </c>
      <c r="I100" s="216"/>
      <c r="J100" s="312">
        <v>71539.260577549707</v>
      </c>
      <c r="K100" s="385"/>
      <c r="L100" s="260">
        <f t="shared" ref="L100:L110" si="117">(VLOOKUP($H100,Factors,L$382))*$J100</f>
        <v>37035.875200997485</v>
      </c>
      <c r="M100" s="212"/>
      <c r="N100" s="260">
        <f t="shared" ref="N100:N110" si="118">(VLOOKUP($H100,Factors,N$382))*$J100</f>
        <v>12147.366446067941</v>
      </c>
      <c r="O100" s="212"/>
      <c r="P100" s="260">
        <f t="shared" ref="P100:P110" si="119">(VLOOKUP($H100,Factors,P$382))*$J100</f>
        <v>1216.167429818345</v>
      </c>
      <c r="Q100" s="212"/>
      <c r="R100" s="260">
        <f t="shared" ref="R100:R110" si="120">(VLOOKUP($H100,Factors,R$382))*$J100</f>
        <v>3240.7285041630016</v>
      </c>
      <c r="S100" s="212"/>
      <c r="T100" s="260">
        <f t="shared" ref="T100:T110" si="121">(VLOOKUP($H100,Factors,T$382))*$J100</f>
        <v>221.77170779040409</v>
      </c>
      <c r="U100" s="212"/>
      <c r="V100" s="260">
        <f t="shared" ref="V100:V110" si="122">(VLOOKUP($H100,Factors,V$382))*$J100</f>
        <v>2918.8018315640284</v>
      </c>
      <c r="W100" s="212"/>
      <c r="X100" s="260">
        <f t="shared" ref="X100:X110" si="123">(VLOOKUP($H100,Factors,X$382))*$J100</f>
        <v>14758.549457148505</v>
      </c>
      <c r="Y100" s="212"/>
      <c r="Z100" s="212"/>
      <c r="AC100" s="216" t="s">
        <v>742</v>
      </c>
      <c r="AE100" s="239">
        <f t="shared" ref="AE100:AE110" si="124">+H100</f>
        <v>12</v>
      </c>
      <c r="AG100" s="312">
        <f t="shared" ref="AG100:AG110" si="125">+J100</f>
        <v>71539.260577549707</v>
      </c>
      <c r="AH100" s="385"/>
      <c r="AI100" s="260">
        <f t="shared" ref="AI100:AI110" si="126">(VLOOKUP($AE100,func,AI$382))*$AG100</f>
        <v>12369.138153858345</v>
      </c>
      <c r="AJ100" s="212"/>
      <c r="AK100" s="260">
        <f t="shared" ref="AK100:AK110" si="127">(VLOOKUP($AE100,func,AK$382))*$AG100</f>
        <v>2346.4877469436306</v>
      </c>
      <c r="AL100" s="212"/>
      <c r="AM100" s="260">
        <f t="shared" ref="AM100:AM110" si="128">(VLOOKUP($AE100,func,AM$382))*$AG100</f>
        <v>13249.071058962207</v>
      </c>
      <c r="AN100" s="212"/>
      <c r="AO100" s="260">
        <f t="shared" ref="AO100:AO110" si="129">(VLOOKUP($AE100,func,AO$382))*$AG100</f>
        <v>2768.5693843511735</v>
      </c>
      <c r="AP100" s="212"/>
      <c r="AQ100" s="260">
        <f t="shared" ref="AQ100:AQ110" si="130">(VLOOKUP($AE100,func,AQ$382))*$AG100</f>
        <v>23128.642944721818</v>
      </c>
      <c r="AR100" s="212"/>
      <c r="AS100" s="260">
        <f t="shared" ref="AS100:AS110" si="131">(VLOOKUP($AE100,func,AS$382))*$AG100</f>
        <v>0</v>
      </c>
      <c r="AT100" s="212"/>
      <c r="AU100" s="260">
        <f t="shared" ref="AU100:AU110" si="132">(VLOOKUP($AE100,func,AU$382))*$AG100</f>
        <v>0</v>
      </c>
      <c r="AV100" s="212"/>
      <c r="AW100" s="260">
        <f t="shared" ref="AW100:AW110" si="133">(VLOOKUP($AE100,func,AW$382))*$AG100</f>
        <v>2918.8018315640284</v>
      </c>
      <c r="AX100" s="212"/>
      <c r="AY100" s="260">
        <f t="shared" ref="AY100:AY110" si="134">(VLOOKUP($AE100,func,AY$382))*$AG100</f>
        <v>14758.549457148505</v>
      </c>
      <c r="BA100" s="175"/>
      <c r="BB100" s="145"/>
      <c r="BC100" s="145"/>
      <c r="BD100" s="145"/>
    </row>
    <row r="101" spans="1:56" x14ac:dyDescent="0.2">
      <c r="A101" s="146"/>
      <c r="B101" s="146"/>
      <c r="D101" s="488">
        <v>601.6</v>
      </c>
      <c r="F101" s="216" t="s">
        <v>604</v>
      </c>
      <c r="G101" s="139"/>
      <c r="H101" s="261">
        <v>12</v>
      </c>
      <c r="I101" s="216"/>
      <c r="J101" s="312">
        <v>4690.2951846134974</v>
      </c>
      <c r="K101" s="385"/>
      <c r="L101" s="260">
        <f t="shared" si="117"/>
        <v>2428.1658170744076</v>
      </c>
      <c r="M101" s="212"/>
      <c r="N101" s="260">
        <f t="shared" si="118"/>
        <v>796.41212234737191</v>
      </c>
      <c r="O101" s="212"/>
      <c r="P101" s="260">
        <f t="shared" si="119"/>
        <v>79.735018138429467</v>
      </c>
      <c r="Q101" s="212"/>
      <c r="R101" s="260">
        <f t="shared" si="120"/>
        <v>212.47037186299144</v>
      </c>
      <c r="S101" s="212"/>
      <c r="T101" s="260">
        <f t="shared" si="121"/>
        <v>14.539915072301842</v>
      </c>
      <c r="U101" s="212"/>
      <c r="V101" s="260">
        <f t="shared" si="122"/>
        <v>191.36404353223071</v>
      </c>
      <c r="W101" s="212"/>
      <c r="X101" s="260">
        <f t="shared" si="123"/>
        <v>967.60789658576459</v>
      </c>
      <c r="Y101" s="212"/>
      <c r="Z101" s="212"/>
      <c r="AC101" s="216" t="s">
        <v>604</v>
      </c>
      <c r="AE101" s="239">
        <f t="shared" si="124"/>
        <v>12</v>
      </c>
      <c r="AG101" s="312">
        <f t="shared" si="125"/>
        <v>4690.2951846134974</v>
      </c>
      <c r="AH101" s="385"/>
      <c r="AI101" s="260">
        <f t="shared" si="126"/>
        <v>810.95203741967373</v>
      </c>
      <c r="AJ101" s="212"/>
      <c r="AK101" s="260">
        <f t="shared" si="127"/>
        <v>153.84168205532274</v>
      </c>
      <c r="AL101" s="212"/>
      <c r="AM101" s="260">
        <f t="shared" si="128"/>
        <v>868.64266819041973</v>
      </c>
      <c r="AN101" s="212"/>
      <c r="AO101" s="260">
        <f t="shared" si="129"/>
        <v>181.51442364454235</v>
      </c>
      <c r="AP101" s="212"/>
      <c r="AQ101" s="260">
        <f t="shared" si="130"/>
        <v>1516.3724331855435</v>
      </c>
      <c r="AR101" s="212"/>
      <c r="AS101" s="260">
        <f t="shared" si="131"/>
        <v>0</v>
      </c>
      <c r="AT101" s="212"/>
      <c r="AU101" s="260">
        <f t="shared" si="132"/>
        <v>0</v>
      </c>
      <c r="AV101" s="212"/>
      <c r="AW101" s="260">
        <f t="shared" si="133"/>
        <v>191.36404353223071</v>
      </c>
      <c r="AX101" s="212"/>
      <c r="AY101" s="260">
        <f t="shared" si="134"/>
        <v>967.60789658576459</v>
      </c>
      <c r="BA101" s="175"/>
      <c r="BB101" s="145"/>
      <c r="BC101" s="145"/>
      <c r="BD101" s="145"/>
    </row>
    <row r="102" spans="1:56" x14ac:dyDescent="0.2">
      <c r="A102" s="146"/>
      <c r="B102" s="146"/>
      <c r="D102" s="488">
        <v>601.6</v>
      </c>
      <c r="F102" s="216" t="s">
        <v>605</v>
      </c>
      <c r="G102" s="139"/>
      <c r="H102" s="261">
        <v>5</v>
      </c>
      <c r="I102" s="216"/>
      <c r="J102" s="312">
        <v>2277.5519013853882</v>
      </c>
      <c r="K102" s="385"/>
      <c r="L102" s="260">
        <f t="shared" si="117"/>
        <v>946.77832540590589</v>
      </c>
      <c r="M102" s="212"/>
      <c r="N102" s="260">
        <f t="shared" si="118"/>
        <v>578.95369333216559</v>
      </c>
      <c r="O102" s="212"/>
      <c r="P102" s="260">
        <f t="shared" si="119"/>
        <v>73.564926414748044</v>
      </c>
      <c r="Q102" s="212"/>
      <c r="R102" s="260">
        <f t="shared" si="120"/>
        <v>174.91598602639783</v>
      </c>
      <c r="S102" s="212"/>
      <c r="T102" s="260">
        <f t="shared" si="121"/>
        <v>49.422876260062928</v>
      </c>
      <c r="U102" s="212"/>
      <c r="V102" s="260">
        <f t="shared" si="122"/>
        <v>204.52416074440785</v>
      </c>
      <c r="W102" s="212"/>
      <c r="X102" s="260">
        <f t="shared" si="123"/>
        <v>249.3919332017</v>
      </c>
      <c r="Y102" s="212"/>
      <c r="Z102" s="212"/>
      <c r="AC102" s="216" t="s">
        <v>605</v>
      </c>
      <c r="AE102" s="239">
        <f t="shared" si="124"/>
        <v>5</v>
      </c>
      <c r="AG102" s="312">
        <f t="shared" si="125"/>
        <v>2277.5519013853882</v>
      </c>
      <c r="AH102" s="385"/>
      <c r="AI102" s="260">
        <f t="shared" si="126"/>
        <v>726.99456692221588</v>
      </c>
      <c r="AJ102" s="212"/>
      <c r="AK102" s="260">
        <f t="shared" si="127"/>
        <v>0</v>
      </c>
      <c r="AL102" s="212"/>
      <c r="AM102" s="260">
        <f t="shared" si="128"/>
        <v>1096.6412405170645</v>
      </c>
      <c r="AN102" s="212"/>
      <c r="AO102" s="260">
        <f t="shared" si="129"/>
        <v>0</v>
      </c>
      <c r="AP102" s="212"/>
      <c r="AQ102" s="260">
        <f t="shared" si="130"/>
        <v>0</v>
      </c>
      <c r="AR102" s="212"/>
      <c r="AS102" s="260">
        <f t="shared" si="131"/>
        <v>0</v>
      </c>
      <c r="AT102" s="212"/>
      <c r="AU102" s="260">
        <f t="shared" si="132"/>
        <v>0</v>
      </c>
      <c r="AV102" s="212"/>
      <c r="AW102" s="260">
        <f t="shared" si="133"/>
        <v>204.52416074440785</v>
      </c>
      <c r="AX102" s="212"/>
      <c r="AY102" s="260">
        <f t="shared" si="134"/>
        <v>249.3919332017</v>
      </c>
      <c r="BA102" s="175"/>
      <c r="BB102" s="145"/>
      <c r="BC102" s="145"/>
      <c r="BD102" s="145"/>
    </row>
    <row r="103" spans="1:56" x14ac:dyDescent="0.2">
      <c r="A103" s="146"/>
      <c r="B103" s="146"/>
      <c r="D103" s="488">
        <v>601.6</v>
      </c>
      <c r="F103" s="216" t="s">
        <v>606</v>
      </c>
      <c r="G103" s="139"/>
      <c r="H103" s="261">
        <v>7</v>
      </c>
      <c r="I103" s="216"/>
      <c r="J103" s="312">
        <v>225251.55518725188</v>
      </c>
      <c r="K103" s="385"/>
      <c r="L103" s="260">
        <f t="shared" si="117"/>
        <v>104178.84427410399</v>
      </c>
      <c r="M103" s="212"/>
      <c r="N103" s="260">
        <f t="shared" si="118"/>
        <v>63948.916517660808</v>
      </c>
      <c r="O103" s="212"/>
      <c r="P103" s="260">
        <f t="shared" si="119"/>
        <v>8311.7823864095953</v>
      </c>
      <c r="Q103" s="212"/>
      <c r="R103" s="260">
        <f t="shared" si="120"/>
        <v>20047.388411665415</v>
      </c>
      <c r="S103" s="212"/>
      <c r="T103" s="260">
        <f t="shared" si="121"/>
        <v>1419.084797679687</v>
      </c>
      <c r="U103" s="212"/>
      <c r="V103" s="260">
        <f t="shared" si="122"/>
        <v>12298.734913223952</v>
      </c>
      <c r="W103" s="212"/>
      <c r="X103" s="260">
        <f t="shared" si="123"/>
        <v>15046.803886508425</v>
      </c>
      <c r="Y103" s="212"/>
      <c r="Z103" s="212"/>
      <c r="AC103" s="216" t="s">
        <v>606</v>
      </c>
      <c r="AE103" s="239">
        <f t="shared" si="124"/>
        <v>7</v>
      </c>
      <c r="AG103" s="312">
        <f t="shared" si="125"/>
        <v>225251.55518725188</v>
      </c>
      <c r="AH103" s="385"/>
      <c r="AI103" s="260">
        <f t="shared" si="126"/>
        <v>87600.329812322248</v>
      </c>
      <c r="AJ103" s="212"/>
      <c r="AK103" s="260">
        <f t="shared" si="127"/>
        <v>16691.140239375363</v>
      </c>
      <c r="AL103" s="212"/>
      <c r="AM103" s="260">
        <f t="shared" si="128"/>
        <v>93637.071491340612</v>
      </c>
      <c r="AN103" s="212"/>
      <c r="AO103" s="260">
        <f t="shared" si="129"/>
        <v>0</v>
      </c>
      <c r="AP103" s="212"/>
      <c r="AQ103" s="260">
        <f t="shared" si="130"/>
        <v>0</v>
      </c>
      <c r="AR103" s="212"/>
      <c r="AS103" s="260">
        <f t="shared" si="131"/>
        <v>0</v>
      </c>
      <c r="AT103" s="212"/>
      <c r="AU103" s="260">
        <f t="shared" si="132"/>
        <v>0</v>
      </c>
      <c r="AV103" s="212"/>
      <c r="AW103" s="260">
        <f t="shared" si="133"/>
        <v>12298.734913223952</v>
      </c>
      <c r="AX103" s="212"/>
      <c r="AY103" s="260">
        <f t="shared" si="134"/>
        <v>15046.803886508425</v>
      </c>
      <c r="BA103" s="175"/>
      <c r="BB103" s="145"/>
      <c r="BC103" s="145"/>
      <c r="BD103" s="145"/>
    </row>
    <row r="104" spans="1:56" x14ac:dyDescent="0.2">
      <c r="A104" s="146"/>
      <c r="B104" s="146"/>
      <c r="D104" s="488">
        <v>601.6</v>
      </c>
      <c r="F104" s="216" t="s">
        <v>745</v>
      </c>
      <c r="G104" s="139"/>
      <c r="H104" s="261">
        <v>10</v>
      </c>
      <c r="I104" s="216"/>
      <c r="J104" s="312">
        <v>342695.99205871165</v>
      </c>
      <c r="K104" s="386"/>
      <c r="L104" s="260">
        <f t="shared" si="117"/>
        <v>282381.49745637842</v>
      </c>
      <c r="M104" s="212"/>
      <c r="N104" s="260">
        <f t="shared" si="118"/>
        <v>38793.18630104616</v>
      </c>
      <c r="O104" s="212"/>
      <c r="P104" s="260">
        <f t="shared" si="119"/>
        <v>411.23519047045397</v>
      </c>
      <c r="Q104" s="212"/>
      <c r="R104" s="260">
        <f t="shared" si="120"/>
        <v>4797.7438888219631</v>
      </c>
      <c r="S104" s="212"/>
      <c r="T104" s="260">
        <f t="shared" si="121"/>
        <v>205.61759523522699</v>
      </c>
      <c r="U104" s="212"/>
      <c r="V104" s="260">
        <f t="shared" si="122"/>
        <v>16106.711626759448</v>
      </c>
      <c r="W104" s="212"/>
      <c r="X104" s="260">
        <f t="shared" si="123"/>
        <v>0</v>
      </c>
      <c r="Y104" s="212"/>
      <c r="Z104" s="212"/>
      <c r="AC104" s="216" t="s">
        <v>745</v>
      </c>
      <c r="AE104" s="239">
        <f t="shared" si="124"/>
        <v>10</v>
      </c>
      <c r="AG104" s="312">
        <f t="shared" si="125"/>
        <v>342695.99205871165</v>
      </c>
      <c r="AH104" s="386"/>
      <c r="AI104" s="260">
        <f t="shared" si="126"/>
        <v>0</v>
      </c>
      <c r="AJ104" s="212"/>
      <c r="AK104" s="260">
        <f t="shared" si="127"/>
        <v>0</v>
      </c>
      <c r="AL104" s="212"/>
      <c r="AM104" s="260">
        <f t="shared" si="128"/>
        <v>0</v>
      </c>
      <c r="AN104" s="212"/>
      <c r="AO104" s="260">
        <f t="shared" si="129"/>
        <v>0</v>
      </c>
      <c r="AP104" s="212"/>
      <c r="AQ104" s="260">
        <f t="shared" si="130"/>
        <v>326589.28043195221</v>
      </c>
      <c r="AR104" s="212"/>
      <c r="AS104" s="260">
        <f t="shared" si="131"/>
        <v>0</v>
      </c>
      <c r="AT104" s="212"/>
      <c r="AU104" s="260">
        <f t="shared" si="132"/>
        <v>0</v>
      </c>
      <c r="AV104" s="212"/>
      <c r="AW104" s="260">
        <f t="shared" si="133"/>
        <v>16106.711626759448</v>
      </c>
      <c r="AX104" s="212"/>
      <c r="AY104" s="260">
        <f t="shared" si="134"/>
        <v>0</v>
      </c>
      <c r="BA104" s="175"/>
      <c r="BB104" s="145"/>
      <c r="BC104" s="145"/>
      <c r="BD104" s="145"/>
    </row>
    <row r="105" spans="1:56" x14ac:dyDescent="0.2">
      <c r="A105" s="146"/>
      <c r="B105" s="146"/>
      <c r="D105" s="488">
        <v>601.6</v>
      </c>
      <c r="F105" s="216" t="s">
        <v>607</v>
      </c>
      <c r="G105" s="139"/>
      <c r="H105" s="261">
        <v>9</v>
      </c>
      <c r="I105" s="216"/>
      <c r="J105" s="312">
        <v>39565.424010798866</v>
      </c>
      <c r="K105" s="385"/>
      <c r="L105" s="260">
        <f t="shared" si="117"/>
        <v>32720.60565693066</v>
      </c>
      <c r="M105" s="212"/>
      <c r="N105" s="260">
        <f t="shared" si="118"/>
        <v>5190.9836302168114</v>
      </c>
      <c r="O105" s="212"/>
      <c r="P105" s="260">
        <f t="shared" si="119"/>
        <v>162.21823844427536</v>
      </c>
      <c r="Q105" s="212"/>
      <c r="R105" s="260">
        <f t="shared" si="120"/>
        <v>937.70054905593304</v>
      </c>
      <c r="S105" s="212"/>
      <c r="T105" s="260">
        <f t="shared" si="121"/>
        <v>94.957017625917274</v>
      </c>
      <c r="U105" s="212"/>
      <c r="V105" s="260">
        <f t="shared" si="122"/>
        <v>458.95891852526682</v>
      </c>
      <c r="W105" s="212"/>
      <c r="X105" s="260">
        <f t="shared" si="123"/>
        <v>0</v>
      </c>
      <c r="Y105" s="212"/>
      <c r="Z105" s="212"/>
      <c r="AC105" s="216" t="s">
        <v>607</v>
      </c>
      <c r="AE105" s="239">
        <f t="shared" si="124"/>
        <v>9</v>
      </c>
      <c r="AG105" s="312">
        <f t="shared" si="125"/>
        <v>39565.424010798866</v>
      </c>
      <c r="AH105" s="385"/>
      <c r="AI105" s="260">
        <f t="shared" si="126"/>
        <v>0</v>
      </c>
      <c r="AJ105" s="212"/>
      <c r="AK105" s="260">
        <f t="shared" si="127"/>
        <v>0</v>
      </c>
      <c r="AL105" s="212"/>
      <c r="AM105" s="260">
        <f t="shared" si="128"/>
        <v>0</v>
      </c>
      <c r="AN105" s="212"/>
      <c r="AO105" s="260">
        <f t="shared" si="129"/>
        <v>39106.465092273596</v>
      </c>
      <c r="AP105" s="212"/>
      <c r="AQ105" s="260">
        <f t="shared" si="130"/>
        <v>0</v>
      </c>
      <c r="AR105" s="212"/>
      <c r="AS105" s="260">
        <f t="shared" si="131"/>
        <v>0</v>
      </c>
      <c r="AT105" s="212"/>
      <c r="AU105" s="260">
        <f t="shared" si="132"/>
        <v>0</v>
      </c>
      <c r="AV105" s="212"/>
      <c r="AW105" s="260">
        <f t="shared" si="133"/>
        <v>458.95891852526682</v>
      </c>
      <c r="AX105" s="212"/>
      <c r="AY105" s="260">
        <f t="shared" si="134"/>
        <v>0</v>
      </c>
      <c r="BA105" s="175"/>
      <c r="BB105" s="145"/>
      <c r="BC105" s="145"/>
      <c r="BD105" s="145"/>
    </row>
    <row r="106" spans="1:56" x14ac:dyDescent="0.2">
      <c r="A106" s="146"/>
      <c r="B106" s="146"/>
      <c r="D106" s="488">
        <v>601.6</v>
      </c>
      <c r="F106" s="216" t="s">
        <v>608</v>
      </c>
      <c r="G106" s="139"/>
      <c r="H106" s="261">
        <v>8</v>
      </c>
      <c r="I106" s="216"/>
      <c r="J106" s="312">
        <v>178232.30524626779</v>
      </c>
      <c r="K106" s="385"/>
      <c r="L106" s="260">
        <f t="shared" si="117"/>
        <v>0</v>
      </c>
      <c r="M106" s="212"/>
      <c r="N106" s="260">
        <f t="shared" si="118"/>
        <v>0</v>
      </c>
      <c r="O106" s="212"/>
      <c r="P106" s="260">
        <f t="shared" si="119"/>
        <v>0</v>
      </c>
      <c r="Q106" s="212"/>
      <c r="R106" s="260">
        <f t="shared" si="120"/>
        <v>0</v>
      </c>
      <c r="S106" s="212"/>
      <c r="T106" s="260">
        <f t="shared" si="121"/>
        <v>0</v>
      </c>
      <c r="U106" s="212"/>
      <c r="V106" s="260">
        <f t="shared" si="122"/>
        <v>0</v>
      </c>
      <c r="W106" s="212"/>
      <c r="X106" s="260">
        <f t="shared" si="123"/>
        <v>178232.30524626779</v>
      </c>
      <c r="Y106" s="212"/>
      <c r="Z106" s="212"/>
      <c r="AC106" s="216" t="s">
        <v>608</v>
      </c>
      <c r="AE106" s="239">
        <f t="shared" si="124"/>
        <v>8</v>
      </c>
      <c r="AG106" s="312">
        <f t="shared" si="125"/>
        <v>178232.30524626779</v>
      </c>
      <c r="AH106" s="385"/>
      <c r="AI106" s="260">
        <f t="shared" si="126"/>
        <v>0</v>
      </c>
      <c r="AJ106" s="212"/>
      <c r="AK106" s="260">
        <f t="shared" si="127"/>
        <v>0</v>
      </c>
      <c r="AL106" s="212"/>
      <c r="AM106" s="260">
        <f t="shared" si="128"/>
        <v>0</v>
      </c>
      <c r="AN106" s="212"/>
      <c r="AO106" s="260">
        <f t="shared" si="129"/>
        <v>0</v>
      </c>
      <c r="AP106" s="212"/>
      <c r="AQ106" s="260">
        <f t="shared" si="130"/>
        <v>0</v>
      </c>
      <c r="AR106" s="212"/>
      <c r="AS106" s="260">
        <f t="shared" si="131"/>
        <v>0</v>
      </c>
      <c r="AT106" s="212"/>
      <c r="AU106" s="260">
        <f t="shared" si="132"/>
        <v>0</v>
      </c>
      <c r="AV106" s="212"/>
      <c r="AW106" s="260">
        <f t="shared" si="133"/>
        <v>0</v>
      </c>
      <c r="AX106" s="212"/>
      <c r="AY106" s="260">
        <f t="shared" si="134"/>
        <v>178232.30524626779</v>
      </c>
      <c r="BA106" s="175"/>
      <c r="BB106" s="145"/>
      <c r="BC106" s="145"/>
      <c r="BD106" s="145"/>
    </row>
    <row r="107" spans="1:56" x14ac:dyDescent="0.2">
      <c r="A107" s="146"/>
      <c r="B107" s="146"/>
      <c r="D107" s="488">
        <v>620.6</v>
      </c>
      <c r="F107" s="216" t="s">
        <v>794</v>
      </c>
      <c r="G107" s="139"/>
      <c r="H107" s="261">
        <v>12</v>
      </c>
      <c r="I107" s="385"/>
      <c r="J107" s="313">
        <v>276600</v>
      </c>
      <c r="K107" s="385"/>
      <c r="L107" s="480">
        <f t="shared" si="117"/>
        <v>143195.82</v>
      </c>
      <c r="M107" s="478"/>
      <c r="N107" s="480">
        <f t="shared" si="118"/>
        <v>46966.68</v>
      </c>
      <c r="O107" s="478"/>
      <c r="P107" s="480">
        <f t="shared" si="119"/>
        <v>4702.2000000000007</v>
      </c>
      <c r="Q107" s="478"/>
      <c r="R107" s="480">
        <f t="shared" si="120"/>
        <v>12529.98</v>
      </c>
      <c r="S107" s="478"/>
      <c r="T107" s="480">
        <f t="shared" si="121"/>
        <v>857.45999999999992</v>
      </c>
      <c r="U107" s="478"/>
      <c r="V107" s="480">
        <f t="shared" si="122"/>
        <v>11285.28</v>
      </c>
      <c r="W107" s="478"/>
      <c r="X107" s="480">
        <f t="shared" si="123"/>
        <v>57062.58</v>
      </c>
      <c r="Y107" s="478"/>
      <c r="Z107" s="478"/>
      <c r="AA107" s="146"/>
      <c r="AB107" s="146"/>
      <c r="AC107" s="216" t="s">
        <v>794</v>
      </c>
      <c r="AD107" s="146"/>
      <c r="AE107" s="494">
        <f t="shared" si="124"/>
        <v>12</v>
      </c>
      <c r="AF107" s="146"/>
      <c r="AG107" s="313">
        <f t="shared" si="125"/>
        <v>276600</v>
      </c>
      <c r="AH107" s="385"/>
      <c r="AI107" s="480">
        <f t="shared" si="126"/>
        <v>47824.14</v>
      </c>
      <c r="AJ107" s="478"/>
      <c r="AK107" s="480">
        <f t="shared" si="127"/>
        <v>9072.4800000000014</v>
      </c>
      <c r="AL107" s="478"/>
      <c r="AM107" s="480">
        <f t="shared" si="128"/>
        <v>51226.32</v>
      </c>
      <c r="AN107" s="478"/>
      <c r="AO107" s="480">
        <f t="shared" si="129"/>
        <v>10704.42</v>
      </c>
      <c r="AP107" s="478"/>
      <c r="AQ107" s="480">
        <f t="shared" si="130"/>
        <v>89424.78</v>
      </c>
      <c r="AR107" s="478"/>
      <c r="AS107" s="480">
        <f t="shared" si="131"/>
        <v>0</v>
      </c>
      <c r="AT107" s="478"/>
      <c r="AU107" s="480">
        <f t="shared" si="132"/>
        <v>0</v>
      </c>
      <c r="AV107" s="478"/>
      <c r="AW107" s="480">
        <f t="shared" si="133"/>
        <v>11285.28</v>
      </c>
      <c r="AX107" s="478"/>
      <c r="AY107" s="480">
        <f t="shared" si="134"/>
        <v>57062.58</v>
      </c>
      <c r="AZ107" s="146"/>
      <c r="BA107" s="175"/>
      <c r="BB107" s="387"/>
      <c r="BC107" s="387"/>
      <c r="BD107" s="145"/>
    </row>
    <row r="108" spans="1:56" x14ac:dyDescent="0.2">
      <c r="A108" s="146"/>
      <c r="B108" s="146"/>
      <c r="D108" s="488">
        <v>675.6</v>
      </c>
      <c r="F108" s="216" t="s">
        <v>814</v>
      </c>
      <c r="G108" s="139"/>
      <c r="H108" s="261">
        <v>12</v>
      </c>
      <c r="I108" s="385"/>
      <c r="J108" s="313">
        <v>27600</v>
      </c>
      <c r="K108" s="385"/>
      <c r="L108" s="480">
        <f t="shared" si="117"/>
        <v>14288.520000000002</v>
      </c>
      <c r="M108" s="385"/>
      <c r="N108" s="480">
        <f t="shared" si="118"/>
        <v>4686.4800000000005</v>
      </c>
      <c r="O108" s="385"/>
      <c r="P108" s="480">
        <f t="shared" si="119"/>
        <v>469.20000000000005</v>
      </c>
      <c r="Q108" s="385"/>
      <c r="R108" s="480">
        <f t="shared" si="120"/>
        <v>1250.28</v>
      </c>
      <c r="S108" s="385"/>
      <c r="T108" s="480">
        <f t="shared" si="121"/>
        <v>85.56</v>
      </c>
      <c r="U108" s="385"/>
      <c r="V108" s="480">
        <f t="shared" si="122"/>
        <v>1126.0800000000002</v>
      </c>
      <c r="W108" s="385"/>
      <c r="X108" s="480">
        <f t="shared" si="123"/>
        <v>5693.88</v>
      </c>
      <c r="Y108" s="385"/>
      <c r="Z108" s="478"/>
      <c r="AA108" s="146"/>
      <c r="AB108" s="146"/>
      <c r="AC108" s="216" t="s">
        <v>814</v>
      </c>
      <c r="AD108" s="146"/>
      <c r="AE108" s="494">
        <f t="shared" si="124"/>
        <v>12</v>
      </c>
      <c r="AF108" s="146"/>
      <c r="AG108" s="313">
        <f t="shared" si="125"/>
        <v>27600</v>
      </c>
      <c r="AH108" s="385"/>
      <c r="AI108" s="480">
        <f t="shared" si="126"/>
        <v>4772.04</v>
      </c>
      <c r="AJ108" s="385"/>
      <c r="AK108" s="480">
        <f t="shared" si="127"/>
        <v>905.28000000000009</v>
      </c>
      <c r="AL108" s="385"/>
      <c r="AM108" s="480">
        <f t="shared" si="128"/>
        <v>5111.5200000000004</v>
      </c>
      <c r="AN108" s="385"/>
      <c r="AO108" s="480">
        <f t="shared" si="129"/>
        <v>1068.1199999999999</v>
      </c>
      <c r="AP108" s="385"/>
      <c r="AQ108" s="480">
        <f t="shared" si="130"/>
        <v>8923.08</v>
      </c>
      <c r="AR108" s="385"/>
      <c r="AS108" s="480">
        <f t="shared" si="131"/>
        <v>0</v>
      </c>
      <c r="AT108" s="385"/>
      <c r="AU108" s="480">
        <f t="shared" si="132"/>
        <v>0</v>
      </c>
      <c r="AV108" s="385"/>
      <c r="AW108" s="480">
        <f t="shared" si="133"/>
        <v>1126.0800000000002</v>
      </c>
      <c r="AX108" s="385"/>
      <c r="AY108" s="480">
        <f t="shared" si="134"/>
        <v>5693.88</v>
      </c>
      <c r="AZ108" s="146"/>
      <c r="BA108" s="175"/>
      <c r="BB108" s="387"/>
      <c r="BC108" s="387"/>
      <c r="BD108" s="145"/>
    </row>
    <row r="109" spans="1:56" x14ac:dyDescent="0.2">
      <c r="A109" s="146"/>
      <c r="B109" s="146"/>
      <c r="D109" s="488">
        <v>675.6</v>
      </c>
      <c r="F109" s="216" t="s">
        <v>817</v>
      </c>
      <c r="G109" s="139"/>
      <c r="H109" s="261">
        <v>12</v>
      </c>
      <c r="I109" s="216"/>
      <c r="J109" s="313">
        <v>268298.34919237584</v>
      </c>
      <c r="K109" s="385"/>
      <c r="L109" s="480">
        <f t="shared" si="117"/>
        <v>138898.055376893</v>
      </c>
      <c r="M109" s="385"/>
      <c r="N109" s="480">
        <f t="shared" si="118"/>
        <v>45557.059692865419</v>
      </c>
      <c r="O109" s="385"/>
      <c r="P109" s="480">
        <f t="shared" si="119"/>
        <v>4561.0719362703894</v>
      </c>
      <c r="Q109" s="385"/>
      <c r="R109" s="480">
        <f t="shared" si="120"/>
        <v>12153.915218414626</v>
      </c>
      <c r="S109" s="385"/>
      <c r="T109" s="480">
        <f t="shared" si="121"/>
        <v>831.72488249636513</v>
      </c>
      <c r="U109" s="385"/>
      <c r="V109" s="480">
        <f t="shared" si="122"/>
        <v>10946.572647048935</v>
      </c>
      <c r="W109" s="385"/>
      <c r="X109" s="480">
        <f t="shared" si="123"/>
        <v>55349.949438387142</v>
      </c>
      <c r="Y109" s="385"/>
      <c r="Z109" s="478"/>
      <c r="AC109" s="216" t="s">
        <v>817</v>
      </c>
      <c r="AE109" s="239">
        <f t="shared" si="124"/>
        <v>12</v>
      </c>
      <c r="AG109" s="313">
        <f t="shared" si="125"/>
        <v>268298.34919237584</v>
      </c>
      <c r="AH109" s="385"/>
      <c r="AI109" s="480">
        <f t="shared" si="126"/>
        <v>46388.78457536178</v>
      </c>
      <c r="AJ109" s="385"/>
      <c r="AK109" s="480">
        <f t="shared" si="127"/>
        <v>8800.1858535099291</v>
      </c>
      <c r="AL109" s="385"/>
      <c r="AM109" s="480">
        <f t="shared" si="128"/>
        <v>49688.854270428004</v>
      </c>
      <c r="AN109" s="385"/>
      <c r="AO109" s="480">
        <f t="shared" si="129"/>
        <v>10383.146113744944</v>
      </c>
      <c r="AP109" s="385"/>
      <c r="AQ109" s="480">
        <f t="shared" si="130"/>
        <v>86740.856293895107</v>
      </c>
      <c r="AR109" s="385"/>
      <c r="AS109" s="480">
        <f t="shared" si="131"/>
        <v>0</v>
      </c>
      <c r="AT109" s="385"/>
      <c r="AU109" s="480">
        <f t="shared" si="132"/>
        <v>0</v>
      </c>
      <c r="AV109" s="385"/>
      <c r="AW109" s="480">
        <f t="shared" si="133"/>
        <v>10946.572647048935</v>
      </c>
      <c r="AX109" s="385"/>
      <c r="AY109" s="480">
        <f t="shared" si="134"/>
        <v>55349.949438387142</v>
      </c>
      <c r="BA109" s="175"/>
      <c r="BB109" s="145"/>
      <c r="BC109" s="145"/>
      <c r="BD109" s="145"/>
    </row>
    <row r="110" spans="1:56" x14ac:dyDescent="0.2">
      <c r="A110" s="146"/>
      <c r="B110" s="146"/>
      <c r="D110" s="488">
        <v>675.6</v>
      </c>
      <c r="F110" s="216" t="s">
        <v>818</v>
      </c>
      <c r="G110" s="139"/>
      <c r="H110" s="261">
        <v>7</v>
      </c>
      <c r="I110" s="216"/>
      <c r="J110" s="389">
        <v>222000</v>
      </c>
      <c r="K110" s="385"/>
      <c r="L110" s="549">
        <f t="shared" si="117"/>
        <v>102674.99999999999</v>
      </c>
      <c r="M110" s="385"/>
      <c r="N110" s="549">
        <f t="shared" si="118"/>
        <v>63025.799999999996</v>
      </c>
      <c r="O110" s="385"/>
      <c r="P110" s="549">
        <f t="shared" si="119"/>
        <v>8191.8</v>
      </c>
      <c r="Q110" s="385"/>
      <c r="R110" s="549">
        <f t="shared" si="120"/>
        <v>19758</v>
      </c>
      <c r="S110" s="385"/>
      <c r="T110" s="549">
        <f t="shared" si="121"/>
        <v>1398.6</v>
      </c>
      <c r="U110" s="385"/>
      <c r="V110" s="549">
        <f t="shared" si="122"/>
        <v>12121.199999999999</v>
      </c>
      <c r="W110" s="385"/>
      <c r="X110" s="549">
        <f t="shared" si="123"/>
        <v>14829.6</v>
      </c>
      <c r="Y110" s="385"/>
      <c r="Z110" s="478"/>
      <c r="AC110" s="216" t="s">
        <v>818</v>
      </c>
      <c r="AE110" s="239">
        <f t="shared" si="124"/>
        <v>7</v>
      </c>
      <c r="AG110" s="389">
        <f t="shared" si="125"/>
        <v>222000</v>
      </c>
      <c r="AH110" s="385"/>
      <c r="AI110" s="549">
        <f t="shared" si="126"/>
        <v>86335.799999999988</v>
      </c>
      <c r="AJ110" s="385"/>
      <c r="AK110" s="549">
        <f t="shared" si="127"/>
        <v>16450.2</v>
      </c>
      <c r="AL110" s="385"/>
      <c r="AM110" s="549">
        <f t="shared" si="128"/>
        <v>92285.400000000009</v>
      </c>
      <c r="AN110" s="385"/>
      <c r="AO110" s="549">
        <f t="shared" si="129"/>
        <v>0</v>
      </c>
      <c r="AP110" s="385"/>
      <c r="AQ110" s="549">
        <f t="shared" si="130"/>
        <v>0</v>
      </c>
      <c r="AR110" s="385"/>
      <c r="AS110" s="549">
        <f t="shared" si="131"/>
        <v>0</v>
      </c>
      <c r="AT110" s="385"/>
      <c r="AU110" s="549">
        <f t="shared" si="132"/>
        <v>0</v>
      </c>
      <c r="AV110" s="385"/>
      <c r="AW110" s="549">
        <f t="shared" si="133"/>
        <v>12121.199999999999</v>
      </c>
      <c r="AX110" s="385"/>
      <c r="AY110" s="549">
        <f t="shared" si="134"/>
        <v>14829.6</v>
      </c>
      <c r="BA110" s="175"/>
      <c r="BB110" s="145"/>
      <c r="BC110" s="145"/>
      <c r="BD110" s="145"/>
    </row>
    <row r="111" spans="1:56" x14ac:dyDescent="0.2">
      <c r="A111" s="146"/>
      <c r="B111" s="146"/>
      <c r="F111" s="216"/>
      <c r="G111" s="139"/>
      <c r="H111" s="261"/>
      <c r="I111" s="216"/>
      <c r="J111" s="312"/>
      <c r="K111" s="385"/>
      <c r="L111" s="386"/>
      <c r="M111" s="385"/>
      <c r="N111" s="386"/>
      <c r="O111" s="385"/>
      <c r="P111" s="386"/>
      <c r="Q111" s="385"/>
      <c r="R111" s="386"/>
      <c r="S111" s="385"/>
      <c r="T111" s="386"/>
      <c r="U111" s="385"/>
      <c r="V111" s="386"/>
      <c r="W111" s="385"/>
      <c r="X111" s="386"/>
      <c r="Y111" s="385"/>
      <c r="Z111" s="175"/>
      <c r="AC111" s="216"/>
      <c r="AE111" s="239"/>
      <c r="AG111" s="312"/>
      <c r="AH111" s="385"/>
      <c r="AI111" s="386"/>
      <c r="AJ111" s="385"/>
      <c r="AK111" s="386"/>
      <c r="AL111" s="385"/>
      <c r="AM111" s="386"/>
      <c r="AN111" s="385"/>
      <c r="AO111" s="386"/>
      <c r="AP111" s="385"/>
      <c r="AQ111" s="386"/>
      <c r="AR111" s="385"/>
      <c r="AS111" s="386"/>
      <c r="AT111" s="385"/>
      <c r="AU111" s="386"/>
      <c r="AV111" s="385"/>
      <c r="AW111" s="386"/>
      <c r="AX111" s="385"/>
      <c r="AY111" s="386"/>
      <c r="BA111" s="175"/>
      <c r="BB111" s="145"/>
      <c r="BC111" s="145"/>
      <c r="BD111" s="145"/>
    </row>
    <row r="112" spans="1:56" x14ac:dyDescent="0.2">
      <c r="A112" s="146"/>
      <c r="B112" s="146"/>
      <c r="F112" s="216" t="s">
        <v>14</v>
      </c>
      <c r="G112" s="139"/>
      <c r="H112" s="261"/>
      <c r="I112" s="216"/>
      <c r="J112" s="389">
        <f>SUM(J100:J111)</f>
        <v>1658750.7333589545</v>
      </c>
      <c r="K112" s="216"/>
      <c r="L112" s="389">
        <f>SUM(L100:L111)</f>
        <v>858749.16210778395</v>
      </c>
      <c r="M112" s="216"/>
      <c r="N112" s="389">
        <f>SUM(N100:N111)</f>
        <v>281691.83840353671</v>
      </c>
      <c r="O112" s="216"/>
      <c r="P112" s="389">
        <f>SUM(P100:P111)</f>
        <v>28178.975125966237</v>
      </c>
      <c r="Q112" s="216"/>
      <c r="R112" s="389">
        <f>SUM(R100:R111)</f>
        <v>75103.122930010315</v>
      </c>
      <c r="S112" s="216"/>
      <c r="T112" s="389">
        <f>SUM(T100:T111)</f>
        <v>5178.7387921599657</v>
      </c>
      <c r="U112" s="216"/>
      <c r="V112" s="389">
        <f>SUM(V100:V111)</f>
        <v>67658.228141398271</v>
      </c>
      <c r="W112" s="216"/>
      <c r="X112" s="389">
        <f>SUM(X100:X111)</f>
        <v>342190.66785809927</v>
      </c>
      <c r="Y112" s="216"/>
      <c r="Z112" s="175"/>
      <c r="AC112" s="216" t="s">
        <v>14</v>
      </c>
      <c r="AD112" s="139"/>
      <c r="AE112" s="261"/>
      <c r="AF112" s="216"/>
      <c r="AG112" s="389">
        <f>SUM(AG100:AG111)</f>
        <v>1658750.7333589545</v>
      </c>
      <c r="AH112" s="216"/>
      <c r="AI112" s="389">
        <f>SUM(AI100:AI111)</f>
        <v>286828.17914588423</v>
      </c>
      <c r="AJ112" s="216"/>
      <c r="AK112" s="389">
        <f>SUM(AK100:AK111)</f>
        <v>54419.615521884247</v>
      </c>
      <c r="AL112" s="216"/>
      <c r="AM112" s="389">
        <f>SUM(AM100:AM111)</f>
        <v>307163.52072943829</v>
      </c>
      <c r="AN112" s="216"/>
      <c r="AO112" s="389">
        <f>SUM(AO100:AO111)</f>
        <v>64212.235014014259</v>
      </c>
      <c r="AP112" s="216"/>
      <c r="AQ112" s="389">
        <f>SUM(AQ100:AQ111)</f>
        <v>536323.01210375468</v>
      </c>
      <c r="AR112" s="216"/>
      <c r="AS112" s="389">
        <f>SUM(AS100:AS111)</f>
        <v>0</v>
      </c>
      <c r="AT112" s="216"/>
      <c r="AU112" s="389">
        <f>SUM(AU100:AU111)</f>
        <v>0</v>
      </c>
      <c r="AV112" s="216"/>
      <c r="AW112" s="389">
        <f>SUM(AW100:AW111)</f>
        <v>67658.228141398271</v>
      </c>
      <c r="AX112" s="216"/>
      <c r="AY112" s="389">
        <f>SUM(AY100:AY111)</f>
        <v>342190.66785809927</v>
      </c>
      <c r="BA112" s="175"/>
      <c r="BB112" s="145"/>
      <c r="BC112" s="145"/>
      <c r="BD112" s="145"/>
    </row>
    <row r="113" spans="1:56" x14ac:dyDescent="0.2">
      <c r="A113" s="146"/>
      <c r="B113" s="146"/>
      <c r="F113" s="216"/>
      <c r="G113" s="139"/>
      <c r="H113" s="261"/>
      <c r="I113" s="216"/>
      <c r="J113" s="312"/>
      <c r="K113" s="216"/>
      <c r="L113" s="312"/>
      <c r="M113" s="216"/>
      <c r="N113" s="312"/>
      <c r="O113" s="216"/>
      <c r="P113" s="312"/>
      <c r="Q113" s="216"/>
      <c r="R113" s="312"/>
      <c r="S113" s="216"/>
      <c r="T113" s="312"/>
      <c r="U113" s="216"/>
      <c r="V113" s="312"/>
      <c r="W113" s="216"/>
      <c r="X113" s="312"/>
      <c r="Y113" s="216"/>
      <c r="Z113" s="175"/>
      <c r="AC113" s="216"/>
      <c r="AD113" s="139"/>
      <c r="AE113" s="261"/>
      <c r="AF113" s="216"/>
      <c r="AG113" s="312"/>
      <c r="AH113" s="216"/>
      <c r="AI113" s="312"/>
      <c r="AJ113" s="216"/>
      <c r="AK113" s="312"/>
      <c r="AL113" s="216"/>
      <c r="AM113" s="312"/>
      <c r="AN113" s="216"/>
      <c r="AO113" s="312"/>
      <c r="AP113" s="216"/>
      <c r="AQ113" s="312"/>
      <c r="AR113" s="216"/>
      <c r="AS113" s="312"/>
      <c r="AT113" s="216"/>
      <c r="AU113" s="312"/>
      <c r="AV113" s="216"/>
      <c r="AW113" s="312"/>
      <c r="AX113" s="216"/>
      <c r="AY113" s="312"/>
      <c r="BA113" s="175"/>
      <c r="BB113" s="145"/>
      <c r="BC113" s="145"/>
      <c r="BD113" s="145"/>
    </row>
    <row r="114" spans="1:56" x14ac:dyDescent="0.2">
      <c r="A114" s="146"/>
      <c r="B114" s="146"/>
      <c r="F114" s="216" t="s">
        <v>128</v>
      </c>
      <c r="G114" s="139"/>
      <c r="H114" s="261"/>
      <c r="I114" s="216"/>
      <c r="J114" s="312">
        <f>J112+J96</f>
        <v>4097220.6074468466</v>
      </c>
      <c r="K114" s="216"/>
      <c r="L114" s="312">
        <f>L112+L96</f>
        <v>2694177.1627862076</v>
      </c>
      <c r="M114" s="216"/>
      <c r="N114" s="312">
        <f>N112+N96</f>
        <v>677474.82548586756</v>
      </c>
      <c r="O114" s="216"/>
      <c r="P114" s="312">
        <f>P112+P96</f>
        <v>54501.277591492006</v>
      </c>
      <c r="Q114" s="216"/>
      <c r="R114" s="312">
        <f>R112+R96</f>
        <v>165333.47330509624</v>
      </c>
      <c r="S114" s="216"/>
      <c r="T114" s="312">
        <f>T112+T96</f>
        <v>12976.658699429081</v>
      </c>
      <c r="U114" s="216"/>
      <c r="V114" s="312">
        <f>V112+V96</f>
        <v>117387.16361670845</v>
      </c>
      <c r="W114" s="216"/>
      <c r="X114" s="312">
        <f>X112+X96</f>
        <v>375370.04596204654</v>
      </c>
      <c r="Y114" s="216"/>
      <c r="Z114" s="175"/>
      <c r="AC114" s="216" t="s">
        <v>128</v>
      </c>
      <c r="AD114" s="139"/>
      <c r="AE114" s="261"/>
      <c r="AF114" s="216"/>
      <c r="AG114" s="312">
        <f>AG112+AG96</f>
        <v>4097220.6074468466</v>
      </c>
      <c r="AH114" s="216"/>
      <c r="AI114" s="312">
        <f>AI112+AI96</f>
        <v>480336.64639991382</v>
      </c>
      <c r="AJ114" s="216"/>
      <c r="AK114" s="312">
        <f>AK112+AK96</f>
        <v>91246.084321126138</v>
      </c>
      <c r="AL114" s="216"/>
      <c r="AM114" s="312">
        <f>AM112+AM96</f>
        <v>513742.89459008147</v>
      </c>
      <c r="AN114" s="216"/>
      <c r="AO114" s="312">
        <f>AO112+AO96</f>
        <v>1981867.7407337723</v>
      </c>
      <c r="AP114" s="216"/>
      <c r="AQ114" s="312">
        <f>AQ112+AQ96</f>
        <v>537333.08672870765</v>
      </c>
      <c r="AR114" s="216"/>
      <c r="AS114" s="312">
        <f>AS112+AS96</f>
        <v>0</v>
      </c>
      <c r="AT114" s="216"/>
      <c r="AU114" s="312">
        <f>AU112+AU96</f>
        <v>0</v>
      </c>
      <c r="AV114" s="216"/>
      <c r="AW114" s="312">
        <f>AW112+AW96</f>
        <v>117387.16361670845</v>
      </c>
      <c r="AX114" s="216"/>
      <c r="AY114" s="312">
        <f>AY112+AY96</f>
        <v>375370.04596204654</v>
      </c>
      <c r="BA114" s="175"/>
      <c r="BB114" s="145"/>
      <c r="BC114" s="145"/>
      <c r="BD114" s="145"/>
    </row>
    <row r="115" spans="1:56" x14ac:dyDescent="0.2">
      <c r="A115" s="146"/>
      <c r="B115" s="146"/>
      <c r="F115" s="216"/>
      <c r="G115" s="139"/>
      <c r="H115" s="261"/>
      <c r="I115" s="216"/>
      <c r="J115" s="312"/>
      <c r="K115" s="385"/>
      <c r="L115" s="386"/>
      <c r="M115" s="387"/>
      <c r="N115" s="386"/>
      <c r="O115" s="387"/>
      <c r="P115" s="386"/>
      <c r="Q115" s="387"/>
      <c r="R115" s="386"/>
      <c r="S115" s="387"/>
      <c r="T115" s="386"/>
      <c r="U115" s="387"/>
      <c r="V115" s="386"/>
      <c r="W115" s="387"/>
      <c r="X115" s="386"/>
      <c r="Z115" s="175"/>
      <c r="AC115" s="216"/>
      <c r="AE115" s="239"/>
      <c r="AG115" s="312"/>
      <c r="AH115" s="385"/>
      <c r="AI115" s="386"/>
      <c r="AJ115" s="387"/>
      <c r="AK115" s="386"/>
      <c r="AL115" s="387"/>
      <c r="AM115" s="386"/>
      <c r="AN115" s="387"/>
      <c r="AO115" s="386"/>
      <c r="AP115" s="387"/>
      <c r="AQ115" s="386"/>
      <c r="AR115" s="387"/>
      <c r="AS115" s="386"/>
      <c r="AT115" s="387"/>
      <c r="AU115" s="386"/>
      <c r="AV115" s="387"/>
      <c r="AW115" s="386"/>
      <c r="AX115" s="387"/>
      <c r="AY115" s="386"/>
      <c r="BA115" s="175"/>
      <c r="BB115" s="145"/>
      <c r="BC115" s="145"/>
      <c r="BD115" s="145"/>
    </row>
    <row r="116" spans="1:56" x14ac:dyDescent="0.2">
      <c r="A116" s="146"/>
      <c r="B116" s="146"/>
      <c r="F116" s="216" t="s">
        <v>339</v>
      </c>
      <c r="G116" s="139"/>
      <c r="H116" s="261"/>
      <c r="I116" s="216"/>
      <c r="J116" s="312"/>
      <c r="K116" s="385"/>
      <c r="L116" s="386"/>
      <c r="M116" s="387"/>
      <c r="N116" s="386"/>
      <c r="O116" s="387"/>
      <c r="P116" s="386"/>
      <c r="Q116" s="387"/>
      <c r="R116" s="386"/>
      <c r="S116" s="387"/>
      <c r="T116" s="386"/>
      <c r="U116" s="387"/>
      <c r="V116" s="386"/>
      <c r="W116" s="387"/>
      <c r="X116" s="386"/>
      <c r="Z116" s="175"/>
      <c r="AC116" s="216" t="s">
        <v>339</v>
      </c>
      <c r="AE116" s="239"/>
      <c r="AG116" s="312"/>
      <c r="AH116" s="385"/>
      <c r="AI116" s="386"/>
      <c r="AJ116" s="387"/>
      <c r="AK116" s="386"/>
      <c r="AL116" s="387"/>
      <c r="AM116" s="386"/>
      <c r="AN116" s="387"/>
      <c r="AO116" s="386"/>
      <c r="AP116" s="387"/>
      <c r="AQ116" s="386"/>
      <c r="AR116" s="387"/>
      <c r="AS116" s="386"/>
      <c r="AT116" s="387"/>
      <c r="AU116" s="386"/>
      <c r="AV116" s="387"/>
      <c r="AW116" s="386"/>
      <c r="AX116" s="387"/>
      <c r="AY116" s="386"/>
      <c r="BA116" s="175"/>
      <c r="BB116" s="145"/>
      <c r="BC116" s="145"/>
      <c r="BD116" s="145"/>
    </row>
    <row r="117" spans="1:56" x14ac:dyDescent="0.2">
      <c r="A117" s="146"/>
      <c r="B117" s="146"/>
      <c r="D117" s="488">
        <v>601.70000000000005</v>
      </c>
      <c r="F117" s="216" t="s">
        <v>609</v>
      </c>
      <c r="G117" s="139"/>
      <c r="H117" s="261">
        <v>14</v>
      </c>
      <c r="I117" s="216"/>
      <c r="J117" s="312">
        <v>392971.01629239856</v>
      </c>
      <c r="K117" s="385"/>
      <c r="L117" s="260">
        <f t="shared" ref="L117:L130" si="135">(VLOOKUP($H117,Factors,L$382))*$J117</f>
        <v>356778.38569186867</v>
      </c>
      <c r="M117" s="212"/>
      <c r="N117" s="260">
        <f t="shared" ref="N117:N130" si="136">(VLOOKUP($H117,Factors,N$382))*$J117</f>
        <v>28451.101579569658</v>
      </c>
      <c r="O117" s="212"/>
      <c r="P117" s="260">
        <f t="shared" ref="P117:P130" si="137">(VLOOKUP($H117,Factors,P$382))*$J117</f>
        <v>157.18840651695945</v>
      </c>
      <c r="Q117" s="212"/>
      <c r="R117" s="260">
        <f t="shared" ref="R117:R130" si="138">(VLOOKUP($H117,Factors,R$382))*$J117</f>
        <v>2436.4203010128708</v>
      </c>
      <c r="S117" s="212"/>
      <c r="T117" s="260">
        <f t="shared" ref="T117:T130" si="139">(VLOOKUP($H117,Factors,T$382))*$J117</f>
        <v>78.594203258479723</v>
      </c>
      <c r="U117" s="212"/>
      <c r="V117" s="260">
        <f t="shared" ref="V117:V130" si="140">(VLOOKUP($H117,Factors,V$382))*$J117</f>
        <v>5069.3261101719418</v>
      </c>
      <c r="W117" s="212"/>
      <c r="X117" s="260">
        <f t="shared" ref="X117:X130" si="141">(VLOOKUP($H117,Factors,X$382))*$J117</f>
        <v>0</v>
      </c>
      <c r="Y117" s="212"/>
      <c r="Z117" s="212"/>
      <c r="AC117" s="216" t="s">
        <v>609</v>
      </c>
      <c r="AE117" s="239">
        <f t="shared" ref="AE117:AE130" si="142">+H117</f>
        <v>14</v>
      </c>
      <c r="AG117" s="312">
        <f t="shared" ref="AG117:AG130" si="143">+J117</f>
        <v>392971.01629239856</v>
      </c>
      <c r="AH117" s="385"/>
      <c r="AI117" s="260">
        <f t="shared" ref="AI117:AI130" si="144">(VLOOKUP($AE117,func,AI$382))*$AG117</f>
        <v>0</v>
      </c>
      <c r="AJ117" s="212"/>
      <c r="AK117" s="260">
        <f t="shared" ref="AK117:AK130" si="145">(VLOOKUP($AE117,func,AK$382))*$AG117</f>
        <v>0</v>
      </c>
      <c r="AL117" s="212"/>
      <c r="AM117" s="260">
        <f t="shared" ref="AM117:AM130" si="146">(VLOOKUP($AE117,func,AM$382))*$AG117</f>
        <v>0</v>
      </c>
      <c r="AN117" s="212"/>
      <c r="AO117" s="260">
        <f t="shared" ref="AO117:AO130" si="147">(VLOOKUP($AE117,func,AO$382))*$AG117</f>
        <v>0</v>
      </c>
      <c r="AP117" s="212"/>
      <c r="AQ117" s="260">
        <f t="shared" ref="AQ117:AQ130" si="148">(VLOOKUP($AE117,func,AQ$382))*$AG117</f>
        <v>0</v>
      </c>
      <c r="AR117" s="212"/>
      <c r="AS117" s="260">
        <f t="shared" ref="AS117:AS130" si="149">(VLOOKUP($AE117,func,AS$382))*$AG117</f>
        <v>392971.01629239856</v>
      </c>
      <c r="AT117" s="212"/>
      <c r="AU117" s="260">
        <f t="shared" ref="AU117:AU130" si="150">(VLOOKUP($AE117,func,AU$382))*$AG117</f>
        <v>0</v>
      </c>
      <c r="AV117" s="212"/>
      <c r="AW117" s="260">
        <f t="shared" ref="AW117:AW130" si="151">(VLOOKUP($AE117,func,AW$382))*$AG117</f>
        <v>0</v>
      </c>
      <c r="AX117" s="212"/>
      <c r="AY117" s="260">
        <f t="shared" ref="AY117:AY130" si="152">(VLOOKUP($AE117,func,AY$382))*$AG117</f>
        <v>0</v>
      </c>
      <c r="BA117" s="175"/>
      <c r="BB117" s="145"/>
      <c r="BC117" s="145"/>
      <c r="BD117" s="145"/>
    </row>
    <row r="118" spans="1:56" x14ac:dyDescent="0.2">
      <c r="A118" s="146"/>
      <c r="B118" s="146"/>
      <c r="D118" s="488">
        <v>636.70000000000005</v>
      </c>
      <c r="F118" s="216" t="s">
        <v>545</v>
      </c>
      <c r="G118" s="139"/>
      <c r="H118" s="261">
        <v>13</v>
      </c>
      <c r="I118" s="216"/>
      <c r="J118" s="312">
        <v>105527.67534722156</v>
      </c>
      <c r="K118" s="385"/>
      <c r="L118" s="260">
        <f t="shared" si="135"/>
        <v>94932.696742360509</v>
      </c>
      <c r="M118" s="212"/>
      <c r="N118" s="260">
        <f t="shared" si="136"/>
        <v>7566.3343223957863</v>
      </c>
      <c r="O118" s="212"/>
      <c r="P118" s="260">
        <f t="shared" si="137"/>
        <v>42.21107013888863</v>
      </c>
      <c r="Q118" s="212"/>
      <c r="R118" s="260">
        <f t="shared" si="138"/>
        <v>654.27158715277369</v>
      </c>
      <c r="S118" s="212"/>
      <c r="T118" s="260">
        <f t="shared" si="139"/>
        <v>21.105535069444315</v>
      </c>
      <c r="U118" s="212"/>
      <c r="V118" s="260">
        <f t="shared" si="140"/>
        <v>2279.397787499986</v>
      </c>
      <c r="W118" s="212"/>
      <c r="X118" s="260">
        <f t="shared" si="141"/>
        <v>31.658302604166465</v>
      </c>
      <c r="Y118" s="212"/>
      <c r="Z118" s="212"/>
      <c r="AC118" s="216" t="s">
        <v>545</v>
      </c>
      <c r="AE118" s="239">
        <f t="shared" si="142"/>
        <v>13</v>
      </c>
      <c r="AG118" s="312">
        <f t="shared" si="143"/>
        <v>105527.67534722156</v>
      </c>
      <c r="AH118" s="385"/>
      <c r="AI118" s="260">
        <f t="shared" si="144"/>
        <v>0</v>
      </c>
      <c r="AJ118" s="212"/>
      <c r="AK118" s="260">
        <f t="shared" si="145"/>
        <v>0</v>
      </c>
      <c r="AL118" s="212"/>
      <c r="AM118" s="260">
        <f t="shared" si="146"/>
        <v>0</v>
      </c>
      <c r="AN118" s="212"/>
      <c r="AO118" s="260">
        <f t="shared" si="147"/>
        <v>0</v>
      </c>
      <c r="AP118" s="212"/>
      <c r="AQ118" s="260">
        <f t="shared" si="148"/>
        <v>0</v>
      </c>
      <c r="AR118" s="212"/>
      <c r="AS118" s="260">
        <f t="shared" si="149"/>
        <v>103216.61925711742</v>
      </c>
      <c r="AT118" s="212"/>
      <c r="AU118" s="260">
        <f t="shared" si="150"/>
        <v>0</v>
      </c>
      <c r="AV118" s="212"/>
      <c r="AW118" s="260">
        <f t="shared" si="151"/>
        <v>2279.397787499986</v>
      </c>
      <c r="AX118" s="212"/>
      <c r="AY118" s="260">
        <f t="shared" si="152"/>
        <v>31.658302604166465</v>
      </c>
      <c r="BA118" s="175"/>
      <c r="BB118" s="145"/>
      <c r="BC118" s="145"/>
      <c r="BD118" s="145"/>
    </row>
    <row r="119" spans="1:56" x14ac:dyDescent="0.2">
      <c r="A119" s="146"/>
      <c r="B119" s="146"/>
      <c r="D119" s="488">
        <v>601.70000000000005</v>
      </c>
      <c r="F119" s="216" t="s">
        <v>610</v>
      </c>
      <c r="G119" s="139"/>
      <c r="H119" s="261">
        <v>13</v>
      </c>
      <c r="I119" s="216"/>
      <c r="J119" s="312">
        <v>159109.96234558008</v>
      </c>
      <c r="K119" s="385"/>
      <c r="L119" s="260">
        <f t="shared" si="135"/>
        <v>143135.32212608383</v>
      </c>
      <c r="M119" s="212"/>
      <c r="N119" s="260">
        <f t="shared" si="136"/>
        <v>11408.184300178091</v>
      </c>
      <c r="O119" s="212"/>
      <c r="P119" s="260">
        <f t="shared" si="137"/>
        <v>63.64398493823203</v>
      </c>
      <c r="Q119" s="212"/>
      <c r="R119" s="260">
        <f t="shared" si="138"/>
        <v>986.48176654259646</v>
      </c>
      <c r="S119" s="212"/>
      <c r="T119" s="260">
        <f t="shared" si="139"/>
        <v>31.821992469116015</v>
      </c>
      <c r="U119" s="212"/>
      <c r="V119" s="260">
        <f t="shared" si="140"/>
        <v>3436.7751866645299</v>
      </c>
      <c r="W119" s="212"/>
      <c r="X119" s="260">
        <f t="shared" si="141"/>
        <v>47.732988703674017</v>
      </c>
      <c r="Y119" s="212"/>
      <c r="Z119" s="212"/>
      <c r="AC119" s="216" t="s">
        <v>610</v>
      </c>
      <c r="AE119" s="239">
        <f t="shared" si="142"/>
        <v>13</v>
      </c>
      <c r="AG119" s="312">
        <f t="shared" si="143"/>
        <v>159109.96234558008</v>
      </c>
      <c r="AH119" s="385"/>
      <c r="AI119" s="260">
        <f t="shared" si="144"/>
        <v>0</v>
      </c>
      <c r="AJ119" s="212"/>
      <c r="AK119" s="260">
        <f t="shared" si="145"/>
        <v>0</v>
      </c>
      <c r="AL119" s="212"/>
      <c r="AM119" s="260">
        <f t="shared" si="146"/>
        <v>0</v>
      </c>
      <c r="AN119" s="212"/>
      <c r="AO119" s="260">
        <f t="shared" si="147"/>
        <v>0</v>
      </c>
      <c r="AP119" s="212"/>
      <c r="AQ119" s="260">
        <f t="shared" si="148"/>
        <v>0</v>
      </c>
      <c r="AR119" s="212"/>
      <c r="AS119" s="260">
        <f t="shared" si="149"/>
        <v>155625.45417021189</v>
      </c>
      <c r="AT119" s="212"/>
      <c r="AU119" s="260">
        <f t="shared" si="150"/>
        <v>0</v>
      </c>
      <c r="AV119" s="212"/>
      <c r="AW119" s="260">
        <f t="shared" si="151"/>
        <v>3436.7751866645299</v>
      </c>
      <c r="AX119" s="212"/>
      <c r="AY119" s="260">
        <f t="shared" si="152"/>
        <v>47.732988703674017</v>
      </c>
      <c r="BA119" s="175"/>
      <c r="BB119" s="145"/>
      <c r="BC119" s="145"/>
      <c r="BD119" s="145"/>
    </row>
    <row r="120" spans="1:56" x14ac:dyDescent="0.2">
      <c r="A120" s="146"/>
      <c r="B120" s="146"/>
      <c r="D120" s="488">
        <v>670.7</v>
      </c>
      <c r="F120" s="646" t="s">
        <v>477</v>
      </c>
      <c r="G120" s="139"/>
      <c r="H120" s="261">
        <v>20</v>
      </c>
      <c r="I120" s="216"/>
      <c r="J120" s="647">
        <f>'AG Pres Wrk'!H8</f>
        <v>494773.77685800003</v>
      </c>
      <c r="K120" s="386"/>
      <c r="L120" s="260">
        <f t="shared" si="135"/>
        <v>405961.88391198905</v>
      </c>
      <c r="M120" s="212"/>
      <c r="N120" s="260">
        <f t="shared" si="136"/>
        <v>77234.186567533805</v>
      </c>
      <c r="O120" s="212"/>
      <c r="P120" s="260">
        <f t="shared" si="137"/>
        <v>0</v>
      </c>
      <c r="Q120" s="212"/>
      <c r="R120" s="260">
        <f t="shared" si="138"/>
        <v>0</v>
      </c>
      <c r="S120" s="212"/>
      <c r="T120" s="260">
        <f t="shared" si="139"/>
        <v>0</v>
      </c>
      <c r="U120" s="212"/>
      <c r="V120" s="260">
        <f t="shared" si="140"/>
        <v>11577.706378477202</v>
      </c>
      <c r="W120" s="212"/>
      <c r="X120" s="260">
        <f t="shared" si="141"/>
        <v>0</v>
      </c>
      <c r="Y120" s="212"/>
      <c r="Z120" s="212"/>
      <c r="AC120" s="216" t="s">
        <v>477</v>
      </c>
      <c r="AE120" s="239">
        <f t="shared" si="142"/>
        <v>20</v>
      </c>
      <c r="AG120" s="312">
        <f t="shared" si="143"/>
        <v>494773.77685800003</v>
      </c>
      <c r="AH120" s="386"/>
      <c r="AI120" s="260">
        <f t="shared" si="144"/>
        <v>0</v>
      </c>
      <c r="AJ120" s="212"/>
      <c r="AK120" s="260">
        <f t="shared" si="145"/>
        <v>0</v>
      </c>
      <c r="AL120" s="212"/>
      <c r="AM120" s="260">
        <f t="shared" si="146"/>
        <v>0</v>
      </c>
      <c r="AN120" s="212"/>
      <c r="AO120" s="260">
        <f t="shared" si="147"/>
        <v>0</v>
      </c>
      <c r="AP120" s="212"/>
      <c r="AQ120" s="260">
        <f t="shared" si="148"/>
        <v>0</v>
      </c>
      <c r="AR120" s="212"/>
      <c r="AS120" s="260">
        <f t="shared" si="149"/>
        <v>0</v>
      </c>
      <c r="AT120" s="212"/>
      <c r="AU120" s="260">
        <f t="shared" si="150"/>
        <v>494773.77685800003</v>
      </c>
      <c r="AV120" s="212"/>
      <c r="AW120" s="260">
        <f t="shared" si="151"/>
        <v>0</v>
      </c>
      <c r="AX120" s="212"/>
      <c r="AY120" s="260">
        <f t="shared" si="152"/>
        <v>0</v>
      </c>
      <c r="BA120" s="175"/>
      <c r="BB120" s="145"/>
      <c r="BC120" s="145"/>
      <c r="BD120" s="145"/>
    </row>
    <row r="121" spans="1:56" x14ac:dyDescent="0.2">
      <c r="A121" s="146"/>
      <c r="B121" s="146"/>
      <c r="D121" s="488">
        <v>650.70000000000005</v>
      </c>
      <c r="F121" s="216" t="s">
        <v>802</v>
      </c>
      <c r="G121" s="139"/>
      <c r="H121" s="261">
        <v>14</v>
      </c>
      <c r="I121" s="216"/>
      <c r="J121" s="312">
        <v>18.267477558470137</v>
      </c>
      <c r="K121" s="386"/>
      <c r="L121" s="260">
        <f t="shared" si="135"/>
        <v>16.585042875335038</v>
      </c>
      <c r="M121" s="212"/>
      <c r="N121" s="260">
        <f t="shared" si="136"/>
        <v>1.322565375233238</v>
      </c>
      <c r="O121" s="212"/>
      <c r="P121" s="260">
        <f t="shared" si="137"/>
        <v>7.306991023388055E-3</v>
      </c>
      <c r="Q121" s="212"/>
      <c r="R121" s="260">
        <f t="shared" si="138"/>
        <v>0.11325836086251485</v>
      </c>
      <c r="S121" s="212"/>
      <c r="T121" s="260">
        <f t="shared" si="139"/>
        <v>3.6534955116940275E-3</v>
      </c>
      <c r="U121" s="212"/>
      <c r="V121" s="260">
        <f t="shared" si="140"/>
        <v>0.23565046050426477</v>
      </c>
      <c r="W121" s="212"/>
      <c r="X121" s="260">
        <f t="shared" si="141"/>
        <v>0</v>
      </c>
      <c r="Y121" s="212"/>
      <c r="Z121" s="212"/>
      <c r="AC121" s="216" t="s">
        <v>802</v>
      </c>
      <c r="AE121" s="239">
        <f t="shared" si="142"/>
        <v>14</v>
      </c>
      <c r="AG121" s="312">
        <f t="shared" si="143"/>
        <v>18.267477558470137</v>
      </c>
      <c r="AH121" s="386"/>
      <c r="AI121" s="260">
        <f t="shared" si="144"/>
        <v>0</v>
      </c>
      <c r="AJ121" s="212"/>
      <c r="AK121" s="260">
        <f t="shared" si="145"/>
        <v>0</v>
      </c>
      <c r="AL121" s="212"/>
      <c r="AM121" s="260">
        <f t="shared" si="146"/>
        <v>0</v>
      </c>
      <c r="AN121" s="212"/>
      <c r="AO121" s="260">
        <f t="shared" si="147"/>
        <v>0</v>
      </c>
      <c r="AP121" s="212"/>
      <c r="AQ121" s="260">
        <f t="shared" si="148"/>
        <v>0</v>
      </c>
      <c r="AR121" s="212"/>
      <c r="AS121" s="260">
        <f t="shared" si="149"/>
        <v>18.267477558470137</v>
      </c>
      <c r="AT121" s="212"/>
      <c r="AU121" s="260">
        <f t="shared" si="150"/>
        <v>0</v>
      </c>
      <c r="AV121" s="212"/>
      <c r="AW121" s="260">
        <f t="shared" si="151"/>
        <v>0</v>
      </c>
      <c r="AX121" s="212"/>
      <c r="AY121" s="260">
        <f t="shared" si="152"/>
        <v>0</v>
      </c>
      <c r="BA121" s="175"/>
      <c r="BB121" s="145"/>
      <c r="BC121" s="145"/>
      <c r="BD121" s="145"/>
    </row>
    <row r="122" spans="1:56" x14ac:dyDescent="0.2">
      <c r="A122" s="146"/>
      <c r="B122" s="146"/>
      <c r="D122" s="488">
        <v>675.7</v>
      </c>
      <c r="F122" s="216" t="s">
        <v>734</v>
      </c>
      <c r="G122" s="139"/>
      <c r="H122" s="261">
        <v>13</v>
      </c>
      <c r="I122" s="216"/>
      <c r="J122" s="312">
        <v>100583.56179016765</v>
      </c>
      <c r="K122" s="386"/>
      <c r="L122" s="260">
        <f t="shared" si="135"/>
        <v>90484.97218643481</v>
      </c>
      <c r="M122" s="212"/>
      <c r="N122" s="260">
        <f t="shared" si="136"/>
        <v>7211.8413803550202</v>
      </c>
      <c r="O122" s="212"/>
      <c r="P122" s="260">
        <f t="shared" si="137"/>
        <v>40.233424716067063</v>
      </c>
      <c r="Q122" s="212"/>
      <c r="R122" s="260">
        <f t="shared" si="138"/>
        <v>623.61808309903938</v>
      </c>
      <c r="S122" s="212"/>
      <c r="T122" s="260">
        <f t="shared" si="139"/>
        <v>20.116712358033531</v>
      </c>
      <c r="U122" s="212"/>
      <c r="V122" s="260">
        <f t="shared" si="140"/>
        <v>2172.6049346676214</v>
      </c>
      <c r="W122" s="212"/>
      <c r="X122" s="260">
        <f t="shared" si="141"/>
        <v>30.17506853705029</v>
      </c>
      <c r="Y122" s="212"/>
      <c r="Z122" s="212"/>
      <c r="AC122" s="216" t="s">
        <v>734</v>
      </c>
      <c r="AE122" s="239">
        <f t="shared" si="142"/>
        <v>13</v>
      </c>
      <c r="AG122" s="312">
        <f t="shared" si="143"/>
        <v>100583.56179016765</v>
      </c>
      <c r="AH122" s="386"/>
      <c r="AI122" s="260">
        <f t="shared" si="144"/>
        <v>0</v>
      </c>
      <c r="AJ122" s="212"/>
      <c r="AK122" s="260">
        <f t="shared" si="145"/>
        <v>0</v>
      </c>
      <c r="AL122" s="212"/>
      <c r="AM122" s="260">
        <f t="shared" si="146"/>
        <v>0</v>
      </c>
      <c r="AN122" s="212"/>
      <c r="AO122" s="260">
        <f t="shared" si="147"/>
        <v>0</v>
      </c>
      <c r="AP122" s="212"/>
      <c r="AQ122" s="260">
        <f t="shared" si="148"/>
        <v>0</v>
      </c>
      <c r="AR122" s="212"/>
      <c r="AS122" s="260">
        <f t="shared" si="149"/>
        <v>98380.78178696298</v>
      </c>
      <c r="AT122" s="212"/>
      <c r="AU122" s="260">
        <f t="shared" si="150"/>
        <v>0</v>
      </c>
      <c r="AV122" s="212"/>
      <c r="AW122" s="260">
        <f t="shared" si="151"/>
        <v>2172.6049346676214</v>
      </c>
      <c r="AX122" s="212"/>
      <c r="AY122" s="260">
        <f t="shared" si="152"/>
        <v>30.17506853705029</v>
      </c>
      <c r="BA122" s="175"/>
      <c r="BB122" s="145"/>
      <c r="BC122" s="145"/>
      <c r="BD122" s="145"/>
    </row>
    <row r="123" spans="1:56" x14ac:dyDescent="0.2">
      <c r="A123" s="146"/>
      <c r="B123" s="146"/>
      <c r="C123" s="312"/>
      <c r="D123" s="488">
        <v>675.7</v>
      </c>
      <c r="F123" s="216" t="s">
        <v>803</v>
      </c>
      <c r="G123" s="139"/>
      <c r="H123" s="261">
        <v>13</v>
      </c>
      <c r="I123" s="216"/>
      <c r="J123" s="312">
        <v>191064</v>
      </c>
      <c r="K123" s="385"/>
      <c r="L123" s="260">
        <f t="shared" si="135"/>
        <v>171881.17439999999</v>
      </c>
      <c r="M123" s="212"/>
      <c r="N123" s="260">
        <f t="shared" si="136"/>
        <v>13699.2888</v>
      </c>
      <c r="O123" s="212"/>
      <c r="P123" s="260">
        <f t="shared" si="137"/>
        <v>76.425600000000003</v>
      </c>
      <c r="Q123" s="212"/>
      <c r="R123" s="260">
        <f t="shared" si="138"/>
        <v>1184.5968</v>
      </c>
      <c r="S123" s="212"/>
      <c r="T123" s="260">
        <f t="shared" si="139"/>
        <v>38.212800000000001</v>
      </c>
      <c r="U123" s="212"/>
      <c r="V123" s="260">
        <f t="shared" si="140"/>
        <v>4126.9823999999999</v>
      </c>
      <c r="W123" s="212"/>
      <c r="X123" s="260">
        <f t="shared" si="141"/>
        <v>57.319199999999995</v>
      </c>
      <c r="Y123" s="212"/>
      <c r="Z123" s="212"/>
      <c r="AC123" s="216" t="s">
        <v>803</v>
      </c>
      <c r="AE123" s="239">
        <f t="shared" si="142"/>
        <v>13</v>
      </c>
      <c r="AG123" s="312">
        <f t="shared" si="143"/>
        <v>191064</v>
      </c>
      <c r="AH123" s="385"/>
      <c r="AI123" s="260">
        <f t="shared" si="144"/>
        <v>0</v>
      </c>
      <c r="AJ123" s="212"/>
      <c r="AK123" s="260">
        <f t="shared" si="145"/>
        <v>0</v>
      </c>
      <c r="AL123" s="212"/>
      <c r="AM123" s="260">
        <f t="shared" si="146"/>
        <v>0</v>
      </c>
      <c r="AN123" s="212"/>
      <c r="AO123" s="260">
        <f t="shared" si="147"/>
        <v>0</v>
      </c>
      <c r="AP123" s="212"/>
      <c r="AQ123" s="260">
        <f t="shared" si="148"/>
        <v>0</v>
      </c>
      <c r="AR123" s="212"/>
      <c r="AS123" s="260">
        <f t="shared" si="149"/>
        <v>186879.69840000002</v>
      </c>
      <c r="AT123" s="212"/>
      <c r="AU123" s="260">
        <f t="shared" si="150"/>
        <v>0</v>
      </c>
      <c r="AV123" s="212"/>
      <c r="AW123" s="260">
        <f t="shared" si="151"/>
        <v>4126.9823999999999</v>
      </c>
      <c r="AX123" s="212"/>
      <c r="AY123" s="260">
        <f t="shared" si="152"/>
        <v>57.319199999999995</v>
      </c>
      <c r="BA123" s="175"/>
      <c r="BB123" s="145"/>
      <c r="BC123" s="145"/>
      <c r="BD123" s="145"/>
    </row>
    <row r="124" spans="1:56" x14ac:dyDescent="0.2">
      <c r="A124" s="146"/>
      <c r="B124" s="146"/>
      <c r="C124" s="312"/>
      <c r="D124" s="488">
        <v>675.7</v>
      </c>
      <c r="F124" s="216" t="s">
        <v>804</v>
      </c>
      <c r="G124" s="139"/>
      <c r="H124" s="261">
        <v>13</v>
      </c>
      <c r="I124" s="216"/>
      <c r="J124" s="312">
        <v>50000</v>
      </c>
      <c r="K124" s="385"/>
      <c r="L124" s="260">
        <f t="shared" si="135"/>
        <v>44980</v>
      </c>
      <c r="M124" s="212"/>
      <c r="N124" s="260">
        <f t="shared" si="136"/>
        <v>3585</v>
      </c>
      <c r="O124" s="212"/>
      <c r="P124" s="260">
        <f t="shared" si="137"/>
        <v>20</v>
      </c>
      <c r="Q124" s="212"/>
      <c r="R124" s="260">
        <f t="shared" si="138"/>
        <v>310</v>
      </c>
      <c r="S124" s="212"/>
      <c r="T124" s="260">
        <f t="shared" si="139"/>
        <v>10</v>
      </c>
      <c r="U124" s="212"/>
      <c r="V124" s="260">
        <f t="shared" si="140"/>
        <v>1080</v>
      </c>
      <c r="W124" s="212"/>
      <c r="X124" s="260">
        <f t="shared" si="141"/>
        <v>14.999999999999998</v>
      </c>
      <c r="Y124" s="212"/>
      <c r="Z124" s="212"/>
      <c r="AC124" s="216" t="s">
        <v>804</v>
      </c>
      <c r="AE124" s="239">
        <f t="shared" si="142"/>
        <v>13</v>
      </c>
      <c r="AG124" s="312">
        <f t="shared" si="143"/>
        <v>50000</v>
      </c>
      <c r="AH124" s="385"/>
      <c r="AI124" s="260">
        <f t="shared" si="144"/>
        <v>0</v>
      </c>
      <c r="AJ124" s="212"/>
      <c r="AK124" s="260">
        <f t="shared" si="145"/>
        <v>0</v>
      </c>
      <c r="AL124" s="212"/>
      <c r="AM124" s="260">
        <f t="shared" si="146"/>
        <v>0</v>
      </c>
      <c r="AN124" s="212"/>
      <c r="AO124" s="260">
        <f t="shared" si="147"/>
        <v>0</v>
      </c>
      <c r="AP124" s="212"/>
      <c r="AQ124" s="260">
        <f t="shared" si="148"/>
        <v>0</v>
      </c>
      <c r="AR124" s="212"/>
      <c r="AS124" s="260">
        <f t="shared" si="149"/>
        <v>48905.000000000007</v>
      </c>
      <c r="AT124" s="212"/>
      <c r="AU124" s="260">
        <f t="shared" si="150"/>
        <v>0</v>
      </c>
      <c r="AV124" s="212"/>
      <c r="AW124" s="260">
        <f t="shared" si="151"/>
        <v>1080</v>
      </c>
      <c r="AX124" s="212"/>
      <c r="AY124" s="260">
        <f t="shared" si="152"/>
        <v>14.999999999999998</v>
      </c>
      <c r="BA124" s="175"/>
      <c r="BB124" s="145"/>
      <c r="BC124" s="145"/>
      <c r="BD124" s="145"/>
    </row>
    <row r="125" spans="1:56" x14ac:dyDescent="0.2">
      <c r="A125" s="146"/>
      <c r="B125" s="146"/>
      <c r="C125" s="312"/>
      <c r="D125" s="488">
        <v>675.7</v>
      </c>
      <c r="F125" s="216" t="s">
        <v>809</v>
      </c>
      <c r="G125" s="139"/>
      <c r="H125" s="261">
        <v>13</v>
      </c>
      <c r="I125" s="216"/>
      <c r="J125" s="312">
        <v>600</v>
      </c>
      <c r="K125" s="385"/>
      <c r="L125" s="260">
        <f t="shared" si="135"/>
        <v>539.76</v>
      </c>
      <c r="M125" s="212"/>
      <c r="N125" s="260">
        <f t="shared" si="136"/>
        <v>43.02</v>
      </c>
      <c r="O125" s="212"/>
      <c r="P125" s="260">
        <f t="shared" si="137"/>
        <v>0.24000000000000002</v>
      </c>
      <c r="Q125" s="212"/>
      <c r="R125" s="260">
        <f t="shared" si="138"/>
        <v>3.7199999999999998</v>
      </c>
      <c r="S125" s="212"/>
      <c r="T125" s="260">
        <f t="shared" si="139"/>
        <v>0.12000000000000001</v>
      </c>
      <c r="U125" s="212"/>
      <c r="V125" s="260">
        <f t="shared" si="140"/>
        <v>12.96</v>
      </c>
      <c r="W125" s="212"/>
      <c r="X125" s="260">
        <f t="shared" si="141"/>
        <v>0.18</v>
      </c>
      <c r="Y125" s="212"/>
      <c r="Z125" s="212"/>
      <c r="AC125" s="216" t="s">
        <v>809</v>
      </c>
      <c r="AE125" s="239">
        <f t="shared" si="142"/>
        <v>13</v>
      </c>
      <c r="AG125" s="312">
        <f t="shared" si="143"/>
        <v>600</v>
      </c>
      <c r="AH125" s="385"/>
      <c r="AI125" s="260">
        <f t="shared" si="144"/>
        <v>0</v>
      </c>
      <c r="AJ125" s="212"/>
      <c r="AK125" s="260">
        <f t="shared" si="145"/>
        <v>0</v>
      </c>
      <c r="AL125" s="212"/>
      <c r="AM125" s="260">
        <f t="shared" si="146"/>
        <v>0</v>
      </c>
      <c r="AN125" s="212"/>
      <c r="AO125" s="260">
        <f t="shared" si="147"/>
        <v>0</v>
      </c>
      <c r="AP125" s="212"/>
      <c r="AQ125" s="260">
        <f t="shared" si="148"/>
        <v>0</v>
      </c>
      <c r="AR125" s="212"/>
      <c r="AS125" s="260">
        <f t="shared" si="149"/>
        <v>586.86</v>
      </c>
      <c r="AT125" s="212"/>
      <c r="AU125" s="260">
        <f t="shared" si="150"/>
        <v>0</v>
      </c>
      <c r="AV125" s="212"/>
      <c r="AW125" s="260">
        <f t="shared" si="151"/>
        <v>12.96</v>
      </c>
      <c r="AX125" s="212"/>
      <c r="AY125" s="260">
        <f t="shared" si="152"/>
        <v>0.18</v>
      </c>
      <c r="BA125" s="175"/>
      <c r="BB125" s="145"/>
      <c r="BC125" s="145"/>
      <c r="BD125" s="145"/>
    </row>
    <row r="126" spans="1:56" x14ac:dyDescent="0.2">
      <c r="A126" s="146"/>
      <c r="B126" s="146"/>
      <c r="C126" s="312"/>
      <c r="D126" s="488">
        <v>675.7</v>
      </c>
      <c r="F126" s="216" t="s">
        <v>805</v>
      </c>
      <c r="G126" s="139"/>
      <c r="H126" s="261">
        <v>13</v>
      </c>
      <c r="I126" s="216"/>
      <c r="J126" s="312">
        <v>129563.81359041663</v>
      </c>
      <c r="K126" s="385"/>
      <c r="L126" s="260">
        <f t="shared" si="135"/>
        <v>116555.60670593879</v>
      </c>
      <c r="M126" s="212"/>
      <c r="N126" s="260">
        <f t="shared" si="136"/>
        <v>9289.7254344328721</v>
      </c>
      <c r="O126" s="212"/>
      <c r="P126" s="260">
        <f t="shared" si="137"/>
        <v>51.82552543616665</v>
      </c>
      <c r="Q126" s="212"/>
      <c r="R126" s="260">
        <f t="shared" si="138"/>
        <v>803.295644260583</v>
      </c>
      <c r="S126" s="212"/>
      <c r="T126" s="260">
        <f t="shared" si="139"/>
        <v>25.912762718083325</v>
      </c>
      <c r="U126" s="212"/>
      <c r="V126" s="260">
        <f t="shared" si="140"/>
        <v>2798.5783735529994</v>
      </c>
      <c r="W126" s="212"/>
      <c r="X126" s="260">
        <f t="shared" si="141"/>
        <v>38.869144077124986</v>
      </c>
      <c r="Y126" s="212"/>
      <c r="Z126" s="212"/>
      <c r="AC126" s="216" t="s">
        <v>805</v>
      </c>
      <c r="AE126" s="239">
        <f t="shared" si="142"/>
        <v>13</v>
      </c>
      <c r="AG126" s="312">
        <f t="shared" si="143"/>
        <v>129563.81359041663</v>
      </c>
      <c r="AH126" s="385"/>
      <c r="AI126" s="260">
        <f t="shared" si="144"/>
        <v>0</v>
      </c>
      <c r="AJ126" s="212"/>
      <c r="AK126" s="260">
        <f t="shared" si="145"/>
        <v>0</v>
      </c>
      <c r="AL126" s="212"/>
      <c r="AM126" s="260">
        <f t="shared" si="146"/>
        <v>0</v>
      </c>
      <c r="AN126" s="212"/>
      <c r="AO126" s="260">
        <f t="shared" si="147"/>
        <v>0</v>
      </c>
      <c r="AP126" s="212"/>
      <c r="AQ126" s="260">
        <f t="shared" si="148"/>
        <v>0</v>
      </c>
      <c r="AR126" s="212"/>
      <c r="AS126" s="260">
        <f t="shared" si="149"/>
        <v>126726.36607278651</v>
      </c>
      <c r="AT126" s="212"/>
      <c r="AU126" s="260">
        <f t="shared" si="150"/>
        <v>0</v>
      </c>
      <c r="AV126" s="212"/>
      <c r="AW126" s="260">
        <f t="shared" si="151"/>
        <v>2798.5783735529994</v>
      </c>
      <c r="AX126" s="212"/>
      <c r="AY126" s="260">
        <f t="shared" si="152"/>
        <v>38.869144077124986</v>
      </c>
      <c r="BA126" s="175"/>
      <c r="BB126" s="145"/>
      <c r="BC126" s="145"/>
      <c r="BD126" s="145"/>
    </row>
    <row r="127" spans="1:56" x14ac:dyDescent="0.2">
      <c r="A127" s="146"/>
      <c r="B127" s="146"/>
      <c r="C127" s="312"/>
      <c r="D127" s="488">
        <v>675.7</v>
      </c>
      <c r="F127" s="216" t="s">
        <v>806</v>
      </c>
      <c r="G127" s="139"/>
      <c r="H127" s="261">
        <v>13</v>
      </c>
      <c r="I127" s="216"/>
      <c r="J127" s="312">
        <v>206328</v>
      </c>
      <c r="K127" s="385"/>
      <c r="L127" s="260">
        <f t="shared" si="135"/>
        <v>185612.66879999998</v>
      </c>
      <c r="M127" s="212"/>
      <c r="N127" s="260">
        <f t="shared" si="136"/>
        <v>14793.7176</v>
      </c>
      <c r="O127" s="212"/>
      <c r="P127" s="260">
        <f t="shared" si="137"/>
        <v>82.531199999999998</v>
      </c>
      <c r="Q127" s="212"/>
      <c r="R127" s="260">
        <f t="shared" si="138"/>
        <v>1279.2336</v>
      </c>
      <c r="S127" s="212"/>
      <c r="T127" s="260">
        <f t="shared" si="139"/>
        <v>41.265599999999999</v>
      </c>
      <c r="U127" s="212"/>
      <c r="V127" s="260">
        <f t="shared" si="140"/>
        <v>4456.6848</v>
      </c>
      <c r="W127" s="212"/>
      <c r="X127" s="260">
        <f t="shared" si="141"/>
        <v>61.898399999999995</v>
      </c>
      <c r="Y127" s="212"/>
      <c r="Z127" s="212"/>
      <c r="AC127" s="216" t="s">
        <v>806</v>
      </c>
      <c r="AE127" s="239">
        <f t="shared" si="142"/>
        <v>13</v>
      </c>
      <c r="AG127" s="312">
        <f t="shared" si="143"/>
        <v>206328</v>
      </c>
      <c r="AH127" s="385"/>
      <c r="AI127" s="260">
        <f t="shared" si="144"/>
        <v>0</v>
      </c>
      <c r="AJ127" s="212"/>
      <c r="AK127" s="260">
        <f t="shared" si="145"/>
        <v>0</v>
      </c>
      <c r="AL127" s="212"/>
      <c r="AM127" s="260">
        <f t="shared" si="146"/>
        <v>0</v>
      </c>
      <c r="AN127" s="212"/>
      <c r="AO127" s="260">
        <f t="shared" si="147"/>
        <v>0</v>
      </c>
      <c r="AP127" s="212"/>
      <c r="AQ127" s="260">
        <f t="shared" si="148"/>
        <v>0</v>
      </c>
      <c r="AR127" s="212"/>
      <c r="AS127" s="260">
        <f t="shared" si="149"/>
        <v>201809.41680000001</v>
      </c>
      <c r="AT127" s="212"/>
      <c r="AU127" s="260">
        <f t="shared" si="150"/>
        <v>0</v>
      </c>
      <c r="AV127" s="212"/>
      <c r="AW127" s="260">
        <f t="shared" si="151"/>
        <v>4456.6848</v>
      </c>
      <c r="AX127" s="212"/>
      <c r="AY127" s="260">
        <f t="shared" si="152"/>
        <v>61.898399999999995</v>
      </c>
      <c r="BA127" s="175"/>
      <c r="BB127" s="145"/>
      <c r="BC127" s="145"/>
      <c r="BD127" s="145"/>
    </row>
    <row r="128" spans="1:56" x14ac:dyDescent="0.2">
      <c r="A128" s="146"/>
      <c r="B128" s="146"/>
      <c r="D128" s="488">
        <v>675.7</v>
      </c>
      <c r="F128" s="216" t="s">
        <v>807</v>
      </c>
      <c r="G128" s="139"/>
      <c r="H128" s="261">
        <v>13</v>
      </c>
      <c r="I128" s="216"/>
      <c r="J128" s="312">
        <v>616376.50399999984</v>
      </c>
      <c r="K128" s="385"/>
      <c r="L128" s="260">
        <f t="shared" si="135"/>
        <v>554492.30299839983</v>
      </c>
      <c r="M128" s="212"/>
      <c r="N128" s="260">
        <f t="shared" si="136"/>
        <v>44194.195336799989</v>
      </c>
      <c r="O128" s="212"/>
      <c r="P128" s="260">
        <f t="shared" si="137"/>
        <v>246.55060159999994</v>
      </c>
      <c r="Q128" s="212"/>
      <c r="R128" s="260">
        <f t="shared" si="138"/>
        <v>3821.534324799999</v>
      </c>
      <c r="S128" s="212"/>
      <c r="T128" s="260">
        <f t="shared" si="139"/>
        <v>123.27530079999997</v>
      </c>
      <c r="U128" s="212"/>
      <c r="V128" s="260">
        <f t="shared" si="140"/>
        <v>13313.732486399997</v>
      </c>
      <c r="W128" s="212"/>
      <c r="X128" s="260">
        <f t="shared" si="141"/>
        <v>184.91295119999992</v>
      </c>
      <c r="Y128" s="212"/>
      <c r="Z128" s="212"/>
      <c r="AC128" s="216" t="s">
        <v>807</v>
      </c>
      <c r="AE128" s="239">
        <f t="shared" si="142"/>
        <v>13</v>
      </c>
      <c r="AG128" s="312">
        <f t="shared" si="143"/>
        <v>616376.50399999984</v>
      </c>
      <c r="AH128" s="385"/>
      <c r="AI128" s="260">
        <f t="shared" si="144"/>
        <v>0</v>
      </c>
      <c r="AJ128" s="212"/>
      <c r="AK128" s="260">
        <f t="shared" si="145"/>
        <v>0</v>
      </c>
      <c r="AL128" s="212"/>
      <c r="AM128" s="260">
        <f t="shared" si="146"/>
        <v>0</v>
      </c>
      <c r="AN128" s="212"/>
      <c r="AO128" s="260">
        <f t="shared" si="147"/>
        <v>0</v>
      </c>
      <c r="AP128" s="212"/>
      <c r="AQ128" s="260">
        <f t="shared" si="148"/>
        <v>0</v>
      </c>
      <c r="AR128" s="212"/>
      <c r="AS128" s="260">
        <f t="shared" si="149"/>
        <v>602877.85856239987</v>
      </c>
      <c r="AT128" s="212"/>
      <c r="AU128" s="260">
        <f t="shared" si="150"/>
        <v>0</v>
      </c>
      <c r="AV128" s="212"/>
      <c r="AW128" s="260">
        <f t="shared" si="151"/>
        <v>13313.732486399997</v>
      </c>
      <c r="AX128" s="212"/>
      <c r="AY128" s="260">
        <f t="shared" si="152"/>
        <v>184.91295119999992</v>
      </c>
      <c r="BA128" s="175"/>
      <c r="BB128" s="145"/>
      <c r="BC128" s="145"/>
      <c r="BD128" s="145"/>
    </row>
    <row r="129" spans="1:56" x14ac:dyDescent="0.2">
      <c r="A129" s="146"/>
      <c r="B129" s="146"/>
      <c r="D129" s="488">
        <v>675.7</v>
      </c>
      <c r="F129" s="216" t="s">
        <v>738</v>
      </c>
      <c r="G129" s="139"/>
      <c r="H129" s="261">
        <v>13</v>
      </c>
      <c r="I129" s="216"/>
      <c r="J129" s="312">
        <v>2677.7164338753196</v>
      </c>
      <c r="K129" s="385"/>
      <c r="L129" s="260">
        <f t="shared" si="135"/>
        <v>2408.8737039142375</v>
      </c>
      <c r="M129" s="212"/>
      <c r="N129" s="260">
        <f t="shared" si="136"/>
        <v>191.99226830886042</v>
      </c>
      <c r="O129" s="212"/>
      <c r="P129" s="260">
        <f t="shared" si="137"/>
        <v>1.0710865735501278</v>
      </c>
      <c r="Q129" s="212"/>
      <c r="R129" s="260">
        <f t="shared" si="138"/>
        <v>16.601841890026982</v>
      </c>
      <c r="S129" s="212"/>
      <c r="T129" s="260">
        <f t="shared" si="139"/>
        <v>0.53554328677506391</v>
      </c>
      <c r="U129" s="212"/>
      <c r="V129" s="260">
        <f t="shared" si="140"/>
        <v>57.838674971706908</v>
      </c>
      <c r="W129" s="212"/>
      <c r="X129" s="260">
        <f t="shared" si="141"/>
        <v>0.80331493016259581</v>
      </c>
      <c r="Y129" s="212"/>
      <c r="Z129" s="212"/>
      <c r="AC129" s="216" t="s">
        <v>738</v>
      </c>
      <c r="AE129" s="239">
        <f t="shared" si="142"/>
        <v>13</v>
      </c>
      <c r="AG129" s="312">
        <f t="shared" si="143"/>
        <v>2677.7164338753196</v>
      </c>
      <c r="AH129" s="385"/>
      <c r="AI129" s="260">
        <f t="shared" si="144"/>
        <v>0</v>
      </c>
      <c r="AJ129" s="212"/>
      <c r="AK129" s="260">
        <f t="shared" si="145"/>
        <v>0</v>
      </c>
      <c r="AL129" s="212"/>
      <c r="AM129" s="260">
        <f t="shared" si="146"/>
        <v>0</v>
      </c>
      <c r="AN129" s="212"/>
      <c r="AO129" s="260">
        <f t="shared" si="147"/>
        <v>0</v>
      </c>
      <c r="AP129" s="212"/>
      <c r="AQ129" s="260">
        <f t="shared" si="148"/>
        <v>0</v>
      </c>
      <c r="AR129" s="212"/>
      <c r="AS129" s="260">
        <f t="shared" si="149"/>
        <v>2619.0744439734503</v>
      </c>
      <c r="AT129" s="212"/>
      <c r="AU129" s="260">
        <f t="shared" si="150"/>
        <v>0</v>
      </c>
      <c r="AV129" s="212"/>
      <c r="AW129" s="260">
        <f t="shared" si="151"/>
        <v>57.838674971706908</v>
      </c>
      <c r="AX129" s="212"/>
      <c r="AY129" s="260">
        <f t="shared" si="152"/>
        <v>0.80331493016259581</v>
      </c>
      <c r="BA129" s="175"/>
      <c r="BB129" s="145"/>
      <c r="BC129" s="145"/>
      <c r="BD129" s="145"/>
    </row>
    <row r="130" spans="1:56" x14ac:dyDescent="0.2">
      <c r="A130" s="146"/>
      <c r="B130" s="146"/>
      <c r="D130" s="488">
        <v>675.7</v>
      </c>
      <c r="F130" s="216" t="s">
        <v>612</v>
      </c>
      <c r="G130" s="139"/>
      <c r="H130" s="261">
        <v>13</v>
      </c>
      <c r="I130" s="216"/>
      <c r="J130" s="389">
        <v>600</v>
      </c>
      <c r="K130" s="385"/>
      <c r="L130" s="549">
        <f t="shared" si="135"/>
        <v>539.76</v>
      </c>
      <c r="M130" s="385"/>
      <c r="N130" s="549">
        <f t="shared" si="136"/>
        <v>43.02</v>
      </c>
      <c r="O130" s="385"/>
      <c r="P130" s="549">
        <f t="shared" si="137"/>
        <v>0.24000000000000002</v>
      </c>
      <c r="Q130" s="385"/>
      <c r="R130" s="549">
        <f t="shared" si="138"/>
        <v>3.7199999999999998</v>
      </c>
      <c r="S130" s="385"/>
      <c r="T130" s="549">
        <f t="shared" si="139"/>
        <v>0.12000000000000001</v>
      </c>
      <c r="U130" s="385"/>
      <c r="V130" s="549">
        <f t="shared" si="140"/>
        <v>12.96</v>
      </c>
      <c r="W130" s="385"/>
      <c r="X130" s="549">
        <f t="shared" si="141"/>
        <v>0.18</v>
      </c>
      <c r="Y130" s="212"/>
      <c r="Z130" s="212"/>
      <c r="AC130" s="216" t="s">
        <v>612</v>
      </c>
      <c r="AE130" s="239">
        <f t="shared" si="142"/>
        <v>13</v>
      </c>
      <c r="AG130" s="389">
        <f t="shared" si="143"/>
        <v>600</v>
      </c>
      <c r="AH130" s="385"/>
      <c r="AI130" s="549">
        <f t="shared" si="144"/>
        <v>0</v>
      </c>
      <c r="AJ130" s="385"/>
      <c r="AK130" s="549">
        <f t="shared" si="145"/>
        <v>0</v>
      </c>
      <c r="AL130" s="385"/>
      <c r="AM130" s="549">
        <f t="shared" si="146"/>
        <v>0</v>
      </c>
      <c r="AN130" s="385"/>
      <c r="AO130" s="549">
        <f t="shared" si="147"/>
        <v>0</v>
      </c>
      <c r="AP130" s="385"/>
      <c r="AQ130" s="549">
        <f t="shared" si="148"/>
        <v>0</v>
      </c>
      <c r="AR130" s="385"/>
      <c r="AS130" s="549">
        <f t="shared" si="149"/>
        <v>586.86</v>
      </c>
      <c r="AT130" s="385"/>
      <c r="AU130" s="549">
        <f t="shared" si="150"/>
        <v>0</v>
      </c>
      <c r="AV130" s="385"/>
      <c r="AW130" s="549">
        <f t="shared" si="151"/>
        <v>12.96</v>
      </c>
      <c r="AX130" s="385"/>
      <c r="AY130" s="549">
        <f t="shared" si="152"/>
        <v>0.18</v>
      </c>
      <c r="BA130" s="175"/>
      <c r="BB130" s="145"/>
      <c r="BC130" s="145"/>
      <c r="BD130" s="145"/>
    </row>
    <row r="131" spans="1:56" x14ac:dyDescent="0.2">
      <c r="A131" s="146"/>
      <c r="B131" s="146"/>
      <c r="F131" s="216"/>
      <c r="G131" s="139"/>
      <c r="H131" s="261"/>
      <c r="I131" s="216"/>
      <c r="J131" s="312"/>
      <c r="K131" s="216"/>
      <c r="L131" s="312"/>
      <c r="M131" s="216"/>
      <c r="N131" s="312"/>
      <c r="O131" s="216"/>
      <c r="P131" s="312"/>
      <c r="Q131" s="216"/>
      <c r="R131" s="312"/>
      <c r="S131" s="216"/>
      <c r="T131" s="312"/>
      <c r="U131" s="216"/>
      <c r="V131" s="312"/>
      <c r="W131" s="216"/>
      <c r="X131" s="312"/>
      <c r="Z131" s="175"/>
      <c r="AC131" s="216"/>
      <c r="AG131" s="312"/>
      <c r="AH131" s="216"/>
      <c r="AI131" s="312"/>
      <c r="AJ131" s="216"/>
      <c r="AK131" s="312"/>
      <c r="AL131" s="216"/>
      <c r="AM131" s="312"/>
      <c r="AN131" s="216"/>
      <c r="AO131" s="312"/>
      <c r="AP131" s="216"/>
      <c r="AQ131" s="312"/>
      <c r="AR131" s="216"/>
      <c r="AS131" s="312"/>
      <c r="AT131" s="216"/>
      <c r="AU131" s="312"/>
      <c r="AV131" s="216"/>
      <c r="AW131" s="312"/>
      <c r="AX131" s="216"/>
      <c r="AY131" s="312"/>
      <c r="BA131" s="175"/>
      <c r="BB131" s="145"/>
      <c r="BC131" s="145"/>
      <c r="BD131" s="145"/>
    </row>
    <row r="132" spans="1:56" x14ac:dyDescent="0.2">
      <c r="A132" s="146"/>
      <c r="B132" s="146"/>
      <c r="F132" s="216" t="s">
        <v>129</v>
      </c>
      <c r="G132" s="139"/>
      <c r="H132" s="261"/>
      <c r="I132" s="216"/>
      <c r="J132" s="312">
        <f>SUM(J117:J131)</f>
        <v>2450194.294135218</v>
      </c>
      <c r="K132" s="216"/>
      <c r="L132" s="312">
        <f>SUM(L117:L131)</f>
        <v>2168319.9923098646</v>
      </c>
      <c r="M132" s="216"/>
      <c r="N132" s="312">
        <f>SUM(N117:N131)</f>
        <v>217712.93015494928</v>
      </c>
      <c r="O132" s="216"/>
      <c r="P132" s="312">
        <f>SUM(P117:P131)</f>
        <v>782.16820691088719</v>
      </c>
      <c r="Q132" s="216"/>
      <c r="R132" s="312">
        <f>SUM(R117:R131)</f>
        <v>12123.607207118752</v>
      </c>
      <c r="S132" s="216"/>
      <c r="T132" s="312">
        <f>SUM(T117:T131)</f>
        <v>391.0841034554436</v>
      </c>
      <c r="U132" s="216"/>
      <c r="V132" s="312">
        <f>SUM(V117:V131)</f>
        <v>50395.782782866496</v>
      </c>
      <c r="W132" s="216"/>
      <c r="X132" s="312">
        <f>SUM(X117:X131)</f>
        <v>468.7293700521783</v>
      </c>
      <c r="Z132" s="175"/>
      <c r="AC132" s="216" t="s">
        <v>129</v>
      </c>
      <c r="AD132" s="139"/>
      <c r="AE132" s="261"/>
      <c r="AF132" s="216"/>
      <c r="AG132" s="312">
        <f>SUM(AG117:AG131)</f>
        <v>2450194.294135218</v>
      </c>
      <c r="AH132" s="216"/>
      <c r="AI132" s="312">
        <f>SUM(AI117:AI131)</f>
        <v>0</v>
      </c>
      <c r="AJ132" s="216"/>
      <c r="AK132" s="312">
        <f>SUM(AK117:AK131)</f>
        <v>0</v>
      </c>
      <c r="AL132" s="216"/>
      <c r="AM132" s="312">
        <f>SUM(AM117:AM131)</f>
        <v>0</v>
      </c>
      <c r="AN132" s="216"/>
      <c r="AO132" s="312">
        <f>SUM(AO117:AO131)</f>
        <v>0</v>
      </c>
      <c r="AP132" s="216"/>
      <c r="AQ132" s="312">
        <f>SUM(AQ117:AQ131)</f>
        <v>0</v>
      </c>
      <c r="AR132" s="216"/>
      <c r="AS132" s="312">
        <f>SUM(AS117:AS131)</f>
        <v>1921203.2732634093</v>
      </c>
      <c r="AT132" s="216"/>
      <c r="AU132" s="312">
        <f>SUM(AU117:AU131)</f>
        <v>494773.77685800003</v>
      </c>
      <c r="AV132" s="216"/>
      <c r="AW132" s="312">
        <f t="shared" ref="AW132" si="153">SUM(AW117:AW131)</f>
        <v>33748.51464375684</v>
      </c>
      <c r="AX132" s="216"/>
      <c r="AY132" s="312">
        <f t="shared" ref="AY132" si="154">SUM(AY117:AY131)</f>
        <v>468.7293700521783</v>
      </c>
      <c r="BA132" s="175"/>
      <c r="BB132" s="145"/>
      <c r="BC132" s="145"/>
      <c r="BD132" s="145"/>
    </row>
    <row r="133" spans="1:56" x14ac:dyDescent="0.2">
      <c r="A133" s="146"/>
      <c r="B133" s="146"/>
      <c r="F133" s="216" t="s">
        <v>130</v>
      </c>
      <c r="G133" s="139"/>
      <c r="H133" s="261"/>
      <c r="I133" s="216"/>
      <c r="J133" s="312"/>
      <c r="K133" s="386"/>
      <c r="L133" s="386"/>
      <c r="M133" s="387"/>
      <c r="N133" s="386"/>
      <c r="O133" s="387"/>
      <c r="P133" s="386"/>
      <c r="Q133" s="387"/>
      <c r="R133" s="386"/>
      <c r="S133" s="387"/>
      <c r="T133" s="386"/>
      <c r="U133" s="387"/>
      <c r="V133" s="386"/>
      <c r="W133" s="387"/>
      <c r="X133" s="386"/>
      <c r="Z133" s="175"/>
      <c r="AC133" s="216" t="s">
        <v>130</v>
      </c>
      <c r="AD133" s="139"/>
      <c r="AE133" s="261"/>
      <c r="AF133" s="216"/>
      <c r="AG133" s="312"/>
      <c r="AH133" s="386"/>
      <c r="AI133" s="386"/>
      <c r="AJ133" s="387"/>
      <c r="AK133" s="386"/>
      <c r="AL133" s="387"/>
      <c r="AM133" s="386"/>
      <c r="AN133" s="387"/>
      <c r="AO133" s="386"/>
      <c r="AP133" s="387"/>
      <c r="AQ133" s="386"/>
      <c r="AR133" s="387"/>
      <c r="AS133" s="386"/>
      <c r="AT133" s="387"/>
      <c r="AU133" s="386"/>
      <c r="AV133" s="387"/>
      <c r="AW133" s="386"/>
      <c r="AX133" s="387"/>
      <c r="AY133" s="386"/>
      <c r="BA133" s="175"/>
      <c r="BB133" s="145"/>
      <c r="BC133" s="145"/>
      <c r="BD133" s="145"/>
    </row>
    <row r="134" spans="1:56" x14ac:dyDescent="0.2">
      <c r="A134" s="146"/>
      <c r="B134" s="146"/>
      <c r="F134" s="216"/>
      <c r="G134" s="139"/>
      <c r="H134" s="261"/>
      <c r="I134" s="216"/>
      <c r="J134" s="312"/>
      <c r="K134" s="386"/>
      <c r="L134" s="386"/>
      <c r="M134" s="387"/>
      <c r="N134" s="386"/>
      <c r="O134" s="387"/>
      <c r="P134" s="386"/>
      <c r="Q134" s="387"/>
      <c r="R134" s="386"/>
      <c r="S134" s="387"/>
      <c r="T134" s="386"/>
      <c r="U134" s="387"/>
      <c r="V134" s="386"/>
      <c r="W134" s="387"/>
      <c r="X134" s="386"/>
      <c r="Z134" s="175"/>
      <c r="AC134" s="216"/>
      <c r="AE134" s="239"/>
      <c r="AG134" s="312"/>
      <c r="AH134" s="386"/>
      <c r="AI134" s="386"/>
      <c r="AJ134" s="387"/>
      <c r="AK134" s="386"/>
      <c r="AL134" s="387"/>
      <c r="AM134" s="386"/>
      <c r="AN134" s="387"/>
      <c r="AO134" s="386"/>
      <c r="AP134" s="387"/>
      <c r="AQ134" s="386"/>
      <c r="AR134" s="387"/>
      <c r="AS134" s="386"/>
      <c r="AT134" s="387"/>
      <c r="AU134" s="386"/>
      <c r="AV134" s="386"/>
      <c r="AW134" s="386"/>
      <c r="AX134" s="386"/>
      <c r="AY134" s="386"/>
      <c r="BA134" s="175"/>
      <c r="BB134" s="145"/>
      <c r="BC134" s="145"/>
      <c r="BD134" s="145"/>
    </row>
    <row r="135" spans="1:56" x14ac:dyDescent="0.2">
      <c r="A135" s="146"/>
      <c r="B135" s="146"/>
      <c r="F135" s="216" t="s">
        <v>465</v>
      </c>
      <c r="G135" s="139"/>
      <c r="H135" s="261"/>
      <c r="I135" s="216"/>
      <c r="J135" s="312"/>
      <c r="K135" s="385"/>
      <c r="L135" s="386"/>
      <c r="M135" s="387"/>
      <c r="N135" s="386"/>
      <c r="O135" s="387"/>
      <c r="P135" s="386"/>
      <c r="Q135" s="387"/>
      <c r="R135" s="386"/>
      <c r="S135" s="387"/>
      <c r="T135" s="386"/>
      <c r="U135" s="387"/>
      <c r="V135" s="386"/>
      <c r="W135" s="387"/>
      <c r="X135" s="386"/>
      <c r="Z135" s="175"/>
      <c r="AC135" s="216" t="s">
        <v>465</v>
      </c>
      <c r="AE135" s="239"/>
      <c r="AG135" s="312"/>
      <c r="AH135" s="385"/>
      <c r="AI135" s="386"/>
      <c r="AJ135" s="387"/>
      <c r="AK135" s="386"/>
      <c r="AL135" s="387"/>
      <c r="AM135" s="386"/>
      <c r="AN135" s="387"/>
      <c r="AO135" s="386"/>
      <c r="AP135" s="387"/>
      <c r="AQ135" s="386"/>
      <c r="AR135" s="387"/>
      <c r="AS135" s="386"/>
      <c r="AT135" s="387"/>
      <c r="AU135" s="386"/>
      <c r="AV135" s="386"/>
      <c r="AW135" s="386"/>
      <c r="AX135" s="386"/>
      <c r="AY135" s="386"/>
      <c r="BA135" s="175"/>
      <c r="BB135" s="145"/>
      <c r="BC135" s="145"/>
      <c r="BD135" s="145"/>
    </row>
    <row r="136" spans="1:56" x14ac:dyDescent="0.2">
      <c r="A136" s="146"/>
      <c r="B136" s="146"/>
      <c r="F136" s="216" t="s">
        <v>11</v>
      </c>
      <c r="G136" s="139"/>
      <c r="H136" s="261"/>
      <c r="I136" s="216"/>
      <c r="J136" s="312"/>
      <c r="K136" s="385"/>
      <c r="L136" s="386"/>
      <c r="M136" s="387"/>
      <c r="N136" s="386"/>
      <c r="O136" s="387"/>
      <c r="P136" s="386"/>
      <c r="Q136" s="387"/>
      <c r="R136" s="386"/>
      <c r="S136" s="387"/>
      <c r="T136" s="386"/>
      <c r="U136" s="387"/>
      <c r="V136" s="386"/>
      <c r="W136" s="387"/>
      <c r="X136" s="386"/>
      <c r="Z136" s="175"/>
      <c r="AC136" s="216" t="s">
        <v>11</v>
      </c>
      <c r="AG136" s="312"/>
      <c r="AH136" s="385"/>
      <c r="AI136" s="386"/>
      <c r="AJ136" s="387"/>
      <c r="AK136" s="386"/>
      <c r="AL136" s="387"/>
      <c r="AM136" s="386"/>
      <c r="AN136" s="387"/>
      <c r="AO136" s="386"/>
      <c r="AP136" s="387"/>
      <c r="AQ136" s="386"/>
      <c r="AR136" s="387"/>
      <c r="AS136" s="386"/>
      <c r="AT136" s="387"/>
      <c r="AU136" s="386"/>
      <c r="AV136" s="387"/>
      <c r="AW136" s="386"/>
      <c r="AX136" s="387"/>
      <c r="AY136" s="386"/>
      <c r="BA136" s="175"/>
      <c r="BB136" s="145"/>
      <c r="BC136" s="145"/>
      <c r="BD136" s="145"/>
    </row>
    <row r="137" spans="1:56" x14ac:dyDescent="0.2">
      <c r="A137" s="146"/>
      <c r="B137" s="146"/>
      <c r="D137" s="488">
        <v>601.79999999999995</v>
      </c>
      <c r="F137" s="216" t="s">
        <v>478</v>
      </c>
      <c r="G137" s="139"/>
      <c r="H137" s="261">
        <v>15</v>
      </c>
      <c r="I137" s="216"/>
      <c r="J137" s="312">
        <v>525312.88732979575</v>
      </c>
      <c r="K137" s="385"/>
      <c r="L137" s="260">
        <f>(VLOOKUP($H137,Factors,L$382))*$J137</f>
        <v>338984.40619391721</v>
      </c>
      <c r="M137" s="212"/>
      <c r="N137" s="260">
        <f>(VLOOKUP($H137,Factors,N$382))*$J137</f>
        <v>107899.26705754004</v>
      </c>
      <c r="O137" s="212"/>
      <c r="P137" s="260">
        <f>(VLOOKUP($H137,Factors,P$382))*$J137</f>
        <v>11924.602542386365</v>
      </c>
      <c r="Q137" s="212"/>
      <c r="R137" s="260">
        <f>(VLOOKUP($H137,Factors,R$382))*$J137</f>
        <v>31676.367105986683</v>
      </c>
      <c r="S137" s="212"/>
      <c r="T137" s="260">
        <f>(VLOOKUP($H137,Factors,T$382))*$J137</f>
        <v>7669.5681550150184</v>
      </c>
      <c r="U137" s="212"/>
      <c r="V137" s="260">
        <f>(VLOOKUP($H137,Factors,V$382))*$J137</f>
        <v>8510.0687747426909</v>
      </c>
      <c r="W137" s="212"/>
      <c r="X137" s="260">
        <f>(VLOOKUP($H137,Factors,X$382))*$J137</f>
        <v>18648.607500207749</v>
      </c>
      <c r="Y137" s="212"/>
      <c r="Z137" s="175"/>
      <c r="AC137" s="216" t="s">
        <v>478</v>
      </c>
      <c r="AE137" s="239">
        <f t="shared" ref="AE137:AE166" si="155">+H137</f>
        <v>15</v>
      </c>
      <c r="AG137" s="312">
        <f t="shared" ref="AG137:AG166" si="156">+J137</f>
        <v>525312.88732979575</v>
      </c>
      <c r="AH137" s="385"/>
      <c r="AI137" s="260">
        <f>(VLOOKUP($AE137,func,AI$382))*$AG137</f>
        <v>155229.95820595464</v>
      </c>
      <c r="AJ137" s="212"/>
      <c r="AK137" s="260">
        <f>(VLOOKUP($AE137,func,AK$382))*$AG137</f>
        <v>80057.684029060882</v>
      </c>
      <c r="AL137" s="212"/>
      <c r="AM137" s="260">
        <f>(VLOOKUP($AE137,func,AM$382))*$AG137</f>
        <v>25109.956014364237</v>
      </c>
      <c r="AN137" s="212"/>
      <c r="AO137" s="260">
        <f>(VLOOKUP($AE137,func,AO$382))*$AG137</f>
        <v>95764.539360221766</v>
      </c>
      <c r="AP137" s="212"/>
      <c r="AQ137" s="260">
        <f>(VLOOKUP($AE137,func,AQ$382))*$AG137</f>
        <v>25950.456634091908</v>
      </c>
      <c r="AR137" s="212"/>
      <c r="AS137" s="260">
        <f>(VLOOKUP($AE137,func,AS$382))*$AG137</f>
        <v>92822.78719117491</v>
      </c>
      <c r="AT137" s="212"/>
      <c r="AU137" s="260">
        <f>(VLOOKUP($AE137,func,AU$382))*$AG137</f>
        <v>23901.736373505704</v>
      </c>
      <c r="AV137" s="262"/>
      <c r="AW137" s="262">
        <f>(VLOOKUP($AE137,func,AW$382))*$AG137</f>
        <v>7722.0994437479976</v>
      </c>
      <c r="AX137" s="262"/>
      <c r="AY137" s="262">
        <f>(VLOOKUP($AE137,func,AY$382))*$AG137</f>
        <v>18648.607500207749</v>
      </c>
      <c r="BA137" s="175"/>
      <c r="BB137" s="145"/>
      <c r="BC137" s="145"/>
      <c r="BD137" s="145"/>
    </row>
    <row r="138" spans="1:56" ht="12.75" customHeight="1" x14ac:dyDescent="0.2">
      <c r="A138" s="146"/>
      <c r="B138" s="146"/>
      <c r="D138" s="488">
        <v>620.79999999999995</v>
      </c>
      <c r="F138" s="216" t="s">
        <v>792</v>
      </c>
      <c r="G138" s="139"/>
      <c r="H138" s="261">
        <v>15</v>
      </c>
      <c r="I138" s="216"/>
      <c r="J138" s="312">
        <v>107862.79822351568</v>
      </c>
      <c r="K138" s="385"/>
      <c r="L138" s="260">
        <f>(VLOOKUP($H138,Factors,L$382))*$J138</f>
        <v>69603.863693634674</v>
      </c>
      <c r="M138" s="212"/>
      <c r="N138" s="260">
        <f>(VLOOKUP($H138,Factors,N$382))*$J138</f>
        <v>22155.018755110123</v>
      </c>
      <c r="O138" s="212"/>
      <c r="P138" s="260">
        <f>(VLOOKUP($H138,Factors,P$382))*$J138</f>
        <v>2448.4855196738063</v>
      </c>
      <c r="Q138" s="212"/>
      <c r="R138" s="260">
        <f>(VLOOKUP($H138,Factors,R$382))*$J138</f>
        <v>6504.1267328779959</v>
      </c>
      <c r="S138" s="212"/>
      <c r="T138" s="260">
        <f>(VLOOKUP($H138,Factors,T$382))*$J138</f>
        <v>1574.796854063329</v>
      </c>
      <c r="U138" s="212"/>
      <c r="V138" s="260">
        <f>(VLOOKUP($H138,Factors,V$382))*$J138</f>
        <v>1747.3773312209539</v>
      </c>
      <c r="W138" s="212"/>
      <c r="X138" s="260">
        <f>(VLOOKUP($H138,Factors,X$382))*$J138</f>
        <v>3829.1293369348064</v>
      </c>
      <c r="Y138" s="212"/>
      <c r="Z138" s="175"/>
      <c r="AC138" s="216" t="s">
        <v>792</v>
      </c>
      <c r="AE138" s="239">
        <f t="shared" si="155"/>
        <v>15</v>
      </c>
      <c r="AG138" s="312">
        <f t="shared" si="156"/>
        <v>107862.79822351568</v>
      </c>
      <c r="AH138" s="385"/>
      <c r="AI138" s="260">
        <f>(VLOOKUP($AE138,func,AI$382))*$AG138</f>
        <v>31873.456875048883</v>
      </c>
      <c r="AJ138" s="212"/>
      <c r="AK138" s="260">
        <f>(VLOOKUP($AE138,func,AK$382))*$AG138</f>
        <v>16438.29044926379</v>
      </c>
      <c r="AL138" s="212"/>
      <c r="AM138" s="260">
        <f>(VLOOKUP($AE138,func,AM$382))*$AG138</f>
        <v>5155.8417550840495</v>
      </c>
      <c r="AN138" s="212"/>
      <c r="AO138" s="260">
        <f>(VLOOKUP($AE138,func,AO$382))*$AG138</f>
        <v>19663.388116146907</v>
      </c>
      <c r="AP138" s="212"/>
      <c r="AQ138" s="260">
        <f>(VLOOKUP($AE138,func,AQ$382))*$AG138</f>
        <v>5328.4222322416745</v>
      </c>
      <c r="AR138" s="212"/>
      <c r="AS138" s="260">
        <f>(VLOOKUP($AE138,func,AS$382))*$AG138</f>
        <v>19059.356446095222</v>
      </c>
      <c r="AT138" s="212"/>
      <c r="AU138" s="260">
        <f>(VLOOKUP($AE138,func,AU$382))*$AG138</f>
        <v>4907.757319169963</v>
      </c>
      <c r="AV138" s="262"/>
      <c r="AW138" s="262">
        <f>(VLOOKUP($AE138,func,AW$382))*$AG138</f>
        <v>1585.5831338856804</v>
      </c>
      <c r="AX138" s="262"/>
      <c r="AY138" s="262">
        <f>(VLOOKUP($AE138,func,AY$382))*$AG138</f>
        <v>3829.1293369348064</v>
      </c>
      <c r="BA138" s="175"/>
      <c r="BB138" s="145"/>
      <c r="BC138" s="145"/>
      <c r="BD138" s="145"/>
    </row>
    <row r="139" spans="1:56" x14ac:dyDescent="0.2">
      <c r="A139" s="146"/>
      <c r="B139" s="387"/>
      <c r="F139" s="216" t="s">
        <v>860</v>
      </c>
      <c r="G139" s="139"/>
      <c r="H139" s="261"/>
      <c r="I139" s="216"/>
      <c r="J139" s="312"/>
      <c r="K139" s="385"/>
      <c r="L139" s="260"/>
      <c r="M139" s="212"/>
      <c r="N139" s="260"/>
      <c r="O139" s="212"/>
      <c r="P139" s="260"/>
      <c r="Q139" s="212"/>
      <c r="R139" s="260"/>
      <c r="S139" s="212"/>
      <c r="T139" s="260"/>
      <c r="U139" s="212"/>
      <c r="V139" s="260"/>
      <c r="W139" s="212"/>
      <c r="X139" s="260"/>
      <c r="Y139" s="212"/>
      <c r="Z139" s="175"/>
      <c r="AC139" s="216" t="s">
        <v>479</v>
      </c>
      <c r="AG139" s="312"/>
      <c r="AH139" s="385"/>
      <c r="AI139" s="260"/>
      <c r="AJ139" s="212"/>
      <c r="AK139" s="260"/>
      <c r="AL139" s="212"/>
      <c r="AM139" s="260"/>
      <c r="AN139" s="212"/>
      <c r="AO139" s="260"/>
      <c r="AP139" s="212"/>
      <c r="AQ139" s="260"/>
      <c r="AR139" s="212"/>
      <c r="AS139" s="260"/>
      <c r="AT139" s="212"/>
      <c r="AU139" s="260"/>
      <c r="AV139" s="387"/>
      <c r="AW139" s="386"/>
      <c r="AX139" s="387"/>
      <c r="AY139" s="386"/>
      <c r="BA139" s="175"/>
      <c r="BB139" s="145"/>
      <c r="BC139" s="145"/>
      <c r="BD139" s="145"/>
    </row>
    <row r="140" spans="1:56" x14ac:dyDescent="0.2">
      <c r="A140" s="146"/>
      <c r="B140" s="510"/>
      <c r="F140" s="216" t="s">
        <v>131</v>
      </c>
      <c r="G140" s="139"/>
      <c r="H140" s="261">
        <v>13</v>
      </c>
      <c r="I140" s="216"/>
      <c r="J140" s="312">
        <v>2665084.3751970222</v>
      </c>
      <c r="K140" s="385"/>
      <c r="L140" s="260">
        <f t="shared" ref="L140:L158" si="157">(VLOOKUP($H140,Factors,L$382))*$J140</f>
        <v>2397509.903927241</v>
      </c>
      <c r="M140" s="212"/>
      <c r="N140" s="260">
        <f t="shared" ref="N140:N158" si="158">(VLOOKUP($H140,Factors,N$382))*$J140</f>
        <v>191086.5497016265</v>
      </c>
      <c r="O140" s="212"/>
      <c r="P140" s="260">
        <f t="shared" ref="P140:P158" si="159">(VLOOKUP($H140,Factors,P$382))*$J140</f>
        <v>1066.0337500788089</v>
      </c>
      <c r="Q140" s="212"/>
      <c r="R140" s="260">
        <f t="shared" ref="R140:R158" si="160">(VLOOKUP($H140,Factors,R$382))*$J140</f>
        <v>16523.523126221538</v>
      </c>
      <c r="S140" s="212"/>
      <c r="T140" s="260">
        <f t="shared" ref="T140:T158" si="161">(VLOOKUP($H140,Factors,T$382))*$J140</f>
        <v>533.01687503940445</v>
      </c>
      <c r="U140" s="212"/>
      <c r="V140" s="260">
        <f t="shared" ref="V140:V158" si="162">(VLOOKUP($H140,Factors,V$382))*$J140</f>
        <v>57565.822504255681</v>
      </c>
      <c r="W140" s="212"/>
      <c r="X140" s="260">
        <f t="shared" ref="X140:X158" si="163">(VLOOKUP($H140,Factors,X$382))*$J140</f>
        <v>799.52531255910662</v>
      </c>
      <c r="Y140" s="212"/>
      <c r="Z140" s="175"/>
      <c r="AC140" s="216" t="s">
        <v>131</v>
      </c>
      <c r="AE140" s="239">
        <f t="shared" si="155"/>
        <v>13</v>
      </c>
      <c r="AG140" s="312">
        <f t="shared" si="156"/>
        <v>2665084.3751970222</v>
      </c>
      <c r="AH140" s="385"/>
      <c r="AI140" s="260">
        <f t="shared" ref="AI140:AI158" si="164">(VLOOKUP($AE140,func,AI$382))*$AG140</f>
        <v>0</v>
      </c>
      <c r="AJ140" s="212"/>
      <c r="AK140" s="260">
        <f t="shared" ref="AK140:AK158" si="165">(VLOOKUP($AE140,func,AK$382))*$AG140</f>
        <v>0</v>
      </c>
      <c r="AL140" s="212"/>
      <c r="AM140" s="260">
        <f t="shared" ref="AM140:AM158" si="166">(VLOOKUP($AE140,func,AM$382))*$AG140</f>
        <v>0</v>
      </c>
      <c r="AN140" s="212"/>
      <c r="AO140" s="260">
        <f t="shared" ref="AO140:AO158" si="167">(VLOOKUP($AE140,func,AO$382))*$AG140</f>
        <v>0</v>
      </c>
      <c r="AP140" s="212"/>
      <c r="AQ140" s="260">
        <f t="shared" ref="AQ140:AQ158" si="168">(VLOOKUP($AE140,func,AQ$382))*$AG140</f>
        <v>0</v>
      </c>
      <c r="AR140" s="212"/>
      <c r="AS140" s="260">
        <f t="shared" ref="AS140:AS158" si="169">(VLOOKUP($AE140,func,AS$382))*$AG140</f>
        <v>2606719.0273802076</v>
      </c>
      <c r="AT140" s="212"/>
      <c r="AU140" s="260">
        <f t="shared" ref="AU140:AU158" si="170">(VLOOKUP($AE140,func,AU$382))*$AG140</f>
        <v>0</v>
      </c>
      <c r="AV140" s="262"/>
      <c r="AW140" s="262">
        <f t="shared" ref="AW140:AW158" si="171">(VLOOKUP($AE140,func,AW$382))*$AG140</f>
        <v>57565.822504255681</v>
      </c>
      <c r="AX140" s="262"/>
      <c r="AY140" s="262">
        <f t="shared" ref="AY140:AY158" si="172">(VLOOKUP($AE140,func,AY$382))*$AG140</f>
        <v>799.52531255910662</v>
      </c>
      <c r="BA140" s="175"/>
      <c r="BB140" s="145"/>
      <c r="BC140" s="145"/>
      <c r="BD140" s="145"/>
    </row>
    <row r="141" spans="1:56" x14ac:dyDescent="0.2">
      <c r="A141" s="146"/>
      <c r="B141" s="511"/>
      <c r="F141" s="216" t="s">
        <v>629</v>
      </c>
      <c r="G141" s="139"/>
      <c r="H141" s="261">
        <v>16</v>
      </c>
      <c r="I141" s="216"/>
      <c r="J141" s="312">
        <v>228631.78071709239</v>
      </c>
      <c r="K141" s="385"/>
      <c r="L141" s="260">
        <f t="shared" si="157"/>
        <v>142483.32574289196</v>
      </c>
      <c r="M141" s="212"/>
      <c r="N141" s="260">
        <f t="shared" si="158"/>
        <v>49590.233237537344</v>
      </c>
      <c r="O141" s="212"/>
      <c r="P141" s="260">
        <f t="shared" si="159"/>
        <v>5692.9313398556005</v>
      </c>
      <c r="Q141" s="212"/>
      <c r="R141" s="260">
        <f t="shared" si="160"/>
        <v>15181.150239614935</v>
      </c>
      <c r="S141" s="212"/>
      <c r="T141" s="260">
        <f t="shared" si="161"/>
        <v>3726.6980256886059</v>
      </c>
      <c r="U141" s="212"/>
      <c r="V141" s="260">
        <f t="shared" si="162"/>
        <v>3223.7081081110027</v>
      </c>
      <c r="W141" s="212"/>
      <c r="X141" s="260">
        <f t="shared" si="163"/>
        <v>8733.7340233929281</v>
      </c>
      <c r="Y141" s="212"/>
      <c r="Z141" s="175"/>
      <c r="AC141" s="216" t="s">
        <v>629</v>
      </c>
      <c r="AE141" s="239">
        <f t="shared" si="155"/>
        <v>16</v>
      </c>
      <c r="AG141" s="312">
        <f t="shared" si="156"/>
        <v>228631.78071709239</v>
      </c>
      <c r="AH141" s="385"/>
      <c r="AI141" s="260">
        <f t="shared" si="164"/>
        <v>71264.526049517692</v>
      </c>
      <c r="AJ141" s="212"/>
      <c r="AK141" s="260">
        <f t="shared" si="165"/>
        <v>41679.573624725941</v>
      </c>
      <c r="AL141" s="212"/>
      <c r="AM141" s="260">
        <f t="shared" si="166"/>
        <v>10494.198734914542</v>
      </c>
      <c r="AN141" s="212"/>
      <c r="AO141" s="260">
        <f t="shared" si="167"/>
        <v>58735.504466221042</v>
      </c>
      <c r="AP141" s="212"/>
      <c r="AQ141" s="260">
        <f t="shared" si="168"/>
        <v>12551.884761368372</v>
      </c>
      <c r="AR141" s="212"/>
      <c r="AS141" s="260">
        <f t="shared" si="169"/>
        <v>21308.481962833011</v>
      </c>
      <c r="AT141" s="212"/>
      <c r="AU141" s="260">
        <f t="shared" si="170"/>
        <v>800.21123250982339</v>
      </c>
      <c r="AV141" s="262"/>
      <c r="AW141" s="262">
        <f t="shared" si="171"/>
        <v>3040.8026835373284</v>
      </c>
      <c r="AX141" s="262"/>
      <c r="AY141" s="262">
        <f t="shared" si="172"/>
        <v>8733.7340233929281</v>
      </c>
      <c r="BA141" s="175"/>
      <c r="BB141" s="145"/>
      <c r="BC141" s="145"/>
      <c r="BD141" s="145"/>
    </row>
    <row r="142" spans="1:56" x14ac:dyDescent="0.2">
      <c r="A142" s="146"/>
      <c r="B142" s="146"/>
      <c r="F142" s="216" t="s">
        <v>132</v>
      </c>
      <c r="G142" s="139"/>
      <c r="H142" s="261">
        <v>1</v>
      </c>
      <c r="I142" s="216"/>
      <c r="J142" s="312">
        <v>156714.74041733041</v>
      </c>
      <c r="K142" s="385"/>
      <c r="L142" s="260">
        <f t="shared" si="157"/>
        <v>76257.392687072977</v>
      </c>
      <c r="M142" s="212"/>
      <c r="N142" s="260">
        <f t="shared" si="158"/>
        <v>48424.854788955097</v>
      </c>
      <c r="O142" s="212"/>
      <c r="P142" s="260">
        <f t="shared" si="159"/>
        <v>7412.6072217397286</v>
      </c>
      <c r="Q142" s="212"/>
      <c r="R142" s="260">
        <f t="shared" si="160"/>
        <v>18084.881044159931</v>
      </c>
      <c r="S142" s="212"/>
      <c r="T142" s="260">
        <f t="shared" si="161"/>
        <v>5626.0591809821617</v>
      </c>
      <c r="U142" s="212"/>
      <c r="V142" s="260">
        <f t="shared" si="162"/>
        <v>407.45832508505907</v>
      </c>
      <c r="W142" s="212"/>
      <c r="X142" s="260">
        <f t="shared" si="163"/>
        <v>501.48716933545734</v>
      </c>
      <c r="Y142" s="212"/>
      <c r="Z142" s="175"/>
      <c r="AC142" s="216" t="s">
        <v>132</v>
      </c>
      <c r="AE142" s="239">
        <f t="shared" si="155"/>
        <v>1</v>
      </c>
      <c r="AG142" s="312">
        <f t="shared" si="156"/>
        <v>156714.74041733041</v>
      </c>
      <c r="AH142" s="385"/>
      <c r="AI142" s="260">
        <f t="shared" si="164"/>
        <v>155805.7949229099</v>
      </c>
      <c r="AJ142" s="212"/>
      <c r="AK142" s="260">
        <f t="shared" si="165"/>
        <v>0</v>
      </c>
      <c r="AL142" s="212"/>
      <c r="AM142" s="260">
        <f t="shared" si="166"/>
        <v>0</v>
      </c>
      <c r="AN142" s="212"/>
      <c r="AO142" s="260">
        <f t="shared" si="167"/>
        <v>0</v>
      </c>
      <c r="AP142" s="212"/>
      <c r="AQ142" s="260">
        <f t="shared" si="168"/>
        <v>0</v>
      </c>
      <c r="AR142" s="212"/>
      <c r="AS142" s="260">
        <f t="shared" si="169"/>
        <v>0</v>
      </c>
      <c r="AT142" s="212"/>
      <c r="AU142" s="260">
        <f t="shared" si="170"/>
        <v>0</v>
      </c>
      <c r="AV142" s="262"/>
      <c r="AW142" s="262">
        <f t="shared" si="171"/>
        <v>407.45832508505907</v>
      </c>
      <c r="AX142" s="262"/>
      <c r="AY142" s="262">
        <f t="shared" si="172"/>
        <v>501.48716933545734</v>
      </c>
      <c r="BA142" s="175"/>
      <c r="BB142" s="145"/>
      <c r="BC142" s="145"/>
      <c r="BD142" s="145"/>
    </row>
    <row r="143" spans="1:56" x14ac:dyDescent="0.2">
      <c r="A143" s="512"/>
      <c r="B143" s="512"/>
      <c r="F143" s="216" t="s">
        <v>133</v>
      </c>
      <c r="G143" s="139"/>
      <c r="H143" s="261">
        <v>15</v>
      </c>
      <c r="I143" s="216"/>
      <c r="J143" s="312">
        <v>6273802.3659743182</v>
      </c>
      <c r="K143" s="385"/>
      <c r="L143" s="260">
        <f t="shared" si="157"/>
        <v>4048484.6667632274</v>
      </c>
      <c r="M143" s="212"/>
      <c r="N143" s="260">
        <f t="shared" si="158"/>
        <v>1288639.0059711249</v>
      </c>
      <c r="O143" s="212"/>
      <c r="P143" s="260">
        <f t="shared" si="159"/>
        <v>142415.31370761702</v>
      </c>
      <c r="Q143" s="212"/>
      <c r="R143" s="260">
        <f t="shared" si="160"/>
        <v>378310.28266825137</v>
      </c>
      <c r="S143" s="212"/>
      <c r="T143" s="260">
        <f t="shared" si="161"/>
        <v>91597.514543225043</v>
      </c>
      <c r="U143" s="212"/>
      <c r="V143" s="260">
        <f t="shared" si="162"/>
        <v>101635.59832878395</v>
      </c>
      <c r="W143" s="212"/>
      <c r="X143" s="260">
        <f t="shared" si="163"/>
        <v>222719.98399208827</v>
      </c>
      <c r="Y143" s="212"/>
      <c r="Z143" s="175"/>
      <c r="AC143" s="216" t="s">
        <v>133</v>
      </c>
      <c r="AE143" s="239">
        <f t="shared" si="155"/>
        <v>15</v>
      </c>
      <c r="AG143" s="312">
        <f t="shared" si="156"/>
        <v>6273802.3659743182</v>
      </c>
      <c r="AH143" s="385"/>
      <c r="AI143" s="260">
        <f t="shared" si="164"/>
        <v>1853908.599145411</v>
      </c>
      <c r="AJ143" s="212"/>
      <c r="AK143" s="260">
        <f t="shared" si="165"/>
        <v>956127.4805744862</v>
      </c>
      <c r="AL143" s="212"/>
      <c r="AM143" s="260">
        <f t="shared" si="166"/>
        <v>299887.75309357245</v>
      </c>
      <c r="AN143" s="212"/>
      <c r="AO143" s="260">
        <f t="shared" si="167"/>
        <v>1143714.1713171182</v>
      </c>
      <c r="AP143" s="212"/>
      <c r="AQ143" s="260">
        <f t="shared" si="168"/>
        <v>309925.83687913133</v>
      </c>
      <c r="AR143" s="212"/>
      <c r="AS143" s="260">
        <f t="shared" si="169"/>
        <v>1108580.878067662</v>
      </c>
      <c r="AT143" s="212"/>
      <c r="AU143" s="260">
        <f t="shared" si="170"/>
        <v>285458.00765183149</v>
      </c>
      <c r="AV143" s="262"/>
      <c r="AW143" s="262">
        <f t="shared" si="171"/>
        <v>92224.894779822469</v>
      </c>
      <c r="AX143" s="262"/>
      <c r="AY143" s="262">
        <f t="shared" si="172"/>
        <v>222719.98399208827</v>
      </c>
      <c r="BA143" s="175"/>
      <c r="BB143" s="145"/>
      <c r="BC143" s="145"/>
      <c r="BD143" s="145"/>
    </row>
    <row r="144" spans="1:56" x14ac:dyDescent="0.2">
      <c r="A144" s="512"/>
      <c r="B144" s="512"/>
      <c r="D144" s="488" t="s">
        <v>795</v>
      </c>
      <c r="F144" s="216" t="s">
        <v>545</v>
      </c>
      <c r="G144" s="139"/>
      <c r="H144" s="261">
        <v>15</v>
      </c>
      <c r="I144" s="216"/>
      <c r="J144" s="312">
        <v>497230.02427255083</v>
      </c>
      <c r="K144" s="385"/>
      <c r="L144" s="260">
        <f t="shared" si="157"/>
        <v>320862.53466307704</v>
      </c>
      <c r="M144" s="212"/>
      <c r="N144" s="260">
        <f t="shared" si="158"/>
        <v>102131.04698558194</v>
      </c>
      <c r="O144" s="212"/>
      <c r="P144" s="260">
        <f t="shared" si="159"/>
        <v>11287.121550986905</v>
      </c>
      <c r="Q144" s="212"/>
      <c r="R144" s="260">
        <f t="shared" si="160"/>
        <v>29982.970463634814</v>
      </c>
      <c r="S144" s="212"/>
      <c r="T144" s="260">
        <f t="shared" si="161"/>
        <v>7259.5583543792418</v>
      </c>
      <c r="U144" s="212"/>
      <c r="V144" s="260">
        <f t="shared" si="162"/>
        <v>8055.1263932153233</v>
      </c>
      <c r="W144" s="212"/>
      <c r="X144" s="260">
        <f t="shared" si="163"/>
        <v>17651.665861675552</v>
      </c>
      <c r="Y144" s="212"/>
      <c r="Z144" s="175"/>
      <c r="AC144" s="216" t="s">
        <v>545</v>
      </c>
      <c r="AE144" s="239">
        <f t="shared" si="155"/>
        <v>15</v>
      </c>
      <c r="AG144" s="312">
        <f t="shared" si="156"/>
        <v>497230.02427255083</v>
      </c>
      <c r="AH144" s="385"/>
      <c r="AI144" s="260">
        <f t="shared" si="164"/>
        <v>146931.47217253875</v>
      </c>
      <c r="AJ144" s="212"/>
      <c r="AK144" s="260">
        <f t="shared" si="165"/>
        <v>75777.855699136751</v>
      </c>
      <c r="AL144" s="212"/>
      <c r="AM144" s="260">
        <f t="shared" si="166"/>
        <v>23767.595160227931</v>
      </c>
      <c r="AN144" s="212"/>
      <c r="AO144" s="260">
        <f t="shared" si="167"/>
        <v>90645.033424886016</v>
      </c>
      <c r="AP144" s="212"/>
      <c r="AQ144" s="260">
        <f t="shared" si="168"/>
        <v>24563.163199064009</v>
      </c>
      <c r="AR144" s="212"/>
      <c r="AS144" s="260">
        <f t="shared" si="169"/>
        <v>87860.545288959736</v>
      </c>
      <c r="AT144" s="212"/>
      <c r="AU144" s="260">
        <f t="shared" si="170"/>
        <v>22623.966104401061</v>
      </c>
      <c r="AV144" s="262"/>
      <c r="AW144" s="262">
        <f t="shared" si="171"/>
        <v>7309.2813568064967</v>
      </c>
      <c r="AX144" s="262"/>
      <c r="AY144" s="262">
        <f t="shared" si="172"/>
        <v>17651.665861675552</v>
      </c>
      <c r="BA144" s="175"/>
      <c r="BB144" s="145"/>
      <c r="BC144" s="145"/>
      <c r="BD144" s="145"/>
    </row>
    <row r="145" spans="1:56" x14ac:dyDescent="0.2">
      <c r="A145" s="512"/>
      <c r="B145" s="512"/>
      <c r="D145" s="488">
        <v>642.79999999999995</v>
      </c>
      <c r="F145" s="216" t="s">
        <v>474</v>
      </c>
      <c r="G145" s="139"/>
      <c r="H145" s="261">
        <v>15</v>
      </c>
      <c r="I145" s="216"/>
      <c r="J145" s="312">
        <v>32110.811188811178</v>
      </c>
      <c r="K145" s="385"/>
      <c r="L145" s="260">
        <f t="shared" si="157"/>
        <v>20721.106460139854</v>
      </c>
      <c r="M145" s="212"/>
      <c r="N145" s="260">
        <f t="shared" si="158"/>
        <v>6595.5606181818157</v>
      </c>
      <c r="O145" s="212"/>
      <c r="P145" s="260">
        <f t="shared" si="159"/>
        <v>728.91541398601373</v>
      </c>
      <c r="Q145" s="212"/>
      <c r="R145" s="260">
        <f t="shared" si="160"/>
        <v>1936.281914685314</v>
      </c>
      <c r="S145" s="212"/>
      <c r="T145" s="260">
        <f t="shared" si="161"/>
        <v>468.81784335664321</v>
      </c>
      <c r="U145" s="212"/>
      <c r="V145" s="260">
        <f t="shared" si="162"/>
        <v>520.19514125874105</v>
      </c>
      <c r="W145" s="212"/>
      <c r="X145" s="260">
        <f t="shared" si="163"/>
        <v>1139.9337972027968</v>
      </c>
      <c r="Y145" s="212"/>
      <c r="Z145" s="175"/>
      <c r="AC145" s="216" t="s">
        <v>474</v>
      </c>
      <c r="AE145" s="239">
        <f t="shared" si="155"/>
        <v>15</v>
      </c>
      <c r="AG145" s="312">
        <f t="shared" si="156"/>
        <v>32110.811188811178</v>
      </c>
      <c r="AH145" s="385"/>
      <c r="AI145" s="260">
        <f t="shared" si="164"/>
        <v>9488.7447062937026</v>
      </c>
      <c r="AJ145" s="212"/>
      <c r="AK145" s="260">
        <f t="shared" si="165"/>
        <v>4893.6876251748236</v>
      </c>
      <c r="AL145" s="212"/>
      <c r="AM145" s="260">
        <f t="shared" si="166"/>
        <v>1534.8967748251744</v>
      </c>
      <c r="AN145" s="212"/>
      <c r="AO145" s="260">
        <f t="shared" si="167"/>
        <v>5853.8008797202774</v>
      </c>
      <c r="AP145" s="212"/>
      <c r="AQ145" s="260">
        <f t="shared" si="168"/>
        <v>1586.2740727272721</v>
      </c>
      <c r="AR145" s="212"/>
      <c r="AS145" s="260">
        <f t="shared" si="169"/>
        <v>5673.9803370629352</v>
      </c>
      <c r="AT145" s="212"/>
      <c r="AU145" s="260">
        <f t="shared" si="170"/>
        <v>1461.0419090909086</v>
      </c>
      <c r="AV145" s="262"/>
      <c r="AW145" s="262">
        <f t="shared" si="171"/>
        <v>472.02892447552432</v>
      </c>
      <c r="AX145" s="262"/>
      <c r="AY145" s="262">
        <f t="shared" si="172"/>
        <v>1139.9337972027968</v>
      </c>
      <c r="BA145" s="175"/>
      <c r="BB145" s="145"/>
      <c r="BC145" s="145"/>
      <c r="BD145" s="145"/>
    </row>
    <row r="146" spans="1:56" x14ac:dyDescent="0.2">
      <c r="A146" s="512"/>
      <c r="B146" s="512"/>
      <c r="D146" s="488">
        <v>650.79999999999995</v>
      </c>
      <c r="F146" s="216" t="s">
        <v>802</v>
      </c>
      <c r="G146" s="139"/>
      <c r="H146" s="261">
        <v>15</v>
      </c>
      <c r="I146" s="216"/>
      <c r="J146" s="312">
        <v>477994.35732931894</v>
      </c>
      <c r="K146" s="385"/>
      <c r="L146" s="260">
        <f t="shared" si="157"/>
        <v>308449.7587846095</v>
      </c>
      <c r="M146" s="212"/>
      <c r="N146" s="260">
        <f t="shared" si="158"/>
        <v>98180.040995442105</v>
      </c>
      <c r="O146" s="212"/>
      <c r="P146" s="260">
        <f t="shared" si="159"/>
        <v>10850.47191137554</v>
      </c>
      <c r="Q146" s="212"/>
      <c r="R146" s="260">
        <f t="shared" si="160"/>
        <v>28823.059746957933</v>
      </c>
      <c r="S146" s="212"/>
      <c r="T146" s="260">
        <f t="shared" si="161"/>
        <v>6978.7176170080565</v>
      </c>
      <c r="U146" s="212"/>
      <c r="V146" s="260">
        <f t="shared" si="162"/>
        <v>7743.508588734966</v>
      </c>
      <c r="W146" s="212"/>
      <c r="X146" s="260">
        <f t="shared" si="163"/>
        <v>16968.799685190821</v>
      </c>
      <c r="Y146" s="212"/>
      <c r="Z146" s="175"/>
      <c r="AC146" s="216" t="s">
        <v>802</v>
      </c>
      <c r="AE146" s="239">
        <f t="shared" si="155"/>
        <v>15</v>
      </c>
      <c r="AG146" s="312">
        <f t="shared" si="156"/>
        <v>477994.35732931894</v>
      </c>
      <c r="AH146" s="385"/>
      <c r="AI146" s="260">
        <f t="shared" si="164"/>
        <v>141247.33259081375</v>
      </c>
      <c r="AJ146" s="212"/>
      <c r="AK146" s="260">
        <f t="shared" si="165"/>
        <v>72846.340056988207</v>
      </c>
      <c r="AL146" s="212"/>
      <c r="AM146" s="260">
        <f t="shared" si="166"/>
        <v>22848.130280341447</v>
      </c>
      <c r="AN146" s="212"/>
      <c r="AO146" s="260">
        <f t="shared" si="167"/>
        <v>87138.371341134844</v>
      </c>
      <c r="AP146" s="212"/>
      <c r="AQ146" s="260">
        <f t="shared" si="168"/>
        <v>23612.921252068354</v>
      </c>
      <c r="AR146" s="212"/>
      <c r="AS146" s="260">
        <f t="shared" si="169"/>
        <v>84461.602940090655</v>
      </c>
      <c r="AT146" s="212"/>
      <c r="AU146" s="260">
        <f t="shared" si="170"/>
        <v>21748.74325848401</v>
      </c>
      <c r="AV146" s="262"/>
      <c r="AW146" s="262">
        <f t="shared" si="171"/>
        <v>7026.5170527409882</v>
      </c>
      <c r="AX146" s="262"/>
      <c r="AY146" s="262">
        <f t="shared" si="172"/>
        <v>16968.799685190821</v>
      </c>
      <c r="BA146" s="175"/>
      <c r="BB146" s="145"/>
      <c r="BC146" s="145"/>
      <c r="BD146" s="145"/>
    </row>
    <row r="147" spans="1:56" x14ac:dyDescent="0.2">
      <c r="A147" s="512"/>
      <c r="B147" s="512"/>
      <c r="D147" s="488" t="s">
        <v>790</v>
      </c>
      <c r="F147" s="216" t="s">
        <v>684</v>
      </c>
      <c r="G147" s="139"/>
      <c r="H147" s="261">
        <v>15</v>
      </c>
      <c r="I147" s="216"/>
      <c r="J147" s="312">
        <v>531886.84116666659</v>
      </c>
      <c r="K147" s="385"/>
      <c r="L147" s="260">
        <f t="shared" si="157"/>
        <v>343226.57860484993</v>
      </c>
      <c r="M147" s="212"/>
      <c r="N147" s="260">
        <f t="shared" si="158"/>
        <v>109249.55717563332</v>
      </c>
      <c r="O147" s="212"/>
      <c r="P147" s="260">
        <f t="shared" si="159"/>
        <v>12073.831294483332</v>
      </c>
      <c r="Q147" s="212"/>
      <c r="R147" s="260">
        <f t="shared" si="160"/>
        <v>32072.776522349996</v>
      </c>
      <c r="S147" s="212"/>
      <c r="T147" s="260">
        <f t="shared" si="161"/>
        <v>7765.5478810333325</v>
      </c>
      <c r="U147" s="212"/>
      <c r="V147" s="260">
        <f t="shared" si="162"/>
        <v>8616.566826899998</v>
      </c>
      <c r="W147" s="212"/>
      <c r="X147" s="260">
        <f t="shared" si="163"/>
        <v>18881.982861416662</v>
      </c>
      <c r="Y147" s="212"/>
      <c r="Z147" s="175"/>
      <c r="AC147" s="216" t="s">
        <v>684</v>
      </c>
      <c r="AE147" s="239">
        <f t="shared" si="155"/>
        <v>15</v>
      </c>
      <c r="AG147" s="312">
        <f t="shared" si="156"/>
        <v>531886.84116666659</v>
      </c>
      <c r="AH147" s="385"/>
      <c r="AI147" s="260">
        <f t="shared" si="164"/>
        <v>157172.56156474998</v>
      </c>
      <c r="AJ147" s="212"/>
      <c r="AK147" s="260">
        <f t="shared" si="165"/>
        <v>81059.5545938</v>
      </c>
      <c r="AL147" s="212"/>
      <c r="AM147" s="260">
        <f t="shared" si="166"/>
        <v>25424.191007766665</v>
      </c>
      <c r="AN147" s="212"/>
      <c r="AO147" s="260">
        <f t="shared" si="167"/>
        <v>96962.97114468331</v>
      </c>
      <c r="AP147" s="212"/>
      <c r="AQ147" s="260">
        <f t="shared" si="168"/>
        <v>26275.20995363333</v>
      </c>
      <c r="AR147" s="212"/>
      <c r="AS147" s="260">
        <f t="shared" si="169"/>
        <v>93984.404834149987</v>
      </c>
      <c r="AT147" s="212"/>
      <c r="AU147" s="260">
        <f t="shared" si="170"/>
        <v>24200.851273083328</v>
      </c>
      <c r="AV147" s="262"/>
      <c r="AW147" s="262">
        <f t="shared" si="171"/>
        <v>7818.7365651499986</v>
      </c>
      <c r="AX147" s="262"/>
      <c r="AY147" s="262">
        <f t="shared" si="172"/>
        <v>18881.982861416662</v>
      </c>
      <c r="BA147" s="175"/>
      <c r="BB147" s="145"/>
      <c r="BC147" s="145"/>
      <c r="BD147" s="145"/>
    </row>
    <row r="148" spans="1:56" x14ac:dyDescent="0.2">
      <c r="A148" s="496"/>
      <c r="B148" s="496"/>
      <c r="D148" s="488">
        <v>658.8</v>
      </c>
      <c r="F148" s="216" t="s">
        <v>480</v>
      </c>
      <c r="G148" s="139"/>
      <c r="H148" s="261">
        <v>16</v>
      </c>
      <c r="I148" s="216"/>
      <c r="J148" s="312">
        <v>138239.40401666667</v>
      </c>
      <c r="K148" s="385"/>
      <c r="L148" s="260">
        <f t="shared" si="157"/>
        <v>86150.79658318666</v>
      </c>
      <c r="M148" s="212"/>
      <c r="N148" s="260">
        <f t="shared" si="158"/>
        <v>29984.126731215001</v>
      </c>
      <c r="O148" s="212"/>
      <c r="P148" s="260">
        <f t="shared" si="159"/>
        <v>3442.161160015</v>
      </c>
      <c r="Q148" s="212"/>
      <c r="R148" s="260">
        <f t="shared" si="160"/>
        <v>9179.0964267066665</v>
      </c>
      <c r="S148" s="212"/>
      <c r="T148" s="260">
        <f t="shared" si="161"/>
        <v>2253.3022854716664</v>
      </c>
      <c r="U148" s="212"/>
      <c r="V148" s="260">
        <f t="shared" si="162"/>
        <v>1949.1755966349999</v>
      </c>
      <c r="W148" s="212"/>
      <c r="X148" s="260">
        <f t="shared" si="163"/>
        <v>5280.7452334366662</v>
      </c>
      <c r="Y148" s="212"/>
      <c r="Z148" s="175"/>
      <c r="AC148" s="216" t="s">
        <v>480</v>
      </c>
      <c r="AE148" s="239">
        <f t="shared" si="155"/>
        <v>16</v>
      </c>
      <c r="AG148" s="312">
        <f t="shared" si="156"/>
        <v>138239.40401666667</v>
      </c>
      <c r="AH148" s="385"/>
      <c r="AI148" s="260">
        <f t="shared" si="164"/>
        <v>43089.222231994994</v>
      </c>
      <c r="AJ148" s="212"/>
      <c r="AK148" s="260">
        <f t="shared" si="165"/>
        <v>25201.043352238332</v>
      </c>
      <c r="AL148" s="212"/>
      <c r="AM148" s="260">
        <f t="shared" si="166"/>
        <v>6345.1886443650001</v>
      </c>
      <c r="AN148" s="212"/>
      <c r="AO148" s="260">
        <f t="shared" si="167"/>
        <v>35513.702891881672</v>
      </c>
      <c r="AP148" s="212"/>
      <c r="AQ148" s="260">
        <f t="shared" si="168"/>
        <v>7589.3432805149996</v>
      </c>
      <c r="AR148" s="212"/>
      <c r="AS148" s="260">
        <f t="shared" si="169"/>
        <v>12883.912454353334</v>
      </c>
      <c r="AT148" s="212"/>
      <c r="AU148" s="260">
        <f t="shared" si="170"/>
        <v>483.83791405833335</v>
      </c>
      <c r="AV148" s="262"/>
      <c r="AW148" s="262">
        <f t="shared" si="171"/>
        <v>1838.5840734216665</v>
      </c>
      <c r="AX148" s="262"/>
      <c r="AY148" s="262">
        <f t="shared" si="172"/>
        <v>5280.7452334366662</v>
      </c>
      <c r="BA148" s="175"/>
      <c r="BB148" s="145"/>
      <c r="BC148" s="145"/>
      <c r="BD148" s="145"/>
    </row>
    <row r="149" spans="1:56" x14ac:dyDescent="0.2">
      <c r="A149" s="551"/>
      <c r="B149" s="552"/>
      <c r="D149" s="488">
        <v>604.79999999999995</v>
      </c>
      <c r="F149" s="216" t="s">
        <v>481</v>
      </c>
      <c r="G149" s="139"/>
      <c r="H149" s="261">
        <v>16</v>
      </c>
      <c r="I149" s="216"/>
      <c r="J149" s="312">
        <v>3496182.3738500383</v>
      </c>
      <c r="K149" s="385"/>
      <c r="L149" s="260">
        <f t="shared" si="157"/>
        <v>2178820.855383344</v>
      </c>
      <c r="M149" s="212"/>
      <c r="N149" s="260">
        <f t="shared" si="158"/>
        <v>758321.95688807336</v>
      </c>
      <c r="O149" s="212"/>
      <c r="P149" s="260">
        <f t="shared" si="159"/>
        <v>87054.941108865954</v>
      </c>
      <c r="Q149" s="212"/>
      <c r="R149" s="260">
        <f t="shared" si="160"/>
        <v>232146.50962364255</v>
      </c>
      <c r="S149" s="212"/>
      <c r="T149" s="260">
        <f t="shared" si="161"/>
        <v>56987.772693755622</v>
      </c>
      <c r="U149" s="212"/>
      <c r="V149" s="260">
        <f t="shared" si="162"/>
        <v>49296.171471285539</v>
      </c>
      <c r="W149" s="212"/>
      <c r="X149" s="260">
        <f t="shared" si="163"/>
        <v>133554.16668107145</v>
      </c>
      <c r="Y149" s="212"/>
      <c r="Z149" s="175"/>
      <c r="AC149" s="216" t="s">
        <v>481</v>
      </c>
      <c r="AE149" s="239">
        <f t="shared" si="155"/>
        <v>16</v>
      </c>
      <c r="AG149" s="312">
        <f t="shared" si="156"/>
        <v>3496182.3738500383</v>
      </c>
      <c r="AH149" s="385"/>
      <c r="AI149" s="260">
        <f t="shared" si="164"/>
        <v>1089760.0459290568</v>
      </c>
      <c r="AJ149" s="212"/>
      <c r="AK149" s="260">
        <f t="shared" si="165"/>
        <v>637354.04675286193</v>
      </c>
      <c r="AL149" s="212"/>
      <c r="AM149" s="260">
        <f t="shared" si="166"/>
        <v>160474.77095971676</v>
      </c>
      <c r="AN149" s="212"/>
      <c r="AO149" s="260">
        <f t="shared" si="167"/>
        <v>898169.25184207491</v>
      </c>
      <c r="AP149" s="212"/>
      <c r="AQ149" s="260">
        <f t="shared" si="168"/>
        <v>191940.41232436709</v>
      </c>
      <c r="AR149" s="212"/>
      <c r="AS149" s="260">
        <f t="shared" si="169"/>
        <v>325844.1972428236</v>
      </c>
      <c r="AT149" s="212"/>
      <c r="AU149" s="260">
        <f t="shared" si="170"/>
        <v>12236.638308475134</v>
      </c>
      <c r="AV149" s="262"/>
      <c r="AW149" s="262">
        <f t="shared" si="171"/>
        <v>46499.225572205505</v>
      </c>
      <c r="AX149" s="262"/>
      <c r="AY149" s="262">
        <f t="shared" si="172"/>
        <v>133554.16668107145</v>
      </c>
      <c r="BA149" s="175"/>
      <c r="BB149" s="145"/>
      <c r="BC149" s="145"/>
      <c r="BD149" s="145"/>
    </row>
    <row r="150" spans="1:56" x14ac:dyDescent="0.2">
      <c r="A150" s="496"/>
      <c r="B150" s="496"/>
      <c r="D150" s="488" t="s">
        <v>546</v>
      </c>
      <c r="F150" s="216" t="s">
        <v>482</v>
      </c>
      <c r="G150" s="139"/>
      <c r="H150" s="261">
        <v>19</v>
      </c>
      <c r="I150" s="216"/>
      <c r="J150" s="312">
        <v>274995.38</v>
      </c>
      <c r="K150" s="385"/>
      <c r="L150" s="260">
        <f t="shared" ca="1" si="157"/>
        <v>156637.36844799999</v>
      </c>
      <c r="M150" s="212"/>
      <c r="N150" s="260">
        <f t="shared" ca="1" si="158"/>
        <v>65861.393509999994</v>
      </c>
      <c r="O150" s="212"/>
      <c r="P150" s="260">
        <f t="shared" ca="1" si="159"/>
        <v>8277.3609379999998</v>
      </c>
      <c r="Q150" s="212"/>
      <c r="R150" s="260">
        <f t="shared" ca="1" si="160"/>
        <v>21174.644260000001</v>
      </c>
      <c r="S150" s="212"/>
      <c r="T150" s="260">
        <f t="shared" ca="1" si="161"/>
        <v>5307.4108340000002</v>
      </c>
      <c r="U150" s="212"/>
      <c r="V150" s="260">
        <f t="shared" ca="1" si="162"/>
        <v>6242.3951260000003</v>
      </c>
      <c r="W150" s="212"/>
      <c r="X150" s="260">
        <f t="shared" ca="1" si="163"/>
        <v>11494.806884</v>
      </c>
      <c r="Y150" s="212"/>
      <c r="Z150" s="175"/>
      <c r="AC150" s="216" t="s">
        <v>482</v>
      </c>
      <c r="AE150" s="239">
        <f t="shared" si="155"/>
        <v>19</v>
      </c>
      <c r="AG150" s="312">
        <f t="shared" si="156"/>
        <v>274995.38</v>
      </c>
      <c r="AH150" s="385"/>
      <c r="AI150" s="260">
        <f t="shared" ca="1" si="164"/>
        <v>113188.09840799999</v>
      </c>
      <c r="AJ150" s="212"/>
      <c r="AK150" s="260">
        <f t="shared" ca="1" si="165"/>
        <v>50021.659621999999</v>
      </c>
      <c r="AL150" s="212"/>
      <c r="AM150" s="260">
        <f t="shared" ca="1" si="166"/>
        <v>21312.141950000001</v>
      </c>
      <c r="AN150" s="212"/>
      <c r="AO150" s="260">
        <f t="shared" ca="1" si="167"/>
        <v>33274.440979999999</v>
      </c>
      <c r="AP150" s="212"/>
      <c r="AQ150" s="260">
        <f t="shared" ca="1" si="168"/>
        <v>9762.3359899999996</v>
      </c>
      <c r="AR150" s="212"/>
      <c r="AS150" s="260">
        <f t="shared" ca="1" si="169"/>
        <v>26207.059713999999</v>
      </c>
      <c r="AT150" s="212"/>
      <c r="AU150" s="260">
        <f t="shared" ca="1" si="170"/>
        <v>3739.9371679999999</v>
      </c>
      <c r="AV150" s="262"/>
      <c r="AW150" s="262">
        <f t="shared" ca="1" si="171"/>
        <v>6049.8983600000001</v>
      </c>
      <c r="AX150" s="262"/>
      <c r="AY150" s="262">
        <f t="shared" ca="1" si="172"/>
        <v>11439.807808</v>
      </c>
      <c r="BA150" s="175"/>
      <c r="BB150" s="145"/>
      <c r="BC150" s="145"/>
      <c r="BD150" s="145"/>
    </row>
    <row r="151" spans="1:56" x14ac:dyDescent="0.2">
      <c r="A151" s="496"/>
      <c r="B151" s="496"/>
      <c r="D151" s="488">
        <v>675.8</v>
      </c>
      <c r="F151" s="216" t="s">
        <v>708</v>
      </c>
      <c r="G151" s="139"/>
      <c r="H151" s="261">
        <v>15</v>
      </c>
      <c r="I151" s="216"/>
      <c r="J151" s="312">
        <v>84548.512810501546</v>
      </c>
      <c r="K151" s="385"/>
      <c r="L151" s="260">
        <f t="shared" si="157"/>
        <v>54559.155316616649</v>
      </c>
      <c r="M151" s="212"/>
      <c r="N151" s="260">
        <f t="shared" si="158"/>
        <v>17366.264531277018</v>
      </c>
      <c r="O151" s="212"/>
      <c r="P151" s="260">
        <f t="shared" si="159"/>
        <v>1919.2512407983852</v>
      </c>
      <c r="Q151" s="212"/>
      <c r="R151" s="260">
        <f t="shared" si="160"/>
        <v>5098.2753224732432</v>
      </c>
      <c r="S151" s="212"/>
      <c r="T151" s="260">
        <f t="shared" si="161"/>
        <v>1234.4082870333225</v>
      </c>
      <c r="U151" s="212"/>
      <c r="V151" s="260">
        <f t="shared" si="162"/>
        <v>1369.685907530125</v>
      </c>
      <c r="W151" s="212"/>
      <c r="X151" s="260">
        <f t="shared" si="163"/>
        <v>3001.4722047728046</v>
      </c>
      <c r="Y151" s="212"/>
      <c r="Z151" s="175"/>
      <c r="AC151" s="216" t="s">
        <v>708</v>
      </c>
      <c r="AE151" s="239">
        <f t="shared" si="155"/>
        <v>15</v>
      </c>
      <c r="AG151" s="312">
        <f t="shared" si="156"/>
        <v>84548.512810501546</v>
      </c>
      <c r="AH151" s="385"/>
      <c r="AI151" s="260">
        <f t="shared" si="164"/>
        <v>24984.085535503207</v>
      </c>
      <c r="AJ151" s="212"/>
      <c r="AK151" s="260">
        <f t="shared" si="165"/>
        <v>12885.193352320437</v>
      </c>
      <c r="AL151" s="212"/>
      <c r="AM151" s="260">
        <f t="shared" si="166"/>
        <v>4041.4189123419742</v>
      </c>
      <c r="AN151" s="212"/>
      <c r="AO151" s="260">
        <f t="shared" si="167"/>
        <v>15413.193885354431</v>
      </c>
      <c r="AP151" s="212"/>
      <c r="AQ151" s="260">
        <f t="shared" si="168"/>
        <v>4176.696532838776</v>
      </c>
      <c r="AR151" s="212"/>
      <c r="AS151" s="260">
        <f t="shared" si="169"/>
        <v>14939.722213615623</v>
      </c>
      <c r="AT151" s="212"/>
      <c r="AU151" s="260">
        <f t="shared" si="170"/>
        <v>3846.9573328778201</v>
      </c>
      <c r="AV151" s="262"/>
      <c r="AW151" s="262">
        <f t="shared" si="171"/>
        <v>1242.8631383143727</v>
      </c>
      <c r="AX151" s="262"/>
      <c r="AY151" s="262">
        <f t="shared" si="172"/>
        <v>3001.4722047728046</v>
      </c>
      <c r="BA151" s="175"/>
      <c r="BB151" s="145"/>
      <c r="BC151" s="145"/>
      <c r="BD151" s="145"/>
    </row>
    <row r="152" spans="1:56" x14ac:dyDescent="0.2">
      <c r="A152" s="496"/>
      <c r="B152" s="496"/>
      <c r="D152" s="488">
        <v>675.8</v>
      </c>
      <c r="F152" s="216" t="s">
        <v>710</v>
      </c>
      <c r="G152" s="139"/>
      <c r="H152" s="261">
        <v>15</v>
      </c>
      <c r="I152" s="216"/>
      <c r="J152" s="312">
        <v>25290.279228393742</v>
      </c>
      <c r="K152" s="385"/>
      <c r="L152" s="260">
        <f t="shared" si="157"/>
        <v>16319.81718608248</v>
      </c>
      <c r="M152" s="212"/>
      <c r="N152" s="260">
        <f t="shared" si="158"/>
        <v>5194.6233535120746</v>
      </c>
      <c r="O152" s="212"/>
      <c r="P152" s="260">
        <f t="shared" si="159"/>
        <v>574.08933848453796</v>
      </c>
      <c r="Q152" s="212"/>
      <c r="R152" s="260">
        <f t="shared" si="160"/>
        <v>1525.0038374721425</v>
      </c>
      <c r="S152" s="212"/>
      <c r="T152" s="260">
        <f t="shared" si="161"/>
        <v>369.23807673454866</v>
      </c>
      <c r="U152" s="212"/>
      <c r="V152" s="260">
        <f t="shared" si="162"/>
        <v>409.70252349997861</v>
      </c>
      <c r="W152" s="212"/>
      <c r="X152" s="260">
        <f t="shared" si="163"/>
        <v>897.80491260797771</v>
      </c>
      <c r="Y152" s="212"/>
      <c r="Z152" s="175"/>
      <c r="AC152" s="216" t="s">
        <v>710</v>
      </c>
      <c r="AE152" s="239">
        <f t="shared" si="155"/>
        <v>15</v>
      </c>
      <c r="AG152" s="312">
        <f t="shared" si="156"/>
        <v>25290.279228393742</v>
      </c>
      <c r="AH152" s="385"/>
      <c r="AI152" s="260">
        <f t="shared" si="164"/>
        <v>7473.2775119903499</v>
      </c>
      <c r="AJ152" s="212"/>
      <c r="AK152" s="260">
        <f t="shared" si="165"/>
        <v>3854.2385544072063</v>
      </c>
      <c r="AL152" s="212"/>
      <c r="AM152" s="260">
        <f t="shared" si="166"/>
        <v>1208.8753471172208</v>
      </c>
      <c r="AN152" s="212"/>
      <c r="AO152" s="260">
        <f t="shared" si="167"/>
        <v>4610.4179033361788</v>
      </c>
      <c r="AP152" s="212"/>
      <c r="AQ152" s="260">
        <f t="shared" si="168"/>
        <v>1249.3397938826508</v>
      </c>
      <c r="AR152" s="212"/>
      <c r="AS152" s="260">
        <f t="shared" si="169"/>
        <v>4468.7923396571741</v>
      </c>
      <c r="AT152" s="212"/>
      <c r="AU152" s="260">
        <f t="shared" si="170"/>
        <v>1150.7077048919152</v>
      </c>
      <c r="AV152" s="262"/>
      <c r="AW152" s="262">
        <f t="shared" si="171"/>
        <v>371.76710465738796</v>
      </c>
      <c r="AX152" s="262"/>
      <c r="AY152" s="262">
        <f t="shared" si="172"/>
        <v>897.80491260797771</v>
      </c>
      <c r="BA152" s="175"/>
      <c r="BB152" s="145"/>
      <c r="BC152" s="145"/>
      <c r="BD152" s="145"/>
    </row>
    <row r="153" spans="1:56" x14ac:dyDescent="0.2">
      <c r="A153" s="496"/>
      <c r="B153" s="496"/>
      <c r="D153" s="488">
        <v>675.8</v>
      </c>
      <c r="F153" s="216" t="s">
        <v>713</v>
      </c>
      <c r="G153" s="139"/>
      <c r="H153" s="261">
        <v>15</v>
      </c>
      <c r="I153" s="216"/>
      <c r="J153" s="312">
        <v>77838.550062797745</v>
      </c>
      <c r="K153" s="385"/>
      <c r="L153" s="260">
        <f t="shared" si="157"/>
        <v>50229.216355523386</v>
      </c>
      <c r="M153" s="212"/>
      <c r="N153" s="260">
        <f t="shared" si="158"/>
        <v>15988.038182898657</v>
      </c>
      <c r="O153" s="212"/>
      <c r="P153" s="260">
        <f t="shared" si="159"/>
        <v>1766.9350864255089</v>
      </c>
      <c r="Q153" s="212"/>
      <c r="R153" s="260">
        <f t="shared" si="160"/>
        <v>4693.664568786704</v>
      </c>
      <c r="S153" s="212"/>
      <c r="T153" s="260">
        <f t="shared" si="161"/>
        <v>1136.442830916847</v>
      </c>
      <c r="U153" s="212"/>
      <c r="V153" s="260">
        <f t="shared" si="162"/>
        <v>1260.9845110173235</v>
      </c>
      <c r="W153" s="212"/>
      <c r="X153" s="260">
        <f t="shared" si="163"/>
        <v>2763.2685272293197</v>
      </c>
      <c r="Y153" s="212"/>
      <c r="Z153" s="175"/>
      <c r="AC153" s="216" t="s">
        <v>713</v>
      </c>
      <c r="AE153" s="239">
        <f t="shared" si="155"/>
        <v>15</v>
      </c>
      <c r="AG153" s="312">
        <f t="shared" si="156"/>
        <v>77838.550062797745</v>
      </c>
      <c r="AH153" s="385"/>
      <c r="AI153" s="260">
        <f t="shared" si="164"/>
        <v>23001.291543556734</v>
      </c>
      <c r="AJ153" s="212"/>
      <c r="AK153" s="260">
        <f t="shared" si="165"/>
        <v>11862.595029570377</v>
      </c>
      <c r="AL153" s="212"/>
      <c r="AM153" s="260">
        <f t="shared" si="166"/>
        <v>3720.6826930017323</v>
      </c>
      <c r="AN153" s="212"/>
      <c r="AO153" s="260">
        <f t="shared" si="167"/>
        <v>14189.967676448028</v>
      </c>
      <c r="AP153" s="212"/>
      <c r="AQ153" s="260">
        <f t="shared" si="168"/>
        <v>3845.2243731022086</v>
      </c>
      <c r="AR153" s="212"/>
      <c r="AS153" s="260">
        <f t="shared" si="169"/>
        <v>13754.071796096361</v>
      </c>
      <c r="AT153" s="212"/>
      <c r="AU153" s="260">
        <f t="shared" si="170"/>
        <v>3541.6540278572975</v>
      </c>
      <c r="AV153" s="262"/>
      <c r="AW153" s="262">
        <f t="shared" si="171"/>
        <v>1144.2266859231268</v>
      </c>
      <c r="AX153" s="262"/>
      <c r="AY153" s="262">
        <f t="shared" si="172"/>
        <v>2763.2685272293197</v>
      </c>
      <c r="BA153" s="175"/>
      <c r="BB153" s="145"/>
      <c r="BC153" s="145"/>
      <c r="BD153" s="145"/>
    </row>
    <row r="154" spans="1:56" x14ac:dyDescent="0.2">
      <c r="A154" s="496"/>
      <c r="B154" s="496"/>
      <c r="D154" s="488">
        <v>675.8</v>
      </c>
      <c r="F154" s="216" t="s">
        <v>714</v>
      </c>
      <c r="G154" s="139"/>
      <c r="H154" s="261">
        <v>15</v>
      </c>
      <c r="I154" s="216"/>
      <c r="J154" s="312">
        <v>92915</v>
      </c>
      <c r="K154" s="385"/>
      <c r="L154" s="260">
        <f t="shared" si="157"/>
        <v>59958.049500000001</v>
      </c>
      <c r="M154" s="212"/>
      <c r="N154" s="260">
        <f t="shared" si="158"/>
        <v>19084.740999999998</v>
      </c>
      <c r="O154" s="212"/>
      <c r="P154" s="260">
        <f t="shared" si="159"/>
        <v>2109.1705000000002</v>
      </c>
      <c r="Q154" s="212"/>
      <c r="R154" s="260">
        <f t="shared" si="160"/>
        <v>5602.7744999999995</v>
      </c>
      <c r="S154" s="212"/>
      <c r="T154" s="260">
        <f t="shared" si="161"/>
        <v>1356.559</v>
      </c>
      <c r="U154" s="212"/>
      <c r="V154" s="260">
        <f t="shared" si="162"/>
        <v>1505.223</v>
      </c>
      <c r="W154" s="212"/>
      <c r="X154" s="260">
        <f t="shared" si="163"/>
        <v>3298.4824999999996</v>
      </c>
      <c r="Y154" s="212"/>
      <c r="Z154" s="175"/>
      <c r="AC154" s="216" t="s">
        <v>714</v>
      </c>
      <c r="AE154" s="239">
        <f t="shared" si="155"/>
        <v>15</v>
      </c>
      <c r="AG154" s="312">
        <f t="shared" si="156"/>
        <v>92915</v>
      </c>
      <c r="AH154" s="385"/>
      <c r="AI154" s="260">
        <f t="shared" si="164"/>
        <v>27456.3825</v>
      </c>
      <c r="AJ154" s="212"/>
      <c r="AK154" s="260">
        <f t="shared" si="165"/>
        <v>14160.246000000001</v>
      </c>
      <c r="AL154" s="212"/>
      <c r="AM154" s="260">
        <f t="shared" si="166"/>
        <v>4441.3370000000004</v>
      </c>
      <c r="AN154" s="212"/>
      <c r="AO154" s="260">
        <f t="shared" si="167"/>
        <v>16938.404500000001</v>
      </c>
      <c r="AP154" s="212"/>
      <c r="AQ154" s="260">
        <f t="shared" si="168"/>
        <v>4590.0010000000002</v>
      </c>
      <c r="AR154" s="212"/>
      <c r="AS154" s="260">
        <f t="shared" si="169"/>
        <v>16418.0805</v>
      </c>
      <c r="AT154" s="212"/>
      <c r="AU154" s="260">
        <f t="shared" si="170"/>
        <v>4227.6324999999997</v>
      </c>
      <c r="AV154" s="262"/>
      <c r="AW154" s="262">
        <f t="shared" si="171"/>
        <v>1365.8505</v>
      </c>
      <c r="AX154" s="262"/>
      <c r="AY154" s="262">
        <f t="shared" si="172"/>
        <v>3298.4824999999996</v>
      </c>
      <c r="BA154" s="175"/>
      <c r="BB154" s="145"/>
      <c r="BC154" s="145"/>
      <c r="BD154" s="145"/>
    </row>
    <row r="155" spans="1:56" x14ac:dyDescent="0.2">
      <c r="A155" s="496"/>
      <c r="B155" s="496"/>
      <c r="D155" s="488">
        <v>675.8</v>
      </c>
      <c r="F155" s="216" t="s">
        <v>844</v>
      </c>
      <c r="G155" s="139"/>
      <c r="H155" s="261">
        <v>15</v>
      </c>
      <c r="I155" s="216"/>
      <c r="J155" s="312">
        <v>31261.551400145287</v>
      </c>
      <c r="K155" s="385"/>
      <c r="L155" s="260">
        <f t="shared" si="157"/>
        <v>20173.079118513753</v>
      </c>
      <c r="M155" s="212"/>
      <c r="N155" s="260">
        <f t="shared" si="158"/>
        <v>6421.1226575898418</v>
      </c>
      <c r="O155" s="212"/>
      <c r="P155" s="260">
        <f t="shared" si="159"/>
        <v>709.63721678329807</v>
      </c>
      <c r="Q155" s="212"/>
      <c r="R155" s="260">
        <f t="shared" si="160"/>
        <v>1885.0715494287608</v>
      </c>
      <c r="S155" s="212"/>
      <c r="T155" s="260">
        <f t="shared" si="161"/>
        <v>456.41865044212119</v>
      </c>
      <c r="U155" s="212"/>
      <c r="V155" s="260">
        <f t="shared" si="162"/>
        <v>506.43713268235359</v>
      </c>
      <c r="W155" s="212"/>
      <c r="X155" s="260">
        <f t="shared" si="163"/>
        <v>1109.7850747051575</v>
      </c>
      <c r="Y155" s="212"/>
      <c r="Z155" s="175"/>
      <c r="AC155" s="216" t="s">
        <v>844</v>
      </c>
      <c r="AE155" s="239">
        <f t="shared" si="155"/>
        <v>15</v>
      </c>
      <c r="AG155" s="312">
        <f t="shared" si="156"/>
        <v>31261.551400145287</v>
      </c>
      <c r="AH155" s="385"/>
      <c r="AI155" s="260">
        <f t="shared" si="164"/>
        <v>9237.7884387429312</v>
      </c>
      <c r="AJ155" s="212"/>
      <c r="AK155" s="260">
        <f t="shared" si="165"/>
        <v>4764.2604333821419</v>
      </c>
      <c r="AL155" s="212"/>
      <c r="AM155" s="260">
        <f t="shared" si="166"/>
        <v>1494.3021569269447</v>
      </c>
      <c r="AN155" s="212"/>
      <c r="AO155" s="260">
        <f t="shared" si="167"/>
        <v>5698.9808202464856</v>
      </c>
      <c r="AP155" s="212"/>
      <c r="AQ155" s="260">
        <f t="shared" si="168"/>
        <v>1544.3206391671772</v>
      </c>
      <c r="AR155" s="212"/>
      <c r="AS155" s="260">
        <f t="shared" si="169"/>
        <v>5523.9161324056722</v>
      </c>
      <c r="AT155" s="212"/>
      <c r="AU155" s="260">
        <f t="shared" si="170"/>
        <v>1422.4005887066105</v>
      </c>
      <c r="AV155" s="262"/>
      <c r="AW155" s="262">
        <f t="shared" si="171"/>
        <v>459.54480558213572</v>
      </c>
      <c r="AX155" s="262"/>
      <c r="AY155" s="262">
        <f t="shared" si="172"/>
        <v>1109.7850747051575</v>
      </c>
      <c r="BA155" s="175"/>
      <c r="BB155" s="145"/>
      <c r="BC155" s="145"/>
      <c r="BD155" s="145"/>
    </row>
    <row r="156" spans="1:56" x14ac:dyDescent="0.2">
      <c r="A156" s="496"/>
      <c r="B156" s="496"/>
      <c r="D156" s="488">
        <v>675.8</v>
      </c>
      <c r="F156" s="216" t="s">
        <v>735</v>
      </c>
      <c r="G156" s="139"/>
      <c r="H156" s="261">
        <v>15</v>
      </c>
      <c r="I156" s="216"/>
      <c r="J156" s="312">
        <v>44389.906171242423</v>
      </c>
      <c r="K156" s="385"/>
      <c r="L156" s="260">
        <f t="shared" si="157"/>
        <v>28644.806452302735</v>
      </c>
      <c r="M156" s="212"/>
      <c r="N156" s="260">
        <f t="shared" si="158"/>
        <v>9117.6867275731929</v>
      </c>
      <c r="O156" s="212"/>
      <c r="P156" s="260">
        <f t="shared" si="159"/>
        <v>1007.6508700872031</v>
      </c>
      <c r="Q156" s="212"/>
      <c r="R156" s="260">
        <f t="shared" si="160"/>
        <v>2676.7113421259182</v>
      </c>
      <c r="S156" s="212"/>
      <c r="T156" s="260">
        <f t="shared" si="161"/>
        <v>648.09263010013933</v>
      </c>
      <c r="U156" s="212"/>
      <c r="V156" s="260">
        <f t="shared" si="162"/>
        <v>719.11647997412717</v>
      </c>
      <c r="W156" s="212"/>
      <c r="X156" s="260">
        <f t="shared" si="163"/>
        <v>1575.8416690791059</v>
      </c>
      <c r="Y156" s="212"/>
      <c r="Z156" s="175"/>
      <c r="AC156" s="216" t="s">
        <v>735</v>
      </c>
      <c r="AE156" s="239">
        <f t="shared" si="155"/>
        <v>15</v>
      </c>
      <c r="AG156" s="312">
        <f t="shared" si="156"/>
        <v>44389.906171242423</v>
      </c>
      <c r="AH156" s="385"/>
      <c r="AI156" s="260">
        <f t="shared" si="164"/>
        <v>13117.217273602135</v>
      </c>
      <c r="AJ156" s="212"/>
      <c r="AK156" s="260">
        <f t="shared" si="165"/>
        <v>6765.0217004973456</v>
      </c>
      <c r="AL156" s="212"/>
      <c r="AM156" s="260">
        <f t="shared" si="166"/>
        <v>2121.8375149853878</v>
      </c>
      <c r="AN156" s="212"/>
      <c r="AO156" s="260">
        <f t="shared" si="167"/>
        <v>8092.2798950174929</v>
      </c>
      <c r="AP156" s="212"/>
      <c r="AQ156" s="260">
        <f t="shared" si="168"/>
        <v>2192.8613648593755</v>
      </c>
      <c r="AR156" s="212"/>
      <c r="AS156" s="260">
        <f t="shared" si="169"/>
        <v>7843.6964204585356</v>
      </c>
      <c r="AT156" s="212"/>
      <c r="AU156" s="260">
        <f t="shared" si="170"/>
        <v>2019.7407307915303</v>
      </c>
      <c r="AV156" s="262"/>
      <c r="AW156" s="262">
        <f t="shared" si="171"/>
        <v>652.53162071726365</v>
      </c>
      <c r="AX156" s="262"/>
      <c r="AY156" s="262">
        <f t="shared" si="172"/>
        <v>1575.8416690791059</v>
      </c>
      <c r="BA156" s="175"/>
      <c r="BB156" s="145"/>
      <c r="BC156" s="145"/>
      <c r="BD156" s="145"/>
    </row>
    <row r="157" spans="1:56" x14ac:dyDescent="0.2">
      <c r="A157" s="496"/>
      <c r="B157" s="496"/>
      <c r="D157" s="488">
        <v>675.8</v>
      </c>
      <c r="F157" s="216" t="s">
        <v>739</v>
      </c>
      <c r="G157" s="139"/>
      <c r="H157" s="261">
        <v>15</v>
      </c>
      <c r="I157" s="216"/>
      <c r="J157" s="312">
        <v>83573.359334323992</v>
      </c>
      <c r="K157" s="385"/>
      <c r="L157" s="260">
        <f t="shared" si="157"/>
        <v>53929.888778439272</v>
      </c>
      <c r="M157" s="212"/>
      <c r="N157" s="260">
        <f t="shared" si="158"/>
        <v>17165.968007270149</v>
      </c>
      <c r="O157" s="212"/>
      <c r="P157" s="260">
        <f t="shared" si="159"/>
        <v>1897.1152568891548</v>
      </c>
      <c r="Q157" s="212"/>
      <c r="R157" s="260">
        <f t="shared" si="160"/>
        <v>5039.4735678597362</v>
      </c>
      <c r="S157" s="212"/>
      <c r="T157" s="260">
        <f t="shared" si="161"/>
        <v>1220.1710462811302</v>
      </c>
      <c r="U157" s="212"/>
      <c r="V157" s="260">
        <f t="shared" si="162"/>
        <v>1353.8884212160485</v>
      </c>
      <c r="W157" s="212"/>
      <c r="X157" s="260">
        <f t="shared" si="163"/>
        <v>2966.8542563685014</v>
      </c>
      <c r="Y157" s="212"/>
      <c r="Z157" s="175"/>
      <c r="AC157" s="216" t="s">
        <v>739</v>
      </c>
      <c r="AE157" s="239">
        <f t="shared" si="155"/>
        <v>15</v>
      </c>
      <c r="AG157" s="312">
        <f t="shared" si="156"/>
        <v>83573.359334323992</v>
      </c>
      <c r="AH157" s="385"/>
      <c r="AI157" s="260">
        <f t="shared" si="164"/>
        <v>24695.927683292739</v>
      </c>
      <c r="AJ157" s="212"/>
      <c r="AK157" s="260">
        <f t="shared" si="165"/>
        <v>12736.579962550977</v>
      </c>
      <c r="AL157" s="212"/>
      <c r="AM157" s="260">
        <f t="shared" si="166"/>
        <v>3994.806576180687</v>
      </c>
      <c r="AN157" s="212"/>
      <c r="AO157" s="260">
        <f t="shared" si="167"/>
        <v>15235.423406647264</v>
      </c>
      <c r="AP157" s="212"/>
      <c r="AQ157" s="260">
        <f t="shared" si="168"/>
        <v>4128.5239511156051</v>
      </c>
      <c r="AR157" s="212"/>
      <c r="AS157" s="260">
        <f t="shared" si="169"/>
        <v>14767.41259437505</v>
      </c>
      <c r="AT157" s="212"/>
      <c r="AU157" s="260">
        <f t="shared" si="170"/>
        <v>3802.5878497117415</v>
      </c>
      <c r="AV157" s="262"/>
      <c r="AW157" s="262">
        <f t="shared" si="171"/>
        <v>1228.5283822145627</v>
      </c>
      <c r="AX157" s="262"/>
      <c r="AY157" s="262">
        <f t="shared" si="172"/>
        <v>2966.8542563685014</v>
      </c>
      <c r="BA157" s="175"/>
      <c r="BB157" s="145"/>
      <c r="BC157" s="145"/>
      <c r="BD157" s="145"/>
    </row>
    <row r="158" spans="1:56" x14ac:dyDescent="0.2">
      <c r="A158" s="496"/>
      <c r="B158" s="496"/>
      <c r="D158" s="488">
        <v>675.8</v>
      </c>
      <c r="F158" s="216" t="s">
        <v>675</v>
      </c>
      <c r="G158" s="139"/>
      <c r="H158" s="261">
        <v>15</v>
      </c>
      <c r="I158" s="216"/>
      <c r="J158" s="312">
        <v>23465.699610666637</v>
      </c>
      <c r="K158" s="385"/>
      <c r="L158" s="260">
        <f t="shared" si="157"/>
        <v>15142.41595876318</v>
      </c>
      <c r="M158" s="212"/>
      <c r="N158" s="260">
        <f t="shared" si="158"/>
        <v>4819.8547000309272</v>
      </c>
      <c r="O158" s="212"/>
      <c r="P158" s="260">
        <f t="shared" si="159"/>
        <v>532.67138116213266</v>
      </c>
      <c r="Q158" s="212"/>
      <c r="R158" s="260">
        <f t="shared" si="160"/>
        <v>1414.9816865231983</v>
      </c>
      <c r="S158" s="212"/>
      <c r="T158" s="260">
        <f t="shared" si="161"/>
        <v>342.59921431573292</v>
      </c>
      <c r="U158" s="212"/>
      <c r="V158" s="260">
        <f t="shared" si="162"/>
        <v>380.14433369279948</v>
      </c>
      <c r="W158" s="212"/>
      <c r="X158" s="260">
        <f t="shared" si="163"/>
        <v>833.03233617866556</v>
      </c>
      <c r="Y158" s="212"/>
      <c r="Z158" s="175"/>
      <c r="AC158" s="216" t="s">
        <v>675</v>
      </c>
      <c r="AE158" s="239">
        <f t="shared" si="155"/>
        <v>15</v>
      </c>
      <c r="AG158" s="312">
        <f t="shared" ref="AG158" si="173">+J158</f>
        <v>23465.699610666637</v>
      </c>
      <c r="AH158" s="385"/>
      <c r="AI158" s="260">
        <f t="shared" si="164"/>
        <v>6934.1142349519914</v>
      </c>
      <c r="AJ158" s="212"/>
      <c r="AK158" s="260">
        <f t="shared" si="165"/>
        <v>3576.1726206655958</v>
      </c>
      <c r="AL158" s="212"/>
      <c r="AM158" s="260">
        <f t="shared" si="166"/>
        <v>1121.6604413898654</v>
      </c>
      <c r="AN158" s="212"/>
      <c r="AO158" s="260">
        <f t="shared" si="167"/>
        <v>4277.7970390245282</v>
      </c>
      <c r="AP158" s="212"/>
      <c r="AQ158" s="260">
        <f t="shared" si="168"/>
        <v>1159.205560766932</v>
      </c>
      <c r="AR158" s="212"/>
      <c r="AS158" s="260">
        <f t="shared" si="169"/>
        <v>4146.3891212047947</v>
      </c>
      <c r="AT158" s="212"/>
      <c r="AU158" s="260">
        <f t="shared" si="170"/>
        <v>1067.6893322853321</v>
      </c>
      <c r="AV158" s="262"/>
      <c r="AW158" s="262">
        <f t="shared" si="171"/>
        <v>344.94578427679954</v>
      </c>
      <c r="AX158" s="262"/>
      <c r="AY158" s="262">
        <f t="shared" si="172"/>
        <v>833.03233617866556</v>
      </c>
      <c r="BA158" s="175"/>
      <c r="BB158" s="145"/>
      <c r="BC158" s="145"/>
      <c r="BD158" s="145"/>
    </row>
    <row r="159" spans="1:56" x14ac:dyDescent="0.2">
      <c r="A159" s="496"/>
      <c r="B159" s="496"/>
      <c r="D159" s="488">
        <v>675.8</v>
      </c>
      <c r="F159" s="216" t="s">
        <v>800</v>
      </c>
      <c r="G159" s="139"/>
      <c r="H159" s="261" t="s">
        <v>613</v>
      </c>
      <c r="I159" s="216"/>
      <c r="J159" s="312">
        <v>62000</v>
      </c>
      <c r="K159" s="385"/>
      <c r="L159" s="260">
        <f>+J159</f>
        <v>62000</v>
      </c>
      <c r="M159" s="212"/>
      <c r="N159" s="260">
        <v>0</v>
      </c>
      <c r="O159" s="212"/>
      <c r="P159" s="260">
        <v>0</v>
      </c>
      <c r="Q159" s="212"/>
      <c r="R159" s="260">
        <v>0</v>
      </c>
      <c r="S159" s="212"/>
      <c r="T159" s="260">
        <v>0</v>
      </c>
      <c r="U159" s="212"/>
      <c r="V159" s="260">
        <v>0</v>
      </c>
      <c r="W159" s="212"/>
      <c r="X159" s="260">
        <v>0</v>
      </c>
      <c r="Y159" s="212"/>
      <c r="Z159" s="175"/>
      <c r="AC159" s="216" t="s">
        <v>800</v>
      </c>
      <c r="AE159" s="497" t="str">
        <f t="shared" si="155"/>
        <v>DA</v>
      </c>
      <c r="AG159" s="312">
        <f t="shared" si="156"/>
        <v>62000</v>
      </c>
      <c r="AH159" s="385"/>
      <c r="AI159" s="260">
        <v>0</v>
      </c>
      <c r="AJ159" s="212"/>
      <c r="AK159" s="260">
        <v>0</v>
      </c>
      <c r="AL159" s="212"/>
      <c r="AM159" s="260">
        <v>0</v>
      </c>
      <c r="AN159" s="212"/>
      <c r="AO159" s="260">
        <v>0</v>
      </c>
      <c r="AP159" s="212"/>
      <c r="AQ159" s="260">
        <v>0</v>
      </c>
      <c r="AR159" s="212"/>
      <c r="AS159" s="260">
        <f>+AG159</f>
        <v>62000</v>
      </c>
      <c r="AT159" s="212"/>
      <c r="AU159" s="260">
        <v>0</v>
      </c>
      <c r="AV159" s="262"/>
      <c r="AW159" s="262">
        <v>0</v>
      </c>
      <c r="AX159" s="262"/>
      <c r="AY159" s="262">
        <v>0</v>
      </c>
      <c r="BA159" s="175"/>
      <c r="BB159" s="145"/>
      <c r="BC159" s="145"/>
      <c r="BD159" s="145"/>
    </row>
    <row r="160" spans="1:56" x14ac:dyDescent="0.2">
      <c r="A160" s="496"/>
      <c r="B160" s="496"/>
      <c r="D160" s="488">
        <v>675.8</v>
      </c>
      <c r="F160" s="216" t="s">
        <v>620</v>
      </c>
      <c r="G160" s="139"/>
      <c r="H160" s="261">
        <v>15</v>
      </c>
      <c r="I160" s="216"/>
      <c r="J160" s="312">
        <v>718101.7269995996</v>
      </c>
      <c r="K160" s="385"/>
      <c r="L160" s="260">
        <f t="shared" ref="L160:L166" si="174">(VLOOKUP($H160,Factors,L$382))*$J160</f>
        <v>463391.04443284159</v>
      </c>
      <c r="M160" s="212"/>
      <c r="N160" s="260">
        <f t="shared" ref="N160:N166" si="175">(VLOOKUP($H160,Factors,N$382))*$J160</f>
        <v>147498.09472571776</v>
      </c>
      <c r="O160" s="212"/>
      <c r="P160" s="260">
        <f t="shared" ref="P160:P166" si="176">(VLOOKUP($H160,Factors,P$382))*$J160</f>
        <v>16300.909202890913</v>
      </c>
      <c r="Q160" s="212"/>
      <c r="R160" s="260">
        <f t="shared" ref="R160:R166" si="177">(VLOOKUP($H160,Factors,R$382))*$J160</f>
        <v>43301.534138075855</v>
      </c>
      <c r="S160" s="212"/>
      <c r="T160" s="260">
        <f t="shared" ref="T160:T166" si="178">(VLOOKUP($H160,Factors,T$382))*$J160</f>
        <v>10484.285214194155</v>
      </c>
      <c r="U160" s="212"/>
      <c r="V160" s="260">
        <f t="shared" ref="V160:V166" si="179">(VLOOKUP($H160,Factors,V$382))*$J160</f>
        <v>11633.247977393514</v>
      </c>
      <c r="W160" s="212"/>
      <c r="X160" s="260">
        <f t="shared" ref="X160:X166" si="180">(VLOOKUP($H160,Factors,X$382))*$J160</f>
        <v>25492.611308485783</v>
      </c>
      <c r="Y160" s="212"/>
      <c r="Z160" s="175"/>
      <c r="AC160" s="216" t="s">
        <v>620</v>
      </c>
      <c r="AE160" s="239">
        <f t="shared" si="155"/>
        <v>15</v>
      </c>
      <c r="AG160" s="312">
        <f t="shared" si="156"/>
        <v>718101.7269995996</v>
      </c>
      <c r="AH160" s="385"/>
      <c r="AI160" s="260">
        <f t="shared" ref="AI160:AI166" si="181">(VLOOKUP($AE160,func,AI$382))*$AG160</f>
        <v>212199.06032838166</v>
      </c>
      <c r="AJ160" s="212"/>
      <c r="AK160" s="260">
        <f t="shared" ref="AK160:AK166" si="182">(VLOOKUP($AE160,func,AK$382))*$AG160</f>
        <v>109438.70319473899</v>
      </c>
      <c r="AL160" s="212"/>
      <c r="AM160" s="260">
        <f t="shared" ref="AM160:AM166" si="183">(VLOOKUP($AE160,func,AM$382))*$AG160</f>
        <v>34325.262550580861</v>
      </c>
      <c r="AN160" s="212"/>
      <c r="AO160" s="260">
        <f t="shared" ref="AO160:AO166" si="184">(VLOOKUP($AE160,func,AO$382))*$AG160</f>
        <v>130909.944832027</v>
      </c>
      <c r="AP160" s="212"/>
      <c r="AQ160" s="260">
        <f t="shared" ref="AQ160:AQ166" si="185">(VLOOKUP($AE160,func,AQ$382))*$AG160</f>
        <v>35474.225313780218</v>
      </c>
      <c r="AR160" s="212"/>
      <c r="AS160" s="260">
        <f t="shared" ref="AS160:AS166" si="186">(VLOOKUP($AE160,func,AS$382))*$AG160</f>
        <v>126888.57516082925</v>
      </c>
      <c r="AT160" s="212"/>
      <c r="AU160" s="260">
        <f t="shared" ref="AU160:AU166" si="187">(VLOOKUP($AE160,func,AU$382))*$AG160</f>
        <v>32673.628578481781</v>
      </c>
      <c r="AV160" s="262"/>
      <c r="AW160" s="262">
        <f t="shared" ref="AW160:AW166" si="188">(VLOOKUP($AE160,func,AW$382))*$AG160</f>
        <v>10556.095386894114</v>
      </c>
      <c r="AX160" s="262"/>
      <c r="AY160" s="262">
        <f t="shared" ref="AY160:AY166" si="189">(VLOOKUP($AE160,func,AY$382))*$AG160</f>
        <v>25492.611308485783</v>
      </c>
      <c r="BA160" s="175"/>
      <c r="BB160" s="145"/>
      <c r="BC160" s="145"/>
      <c r="BD160" s="145"/>
    </row>
    <row r="161" spans="1:56" x14ac:dyDescent="0.2">
      <c r="A161" s="496"/>
      <c r="B161" s="496"/>
      <c r="D161" s="488">
        <v>675.8</v>
      </c>
      <c r="F161" s="216" t="s">
        <v>799</v>
      </c>
      <c r="G161" s="139"/>
      <c r="H161" s="261">
        <v>16</v>
      </c>
      <c r="I161" s="216"/>
      <c r="J161" s="312">
        <v>6000</v>
      </c>
      <c r="K161" s="385"/>
      <c r="L161" s="260">
        <f t="shared" si="174"/>
        <v>3739.2</v>
      </c>
      <c r="M161" s="212"/>
      <c r="N161" s="260">
        <f t="shared" si="175"/>
        <v>1301.4000000000001</v>
      </c>
      <c r="O161" s="212"/>
      <c r="P161" s="260">
        <f t="shared" si="176"/>
        <v>149.39999999999998</v>
      </c>
      <c r="Q161" s="212"/>
      <c r="R161" s="260">
        <f t="shared" si="177"/>
        <v>398.4</v>
      </c>
      <c r="S161" s="212"/>
      <c r="T161" s="260">
        <f t="shared" si="178"/>
        <v>97.8</v>
      </c>
      <c r="U161" s="212"/>
      <c r="V161" s="260">
        <f t="shared" si="179"/>
        <v>84.6</v>
      </c>
      <c r="W161" s="212"/>
      <c r="X161" s="260">
        <f t="shared" si="180"/>
        <v>229.2</v>
      </c>
      <c r="Y161" s="212"/>
      <c r="Z161" s="175"/>
      <c r="AC161" s="216" t="s">
        <v>799</v>
      </c>
      <c r="AE161" s="239">
        <f t="shared" si="155"/>
        <v>16</v>
      </c>
      <c r="AG161" s="312">
        <f t="shared" si="156"/>
        <v>6000</v>
      </c>
      <c r="AH161" s="385"/>
      <c r="AI161" s="260">
        <f t="shared" si="181"/>
        <v>1870.1999999999998</v>
      </c>
      <c r="AJ161" s="212"/>
      <c r="AK161" s="260">
        <f t="shared" si="182"/>
        <v>1093.8</v>
      </c>
      <c r="AL161" s="212"/>
      <c r="AM161" s="260">
        <f t="shared" si="183"/>
        <v>275.40000000000003</v>
      </c>
      <c r="AN161" s="212"/>
      <c r="AO161" s="260">
        <f t="shared" si="184"/>
        <v>1541.4</v>
      </c>
      <c r="AP161" s="212"/>
      <c r="AQ161" s="260">
        <f t="shared" si="185"/>
        <v>329.4</v>
      </c>
      <c r="AR161" s="212"/>
      <c r="AS161" s="260">
        <f t="shared" si="186"/>
        <v>559.20000000000005</v>
      </c>
      <c r="AT161" s="212"/>
      <c r="AU161" s="260">
        <f t="shared" si="187"/>
        <v>21</v>
      </c>
      <c r="AV161" s="262"/>
      <c r="AW161" s="262">
        <f t="shared" si="188"/>
        <v>79.8</v>
      </c>
      <c r="AX161" s="262"/>
      <c r="AY161" s="262">
        <f t="shared" si="189"/>
        <v>229.2</v>
      </c>
      <c r="BA161" s="175"/>
      <c r="BB161" s="145"/>
      <c r="BC161" s="145"/>
      <c r="BD161" s="145"/>
    </row>
    <row r="162" spans="1:56" x14ac:dyDescent="0.2">
      <c r="A162" s="496"/>
      <c r="B162" s="496"/>
      <c r="D162" s="488">
        <v>675.8</v>
      </c>
      <c r="F162" s="216" t="s">
        <v>808</v>
      </c>
      <c r="G162" s="139"/>
      <c r="H162" s="261">
        <v>16</v>
      </c>
      <c r="I162" s="216"/>
      <c r="J162" s="312">
        <v>190707</v>
      </c>
      <c r="K162" s="385"/>
      <c r="L162" s="260">
        <f t="shared" si="174"/>
        <v>118848.60239999999</v>
      </c>
      <c r="M162" s="212"/>
      <c r="N162" s="260">
        <f t="shared" si="175"/>
        <v>41364.348300000005</v>
      </c>
      <c r="O162" s="212"/>
      <c r="P162" s="260">
        <f t="shared" si="176"/>
        <v>4748.6043</v>
      </c>
      <c r="Q162" s="212"/>
      <c r="R162" s="260">
        <f t="shared" si="177"/>
        <v>12662.944799999999</v>
      </c>
      <c r="S162" s="212"/>
      <c r="T162" s="260">
        <f t="shared" si="178"/>
        <v>3108.5240999999996</v>
      </c>
      <c r="U162" s="212"/>
      <c r="V162" s="260">
        <f t="shared" si="179"/>
        <v>2688.9686999999999</v>
      </c>
      <c r="W162" s="212"/>
      <c r="X162" s="260">
        <f t="shared" si="180"/>
        <v>7285.0073999999995</v>
      </c>
      <c r="Y162" s="212"/>
      <c r="Z162" s="175"/>
      <c r="AC162" s="216" t="s">
        <v>808</v>
      </c>
      <c r="AE162" s="239">
        <f t="shared" si="155"/>
        <v>16</v>
      </c>
      <c r="AG162" s="312">
        <f t="shared" si="156"/>
        <v>190707</v>
      </c>
      <c r="AH162" s="385"/>
      <c r="AI162" s="260">
        <f t="shared" si="181"/>
        <v>59443.371899999998</v>
      </c>
      <c r="AJ162" s="212"/>
      <c r="AK162" s="260">
        <f t="shared" si="182"/>
        <v>34765.886099999996</v>
      </c>
      <c r="AL162" s="212"/>
      <c r="AM162" s="260">
        <f t="shared" si="183"/>
        <v>8753.4513000000006</v>
      </c>
      <c r="AN162" s="212"/>
      <c r="AO162" s="260">
        <f t="shared" si="184"/>
        <v>48992.628300000004</v>
      </c>
      <c r="AP162" s="212"/>
      <c r="AQ162" s="260">
        <f t="shared" si="185"/>
        <v>10469.8143</v>
      </c>
      <c r="AR162" s="212"/>
      <c r="AS162" s="260">
        <f t="shared" si="186"/>
        <v>17773.892400000001</v>
      </c>
      <c r="AT162" s="212"/>
      <c r="AU162" s="260">
        <f t="shared" si="187"/>
        <v>667.47450000000003</v>
      </c>
      <c r="AV162" s="262"/>
      <c r="AW162" s="262">
        <f t="shared" si="188"/>
        <v>2536.4031</v>
      </c>
      <c r="AX162" s="262"/>
      <c r="AY162" s="262">
        <f t="shared" si="189"/>
        <v>7285.0073999999995</v>
      </c>
      <c r="BA162" s="175"/>
      <c r="BB162" s="145"/>
      <c r="BC162" s="145"/>
      <c r="BD162" s="145"/>
    </row>
    <row r="163" spans="1:56" x14ac:dyDescent="0.2">
      <c r="A163" s="496"/>
      <c r="B163" s="496"/>
      <c r="D163" s="488">
        <v>675.8</v>
      </c>
      <c r="F163" s="216" t="s">
        <v>692</v>
      </c>
      <c r="G163" s="139"/>
      <c r="H163" s="261">
        <v>15</v>
      </c>
      <c r="I163" s="216"/>
      <c r="J163" s="312">
        <v>188519.62000000002</v>
      </c>
      <c r="K163" s="385"/>
      <c r="L163" s="260">
        <f t="shared" si="174"/>
        <v>121651.71078600001</v>
      </c>
      <c r="M163" s="212"/>
      <c r="N163" s="260">
        <f t="shared" si="175"/>
        <v>38721.929948000005</v>
      </c>
      <c r="O163" s="212"/>
      <c r="P163" s="260">
        <f t="shared" si="176"/>
        <v>4279.3953740000006</v>
      </c>
      <c r="Q163" s="212"/>
      <c r="R163" s="260">
        <f t="shared" si="177"/>
        <v>11367.733086000002</v>
      </c>
      <c r="S163" s="212"/>
      <c r="T163" s="260">
        <f t="shared" si="178"/>
        <v>2752.3864520000002</v>
      </c>
      <c r="U163" s="212"/>
      <c r="V163" s="260">
        <f t="shared" si="179"/>
        <v>3054.0178440000004</v>
      </c>
      <c r="W163" s="212"/>
      <c r="X163" s="260">
        <f t="shared" si="180"/>
        <v>6692.4465100000007</v>
      </c>
      <c r="Y163" s="212"/>
      <c r="Z163" s="175"/>
      <c r="AC163" s="216" t="s">
        <v>692</v>
      </c>
      <c r="AE163" s="239">
        <f t="shared" si="155"/>
        <v>15</v>
      </c>
      <c r="AG163" s="312">
        <f t="shared" si="156"/>
        <v>188519.62000000002</v>
      </c>
      <c r="AH163" s="385"/>
      <c r="AI163" s="260">
        <f t="shared" si="181"/>
        <v>55707.547710000006</v>
      </c>
      <c r="AJ163" s="212"/>
      <c r="AK163" s="260">
        <f t="shared" si="182"/>
        <v>28730.390088000004</v>
      </c>
      <c r="AL163" s="212"/>
      <c r="AM163" s="260">
        <f t="shared" si="183"/>
        <v>9011.2378360000021</v>
      </c>
      <c r="AN163" s="212"/>
      <c r="AO163" s="260">
        <f t="shared" si="184"/>
        <v>34367.126726000002</v>
      </c>
      <c r="AP163" s="212"/>
      <c r="AQ163" s="260">
        <f t="shared" si="185"/>
        <v>9312.8692280000014</v>
      </c>
      <c r="AR163" s="212"/>
      <c r="AS163" s="260">
        <f t="shared" si="186"/>
        <v>33311.416854000003</v>
      </c>
      <c r="AT163" s="212"/>
      <c r="AU163" s="260">
        <f t="shared" si="187"/>
        <v>8577.6427100000001</v>
      </c>
      <c r="AV163" s="262"/>
      <c r="AW163" s="262">
        <f t="shared" si="188"/>
        <v>2771.2384140000004</v>
      </c>
      <c r="AX163" s="262"/>
      <c r="AY163" s="262">
        <f t="shared" si="189"/>
        <v>6692.4465100000007</v>
      </c>
      <c r="BA163" s="175"/>
      <c r="BB163" s="145"/>
      <c r="BC163" s="145"/>
      <c r="BD163" s="145"/>
    </row>
    <row r="164" spans="1:56" ht="12" customHeight="1" x14ac:dyDescent="0.2">
      <c r="A164" s="496"/>
      <c r="B164" s="496"/>
      <c r="D164" s="488">
        <v>675.8</v>
      </c>
      <c r="F164" s="216" t="s">
        <v>809</v>
      </c>
      <c r="G164" s="139"/>
      <c r="H164" s="261">
        <v>15</v>
      </c>
      <c r="I164" s="216"/>
      <c r="J164" s="313">
        <v>122144.72738030486</v>
      </c>
      <c r="K164" s="385"/>
      <c r="L164" s="260">
        <f t="shared" si="174"/>
        <v>78819.992578510719</v>
      </c>
      <c r="M164" s="212"/>
      <c r="N164" s="260">
        <f t="shared" si="175"/>
        <v>25088.527003914616</v>
      </c>
      <c r="O164" s="212"/>
      <c r="P164" s="260">
        <f t="shared" si="176"/>
        <v>2772.6853115329204</v>
      </c>
      <c r="Q164" s="212"/>
      <c r="R164" s="260">
        <f t="shared" si="177"/>
        <v>7365.3270610323825</v>
      </c>
      <c r="S164" s="212"/>
      <c r="T164" s="260">
        <f t="shared" si="178"/>
        <v>1783.3130197524511</v>
      </c>
      <c r="U164" s="212"/>
      <c r="V164" s="260">
        <f t="shared" si="179"/>
        <v>1978.7445835609385</v>
      </c>
      <c r="W164" s="212"/>
      <c r="X164" s="260">
        <f t="shared" si="180"/>
        <v>4336.1378220008219</v>
      </c>
      <c r="Y164" s="478"/>
      <c r="Z164" s="175"/>
      <c r="AA164" s="146"/>
      <c r="AB164" s="146"/>
      <c r="AC164" s="216" t="s">
        <v>809</v>
      </c>
      <c r="AD164" s="146"/>
      <c r="AE164" s="494">
        <f t="shared" si="155"/>
        <v>15</v>
      </c>
      <c r="AF164" s="146"/>
      <c r="AG164" s="313">
        <f t="shared" si="156"/>
        <v>122144.72738030486</v>
      </c>
      <c r="AH164" s="385"/>
      <c r="AI164" s="260">
        <f t="shared" si="181"/>
        <v>36093.766940880087</v>
      </c>
      <c r="AJ164" s="212"/>
      <c r="AK164" s="260">
        <f t="shared" si="182"/>
        <v>18614.85645275846</v>
      </c>
      <c r="AL164" s="212"/>
      <c r="AM164" s="260">
        <f t="shared" si="183"/>
        <v>5838.5179687785721</v>
      </c>
      <c r="AN164" s="212"/>
      <c r="AO164" s="260">
        <f t="shared" si="184"/>
        <v>22266.983801429575</v>
      </c>
      <c r="AP164" s="212"/>
      <c r="AQ164" s="260">
        <f t="shared" si="185"/>
        <v>6033.9495325870603</v>
      </c>
      <c r="AR164" s="212"/>
      <c r="AS164" s="260">
        <f t="shared" si="186"/>
        <v>21582.97332809987</v>
      </c>
      <c r="AT164" s="212"/>
      <c r="AU164" s="260">
        <f t="shared" si="187"/>
        <v>5557.5850958038709</v>
      </c>
      <c r="AV164" s="262"/>
      <c r="AW164" s="262">
        <f t="shared" si="188"/>
        <v>1795.5274924904813</v>
      </c>
      <c r="AX164" s="262"/>
      <c r="AY164" s="262">
        <f t="shared" si="189"/>
        <v>4336.1378220008219</v>
      </c>
      <c r="BA164" s="175"/>
      <c r="BB164" s="145"/>
      <c r="BC164" s="145"/>
      <c r="BD164" s="145"/>
    </row>
    <row r="165" spans="1:56" ht="12" customHeight="1" x14ac:dyDescent="0.2">
      <c r="A165" s="496"/>
      <c r="B165" s="496"/>
      <c r="D165" s="488">
        <v>675.8</v>
      </c>
      <c r="F165" s="216" t="s">
        <v>718</v>
      </c>
      <c r="G165" s="139"/>
      <c r="H165" s="261">
        <v>15</v>
      </c>
      <c r="I165" s="216"/>
      <c r="J165" s="313">
        <v>3217.9160238561744</v>
      </c>
      <c r="K165" s="385"/>
      <c r="L165" s="260">
        <f t="shared" si="174"/>
        <v>2076.5212101943894</v>
      </c>
      <c r="M165" s="212"/>
      <c r="N165" s="260">
        <f t="shared" si="175"/>
        <v>660.95995130005826</v>
      </c>
      <c r="O165" s="212"/>
      <c r="P165" s="260">
        <f t="shared" si="176"/>
        <v>73.046693741535165</v>
      </c>
      <c r="Q165" s="212"/>
      <c r="R165" s="260">
        <f t="shared" si="177"/>
        <v>194.04033623852732</v>
      </c>
      <c r="S165" s="212"/>
      <c r="T165" s="260">
        <f t="shared" si="178"/>
        <v>46.981573948300145</v>
      </c>
      <c r="U165" s="212"/>
      <c r="V165" s="260">
        <f t="shared" si="179"/>
        <v>52.130239586470026</v>
      </c>
      <c r="W165" s="212"/>
      <c r="X165" s="260">
        <f t="shared" si="180"/>
        <v>114.23601884689418</v>
      </c>
      <c r="Y165" s="478"/>
      <c r="Z165" s="175"/>
      <c r="AA165" s="146"/>
      <c r="AB165" s="146"/>
      <c r="AC165" s="216" t="s">
        <v>718</v>
      </c>
      <c r="AD165" s="146"/>
      <c r="AE165" s="494">
        <f t="shared" si="155"/>
        <v>15</v>
      </c>
      <c r="AF165" s="146"/>
      <c r="AG165" s="313">
        <f t="shared" si="156"/>
        <v>3217.9160238561744</v>
      </c>
      <c r="AH165" s="385"/>
      <c r="AI165" s="260">
        <f t="shared" si="181"/>
        <v>950.89418504949947</v>
      </c>
      <c r="AJ165" s="212"/>
      <c r="AK165" s="260">
        <f t="shared" si="182"/>
        <v>490.41040203568099</v>
      </c>
      <c r="AL165" s="212"/>
      <c r="AM165" s="260">
        <f t="shared" si="183"/>
        <v>153.81638594032515</v>
      </c>
      <c r="AN165" s="212"/>
      <c r="AO165" s="260">
        <f t="shared" si="184"/>
        <v>586.62609114898055</v>
      </c>
      <c r="AP165" s="212"/>
      <c r="AQ165" s="260">
        <f t="shared" si="185"/>
        <v>158.96505157849501</v>
      </c>
      <c r="AR165" s="212"/>
      <c r="AS165" s="260">
        <f t="shared" si="186"/>
        <v>568.60576141538604</v>
      </c>
      <c r="AT165" s="212"/>
      <c r="AU165" s="260">
        <f t="shared" si="187"/>
        <v>146.41517908545595</v>
      </c>
      <c r="AV165" s="262"/>
      <c r="AW165" s="262">
        <f t="shared" si="188"/>
        <v>47.303365550685761</v>
      </c>
      <c r="AX165" s="262"/>
      <c r="AY165" s="262">
        <f t="shared" si="189"/>
        <v>114.23601884689418</v>
      </c>
      <c r="BA165" s="175"/>
      <c r="BB165" s="145"/>
      <c r="BC165" s="145"/>
      <c r="BD165" s="145"/>
    </row>
    <row r="166" spans="1:56" ht="12" customHeight="1" x14ac:dyDescent="0.2">
      <c r="A166" s="496"/>
      <c r="B166" s="496"/>
      <c r="D166" s="488">
        <v>675.8</v>
      </c>
      <c r="F166" s="216" t="s">
        <v>815</v>
      </c>
      <c r="G166" s="139"/>
      <c r="H166" s="261">
        <v>15</v>
      </c>
      <c r="I166" s="216"/>
      <c r="J166" s="389">
        <v>76321.570833333331</v>
      </c>
      <c r="K166" s="385"/>
      <c r="L166" s="549">
        <f t="shared" si="174"/>
        <v>49250.309658749997</v>
      </c>
      <c r="M166" s="385"/>
      <c r="N166" s="549">
        <f t="shared" si="175"/>
        <v>15676.450649166667</v>
      </c>
      <c r="O166" s="385"/>
      <c r="P166" s="549">
        <f t="shared" si="176"/>
        <v>1732.4996579166668</v>
      </c>
      <c r="Q166" s="385"/>
      <c r="R166" s="549">
        <f t="shared" si="177"/>
        <v>4602.19072125</v>
      </c>
      <c r="S166" s="385"/>
      <c r="T166" s="549">
        <f t="shared" si="178"/>
        <v>1114.2949341666667</v>
      </c>
      <c r="U166" s="385"/>
      <c r="V166" s="549">
        <f t="shared" si="179"/>
        <v>1236.4094474999999</v>
      </c>
      <c r="W166" s="385"/>
      <c r="X166" s="549">
        <f t="shared" si="180"/>
        <v>2709.4157645833329</v>
      </c>
      <c r="Y166" s="478"/>
      <c r="Z166" s="175"/>
      <c r="AA166" s="146"/>
      <c r="AB166" s="146"/>
      <c r="AC166" s="216" t="s">
        <v>815</v>
      </c>
      <c r="AD166" s="146"/>
      <c r="AE166" s="494">
        <f t="shared" si="155"/>
        <v>15</v>
      </c>
      <c r="AF166" s="146"/>
      <c r="AG166" s="389">
        <f t="shared" si="156"/>
        <v>76321.570833333331</v>
      </c>
      <c r="AH166" s="385"/>
      <c r="AI166" s="549">
        <f t="shared" si="181"/>
        <v>22553.024181249999</v>
      </c>
      <c r="AJ166" s="385"/>
      <c r="AK166" s="549">
        <f t="shared" si="182"/>
        <v>11631.407395</v>
      </c>
      <c r="AL166" s="385"/>
      <c r="AM166" s="549">
        <f t="shared" si="183"/>
        <v>3648.1710858333336</v>
      </c>
      <c r="AN166" s="385"/>
      <c r="AO166" s="549">
        <f t="shared" si="184"/>
        <v>13913.422362916666</v>
      </c>
      <c r="AP166" s="385"/>
      <c r="AQ166" s="549">
        <f t="shared" si="185"/>
        <v>3770.2855991666665</v>
      </c>
      <c r="AR166" s="385"/>
      <c r="AS166" s="549">
        <f t="shared" si="186"/>
        <v>13486.02156625</v>
      </c>
      <c r="AT166" s="385"/>
      <c r="AU166" s="549">
        <f t="shared" si="187"/>
        <v>3472.6314729166666</v>
      </c>
      <c r="AV166" s="385"/>
      <c r="AW166" s="549">
        <f t="shared" si="188"/>
        <v>1121.9270912499999</v>
      </c>
      <c r="AX166" s="385"/>
      <c r="AY166" s="549">
        <f t="shared" si="189"/>
        <v>2709.4157645833329</v>
      </c>
      <c r="BA166" s="175"/>
      <c r="BB166" s="145"/>
      <c r="BC166" s="145"/>
      <c r="BD166" s="145"/>
    </row>
    <row r="167" spans="1:56" ht="12" customHeight="1" x14ac:dyDescent="0.2">
      <c r="A167" s="496"/>
      <c r="B167" s="496"/>
      <c r="F167" s="216"/>
      <c r="G167" s="139"/>
      <c r="H167" s="261"/>
      <c r="I167" s="216"/>
      <c r="J167" s="313"/>
      <c r="K167" s="385"/>
      <c r="L167" s="480"/>
      <c r="M167" s="385"/>
      <c r="N167" s="480"/>
      <c r="O167" s="385"/>
      <c r="P167" s="480"/>
      <c r="Q167" s="385"/>
      <c r="R167" s="480"/>
      <c r="S167" s="385"/>
      <c r="T167" s="480"/>
      <c r="U167" s="385"/>
      <c r="V167" s="480"/>
      <c r="W167" s="385"/>
      <c r="X167" s="480"/>
      <c r="Y167" s="478"/>
      <c r="Z167" s="175"/>
      <c r="AA167" s="146"/>
      <c r="AB167" s="146"/>
      <c r="AC167" s="216"/>
      <c r="AD167" s="146"/>
      <c r="AE167" s="494"/>
      <c r="AF167" s="146"/>
      <c r="AG167" s="313"/>
      <c r="AH167" s="385"/>
      <c r="AI167" s="480"/>
      <c r="AJ167" s="385"/>
      <c r="AK167" s="480"/>
      <c r="AL167" s="385"/>
      <c r="AM167" s="480"/>
      <c r="AN167" s="385"/>
      <c r="AO167" s="480"/>
      <c r="AP167" s="385"/>
      <c r="AQ167" s="480"/>
      <c r="AR167" s="385"/>
      <c r="AS167" s="480"/>
      <c r="AT167" s="385"/>
      <c r="AU167" s="480"/>
      <c r="AV167" s="385"/>
      <c r="AW167" s="480"/>
      <c r="AX167" s="385"/>
      <c r="AY167" s="480"/>
      <c r="BA167" s="175"/>
      <c r="BB167" s="145"/>
      <c r="BC167" s="145"/>
      <c r="BD167" s="145"/>
    </row>
    <row r="168" spans="1:56" x14ac:dyDescent="0.2">
      <c r="A168" s="551"/>
      <c r="B168" s="552"/>
      <c r="F168" s="216"/>
      <c r="G168" s="139"/>
      <c r="H168" s="261"/>
      <c r="I168" s="216"/>
      <c r="J168" s="312"/>
      <c r="K168" s="216"/>
      <c r="L168" s="312"/>
      <c r="M168" s="216"/>
      <c r="N168" s="312"/>
      <c r="O168" s="216"/>
      <c r="P168" s="312"/>
      <c r="Q168" s="216"/>
      <c r="R168" s="312"/>
      <c r="S168" s="216"/>
      <c r="T168" s="312"/>
      <c r="U168" s="216"/>
      <c r="V168" s="312"/>
      <c r="W168" s="216"/>
      <c r="X168" s="312"/>
      <c r="Z168" s="175"/>
      <c r="AC168" s="216"/>
      <c r="AE168" s="239"/>
      <c r="AG168" s="312"/>
      <c r="AH168" s="216"/>
      <c r="AI168" s="312"/>
      <c r="AJ168" s="216"/>
      <c r="AK168" s="312"/>
      <c r="AL168" s="216"/>
      <c r="AM168" s="312"/>
      <c r="AN168" s="216"/>
      <c r="AO168" s="312"/>
      <c r="AP168" s="216"/>
      <c r="AQ168" s="312"/>
      <c r="AR168" s="216"/>
      <c r="AS168" s="312"/>
      <c r="AT168" s="216"/>
      <c r="AU168" s="312"/>
      <c r="AV168" s="216"/>
      <c r="AW168" s="312"/>
      <c r="AX168" s="216"/>
      <c r="AY168" s="312"/>
      <c r="BA168" s="175"/>
      <c r="BB168" s="145"/>
      <c r="BC168" s="145"/>
      <c r="BD168" s="145"/>
    </row>
    <row r="169" spans="1:56" x14ac:dyDescent="0.2">
      <c r="A169" s="496"/>
      <c r="B169" s="496"/>
      <c r="F169" s="216" t="s">
        <v>134</v>
      </c>
      <c r="G169" s="139"/>
      <c r="H169" s="261"/>
      <c r="I169" s="216"/>
      <c r="J169" s="389">
        <f>SUM(J137:J168)</f>
        <v>17236343.559538294</v>
      </c>
      <c r="K169" s="216"/>
      <c r="L169" s="389">
        <f ca="1">SUM(L137:L168)</f>
        <v>11686926.367667729</v>
      </c>
      <c r="M169" s="216"/>
      <c r="N169" s="389">
        <f ca="1">SUM(N137:N168)</f>
        <v>3243588.6221542717</v>
      </c>
      <c r="O169" s="216"/>
      <c r="P169" s="389">
        <f ca="1">SUM(P137:P168)</f>
        <v>345247.83888977638</v>
      </c>
      <c r="Q169" s="216"/>
      <c r="R169" s="389">
        <f ca="1">SUM(R137:R168)</f>
        <v>929423.79639235651</v>
      </c>
      <c r="S169" s="216"/>
      <c r="T169" s="389">
        <f ca="1">SUM(T137:T168)</f>
        <v>223900.29617290356</v>
      </c>
      <c r="U169" s="216"/>
      <c r="V169" s="389">
        <f ca="1">SUM(V137:V168)</f>
        <v>283746.47361788258</v>
      </c>
      <c r="W169" s="216"/>
      <c r="X169" s="389">
        <f ca="1">SUM(X137:X168)</f>
        <v>523510.1646433706</v>
      </c>
      <c r="Z169" s="175"/>
      <c r="AC169" s="216" t="s">
        <v>134</v>
      </c>
      <c r="AD169" s="139"/>
      <c r="AE169" s="261"/>
      <c r="AF169" s="216"/>
      <c r="AG169" s="389">
        <f>SUM(AG137:AG168)</f>
        <v>17236343.559538294</v>
      </c>
      <c r="AH169" s="216"/>
      <c r="AI169" s="389">
        <f ca="1">SUM(AI137:AI168)</f>
        <v>4494677.7627694895</v>
      </c>
      <c r="AJ169" s="216"/>
      <c r="AK169" s="389">
        <f ca="1">SUM(AK137:AK168)</f>
        <v>2316826.9776656642</v>
      </c>
      <c r="AL169" s="216"/>
      <c r="AM169" s="389">
        <f ca="1">SUM(AM137:AM168)</f>
        <v>686505.44214425515</v>
      </c>
      <c r="AN169" s="216"/>
      <c r="AO169" s="389">
        <f ca="1">SUM(AO137:AO168)</f>
        <v>2902469.7730036858</v>
      </c>
      <c r="AP169" s="216"/>
      <c r="AQ169" s="389">
        <f ca="1">SUM(AQ137:AQ168)</f>
        <v>727521.94282005366</v>
      </c>
      <c r="AR169" s="216"/>
      <c r="AS169" s="389">
        <f ca="1">SUM(AS137:AS168)</f>
        <v>4843439.0000478197</v>
      </c>
      <c r="AT169" s="216"/>
      <c r="AU169" s="389">
        <f ca="1">SUM(AU137:AU168)</f>
        <v>473758.47611601971</v>
      </c>
      <c r="AV169" s="216"/>
      <c r="AW169" s="389">
        <f ca="1">SUM(AW137:AW168)</f>
        <v>265279.48564700532</v>
      </c>
      <c r="AX169" s="216"/>
      <c r="AY169" s="389">
        <f ca="1">SUM(AY137:AY168)</f>
        <v>523455.1655673706</v>
      </c>
      <c r="BA169" s="175"/>
      <c r="BB169" s="145"/>
      <c r="BC169" s="145"/>
      <c r="BD169" s="145"/>
    </row>
    <row r="170" spans="1:56" x14ac:dyDescent="0.2">
      <c r="A170" s="496"/>
      <c r="B170" s="496"/>
      <c r="F170" s="216" t="s">
        <v>242</v>
      </c>
      <c r="G170" s="139"/>
      <c r="H170" s="261"/>
      <c r="I170" s="216"/>
      <c r="J170" s="312"/>
      <c r="K170" s="385"/>
      <c r="L170" s="386"/>
      <c r="M170" s="387"/>
      <c r="N170" s="386"/>
      <c r="O170" s="387"/>
      <c r="P170" s="386"/>
      <c r="Q170" s="387"/>
      <c r="R170" s="386"/>
      <c r="S170" s="387"/>
      <c r="T170" s="386"/>
      <c r="U170" s="387"/>
      <c r="V170" s="386"/>
      <c r="W170" s="387"/>
      <c r="X170" s="386"/>
      <c r="Z170" s="175"/>
      <c r="AC170" s="216" t="s">
        <v>242</v>
      </c>
      <c r="AD170" s="139"/>
      <c r="AE170" s="261"/>
      <c r="AF170" s="216"/>
      <c r="AG170" s="312"/>
      <c r="AH170" s="385"/>
      <c r="AI170" s="386"/>
      <c r="AJ170" s="387"/>
      <c r="AK170" s="386"/>
      <c r="AL170" s="387"/>
      <c r="AM170" s="386"/>
      <c r="AN170" s="387"/>
      <c r="AO170" s="386"/>
      <c r="AP170" s="387"/>
      <c r="AQ170" s="386"/>
      <c r="AR170" s="387"/>
      <c r="AS170" s="386"/>
      <c r="AT170" s="387"/>
      <c r="AU170" s="386"/>
      <c r="AV170" s="387"/>
      <c r="AW170" s="386"/>
      <c r="AX170" s="387"/>
      <c r="AY170" s="386"/>
      <c r="BA170" s="175"/>
      <c r="BB170" s="145"/>
      <c r="BC170" s="145"/>
      <c r="BD170" s="145"/>
    </row>
    <row r="171" spans="1:56" x14ac:dyDescent="0.2">
      <c r="A171" s="496"/>
      <c r="B171" s="496"/>
      <c r="F171" s="216"/>
      <c r="G171" s="139"/>
      <c r="H171" s="261"/>
      <c r="I171" s="216"/>
      <c r="J171" s="312"/>
      <c r="K171" s="385"/>
      <c r="L171" s="386"/>
      <c r="M171" s="387"/>
      <c r="N171" s="386"/>
      <c r="O171" s="387"/>
      <c r="P171" s="386"/>
      <c r="Q171" s="387"/>
      <c r="R171" s="386"/>
      <c r="S171" s="387"/>
      <c r="T171" s="386"/>
      <c r="U171" s="387"/>
      <c r="V171" s="386"/>
      <c r="W171" s="387"/>
      <c r="X171" s="386"/>
      <c r="Z171" s="175"/>
      <c r="AC171" s="216"/>
      <c r="AD171" s="139"/>
      <c r="AE171" s="261"/>
      <c r="AF171" s="216"/>
      <c r="AG171" s="312"/>
      <c r="AH171" s="385"/>
      <c r="AI171" s="386"/>
      <c r="AJ171" s="387"/>
      <c r="AK171" s="386"/>
      <c r="AL171" s="387"/>
      <c r="AM171" s="386"/>
      <c r="AN171" s="387"/>
      <c r="AO171" s="386"/>
      <c r="AP171" s="387"/>
      <c r="AQ171" s="386"/>
      <c r="AR171" s="387"/>
      <c r="AS171" s="386"/>
      <c r="AT171" s="387"/>
      <c r="AU171" s="386"/>
      <c r="AV171" s="387"/>
      <c r="AW171" s="386"/>
      <c r="AX171" s="387"/>
      <c r="AY171" s="386"/>
      <c r="BA171" s="175"/>
      <c r="BB171" s="145"/>
      <c r="BC171" s="145"/>
      <c r="BD171" s="145"/>
    </row>
    <row r="172" spans="1:56" x14ac:dyDescent="0.2">
      <c r="A172" s="514"/>
      <c r="B172" s="515"/>
      <c r="F172" s="216" t="s">
        <v>243</v>
      </c>
      <c r="G172" s="139"/>
      <c r="H172" s="261"/>
      <c r="I172" s="216"/>
      <c r="J172" s="312"/>
      <c r="K172" s="216"/>
      <c r="L172" s="312"/>
      <c r="M172" s="216"/>
      <c r="N172" s="312"/>
      <c r="O172" s="216"/>
      <c r="P172" s="312"/>
      <c r="Q172" s="216"/>
      <c r="R172" s="312"/>
      <c r="S172" s="216"/>
      <c r="T172" s="312"/>
      <c r="U172" s="216"/>
      <c r="V172" s="312"/>
      <c r="W172" s="216"/>
      <c r="X172" s="312"/>
      <c r="Z172" s="175"/>
      <c r="AC172" s="216" t="s">
        <v>243</v>
      </c>
      <c r="AD172" s="139"/>
      <c r="AE172" s="261"/>
      <c r="AF172" s="216"/>
      <c r="AG172" s="312"/>
      <c r="AH172" s="216"/>
      <c r="AI172" s="312"/>
      <c r="AJ172" s="216"/>
      <c r="AK172" s="312"/>
      <c r="AL172" s="216"/>
      <c r="AM172" s="312"/>
      <c r="AN172" s="216"/>
      <c r="AO172" s="312"/>
      <c r="AP172" s="216"/>
      <c r="AQ172" s="312"/>
      <c r="AR172" s="216"/>
      <c r="AS172" s="312"/>
      <c r="AT172" s="216"/>
      <c r="AU172" s="312"/>
      <c r="AV172" s="216"/>
      <c r="AW172" s="312"/>
      <c r="AX172" s="216"/>
      <c r="AY172" s="312"/>
      <c r="BA172" s="175"/>
      <c r="BB172" s="145"/>
      <c r="BC172" s="145"/>
      <c r="BD172" s="145"/>
    </row>
    <row r="173" spans="1:56" x14ac:dyDescent="0.2">
      <c r="A173" s="514"/>
      <c r="B173" s="515"/>
      <c r="F173" s="216" t="s">
        <v>242</v>
      </c>
      <c r="G173" s="139"/>
      <c r="H173" s="261"/>
      <c r="I173" s="216"/>
      <c r="J173" s="389">
        <f>J29+J40+J75+J114+J132+J169</f>
        <v>34128726.783648305</v>
      </c>
      <c r="K173" s="216"/>
      <c r="L173" s="389">
        <f ca="1">L29+L40+L75+L114+L132+L169</f>
        <v>21631736.44898038</v>
      </c>
      <c r="M173" s="216"/>
      <c r="N173" s="389">
        <f ca="1">N29+N40+N75+N114+N132+N169</f>
        <v>7337506.2368435133</v>
      </c>
      <c r="O173" s="216"/>
      <c r="P173" s="389">
        <f ca="1">P29+P40+P75+P114+P132+P169</f>
        <v>876950.29374847759</v>
      </c>
      <c r="Q173" s="216"/>
      <c r="R173" s="389">
        <f ca="1">R29+R40+R75+R114+R132+R169</f>
        <v>2279558.9790832563</v>
      </c>
      <c r="S173" s="216"/>
      <c r="T173" s="389">
        <f ca="1">T29+T40+T75+T114+T132+T169</f>
        <v>598663.29311694123</v>
      </c>
      <c r="U173" s="216"/>
      <c r="V173" s="389">
        <f ca="1">V29+V40+V75+V114+V132+V169</f>
        <v>475611.48486029147</v>
      </c>
      <c r="W173" s="216"/>
      <c r="X173" s="389">
        <f ca="1">X29+X40+X75+X114+X132+X169</f>
        <v>928700.04701544438</v>
      </c>
      <c r="Z173" s="175"/>
      <c r="AC173" s="216" t="s">
        <v>242</v>
      </c>
      <c r="AD173" s="139"/>
      <c r="AE173" s="261"/>
      <c r="AF173" s="216"/>
      <c r="AG173" s="389">
        <f>AG29+AG40+AG75+AG114+AG132+AG169</f>
        <v>34128726.783648305</v>
      </c>
      <c r="AH173" s="216"/>
      <c r="AI173" s="389">
        <f ca="1">AI29+AI40+AI75+AI114+AI132+AI169</f>
        <v>13695594.558637273</v>
      </c>
      <c r="AJ173" s="216"/>
      <c r="AK173" s="389">
        <f ca="1">AK29+AK40+AK75+AK114+AK132+AK169</f>
        <v>3973010.7067148136</v>
      </c>
      <c r="AL173" s="216"/>
      <c r="AM173" s="389">
        <f ca="1">AM29+AM40+AM75+AM114+AM132+AM169</f>
        <v>1206264.994245579</v>
      </c>
      <c r="AN173" s="216"/>
      <c r="AO173" s="389">
        <f ca="1">AO29+AO40+AO75+AO114+AO132+AO169</f>
        <v>4884337.5137374578</v>
      </c>
      <c r="AP173" s="216"/>
      <c r="AQ173" s="389">
        <f ca="1">AQ29+AQ40+AQ75+AQ114+AQ132+AQ169</f>
        <v>1264855.0295487614</v>
      </c>
      <c r="AR173" s="216"/>
      <c r="AS173" s="389">
        <f ca="1">AS29+AS40+AS75+AS114+AS132+AS169</f>
        <v>6764642.2733112294</v>
      </c>
      <c r="AT173" s="216"/>
      <c r="AU173" s="389">
        <f ca="1">AU29+AU40+AU75+AU114+AU132+AU169</f>
        <v>968532.25297401974</v>
      </c>
      <c r="AV173" s="216"/>
      <c r="AW173" s="389">
        <f ca="1">AW29+AW40+AW75+AW114+AW132+AW169</f>
        <v>440497.10643615434</v>
      </c>
      <c r="AX173" s="216"/>
      <c r="AY173" s="389">
        <f ca="1">AY29+AY40+AY75+AY114+AY132+AY169</f>
        <v>928645.8691915957</v>
      </c>
      <c r="BA173" s="175"/>
      <c r="BB173" s="145"/>
      <c r="BC173" s="145"/>
      <c r="BD173" s="145"/>
    </row>
    <row r="174" spans="1:56" x14ac:dyDescent="0.2">
      <c r="A174" s="514"/>
      <c r="B174" s="515"/>
      <c r="C174" s="478"/>
      <c r="D174" s="489"/>
      <c r="E174" s="478"/>
      <c r="F174" s="385"/>
      <c r="G174" s="200"/>
      <c r="H174" s="547"/>
      <c r="I174" s="216"/>
      <c r="J174" s="386"/>
      <c r="K174" s="385"/>
      <c r="L174" s="386"/>
      <c r="M174" s="387"/>
      <c r="N174" s="386"/>
      <c r="O174" s="387"/>
      <c r="P174" s="386"/>
      <c r="Q174" s="387"/>
      <c r="R174" s="386"/>
      <c r="S174" s="387"/>
      <c r="T174" s="386"/>
      <c r="U174" s="387"/>
      <c r="V174" s="386"/>
      <c r="W174" s="387"/>
      <c r="X174" s="386"/>
      <c r="Z174" s="175"/>
      <c r="AC174" s="385"/>
      <c r="AD174" s="200"/>
      <c r="AE174" s="547"/>
      <c r="AF174" s="216"/>
      <c r="AG174" s="386"/>
      <c r="AH174" s="385"/>
      <c r="AI174" s="386"/>
      <c r="AJ174" s="387"/>
      <c r="AK174" s="386"/>
      <c r="AL174" s="387"/>
      <c r="AM174" s="386"/>
      <c r="AN174" s="387"/>
      <c r="AO174" s="386"/>
      <c r="AP174" s="387"/>
      <c r="AQ174" s="386"/>
      <c r="AR174" s="387"/>
      <c r="AS174" s="386"/>
      <c r="AT174" s="387"/>
      <c r="AU174" s="386"/>
      <c r="AV174" s="387"/>
      <c r="AW174" s="386"/>
      <c r="AX174" s="387"/>
      <c r="AY174" s="386"/>
      <c r="BA174" s="175"/>
      <c r="BB174" s="145"/>
      <c r="BC174" s="145"/>
      <c r="BD174" s="145"/>
    </row>
    <row r="175" spans="1:56" x14ac:dyDescent="0.2">
      <c r="A175" s="551"/>
      <c r="B175" s="552"/>
      <c r="F175" s="390" t="s">
        <v>35</v>
      </c>
      <c r="G175" s="139"/>
      <c r="H175" s="261"/>
      <c r="I175" s="216"/>
      <c r="J175" s="386"/>
      <c r="K175" s="385"/>
      <c r="L175" s="386"/>
      <c r="M175" s="387"/>
      <c r="N175" s="386"/>
      <c r="O175" s="387"/>
      <c r="P175" s="386"/>
      <c r="Q175" s="387"/>
      <c r="R175" s="386"/>
      <c r="S175" s="387"/>
      <c r="T175" s="386"/>
      <c r="U175" s="387"/>
      <c r="V175" s="386"/>
      <c r="W175" s="387"/>
      <c r="X175" s="386"/>
      <c r="Z175" s="175"/>
      <c r="AC175" s="390" t="s">
        <v>35</v>
      </c>
      <c r="AE175" s="239"/>
      <c r="AG175" s="386"/>
      <c r="AH175" s="385"/>
      <c r="AI175" s="386"/>
      <c r="AJ175" s="387"/>
      <c r="AK175" s="386"/>
      <c r="AL175" s="387"/>
      <c r="AM175" s="386"/>
      <c r="AN175" s="387"/>
      <c r="AO175" s="386"/>
      <c r="AP175" s="387"/>
      <c r="AQ175" s="386"/>
      <c r="AR175" s="387"/>
      <c r="AS175" s="386"/>
      <c r="AT175" s="387"/>
      <c r="AU175" s="386"/>
      <c r="AV175" s="387"/>
      <c r="AW175" s="386"/>
      <c r="AX175" s="387"/>
      <c r="AY175" s="386"/>
      <c r="BA175" s="175"/>
      <c r="BB175" s="145"/>
      <c r="BC175" s="145"/>
      <c r="BD175" s="145"/>
    </row>
    <row r="176" spans="1:56" x14ac:dyDescent="0.2">
      <c r="A176" s="496"/>
      <c r="B176" s="496"/>
      <c r="F176" s="216" t="s">
        <v>599</v>
      </c>
      <c r="G176" s="139"/>
      <c r="H176" s="261"/>
      <c r="I176" s="216"/>
      <c r="J176" s="386"/>
      <c r="K176" s="385"/>
      <c r="L176" s="386"/>
      <c r="M176" s="387"/>
      <c r="N176" s="386"/>
      <c r="O176" s="387"/>
      <c r="P176" s="386"/>
      <c r="Q176" s="387"/>
      <c r="R176" s="386"/>
      <c r="S176" s="387"/>
      <c r="T176" s="386"/>
      <c r="U176" s="387"/>
      <c r="V176" s="386"/>
      <c r="W176" s="387"/>
      <c r="X176" s="386"/>
      <c r="Z176" s="175"/>
      <c r="AC176" s="216" t="s">
        <v>599</v>
      </c>
      <c r="AE176" s="239"/>
      <c r="AG176" s="386"/>
      <c r="AH176" s="385"/>
      <c r="AI176" s="386"/>
      <c r="AJ176" s="387"/>
      <c r="AK176" s="386"/>
      <c r="AL176" s="387"/>
      <c r="AM176" s="386"/>
      <c r="AN176" s="387"/>
      <c r="AO176" s="386"/>
      <c r="AP176" s="387"/>
      <c r="AQ176" s="386"/>
      <c r="AR176" s="387"/>
      <c r="AS176" s="386"/>
      <c r="AT176" s="387"/>
      <c r="AU176" s="386"/>
      <c r="AV176" s="387"/>
      <c r="AW176" s="386"/>
      <c r="AX176" s="387"/>
      <c r="AY176" s="386"/>
      <c r="BA176" s="175"/>
      <c r="BB176" s="145"/>
      <c r="BC176" s="145"/>
      <c r="BD176" s="145"/>
    </row>
    <row r="177" spans="1:56" x14ac:dyDescent="0.2">
      <c r="A177" s="496"/>
      <c r="B177" s="496"/>
      <c r="F177" s="216" t="s">
        <v>621</v>
      </c>
      <c r="G177" s="139"/>
      <c r="H177" s="261">
        <v>17</v>
      </c>
      <c r="I177" s="216"/>
      <c r="J177" s="313">
        <v>83793.627315831764</v>
      </c>
      <c r="K177" s="385"/>
      <c r="L177" s="260">
        <f t="shared" ref="L177:L197" si="190">(VLOOKUP($H177,Factors,L$382))*$J177</f>
        <v>43128.579979458606</v>
      </c>
      <c r="M177" s="212"/>
      <c r="N177" s="260">
        <f t="shared" ref="N177:N197" si="191">(VLOOKUP($H177,Factors,N$382))*$J177</f>
        <v>21786.343102116258</v>
      </c>
      <c r="O177" s="212"/>
      <c r="P177" s="260">
        <f t="shared" ref="P177:P197" si="192">(VLOOKUP($H177,Factors,P$382))*$J177</f>
        <v>2848.9833287382803</v>
      </c>
      <c r="Q177" s="212"/>
      <c r="R177" s="260">
        <f t="shared" ref="R177:R197" si="193">(VLOOKUP($H177,Factors,R$382))*$J177</f>
        <v>7197.8725864299486</v>
      </c>
      <c r="S177" s="212"/>
      <c r="T177" s="260">
        <f t="shared" ref="T177:T197" si="194">(VLOOKUP($H177,Factors,T$382))*$J177</f>
        <v>1751.2868109008837</v>
      </c>
      <c r="U177" s="212"/>
      <c r="V177" s="260">
        <f t="shared" ref="V177:V197" si="195">(VLOOKUP($H177,Factors,V$382))*$J177</f>
        <v>2446.7739176222876</v>
      </c>
      <c r="W177" s="212"/>
      <c r="X177" s="260">
        <f t="shared" ref="X177:X197" si="196">(VLOOKUP($H177,Factors,X$382))*$J177</f>
        <v>4633.7875905654964</v>
      </c>
      <c r="Y177" s="212"/>
      <c r="Z177" s="175"/>
      <c r="AC177" s="216" t="s">
        <v>621</v>
      </c>
      <c r="AE177" s="239">
        <f t="shared" ref="AE177:AE234" si="197">+H177</f>
        <v>17</v>
      </c>
      <c r="AG177" s="312">
        <f t="shared" ref="AG177:AG234" si="198">+J177</f>
        <v>83793.627315831764</v>
      </c>
      <c r="AH177" s="385"/>
      <c r="AI177" s="260">
        <f t="shared" ref="AI177:AI197" si="199">(VLOOKUP($AE177,func,AI$382))*$AG177</f>
        <v>36106.674010391907</v>
      </c>
      <c r="AJ177" s="212"/>
      <c r="AK177" s="260">
        <f t="shared" ref="AK177:AK197" si="200">(VLOOKUP($AE177,func,AK$382))*$AG177</f>
        <v>19389.845360883468</v>
      </c>
      <c r="AL177" s="212"/>
      <c r="AM177" s="260">
        <f t="shared" ref="AM177:AM197" si="201">(VLOOKUP($AE177,func,AM$382))*$AG177</f>
        <v>9183.7815538151608</v>
      </c>
      <c r="AN177" s="212"/>
      <c r="AO177" s="260">
        <f t="shared" ref="AO177:AO197" si="202">(VLOOKUP($AE177,func,AO$382))*$AG177</f>
        <v>8488.2944470937582</v>
      </c>
      <c r="AP177" s="212"/>
      <c r="AQ177" s="260">
        <f t="shared" ref="AQ177:AQ197" si="203">(VLOOKUP($AE177,func,AQ$382))*$AG177</f>
        <v>1860.2185264114653</v>
      </c>
      <c r="AR177" s="212"/>
      <c r="AS177" s="260">
        <f t="shared" ref="AS177:AS197" si="204">(VLOOKUP($AE177,func,AS$382))*$AG177</f>
        <v>1533.4233798797213</v>
      </c>
      <c r="AT177" s="212"/>
      <c r="AU177" s="260">
        <f t="shared" ref="AU177:AU197" si="205">(VLOOKUP($AE177,func,AU$382))*$AG177</f>
        <v>243.00151921591211</v>
      </c>
      <c r="AV177" s="212"/>
      <c r="AW177" s="260">
        <f t="shared" ref="AW177:AW197" si="206">(VLOOKUP($AE177,func,AW$382))*$AG177</f>
        <v>2404.8771039643716</v>
      </c>
      <c r="AX177" s="212"/>
      <c r="AY177" s="260">
        <f t="shared" ref="AY177:AY197" si="207">(VLOOKUP($AE177,func,AY$382))*$AG177</f>
        <v>4583.5114141759977</v>
      </c>
      <c r="BA177" s="175"/>
      <c r="BB177" s="145"/>
      <c r="BC177" s="145"/>
      <c r="BD177" s="145"/>
    </row>
    <row r="178" spans="1:56" x14ac:dyDescent="0.2">
      <c r="A178" s="496"/>
      <c r="B178" s="496"/>
      <c r="F178" s="216" t="s">
        <v>748</v>
      </c>
      <c r="G178" s="139"/>
      <c r="H178" s="261">
        <v>2</v>
      </c>
      <c r="I178" s="216"/>
      <c r="J178" s="313">
        <v>0</v>
      </c>
      <c r="K178" s="385"/>
      <c r="L178" s="260">
        <f t="shared" si="190"/>
        <v>0</v>
      </c>
      <c r="M178" s="212"/>
      <c r="N178" s="260">
        <f t="shared" si="191"/>
        <v>0</v>
      </c>
      <c r="O178" s="212"/>
      <c r="P178" s="260">
        <f t="shared" si="192"/>
        <v>0</v>
      </c>
      <c r="Q178" s="212"/>
      <c r="R178" s="260">
        <f t="shared" si="193"/>
        <v>0</v>
      </c>
      <c r="S178" s="212"/>
      <c r="T178" s="260">
        <f t="shared" si="194"/>
        <v>0</v>
      </c>
      <c r="U178" s="212"/>
      <c r="V178" s="260">
        <f t="shared" si="195"/>
        <v>0</v>
      </c>
      <c r="W178" s="212"/>
      <c r="X178" s="260">
        <f t="shared" si="196"/>
        <v>0</v>
      </c>
      <c r="Y178" s="212"/>
      <c r="Z178" s="175"/>
      <c r="AC178" s="216" t="s">
        <v>748</v>
      </c>
      <c r="AE178" s="239">
        <f t="shared" si="197"/>
        <v>2</v>
      </c>
      <c r="AG178" s="312">
        <f t="shared" ref="AG178:AG197" si="208">+J178</f>
        <v>0</v>
      </c>
      <c r="AH178" s="385"/>
      <c r="AI178" s="260">
        <f t="shared" si="199"/>
        <v>0</v>
      </c>
      <c r="AJ178" s="212"/>
      <c r="AK178" s="260">
        <f t="shared" si="200"/>
        <v>0</v>
      </c>
      <c r="AL178" s="212"/>
      <c r="AM178" s="260">
        <f t="shared" si="201"/>
        <v>0</v>
      </c>
      <c r="AN178" s="212"/>
      <c r="AO178" s="260">
        <f t="shared" si="202"/>
        <v>0</v>
      </c>
      <c r="AP178" s="212"/>
      <c r="AQ178" s="260">
        <f t="shared" si="203"/>
        <v>0</v>
      </c>
      <c r="AR178" s="212"/>
      <c r="AS178" s="260">
        <f t="shared" si="204"/>
        <v>0</v>
      </c>
      <c r="AT178" s="212"/>
      <c r="AU178" s="260">
        <f t="shared" si="205"/>
        <v>0</v>
      </c>
      <c r="AV178" s="212"/>
      <c r="AW178" s="260">
        <f t="shared" si="206"/>
        <v>0</v>
      </c>
      <c r="AX178" s="212"/>
      <c r="AY178" s="260">
        <f t="shared" si="207"/>
        <v>0</v>
      </c>
      <c r="BA178" s="175"/>
      <c r="BB178" s="145"/>
      <c r="BC178" s="145"/>
      <c r="BD178" s="145"/>
    </row>
    <row r="179" spans="1:56" x14ac:dyDescent="0.2">
      <c r="A179" s="496"/>
      <c r="B179" s="496"/>
      <c r="F179" s="216" t="s">
        <v>749</v>
      </c>
      <c r="G179" s="139"/>
      <c r="H179" s="261">
        <v>2</v>
      </c>
      <c r="I179" s="216"/>
      <c r="J179" s="313">
        <v>213624.48387272106</v>
      </c>
      <c r="K179" s="385"/>
      <c r="L179" s="260">
        <f t="shared" si="190"/>
        <v>106598.61745248782</v>
      </c>
      <c r="M179" s="212"/>
      <c r="N179" s="260">
        <f t="shared" si="191"/>
        <v>66159.502655381701</v>
      </c>
      <c r="O179" s="212"/>
      <c r="P179" s="260">
        <f t="shared" si="192"/>
        <v>9420.8397387869991</v>
      </c>
      <c r="Q179" s="212"/>
      <c r="R179" s="260">
        <f t="shared" si="193"/>
        <v>23541.418122773863</v>
      </c>
      <c r="S179" s="212"/>
      <c r="T179" s="260">
        <f t="shared" si="194"/>
        <v>7156.4202097361558</v>
      </c>
      <c r="U179" s="212"/>
      <c r="V179" s="260">
        <f t="shared" si="195"/>
        <v>341.7991741963537</v>
      </c>
      <c r="W179" s="212"/>
      <c r="X179" s="260">
        <f t="shared" si="196"/>
        <v>405.88651935817001</v>
      </c>
      <c r="Y179" s="212"/>
      <c r="Z179" s="175"/>
      <c r="AC179" s="216" t="s">
        <v>749</v>
      </c>
      <c r="AE179" s="239">
        <f t="shared" si="197"/>
        <v>2</v>
      </c>
      <c r="AG179" s="312">
        <f t="shared" si="208"/>
        <v>213624.48387272106</v>
      </c>
      <c r="AH179" s="385"/>
      <c r="AI179" s="260">
        <f t="shared" si="199"/>
        <v>128730.1139817017</v>
      </c>
      <c r="AJ179" s="212"/>
      <c r="AK179" s="260">
        <f t="shared" si="200"/>
        <v>84146.684197464812</v>
      </c>
      <c r="AL179" s="212"/>
      <c r="AM179" s="260">
        <f t="shared" si="201"/>
        <v>0</v>
      </c>
      <c r="AN179" s="212"/>
      <c r="AO179" s="260">
        <f t="shared" si="202"/>
        <v>0</v>
      </c>
      <c r="AP179" s="212"/>
      <c r="AQ179" s="260">
        <f t="shared" si="203"/>
        <v>0</v>
      </c>
      <c r="AR179" s="212"/>
      <c r="AS179" s="260">
        <f t="shared" si="204"/>
        <v>0</v>
      </c>
      <c r="AT179" s="212"/>
      <c r="AU179" s="260">
        <f t="shared" si="205"/>
        <v>0</v>
      </c>
      <c r="AV179" s="212"/>
      <c r="AW179" s="260">
        <f t="shared" si="206"/>
        <v>341.7991741963537</v>
      </c>
      <c r="AX179" s="212"/>
      <c r="AY179" s="260">
        <f t="shared" si="207"/>
        <v>405.88651935817001</v>
      </c>
      <c r="BA179" s="175"/>
      <c r="BB179" s="145"/>
      <c r="BC179" s="145"/>
      <c r="BD179" s="145"/>
    </row>
    <row r="180" spans="1:56" x14ac:dyDescent="0.2">
      <c r="A180" s="496"/>
      <c r="B180" s="496"/>
      <c r="F180" s="216" t="s">
        <v>750</v>
      </c>
      <c r="G180" s="139"/>
      <c r="H180" s="261">
        <v>1</v>
      </c>
      <c r="I180" s="216"/>
      <c r="J180" s="313">
        <v>13126.161958388893</v>
      </c>
      <c r="K180" s="385"/>
      <c r="L180" s="260">
        <f t="shared" si="190"/>
        <v>6387.1904089520349</v>
      </c>
      <c r="M180" s="212"/>
      <c r="N180" s="260">
        <f t="shared" si="191"/>
        <v>4055.9840451421678</v>
      </c>
      <c r="O180" s="212"/>
      <c r="P180" s="260">
        <f t="shared" si="192"/>
        <v>620.86746063179464</v>
      </c>
      <c r="Q180" s="212"/>
      <c r="R180" s="260">
        <f t="shared" si="193"/>
        <v>1514.7590899980783</v>
      </c>
      <c r="S180" s="212"/>
      <c r="T180" s="260">
        <f t="shared" si="194"/>
        <v>471.22921430616128</v>
      </c>
      <c r="U180" s="212"/>
      <c r="V180" s="260">
        <f t="shared" si="195"/>
        <v>34.128021091811121</v>
      </c>
      <c r="W180" s="212"/>
      <c r="X180" s="260">
        <f t="shared" si="196"/>
        <v>42.003718266844459</v>
      </c>
      <c r="Y180" s="212"/>
      <c r="Z180" s="175"/>
      <c r="AC180" s="216" t="s">
        <v>750</v>
      </c>
      <c r="AE180" s="239">
        <f t="shared" si="197"/>
        <v>1</v>
      </c>
      <c r="AG180" s="312">
        <f t="shared" si="208"/>
        <v>13126.161958388893</v>
      </c>
      <c r="AH180" s="385"/>
      <c r="AI180" s="260">
        <f t="shared" si="199"/>
        <v>13050.030219030237</v>
      </c>
      <c r="AJ180" s="212"/>
      <c r="AK180" s="260">
        <f t="shared" si="200"/>
        <v>0</v>
      </c>
      <c r="AL180" s="212"/>
      <c r="AM180" s="260">
        <f t="shared" si="201"/>
        <v>0</v>
      </c>
      <c r="AN180" s="212"/>
      <c r="AO180" s="260">
        <f t="shared" si="202"/>
        <v>0</v>
      </c>
      <c r="AP180" s="212"/>
      <c r="AQ180" s="260">
        <f t="shared" si="203"/>
        <v>0</v>
      </c>
      <c r="AR180" s="212"/>
      <c r="AS180" s="260">
        <f t="shared" si="204"/>
        <v>0</v>
      </c>
      <c r="AT180" s="212"/>
      <c r="AU180" s="260">
        <f t="shared" si="205"/>
        <v>0</v>
      </c>
      <c r="AV180" s="212"/>
      <c r="AW180" s="260">
        <f t="shared" si="206"/>
        <v>34.128021091811121</v>
      </c>
      <c r="AX180" s="212"/>
      <c r="AY180" s="260">
        <f t="shared" si="207"/>
        <v>42.003718266844459</v>
      </c>
      <c r="BA180" s="175"/>
      <c r="BB180" s="145"/>
      <c r="BC180" s="145"/>
      <c r="BD180" s="145"/>
    </row>
    <row r="181" spans="1:56" x14ac:dyDescent="0.2">
      <c r="A181" s="496"/>
      <c r="B181" s="496"/>
      <c r="F181" s="216" t="s">
        <v>751</v>
      </c>
      <c r="G181" s="139"/>
      <c r="H181" s="261">
        <v>2</v>
      </c>
      <c r="I181" s="216"/>
      <c r="J181" s="313">
        <v>152573.77367025934</v>
      </c>
      <c r="K181" s="385"/>
      <c r="L181" s="260">
        <f t="shared" si="190"/>
        <v>76134.313061459412</v>
      </c>
      <c r="M181" s="212"/>
      <c r="N181" s="260">
        <f t="shared" si="191"/>
        <v>47252.097705679313</v>
      </c>
      <c r="O181" s="212"/>
      <c r="P181" s="260">
        <f t="shared" si="192"/>
        <v>6728.5034188584368</v>
      </c>
      <c r="Q181" s="212"/>
      <c r="R181" s="260">
        <f t="shared" si="193"/>
        <v>16813.62985846258</v>
      </c>
      <c r="S181" s="212"/>
      <c r="T181" s="260">
        <f t="shared" si="194"/>
        <v>5111.2214179536886</v>
      </c>
      <c r="U181" s="212"/>
      <c r="V181" s="260">
        <f t="shared" si="195"/>
        <v>244.11803787241496</v>
      </c>
      <c r="W181" s="212"/>
      <c r="X181" s="260">
        <f t="shared" si="196"/>
        <v>289.89016997349273</v>
      </c>
      <c r="Y181" s="212"/>
      <c r="Z181" s="175"/>
      <c r="AC181" s="216" t="s">
        <v>751</v>
      </c>
      <c r="AE181" s="239">
        <f t="shared" si="197"/>
        <v>2</v>
      </c>
      <c r="AG181" s="312">
        <f t="shared" si="208"/>
        <v>152573.77367025934</v>
      </c>
      <c r="AH181" s="385"/>
      <c r="AI181" s="260">
        <f t="shared" si="199"/>
        <v>91940.956013698262</v>
      </c>
      <c r="AJ181" s="212"/>
      <c r="AK181" s="260">
        <f t="shared" si="200"/>
        <v>60098.809448715147</v>
      </c>
      <c r="AL181" s="212"/>
      <c r="AM181" s="260">
        <f t="shared" si="201"/>
        <v>0</v>
      </c>
      <c r="AN181" s="212"/>
      <c r="AO181" s="260">
        <f t="shared" si="202"/>
        <v>0</v>
      </c>
      <c r="AP181" s="212"/>
      <c r="AQ181" s="260">
        <f t="shared" si="203"/>
        <v>0</v>
      </c>
      <c r="AR181" s="212"/>
      <c r="AS181" s="260">
        <f t="shared" si="204"/>
        <v>0</v>
      </c>
      <c r="AT181" s="212"/>
      <c r="AU181" s="260">
        <f t="shared" si="205"/>
        <v>0</v>
      </c>
      <c r="AV181" s="212"/>
      <c r="AW181" s="260">
        <f t="shared" si="206"/>
        <v>244.11803787241496</v>
      </c>
      <c r="AX181" s="212"/>
      <c r="AY181" s="260">
        <f t="shared" si="207"/>
        <v>289.89016997349273</v>
      </c>
      <c r="BA181" s="175"/>
      <c r="BB181" s="145"/>
      <c r="BC181" s="145"/>
      <c r="BD181" s="145"/>
    </row>
    <row r="182" spans="1:56" x14ac:dyDescent="0.2">
      <c r="A182" s="496"/>
      <c r="B182" s="496"/>
      <c r="F182" s="216" t="s">
        <v>616</v>
      </c>
      <c r="G182" s="139"/>
      <c r="H182" s="261">
        <v>2</v>
      </c>
      <c r="I182" s="216"/>
      <c r="J182" s="313">
        <v>358262.7426461248</v>
      </c>
      <c r="K182" s="385"/>
      <c r="L182" s="260">
        <f t="shared" si="190"/>
        <v>178773.10858041627</v>
      </c>
      <c r="M182" s="212"/>
      <c r="N182" s="260">
        <f t="shared" si="191"/>
        <v>110953.97139750484</v>
      </c>
      <c r="O182" s="212"/>
      <c r="P182" s="260">
        <f t="shared" si="192"/>
        <v>15799.386950694103</v>
      </c>
      <c r="Q182" s="212"/>
      <c r="R182" s="260">
        <f t="shared" si="193"/>
        <v>39480.554239602956</v>
      </c>
      <c r="S182" s="212"/>
      <c r="T182" s="260">
        <f t="shared" si="194"/>
        <v>12001.801878645181</v>
      </c>
      <c r="U182" s="212"/>
      <c r="V182" s="260">
        <f t="shared" si="195"/>
        <v>573.22038823379967</v>
      </c>
      <c r="W182" s="212"/>
      <c r="X182" s="260">
        <f t="shared" si="196"/>
        <v>680.69921102763715</v>
      </c>
      <c r="Y182" s="212"/>
      <c r="Z182" s="175"/>
      <c r="AC182" s="216" t="s">
        <v>616</v>
      </c>
      <c r="AE182" s="239">
        <f t="shared" si="197"/>
        <v>2</v>
      </c>
      <c r="AG182" s="312">
        <f t="shared" si="208"/>
        <v>358262.7426461248</v>
      </c>
      <c r="AH182" s="385"/>
      <c r="AI182" s="260">
        <f t="shared" si="199"/>
        <v>215889.12871855477</v>
      </c>
      <c r="AJ182" s="212"/>
      <c r="AK182" s="260">
        <f t="shared" si="200"/>
        <v>141119.69432830854</v>
      </c>
      <c r="AL182" s="212"/>
      <c r="AM182" s="260">
        <f t="shared" si="201"/>
        <v>0</v>
      </c>
      <c r="AN182" s="212"/>
      <c r="AO182" s="260">
        <f t="shared" si="202"/>
        <v>0</v>
      </c>
      <c r="AP182" s="212"/>
      <c r="AQ182" s="260">
        <f t="shared" si="203"/>
        <v>0</v>
      </c>
      <c r="AR182" s="212"/>
      <c r="AS182" s="260">
        <f t="shared" si="204"/>
        <v>0</v>
      </c>
      <c r="AT182" s="212"/>
      <c r="AU182" s="260">
        <f t="shared" si="205"/>
        <v>0</v>
      </c>
      <c r="AV182" s="212"/>
      <c r="AW182" s="260">
        <f t="shared" si="206"/>
        <v>573.22038823379967</v>
      </c>
      <c r="AX182" s="212"/>
      <c r="AY182" s="260">
        <f t="shared" si="207"/>
        <v>680.69921102763715</v>
      </c>
      <c r="BA182" s="175"/>
      <c r="BB182" s="145"/>
      <c r="BC182" s="145"/>
      <c r="BD182" s="145"/>
    </row>
    <row r="183" spans="1:56" x14ac:dyDescent="0.2">
      <c r="A183" s="496"/>
      <c r="B183" s="496"/>
      <c r="F183" s="216" t="s">
        <v>752</v>
      </c>
      <c r="G183" s="139"/>
      <c r="H183" s="261">
        <v>2</v>
      </c>
      <c r="I183" s="216"/>
      <c r="J183" s="313">
        <v>0</v>
      </c>
      <c r="K183" s="385"/>
      <c r="L183" s="260">
        <f t="shared" si="190"/>
        <v>0</v>
      </c>
      <c r="M183" s="212"/>
      <c r="N183" s="260">
        <f t="shared" si="191"/>
        <v>0</v>
      </c>
      <c r="O183" s="212"/>
      <c r="P183" s="260">
        <f t="shared" si="192"/>
        <v>0</v>
      </c>
      <c r="Q183" s="212"/>
      <c r="R183" s="260">
        <f t="shared" si="193"/>
        <v>0</v>
      </c>
      <c r="S183" s="212"/>
      <c r="T183" s="260">
        <f t="shared" si="194"/>
        <v>0</v>
      </c>
      <c r="U183" s="212"/>
      <c r="V183" s="260">
        <f t="shared" si="195"/>
        <v>0</v>
      </c>
      <c r="W183" s="212"/>
      <c r="X183" s="260">
        <f t="shared" si="196"/>
        <v>0</v>
      </c>
      <c r="Y183" s="212"/>
      <c r="Z183" s="175"/>
      <c r="AC183" s="216" t="s">
        <v>752</v>
      </c>
      <c r="AE183" s="239">
        <f t="shared" si="197"/>
        <v>2</v>
      </c>
      <c r="AG183" s="312">
        <f t="shared" si="208"/>
        <v>0</v>
      </c>
      <c r="AH183" s="385"/>
      <c r="AI183" s="260">
        <f t="shared" si="199"/>
        <v>0</v>
      </c>
      <c r="AJ183" s="212"/>
      <c r="AK183" s="260">
        <f t="shared" si="200"/>
        <v>0</v>
      </c>
      <c r="AL183" s="212"/>
      <c r="AM183" s="260">
        <f t="shared" si="201"/>
        <v>0</v>
      </c>
      <c r="AN183" s="212"/>
      <c r="AO183" s="260">
        <f t="shared" si="202"/>
        <v>0</v>
      </c>
      <c r="AP183" s="212"/>
      <c r="AQ183" s="260">
        <f t="shared" si="203"/>
        <v>0</v>
      </c>
      <c r="AR183" s="212"/>
      <c r="AS183" s="260">
        <f t="shared" si="204"/>
        <v>0</v>
      </c>
      <c r="AT183" s="212"/>
      <c r="AU183" s="260">
        <f t="shared" si="205"/>
        <v>0</v>
      </c>
      <c r="AV183" s="212"/>
      <c r="AW183" s="260">
        <f t="shared" si="206"/>
        <v>0</v>
      </c>
      <c r="AX183" s="212"/>
      <c r="AY183" s="260">
        <f t="shared" si="207"/>
        <v>0</v>
      </c>
      <c r="BA183" s="175"/>
      <c r="BB183" s="145"/>
      <c r="BC183" s="145"/>
      <c r="BD183" s="145"/>
    </row>
    <row r="184" spans="1:56" x14ac:dyDescent="0.2">
      <c r="A184" s="496"/>
      <c r="B184" s="496"/>
      <c r="F184" s="216" t="s">
        <v>753</v>
      </c>
      <c r="G184" s="139"/>
      <c r="H184" s="261">
        <v>2</v>
      </c>
      <c r="I184" s="216"/>
      <c r="J184" s="313">
        <v>613409.71535250032</v>
      </c>
      <c r="K184" s="385"/>
      <c r="L184" s="260">
        <f t="shared" si="190"/>
        <v>306091.44796089764</v>
      </c>
      <c r="M184" s="212"/>
      <c r="N184" s="260">
        <f t="shared" si="191"/>
        <v>189972.98884466934</v>
      </c>
      <c r="O184" s="212"/>
      <c r="P184" s="260">
        <f t="shared" si="192"/>
        <v>27051.368447045264</v>
      </c>
      <c r="Q184" s="212"/>
      <c r="R184" s="260">
        <f t="shared" si="193"/>
        <v>67597.750631845542</v>
      </c>
      <c r="S184" s="212"/>
      <c r="T184" s="260">
        <f t="shared" si="194"/>
        <v>20549.225464308762</v>
      </c>
      <c r="U184" s="212"/>
      <c r="V184" s="260">
        <f t="shared" si="195"/>
        <v>981.45554456400055</v>
      </c>
      <c r="W184" s="212"/>
      <c r="X184" s="260">
        <f t="shared" si="196"/>
        <v>1165.4784591697505</v>
      </c>
      <c r="Y184" s="212"/>
      <c r="Z184" s="175"/>
      <c r="AC184" s="216" t="s">
        <v>753</v>
      </c>
      <c r="AE184" s="239">
        <f t="shared" si="197"/>
        <v>2</v>
      </c>
      <c r="AG184" s="312">
        <f t="shared" si="208"/>
        <v>613409.71535250032</v>
      </c>
      <c r="AH184" s="385"/>
      <c r="AI184" s="260">
        <f t="shared" si="199"/>
        <v>369640.69447141665</v>
      </c>
      <c r="AJ184" s="212"/>
      <c r="AK184" s="260">
        <f t="shared" si="200"/>
        <v>241622.08687734985</v>
      </c>
      <c r="AL184" s="212"/>
      <c r="AM184" s="260">
        <f t="shared" si="201"/>
        <v>0</v>
      </c>
      <c r="AN184" s="212"/>
      <c r="AO184" s="260">
        <f t="shared" si="202"/>
        <v>0</v>
      </c>
      <c r="AP184" s="212"/>
      <c r="AQ184" s="260">
        <f t="shared" si="203"/>
        <v>0</v>
      </c>
      <c r="AR184" s="212"/>
      <c r="AS184" s="260">
        <f t="shared" si="204"/>
        <v>0</v>
      </c>
      <c r="AT184" s="212"/>
      <c r="AU184" s="260">
        <f t="shared" si="205"/>
        <v>0</v>
      </c>
      <c r="AV184" s="212"/>
      <c r="AW184" s="260">
        <f t="shared" si="206"/>
        <v>981.45554456400055</v>
      </c>
      <c r="AX184" s="212"/>
      <c r="AY184" s="260">
        <f t="shared" si="207"/>
        <v>1165.4784591697505</v>
      </c>
      <c r="BA184" s="175"/>
      <c r="BB184" s="145"/>
      <c r="BC184" s="145"/>
      <c r="BD184" s="145"/>
    </row>
    <row r="185" spans="1:56" x14ac:dyDescent="0.2">
      <c r="A185" s="496"/>
      <c r="B185" s="496"/>
      <c r="F185" s="216" t="s">
        <v>754</v>
      </c>
      <c r="G185" s="139"/>
      <c r="H185" s="261">
        <v>6</v>
      </c>
      <c r="I185" s="216"/>
      <c r="J185" s="313">
        <v>273718.47979229147</v>
      </c>
      <c r="K185" s="385"/>
      <c r="L185" s="260">
        <f t="shared" si="190"/>
        <v>130508.97116496458</v>
      </c>
      <c r="M185" s="212"/>
      <c r="N185" s="260">
        <f t="shared" si="191"/>
        <v>80664.8359947883</v>
      </c>
      <c r="O185" s="212"/>
      <c r="P185" s="260">
        <f t="shared" si="192"/>
        <v>11167.713975525492</v>
      </c>
      <c r="Q185" s="212"/>
      <c r="R185" s="260">
        <f t="shared" si="193"/>
        <v>27618.194611042207</v>
      </c>
      <c r="S185" s="212"/>
      <c r="T185" s="260">
        <f t="shared" si="194"/>
        <v>6514.4998190565375</v>
      </c>
      <c r="U185" s="212"/>
      <c r="V185" s="260">
        <f t="shared" si="195"/>
        <v>7773.6048261010783</v>
      </c>
      <c r="W185" s="212"/>
      <c r="X185" s="260">
        <f t="shared" si="196"/>
        <v>9470.6594008132852</v>
      </c>
      <c r="Y185" s="212"/>
      <c r="Z185" s="175"/>
      <c r="AC185" s="216" t="s">
        <v>754</v>
      </c>
      <c r="AE185" s="239">
        <f t="shared" si="197"/>
        <v>6</v>
      </c>
      <c r="AG185" s="312">
        <f t="shared" si="208"/>
        <v>273718.47979229147</v>
      </c>
      <c r="AH185" s="385"/>
      <c r="AI185" s="260">
        <f t="shared" si="199"/>
        <v>142156.08663473747</v>
      </c>
      <c r="AJ185" s="212"/>
      <c r="AK185" s="260">
        <f t="shared" si="200"/>
        <v>76613.8024938624</v>
      </c>
      <c r="AL185" s="212"/>
      <c r="AM185" s="260">
        <f t="shared" si="201"/>
        <v>37699.946941100578</v>
      </c>
      <c r="AN185" s="212"/>
      <c r="AO185" s="260">
        <f t="shared" si="202"/>
        <v>0</v>
      </c>
      <c r="AP185" s="212"/>
      <c r="AQ185" s="260">
        <f t="shared" si="203"/>
        <v>0</v>
      </c>
      <c r="AR185" s="212"/>
      <c r="AS185" s="260">
        <f t="shared" si="204"/>
        <v>0</v>
      </c>
      <c r="AT185" s="212"/>
      <c r="AU185" s="260">
        <f t="shared" si="205"/>
        <v>0</v>
      </c>
      <c r="AV185" s="212"/>
      <c r="AW185" s="260">
        <f t="shared" si="206"/>
        <v>7772.8384143576586</v>
      </c>
      <c r="AX185" s="212"/>
      <c r="AY185" s="260">
        <f t="shared" si="207"/>
        <v>9475.805308233379</v>
      </c>
      <c r="BA185" s="175"/>
      <c r="BB185" s="145"/>
      <c r="BC185" s="145"/>
      <c r="BD185" s="145"/>
    </row>
    <row r="186" spans="1:56" x14ac:dyDescent="0.2">
      <c r="A186" s="551"/>
      <c r="B186" s="552"/>
      <c r="F186" s="216" t="s">
        <v>614</v>
      </c>
      <c r="G186" s="139"/>
      <c r="H186" s="261">
        <v>6</v>
      </c>
      <c r="I186" s="216"/>
      <c r="J186" s="313">
        <v>98899.601632499893</v>
      </c>
      <c r="K186" s="385"/>
      <c r="L186" s="260">
        <f t="shared" si="190"/>
        <v>47155.330058375948</v>
      </c>
      <c r="M186" s="212"/>
      <c r="N186" s="260">
        <f t="shared" si="191"/>
        <v>29145.712601097719</v>
      </c>
      <c r="O186" s="212"/>
      <c r="P186" s="260">
        <f t="shared" si="192"/>
        <v>4035.1037466059961</v>
      </c>
      <c r="Q186" s="212"/>
      <c r="R186" s="260">
        <f t="shared" si="193"/>
        <v>9978.9698047192378</v>
      </c>
      <c r="S186" s="212"/>
      <c r="T186" s="260">
        <f t="shared" si="194"/>
        <v>2353.8105188534978</v>
      </c>
      <c r="U186" s="212"/>
      <c r="V186" s="260">
        <f t="shared" si="195"/>
        <v>2808.748686362997</v>
      </c>
      <c r="W186" s="212"/>
      <c r="X186" s="260">
        <f t="shared" si="196"/>
        <v>3421.9262164844963</v>
      </c>
      <c r="Y186" s="212"/>
      <c r="Z186" s="175"/>
      <c r="AC186" s="216" t="s">
        <v>614</v>
      </c>
      <c r="AE186" s="239">
        <f t="shared" si="197"/>
        <v>6</v>
      </c>
      <c r="AG186" s="312">
        <f t="shared" si="208"/>
        <v>98899.601632499893</v>
      </c>
      <c r="AH186" s="385"/>
      <c r="AI186" s="260">
        <f t="shared" si="199"/>
        <v>51363.650523265169</v>
      </c>
      <c r="AJ186" s="212"/>
      <c r="AK186" s="260">
        <f t="shared" si="200"/>
        <v>27681.998496936725</v>
      </c>
      <c r="AL186" s="212"/>
      <c r="AM186" s="260">
        <f t="shared" si="201"/>
        <v>13621.69531582439</v>
      </c>
      <c r="AN186" s="212"/>
      <c r="AO186" s="260">
        <f t="shared" si="202"/>
        <v>0</v>
      </c>
      <c r="AP186" s="212"/>
      <c r="AQ186" s="260">
        <f t="shared" si="203"/>
        <v>0</v>
      </c>
      <c r="AR186" s="212"/>
      <c r="AS186" s="260">
        <f t="shared" si="204"/>
        <v>0</v>
      </c>
      <c r="AT186" s="212"/>
      <c r="AU186" s="260">
        <f t="shared" si="205"/>
        <v>0</v>
      </c>
      <c r="AV186" s="212"/>
      <c r="AW186" s="260">
        <f t="shared" si="206"/>
        <v>2808.4717674784256</v>
      </c>
      <c r="AX186" s="212"/>
      <c r="AY186" s="260">
        <f t="shared" si="207"/>
        <v>3423.7855289951872</v>
      </c>
      <c r="BA186" s="175"/>
      <c r="BB186" s="145"/>
      <c r="BC186" s="145"/>
      <c r="BD186" s="145"/>
    </row>
    <row r="187" spans="1:56" x14ac:dyDescent="0.2">
      <c r="A187" s="496"/>
      <c r="B187" s="496"/>
      <c r="F187" s="216" t="s">
        <v>755</v>
      </c>
      <c r="G187" s="139"/>
      <c r="H187" s="261">
        <v>6</v>
      </c>
      <c r="I187" s="216"/>
      <c r="J187" s="313">
        <v>0</v>
      </c>
      <c r="K187" s="385"/>
      <c r="L187" s="260">
        <f t="shared" si="190"/>
        <v>0</v>
      </c>
      <c r="M187" s="212"/>
      <c r="N187" s="260">
        <f t="shared" si="191"/>
        <v>0</v>
      </c>
      <c r="O187" s="212"/>
      <c r="P187" s="260">
        <f t="shared" si="192"/>
        <v>0</v>
      </c>
      <c r="Q187" s="212"/>
      <c r="R187" s="260">
        <f t="shared" si="193"/>
        <v>0</v>
      </c>
      <c r="S187" s="212"/>
      <c r="T187" s="260">
        <f t="shared" si="194"/>
        <v>0</v>
      </c>
      <c r="U187" s="212"/>
      <c r="V187" s="260">
        <f t="shared" si="195"/>
        <v>0</v>
      </c>
      <c r="W187" s="212"/>
      <c r="X187" s="260">
        <f t="shared" si="196"/>
        <v>0</v>
      </c>
      <c r="Y187" s="212"/>
      <c r="Z187" s="175"/>
      <c r="AC187" s="216" t="s">
        <v>755</v>
      </c>
      <c r="AE187" s="239">
        <f t="shared" si="197"/>
        <v>6</v>
      </c>
      <c r="AG187" s="312">
        <f t="shared" si="208"/>
        <v>0</v>
      </c>
      <c r="AH187" s="385"/>
      <c r="AI187" s="260">
        <f t="shared" si="199"/>
        <v>0</v>
      </c>
      <c r="AJ187" s="212"/>
      <c r="AK187" s="260">
        <f t="shared" si="200"/>
        <v>0</v>
      </c>
      <c r="AL187" s="212"/>
      <c r="AM187" s="260">
        <f t="shared" si="201"/>
        <v>0</v>
      </c>
      <c r="AN187" s="212"/>
      <c r="AO187" s="260">
        <f t="shared" si="202"/>
        <v>0</v>
      </c>
      <c r="AP187" s="212"/>
      <c r="AQ187" s="260">
        <f t="shared" si="203"/>
        <v>0</v>
      </c>
      <c r="AR187" s="212"/>
      <c r="AS187" s="260">
        <f t="shared" si="204"/>
        <v>0</v>
      </c>
      <c r="AT187" s="212"/>
      <c r="AU187" s="260">
        <f t="shared" si="205"/>
        <v>0</v>
      </c>
      <c r="AV187" s="212"/>
      <c r="AW187" s="260">
        <f t="shared" si="206"/>
        <v>0</v>
      </c>
      <c r="AX187" s="212"/>
      <c r="AY187" s="260">
        <f t="shared" si="207"/>
        <v>0</v>
      </c>
      <c r="BA187" s="175"/>
      <c r="BB187" s="145"/>
      <c r="BC187" s="145"/>
      <c r="BD187" s="145"/>
    </row>
    <row r="188" spans="1:56" x14ac:dyDescent="0.2">
      <c r="A188" s="496"/>
      <c r="B188" s="496"/>
      <c r="F188" s="216" t="s">
        <v>756</v>
      </c>
      <c r="G188" s="139"/>
      <c r="H188" s="261">
        <v>6</v>
      </c>
      <c r="I188" s="216"/>
      <c r="J188" s="313">
        <v>268295.18248365237</v>
      </c>
      <c r="K188" s="385"/>
      <c r="L188" s="260">
        <f t="shared" si="190"/>
        <v>127923.14300820546</v>
      </c>
      <c r="M188" s="212"/>
      <c r="N188" s="260">
        <f t="shared" si="191"/>
        <v>79066.590277932366</v>
      </c>
      <c r="O188" s="212"/>
      <c r="P188" s="260">
        <f t="shared" si="192"/>
        <v>10946.443445333018</v>
      </c>
      <c r="Q188" s="212"/>
      <c r="R188" s="260">
        <f t="shared" si="193"/>
        <v>27070.983912600521</v>
      </c>
      <c r="S188" s="212"/>
      <c r="T188" s="260">
        <f t="shared" si="194"/>
        <v>6385.4253431109273</v>
      </c>
      <c r="U188" s="212"/>
      <c r="V188" s="260">
        <f t="shared" si="195"/>
        <v>7619.5831825357282</v>
      </c>
      <c r="W188" s="212"/>
      <c r="X188" s="260">
        <f t="shared" si="196"/>
        <v>9283.0133139343725</v>
      </c>
      <c r="Y188" s="212"/>
      <c r="Z188" s="175"/>
      <c r="AC188" s="216" t="s">
        <v>756</v>
      </c>
      <c r="AE188" s="239">
        <f t="shared" si="197"/>
        <v>6</v>
      </c>
      <c r="AG188" s="312">
        <f t="shared" si="208"/>
        <v>268295.18248365237</v>
      </c>
      <c r="AH188" s="385"/>
      <c r="AI188" s="260">
        <f t="shared" si="199"/>
        <v>139339.48936794762</v>
      </c>
      <c r="AJ188" s="212"/>
      <c r="AK188" s="260">
        <f t="shared" si="200"/>
        <v>75095.821577174313</v>
      </c>
      <c r="AL188" s="212"/>
      <c r="AM188" s="260">
        <f t="shared" si="201"/>
        <v>36952.982319140603</v>
      </c>
      <c r="AN188" s="212"/>
      <c r="AO188" s="260">
        <f t="shared" si="202"/>
        <v>0</v>
      </c>
      <c r="AP188" s="212"/>
      <c r="AQ188" s="260">
        <f t="shared" si="203"/>
        <v>0</v>
      </c>
      <c r="AR188" s="212"/>
      <c r="AS188" s="260">
        <f t="shared" si="204"/>
        <v>0</v>
      </c>
      <c r="AT188" s="212"/>
      <c r="AU188" s="260">
        <f t="shared" si="205"/>
        <v>0</v>
      </c>
      <c r="AV188" s="212"/>
      <c r="AW188" s="260">
        <f t="shared" si="206"/>
        <v>7618.8319560247728</v>
      </c>
      <c r="AX188" s="212"/>
      <c r="AY188" s="260">
        <f t="shared" si="207"/>
        <v>9288.0572633650645</v>
      </c>
      <c r="BA188" s="175"/>
      <c r="BB188" s="145"/>
      <c r="BC188" s="145"/>
      <c r="BD188" s="145"/>
    </row>
    <row r="189" spans="1:56" x14ac:dyDescent="0.2">
      <c r="A189" s="496"/>
      <c r="B189" s="496"/>
      <c r="F189" s="216" t="s">
        <v>757</v>
      </c>
      <c r="G189" s="139"/>
      <c r="H189" s="261">
        <v>6</v>
      </c>
      <c r="I189" s="216"/>
      <c r="J189" s="313">
        <v>15792.378229777771</v>
      </c>
      <c r="K189" s="385"/>
      <c r="L189" s="260">
        <f t="shared" si="190"/>
        <v>7529.8059399580407</v>
      </c>
      <c r="M189" s="212"/>
      <c r="N189" s="260">
        <f t="shared" si="191"/>
        <v>4654.0138643155096</v>
      </c>
      <c r="O189" s="212"/>
      <c r="P189" s="260">
        <f t="shared" si="192"/>
        <v>644.32903177493313</v>
      </c>
      <c r="Q189" s="212"/>
      <c r="R189" s="260">
        <f t="shared" si="193"/>
        <v>1593.4509633845769</v>
      </c>
      <c r="S189" s="212"/>
      <c r="T189" s="260">
        <f t="shared" si="194"/>
        <v>375.85860186871099</v>
      </c>
      <c r="U189" s="212"/>
      <c r="V189" s="260">
        <f t="shared" si="195"/>
        <v>448.50354172568871</v>
      </c>
      <c r="W189" s="212"/>
      <c r="X189" s="260">
        <f t="shared" si="196"/>
        <v>546.41628675031086</v>
      </c>
      <c r="Y189" s="212"/>
      <c r="Z189" s="175"/>
      <c r="AC189" s="216" t="s">
        <v>757</v>
      </c>
      <c r="AE189" s="239">
        <f t="shared" si="197"/>
        <v>6</v>
      </c>
      <c r="AG189" s="312">
        <f t="shared" si="208"/>
        <v>15792.378229777771</v>
      </c>
      <c r="AH189" s="385"/>
      <c r="AI189" s="260">
        <f t="shared" si="199"/>
        <v>8201.7943746597357</v>
      </c>
      <c r="AJ189" s="212"/>
      <c r="AK189" s="260">
        <f t="shared" si="200"/>
        <v>4420.2866665147985</v>
      </c>
      <c r="AL189" s="212"/>
      <c r="AM189" s="260">
        <f t="shared" si="201"/>
        <v>2175.1246820755605</v>
      </c>
      <c r="AN189" s="212"/>
      <c r="AO189" s="260">
        <f t="shared" si="202"/>
        <v>0</v>
      </c>
      <c r="AP189" s="212"/>
      <c r="AQ189" s="260">
        <f t="shared" si="203"/>
        <v>0</v>
      </c>
      <c r="AR189" s="212"/>
      <c r="AS189" s="260">
        <f t="shared" si="204"/>
        <v>0</v>
      </c>
      <c r="AT189" s="212"/>
      <c r="AU189" s="260">
        <f t="shared" si="205"/>
        <v>0</v>
      </c>
      <c r="AV189" s="212"/>
      <c r="AW189" s="260">
        <f t="shared" si="206"/>
        <v>448.45932306664525</v>
      </c>
      <c r="AX189" s="212"/>
      <c r="AY189" s="260">
        <f t="shared" si="207"/>
        <v>546.71318346103067</v>
      </c>
      <c r="BA189" s="175"/>
      <c r="BB189" s="145"/>
      <c r="BC189" s="145"/>
      <c r="BD189" s="145"/>
    </row>
    <row r="190" spans="1:56" x14ac:dyDescent="0.2">
      <c r="A190" s="496"/>
      <c r="B190" s="496"/>
      <c r="F190" s="216" t="s">
        <v>615</v>
      </c>
      <c r="G190" s="139"/>
      <c r="H190" s="261">
        <v>6</v>
      </c>
      <c r="I190" s="216"/>
      <c r="J190" s="313">
        <v>176.19566399999999</v>
      </c>
      <c r="K190" s="385"/>
      <c r="L190" s="260">
        <f t="shared" si="190"/>
        <v>84.010092595199993</v>
      </c>
      <c r="M190" s="212"/>
      <c r="N190" s="260">
        <f t="shared" si="191"/>
        <v>51.924862180799998</v>
      </c>
      <c r="O190" s="212"/>
      <c r="P190" s="260">
        <f t="shared" si="192"/>
        <v>7.1887830912000004</v>
      </c>
      <c r="Q190" s="212"/>
      <c r="R190" s="260">
        <f t="shared" si="193"/>
        <v>17.778142497599998</v>
      </c>
      <c r="S190" s="212"/>
      <c r="T190" s="260">
        <f t="shared" si="194"/>
        <v>4.1934568032000001</v>
      </c>
      <c r="U190" s="212"/>
      <c r="V190" s="260">
        <f t="shared" si="195"/>
        <v>5.0039568576000004</v>
      </c>
      <c r="W190" s="212"/>
      <c r="X190" s="260">
        <f t="shared" si="196"/>
        <v>6.0963699743999999</v>
      </c>
      <c r="Y190" s="212"/>
      <c r="Z190" s="175"/>
      <c r="AC190" s="216" t="s">
        <v>615</v>
      </c>
      <c r="AE190" s="239">
        <f t="shared" si="197"/>
        <v>6</v>
      </c>
      <c r="AG190" s="312">
        <f t="shared" si="208"/>
        <v>176.19566399999999</v>
      </c>
      <c r="AH190" s="385"/>
      <c r="AI190" s="260">
        <f t="shared" si="199"/>
        <v>91.507471820156155</v>
      </c>
      <c r="AJ190" s="212"/>
      <c r="AK190" s="260">
        <f t="shared" si="200"/>
        <v>49.317166353600008</v>
      </c>
      <c r="AL190" s="212"/>
      <c r="AM190" s="260">
        <f t="shared" si="201"/>
        <v>24.267879863619839</v>
      </c>
      <c r="AN190" s="212"/>
      <c r="AO190" s="260">
        <f t="shared" si="202"/>
        <v>0</v>
      </c>
      <c r="AP190" s="212"/>
      <c r="AQ190" s="260">
        <f t="shared" si="203"/>
        <v>0</v>
      </c>
      <c r="AR190" s="212"/>
      <c r="AS190" s="260">
        <f t="shared" si="204"/>
        <v>0</v>
      </c>
      <c r="AT190" s="212"/>
      <c r="AU190" s="260">
        <f t="shared" si="205"/>
        <v>0</v>
      </c>
      <c r="AV190" s="212"/>
      <c r="AW190" s="260">
        <f t="shared" si="206"/>
        <v>5.0034635097407998</v>
      </c>
      <c r="AX190" s="212"/>
      <c r="AY190" s="260">
        <f t="shared" si="207"/>
        <v>6.0996824528831999</v>
      </c>
      <c r="BA190" s="175"/>
      <c r="BB190" s="145"/>
      <c r="BC190" s="145"/>
      <c r="BD190" s="145"/>
    </row>
    <row r="191" spans="1:56" x14ac:dyDescent="0.2">
      <c r="A191" s="496"/>
      <c r="B191" s="496"/>
      <c r="F191" s="216" t="s">
        <v>760</v>
      </c>
      <c r="G191" s="139"/>
      <c r="H191" s="261">
        <v>6</v>
      </c>
      <c r="I191" s="216"/>
      <c r="J191" s="313">
        <v>0</v>
      </c>
      <c r="K191" s="385"/>
      <c r="L191" s="260">
        <f t="shared" si="190"/>
        <v>0</v>
      </c>
      <c r="M191" s="212"/>
      <c r="N191" s="260">
        <f t="shared" si="191"/>
        <v>0</v>
      </c>
      <c r="O191" s="212"/>
      <c r="P191" s="260">
        <f t="shared" si="192"/>
        <v>0</v>
      </c>
      <c r="Q191" s="212"/>
      <c r="R191" s="260">
        <f t="shared" si="193"/>
        <v>0</v>
      </c>
      <c r="S191" s="212"/>
      <c r="T191" s="260">
        <f t="shared" si="194"/>
        <v>0</v>
      </c>
      <c r="U191" s="212"/>
      <c r="V191" s="260">
        <f t="shared" si="195"/>
        <v>0</v>
      </c>
      <c r="W191" s="212"/>
      <c r="X191" s="260">
        <f t="shared" si="196"/>
        <v>0</v>
      </c>
      <c r="Y191" s="212"/>
      <c r="Z191" s="175"/>
      <c r="AC191" s="216" t="s">
        <v>760</v>
      </c>
      <c r="AE191" s="239">
        <f t="shared" si="197"/>
        <v>6</v>
      </c>
      <c r="AG191" s="312">
        <f t="shared" si="208"/>
        <v>0</v>
      </c>
      <c r="AH191" s="385"/>
      <c r="AI191" s="260">
        <f t="shared" si="199"/>
        <v>0</v>
      </c>
      <c r="AJ191" s="212"/>
      <c r="AK191" s="260">
        <f t="shared" si="200"/>
        <v>0</v>
      </c>
      <c r="AL191" s="212"/>
      <c r="AM191" s="260">
        <f t="shared" si="201"/>
        <v>0</v>
      </c>
      <c r="AN191" s="212"/>
      <c r="AO191" s="260">
        <f t="shared" si="202"/>
        <v>0</v>
      </c>
      <c r="AP191" s="212"/>
      <c r="AQ191" s="260">
        <f t="shared" si="203"/>
        <v>0</v>
      </c>
      <c r="AR191" s="212"/>
      <c r="AS191" s="260">
        <f t="shared" si="204"/>
        <v>0</v>
      </c>
      <c r="AT191" s="212"/>
      <c r="AU191" s="260">
        <f t="shared" si="205"/>
        <v>0</v>
      </c>
      <c r="AV191" s="212"/>
      <c r="AW191" s="260">
        <f t="shared" si="206"/>
        <v>0</v>
      </c>
      <c r="AX191" s="212"/>
      <c r="AY191" s="260">
        <f t="shared" si="207"/>
        <v>0</v>
      </c>
      <c r="BA191" s="175"/>
      <c r="BB191" s="145"/>
      <c r="BC191" s="145"/>
      <c r="BD191" s="145"/>
    </row>
    <row r="192" spans="1:56" x14ac:dyDescent="0.2">
      <c r="A192" s="496"/>
      <c r="B192" s="496"/>
      <c r="F192" s="216" t="s">
        <v>761</v>
      </c>
      <c r="G192" s="139"/>
      <c r="H192" s="261">
        <v>2</v>
      </c>
      <c r="I192" s="216"/>
      <c r="J192" s="313">
        <v>778889.33026684693</v>
      </c>
      <c r="K192" s="385"/>
      <c r="L192" s="260">
        <f t="shared" si="190"/>
        <v>388665.7758031566</v>
      </c>
      <c r="M192" s="212"/>
      <c r="N192" s="260">
        <f t="shared" si="191"/>
        <v>241222.02558364248</v>
      </c>
      <c r="O192" s="212"/>
      <c r="P192" s="260">
        <f t="shared" si="192"/>
        <v>34349.019464767953</v>
      </c>
      <c r="Q192" s="212"/>
      <c r="R192" s="260">
        <f t="shared" si="193"/>
        <v>85833.604195406529</v>
      </c>
      <c r="S192" s="212"/>
      <c r="T192" s="260">
        <f t="shared" si="194"/>
        <v>26092.792563939372</v>
      </c>
      <c r="U192" s="212"/>
      <c r="V192" s="260">
        <f t="shared" si="195"/>
        <v>1246.2229284269551</v>
      </c>
      <c r="W192" s="212"/>
      <c r="X192" s="260">
        <f t="shared" si="196"/>
        <v>1479.8897275070092</v>
      </c>
      <c r="Y192" s="212"/>
      <c r="Z192" s="175"/>
      <c r="AC192" s="216" t="s">
        <v>761</v>
      </c>
      <c r="AE192" s="239">
        <f t="shared" si="197"/>
        <v>2</v>
      </c>
      <c r="AG192" s="312">
        <f t="shared" si="208"/>
        <v>778889.33026684693</v>
      </c>
      <c r="AH192" s="385"/>
      <c r="AI192" s="260">
        <f t="shared" si="199"/>
        <v>469358.71041880187</v>
      </c>
      <c r="AJ192" s="212"/>
      <c r="AK192" s="260">
        <f t="shared" si="200"/>
        <v>306804.50719211099</v>
      </c>
      <c r="AL192" s="212"/>
      <c r="AM192" s="260">
        <f t="shared" si="201"/>
        <v>0</v>
      </c>
      <c r="AN192" s="212"/>
      <c r="AO192" s="260">
        <f t="shared" si="202"/>
        <v>0</v>
      </c>
      <c r="AP192" s="212"/>
      <c r="AQ192" s="260">
        <f t="shared" si="203"/>
        <v>0</v>
      </c>
      <c r="AR192" s="212"/>
      <c r="AS192" s="260">
        <f t="shared" si="204"/>
        <v>0</v>
      </c>
      <c r="AT192" s="212"/>
      <c r="AU192" s="260">
        <f t="shared" si="205"/>
        <v>0</v>
      </c>
      <c r="AV192" s="212"/>
      <c r="AW192" s="260">
        <f t="shared" si="206"/>
        <v>1246.2229284269551</v>
      </c>
      <c r="AX192" s="212"/>
      <c r="AY192" s="260">
        <f t="shared" si="207"/>
        <v>1479.8897275070092</v>
      </c>
      <c r="BA192" s="175"/>
      <c r="BB192" s="145"/>
      <c r="BC192" s="145"/>
      <c r="BD192" s="145"/>
    </row>
    <row r="193" spans="1:56" x14ac:dyDescent="0.2">
      <c r="A193" s="496"/>
      <c r="B193" s="496"/>
      <c r="F193" s="216" t="s">
        <v>869</v>
      </c>
      <c r="G193" s="139"/>
      <c r="H193" s="261">
        <v>2</v>
      </c>
      <c r="I193" s="216"/>
      <c r="J193" s="313">
        <v>1366270.3271317128</v>
      </c>
      <c r="K193" s="385"/>
      <c r="L193" s="260">
        <f t="shared" si="190"/>
        <v>681768.89323872468</v>
      </c>
      <c r="M193" s="212"/>
      <c r="N193" s="260">
        <f t="shared" si="191"/>
        <v>423133.92031269142</v>
      </c>
      <c r="O193" s="212"/>
      <c r="P193" s="260">
        <f t="shared" si="192"/>
        <v>60252.521426508538</v>
      </c>
      <c r="Q193" s="212"/>
      <c r="R193" s="260">
        <f t="shared" si="193"/>
        <v>150562.99004991475</v>
      </c>
      <c r="S193" s="212"/>
      <c r="T193" s="260">
        <f t="shared" si="194"/>
        <v>45770.05595891238</v>
      </c>
      <c r="U193" s="212"/>
      <c r="V193" s="260">
        <f t="shared" si="195"/>
        <v>2186.0325234107404</v>
      </c>
      <c r="W193" s="212"/>
      <c r="X193" s="260">
        <f t="shared" si="196"/>
        <v>2595.9136215502544</v>
      </c>
      <c r="Y193" s="212"/>
      <c r="Z193" s="175"/>
      <c r="AC193" s="216" t="s">
        <v>762</v>
      </c>
      <c r="AE193" s="239">
        <f t="shared" si="197"/>
        <v>2</v>
      </c>
      <c r="AG193" s="312">
        <f t="shared" si="208"/>
        <v>1366270.3271317128</v>
      </c>
      <c r="AH193" s="385"/>
      <c r="AI193" s="260">
        <f t="shared" si="199"/>
        <v>823314.49912956997</v>
      </c>
      <c r="AJ193" s="212"/>
      <c r="AK193" s="260">
        <f t="shared" si="200"/>
        <v>538173.88185718167</v>
      </c>
      <c r="AL193" s="212"/>
      <c r="AM193" s="260">
        <f t="shared" si="201"/>
        <v>0</v>
      </c>
      <c r="AN193" s="212"/>
      <c r="AO193" s="260">
        <f t="shared" si="202"/>
        <v>0</v>
      </c>
      <c r="AP193" s="212"/>
      <c r="AQ193" s="260">
        <f t="shared" si="203"/>
        <v>0</v>
      </c>
      <c r="AR193" s="212"/>
      <c r="AS193" s="260">
        <f t="shared" si="204"/>
        <v>0</v>
      </c>
      <c r="AT193" s="212"/>
      <c r="AU193" s="260">
        <f t="shared" si="205"/>
        <v>0</v>
      </c>
      <c r="AV193" s="212"/>
      <c r="AW193" s="260">
        <f t="shared" si="206"/>
        <v>2186.0325234107404</v>
      </c>
      <c r="AX193" s="212"/>
      <c r="AY193" s="260">
        <f t="shared" si="207"/>
        <v>2595.9136215502544</v>
      </c>
      <c r="BA193" s="175"/>
      <c r="BB193" s="145"/>
      <c r="BC193" s="145"/>
      <c r="BD193" s="145"/>
    </row>
    <row r="194" spans="1:56" x14ac:dyDescent="0.2">
      <c r="A194" s="496"/>
      <c r="B194" s="496"/>
      <c r="F194" s="216" t="s">
        <v>682</v>
      </c>
      <c r="G194" s="139"/>
      <c r="H194" s="261">
        <v>2</v>
      </c>
      <c r="I194" s="216"/>
      <c r="J194" s="313">
        <v>123485.146976</v>
      </c>
      <c r="K194" s="385"/>
      <c r="L194" s="260">
        <f t="shared" si="190"/>
        <v>61619.088341023999</v>
      </c>
      <c r="M194" s="212"/>
      <c r="N194" s="260">
        <f t="shared" si="191"/>
        <v>38243.350018467201</v>
      </c>
      <c r="O194" s="212"/>
      <c r="P194" s="260">
        <f t="shared" si="192"/>
        <v>5445.6949816416</v>
      </c>
      <c r="Q194" s="212"/>
      <c r="R194" s="260">
        <f t="shared" si="193"/>
        <v>13608.063196755202</v>
      </c>
      <c r="S194" s="212"/>
      <c r="T194" s="260">
        <f t="shared" si="194"/>
        <v>4136.7524236960007</v>
      </c>
      <c r="U194" s="212"/>
      <c r="V194" s="260">
        <f t="shared" si="195"/>
        <v>197.57623516160001</v>
      </c>
      <c r="W194" s="212"/>
      <c r="X194" s="260">
        <f t="shared" si="196"/>
        <v>234.6217792544</v>
      </c>
      <c r="Y194" s="212"/>
      <c r="Z194" s="175"/>
      <c r="AC194" s="216" t="s">
        <v>763</v>
      </c>
      <c r="AE194" s="239">
        <f t="shared" si="197"/>
        <v>2</v>
      </c>
      <c r="AG194" s="312">
        <f t="shared" si="208"/>
        <v>123485.146976</v>
      </c>
      <c r="AH194" s="385"/>
      <c r="AI194" s="260">
        <f t="shared" si="199"/>
        <v>74412.149567737593</v>
      </c>
      <c r="AJ194" s="212"/>
      <c r="AK194" s="260">
        <f t="shared" si="200"/>
        <v>48640.799393846399</v>
      </c>
      <c r="AL194" s="212"/>
      <c r="AM194" s="260">
        <f t="shared" si="201"/>
        <v>0</v>
      </c>
      <c r="AN194" s="212"/>
      <c r="AO194" s="260">
        <f t="shared" si="202"/>
        <v>0</v>
      </c>
      <c r="AP194" s="212"/>
      <c r="AQ194" s="260">
        <f t="shared" si="203"/>
        <v>0</v>
      </c>
      <c r="AR194" s="212"/>
      <c r="AS194" s="260">
        <f t="shared" si="204"/>
        <v>0</v>
      </c>
      <c r="AT194" s="212"/>
      <c r="AU194" s="260">
        <f t="shared" si="205"/>
        <v>0</v>
      </c>
      <c r="AV194" s="212"/>
      <c r="AW194" s="260">
        <f t="shared" si="206"/>
        <v>197.57623516160001</v>
      </c>
      <c r="AX194" s="212"/>
      <c r="AY194" s="260">
        <f t="shared" si="207"/>
        <v>234.6217792544</v>
      </c>
      <c r="BA194" s="175"/>
      <c r="BB194" s="145"/>
      <c r="BC194" s="145"/>
      <c r="BD194" s="145"/>
    </row>
    <row r="195" spans="1:56" x14ac:dyDescent="0.2">
      <c r="A195" s="551"/>
      <c r="B195" s="552"/>
      <c r="F195" s="216" t="s">
        <v>764</v>
      </c>
      <c r="G195" s="139"/>
      <c r="H195" s="261">
        <v>7</v>
      </c>
      <c r="I195" s="216"/>
      <c r="J195" s="313">
        <v>23938.515964749997</v>
      </c>
      <c r="K195" s="385"/>
      <c r="L195" s="260">
        <f t="shared" si="190"/>
        <v>11071.563633696873</v>
      </c>
      <c r="M195" s="212"/>
      <c r="N195" s="260">
        <f t="shared" si="191"/>
        <v>6796.1446823925235</v>
      </c>
      <c r="O195" s="212"/>
      <c r="P195" s="260">
        <f t="shared" si="192"/>
        <v>883.33123909927497</v>
      </c>
      <c r="Q195" s="212"/>
      <c r="R195" s="260">
        <f t="shared" si="193"/>
        <v>2130.5279208627494</v>
      </c>
      <c r="S195" s="212"/>
      <c r="T195" s="260">
        <f t="shared" si="194"/>
        <v>150.81265057792498</v>
      </c>
      <c r="U195" s="212"/>
      <c r="V195" s="260">
        <f t="shared" si="195"/>
        <v>1307.0429716753497</v>
      </c>
      <c r="W195" s="212"/>
      <c r="X195" s="260">
        <f t="shared" si="196"/>
        <v>1599.0928664452997</v>
      </c>
      <c r="Y195" s="212"/>
      <c r="Z195" s="175"/>
      <c r="AC195" s="216" t="s">
        <v>764</v>
      </c>
      <c r="AE195" s="239">
        <f t="shared" si="197"/>
        <v>7</v>
      </c>
      <c r="AG195" s="312">
        <f t="shared" si="208"/>
        <v>23938.515964749997</v>
      </c>
      <c r="AH195" s="385"/>
      <c r="AI195" s="260">
        <f t="shared" si="199"/>
        <v>9309.6888586912737</v>
      </c>
      <c r="AJ195" s="212"/>
      <c r="AK195" s="260">
        <f t="shared" si="200"/>
        <v>1773.8440329879747</v>
      </c>
      <c r="AL195" s="212"/>
      <c r="AM195" s="260">
        <f t="shared" si="201"/>
        <v>9951.2410865465736</v>
      </c>
      <c r="AN195" s="212"/>
      <c r="AO195" s="260">
        <f t="shared" si="202"/>
        <v>0</v>
      </c>
      <c r="AP195" s="212"/>
      <c r="AQ195" s="260">
        <f t="shared" si="203"/>
        <v>0</v>
      </c>
      <c r="AR195" s="212"/>
      <c r="AS195" s="260">
        <f t="shared" si="204"/>
        <v>0</v>
      </c>
      <c r="AT195" s="212"/>
      <c r="AU195" s="260">
        <f t="shared" si="205"/>
        <v>0</v>
      </c>
      <c r="AV195" s="212"/>
      <c r="AW195" s="260">
        <f t="shared" si="206"/>
        <v>1307.0429716753497</v>
      </c>
      <c r="AX195" s="212"/>
      <c r="AY195" s="260">
        <f t="shared" si="207"/>
        <v>1599.0928664452997</v>
      </c>
      <c r="BA195" s="175"/>
      <c r="BB195" s="145"/>
      <c r="BC195" s="145"/>
      <c r="BD195" s="145"/>
    </row>
    <row r="196" spans="1:56" x14ac:dyDescent="0.2">
      <c r="A196" s="551"/>
      <c r="B196" s="552"/>
      <c r="F196" s="216" t="s">
        <v>617</v>
      </c>
      <c r="G196" s="139"/>
      <c r="H196" s="261">
        <v>7</v>
      </c>
      <c r="I196" s="216"/>
      <c r="J196" s="313">
        <v>6699.2057064562505</v>
      </c>
      <c r="K196" s="385"/>
      <c r="L196" s="260">
        <f t="shared" si="190"/>
        <v>3098.3826392360156</v>
      </c>
      <c r="M196" s="212"/>
      <c r="N196" s="260">
        <f t="shared" si="191"/>
        <v>1901.9045000629294</v>
      </c>
      <c r="O196" s="212"/>
      <c r="P196" s="260">
        <f t="shared" si="192"/>
        <v>247.20069056823567</v>
      </c>
      <c r="Q196" s="212"/>
      <c r="R196" s="260">
        <f t="shared" si="193"/>
        <v>596.22930787460632</v>
      </c>
      <c r="S196" s="212"/>
      <c r="T196" s="260">
        <f t="shared" si="194"/>
        <v>42.20499595067438</v>
      </c>
      <c r="U196" s="212"/>
      <c r="V196" s="260">
        <f t="shared" si="195"/>
        <v>365.77663157251123</v>
      </c>
      <c r="W196" s="212"/>
      <c r="X196" s="260">
        <f t="shared" si="196"/>
        <v>447.50694119127752</v>
      </c>
      <c r="Y196" s="212"/>
      <c r="Z196" s="175"/>
      <c r="AC196" s="216" t="s">
        <v>617</v>
      </c>
      <c r="AE196" s="239">
        <f t="shared" si="197"/>
        <v>7</v>
      </c>
      <c r="AG196" s="312">
        <f t="shared" si="208"/>
        <v>6699.2057064562505</v>
      </c>
      <c r="AH196" s="385"/>
      <c r="AI196" s="260">
        <f t="shared" si="199"/>
        <v>2605.3210992408358</v>
      </c>
      <c r="AJ196" s="212"/>
      <c r="AK196" s="260">
        <f t="shared" si="200"/>
        <v>496.41114284840813</v>
      </c>
      <c r="AL196" s="212"/>
      <c r="AM196" s="260">
        <f t="shared" si="201"/>
        <v>2784.8598121738632</v>
      </c>
      <c r="AN196" s="212"/>
      <c r="AO196" s="260">
        <f t="shared" si="202"/>
        <v>0</v>
      </c>
      <c r="AP196" s="212"/>
      <c r="AQ196" s="260">
        <f t="shared" si="203"/>
        <v>0</v>
      </c>
      <c r="AR196" s="212"/>
      <c r="AS196" s="260">
        <f t="shared" si="204"/>
        <v>0</v>
      </c>
      <c r="AT196" s="212"/>
      <c r="AU196" s="260">
        <f t="shared" si="205"/>
        <v>0</v>
      </c>
      <c r="AV196" s="212"/>
      <c r="AW196" s="260">
        <f t="shared" si="206"/>
        <v>365.77663157251123</v>
      </c>
      <c r="AX196" s="212"/>
      <c r="AY196" s="260">
        <f t="shared" si="207"/>
        <v>447.50694119127752</v>
      </c>
      <c r="BA196" s="175"/>
      <c r="BB196" s="145"/>
      <c r="BC196" s="145"/>
      <c r="BD196" s="145"/>
    </row>
    <row r="197" spans="1:56" x14ac:dyDescent="0.2">
      <c r="A197" s="496"/>
      <c r="B197" s="496"/>
      <c r="F197" s="216" t="s">
        <v>765</v>
      </c>
      <c r="G197" s="139"/>
      <c r="H197" s="261">
        <v>5</v>
      </c>
      <c r="I197" s="216"/>
      <c r="J197" s="313">
        <v>365931.07352953678</v>
      </c>
      <c r="K197" s="385"/>
      <c r="L197" s="260">
        <f t="shared" si="190"/>
        <v>152117.54726622844</v>
      </c>
      <c r="M197" s="212"/>
      <c r="N197" s="260">
        <f t="shared" si="191"/>
        <v>93019.678891208241</v>
      </c>
      <c r="O197" s="212"/>
      <c r="P197" s="260">
        <f t="shared" si="192"/>
        <v>11819.57367500404</v>
      </c>
      <c r="Q197" s="212"/>
      <c r="R197" s="260">
        <f t="shared" si="193"/>
        <v>28103.506447068426</v>
      </c>
      <c r="S197" s="212"/>
      <c r="T197" s="260">
        <f t="shared" si="194"/>
        <v>7940.7042955909483</v>
      </c>
      <c r="U197" s="212"/>
      <c r="V197" s="260">
        <f t="shared" si="195"/>
        <v>32860.610402952399</v>
      </c>
      <c r="W197" s="212"/>
      <c r="X197" s="260">
        <f t="shared" si="196"/>
        <v>40069.452551484275</v>
      </c>
      <c r="Y197" s="212"/>
      <c r="Z197" s="175"/>
      <c r="AC197" s="216" t="s">
        <v>765</v>
      </c>
      <c r="AE197" s="239">
        <f t="shared" si="197"/>
        <v>5</v>
      </c>
      <c r="AG197" s="312">
        <f t="shared" si="208"/>
        <v>365931.07352953678</v>
      </c>
      <c r="AH197" s="385"/>
      <c r="AI197" s="260">
        <f t="shared" si="199"/>
        <v>116805.19867062813</v>
      </c>
      <c r="AJ197" s="212"/>
      <c r="AK197" s="260">
        <f t="shared" si="200"/>
        <v>0</v>
      </c>
      <c r="AL197" s="212"/>
      <c r="AM197" s="260">
        <f t="shared" si="201"/>
        <v>176195.81190447195</v>
      </c>
      <c r="AN197" s="212"/>
      <c r="AO197" s="260">
        <f t="shared" si="202"/>
        <v>0</v>
      </c>
      <c r="AP197" s="212"/>
      <c r="AQ197" s="260">
        <f t="shared" si="203"/>
        <v>0</v>
      </c>
      <c r="AR197" s="212"/>
      <c r="AS197" s="260">
        <f t="shared" si="204"/>
        <v>0</v>
      </c>
      <c r="AT197" s="212"/>
      <c r="AU197" s="260">
        <f t="shared" si="205"/>
        <v>0</v>
      </c>
      <c r="AV197" s="212"/>
      <c r="AW197" s="260">
        <f t="shared" si="206"/>
        <v>32860.610402952399</v>
      </c>
      <c r="AX197" s="212"/>
      <c r="AY197" s="260">
        <f t="shared" si="207"/>
        <v>40069.452551484275</v>
      </c>
      <c r="BA197" s="175"/>
      <c r="BB197" s="145"/>
      <c r="BC197" s="145"/>
      <c r="BD197" s="145"/>
    </row>
    <row r="198" spans="1:56" x14ac:dyDescent="0.2">
      <c r="A198" s="496"/>
      <c r="B198" s="553"/>
      <c r="F198" s="216" t="s">
        <v>766</v>
      </c>
      <c r="G198" s="139"/>
      <c r="H198" s="261"/>
      <c r="I198" s="216"/>
      <c r="J198" s="313"/>
      <c r="K198" s="386"/>
      <c r="L198" s="260"/>
      <c r="M198" s="212"/>
      <c r="N198" s="260"/>
      <c r="O198" s="212"/>
      <c r="P198" s="260"/>
      <c r="Q198" s="212"/>
      <c r="R198" s="260"/>
      <c r="S198" s="212"/>
      <c r="T198" s="260"/>
      <c r="U198" s="212"/>
      <c r="V198" s="260"/>
      <c r="W198" s="212"/>
      <c r="X198" s="260"/>
      <c r="Y198" s="212"/>
      <c r="Z198" s="175"/>
      <c r="AC198" s="216" t="s">
        <v>766</v>
      </c>
      <c r="AE198" s="239"/>
      <c r="AG198" s="312"/>
      <c r="AH198" s="385"/>
      <c r="AI198" s="260"/>
      <c r="AJ198" s="212"/>
      <c r="AK198" s="260"/>
      <c r="AL198" s="212"/>
      <c r="AM198" s="260"/>
      <c r="AN198" s="212"/>
      <c r="AO198" s="260"/>
      <c r="AP198" s="212"/>
      <c r="AQ198" s="260"/>
      <c r="AR198" s="212"/>
      <c r="AS198" s="260"/>
      <c r="AT198" s="212"/>
      <c r="AU198" s="260"/>
      <c r="AV198" s="212"/>
      <c r="AW198" s="260"/>
      <c r="AX198" s="212"/>
      <c r="AY198" s="260"/>
      <c r="BA198" s="175"/>
      <c r="BB198" s="145"/>
      <c r="BC198" s="145"/>
      <c r="BD198" s="145"/>
    </row>
    <row r="199" spans="1:56" x14ac:dyDescent="0.2">
      <c r="B199" s="312"/>
      <c r="F199" s="529" t="s">
        <v>769</v>
      </c>
      <c r="G199" s="139"/>
      <c r="H199" s="261">
        <v>4</v>
      </c>
      <c r="I199" s="216"/>
      <c r="J199" s="313">
        <v>467982.16765085317</v>
      </c>
      <c r="K199" s="385"/>
      <c r="L199" s="260">
        <f t="shared" ref="L199:L234" si="209">(VLOOKUP($H199,Factors,L$382))*$J199</f>
        <v>217143.72578999586</v>
      </c>
      <c r="M199" s="212"/>
      <c r="N199" s="260">
        <f t="shared" ref="N199:N234" si="210">(VLOOKUP($H199,Factors,N$382))*$J199</f>
        <v>132906.9356128423</v>
      </c>
      <c r="O199" s="212"/>
      <c r="P199" s="260">
        <f t="shared" ref="P199:P234" si="211">(VLOOKUP($H199,Factors,P$382))*$J199</f>
        <v>16847.358035430716</v>
      </c>
      <c r="Q199" s="212"/>
      <c r="R199" s="260">
        <f t="shared" ref="R199:R234" si="212">(VLOOKUP($H199,Factors,R$382))*$J199</f>
        <v>40246.466417973366</v>
      </c>
      <c r="S199" s="212"/>
      <c r="T199" s="260">
        <f t="shared" ref="T199:T234" si="213">(VLOOKUP($H199,Factors,T$382))*$J199</f>
        <v>0</v>
      </c>
      <c r="U199" s="212"/>
      <c r="V199" s="260">
        <f t="shared" ref="V199:V234" si="214">(VLOOKUP($H199,Factors,V$382))*$J199</f>
        <v>27376.956807574908</v>
      </c>
      <c r="W199" s="212"/>
      <c r="X199" s="260">
        <f t="shared" ref="X199:X234" si="215">(VLOOKUP($H199,Factors,X$382))*$J199</f>
        <v>33460.724987036003</v>
      </c>
      <c r="Y199" s="212"/>
      <c r="Z199" s="175"/>
      <c r="AC199" s="529" t="s">
        <v>769</v>
      </c>
      <c r="AE199" s="239">
        <f t="shared" si="197"/>
        <v>4</v>
      </c>
      <c r="AG199" s="312">
        <f t="shared" si="198"/>
        <v>467982.16765085317</v>
      </c>
      <c r="AH199" s="385"/>
      <c r="AI199" s="260">
        <f t="shared" ref="AI199:AI234" si="216">(VLOOKUP($AE199,func,AI$382))*$AG199</f>
        <v>162249.41752455081</v>
      </c>
      <c r="AJ199" s="212"/>
      <c r="AK199" s="260">
        <f t="shared" ref="AK199:AK234" si="217">(VLOOKUP($AE199,func,AK$382))*$AG199</f>
        <v>0</v>
      </c>
      <c r="AL199" s="212"/>
      <c r="AM199" s="260">
        <f t="shared" ref="AM199:AM234" si="218">(VLOOKUP($AE199,func,AM$382))*$AG199</f>
        <v>244895.06833169147</v>
      </c>
      <c r="AN199" s="212"/>
      <c r="AO199" s="260">
        <f t="shared" ref="AO199:AO234" si="219">(VLOOKUP($AE199,func,AO$382))*$AG199</f>
        <v>0</v>
      </c>
      <c r="AP199" s="212"/>
      <c r="AQ199" s="260">
        <f t="shared" ref="AQ199:AQ234" si="220">(VLOOKUP($AE199,func,AQ$382))*$AG199</f>
        <v>0</v>
      </c>
      <c r="AR199" s="212"/>
      <c r="AS199" s="260">
        <f t="shared" ref="AS199:AS234" si="221">(VLOOKUP($AE199,func,AS$382))*$AG199</f>
        <v>0</v>
      </c>
      <c r="AT199" s="212"/>
      <c r="AU199" s="260">
        <f t="shared" ref="AU199:AU234" si="222">(VLOOKUP($AE199,func,AU$382))*$AG199</f>
        <v>0</v>
      </c>
      <c r="AV199" s="212"/>
      <c r="AW199" s="260">
        <f t="shared" ref="AW199:AW234" si="223">(VLOOKUP($AE199,func,AW$382))*$AG199</f>
        <v>27376.956807574908</v>
      </c>
      <c r="AX199" s="212"/>
      <c r="AY199" s="260">
        <f t="shared" ref="AY199:AY234" si="224">(VLOOKUP($AE199,func,AY$382))*$AG199</f>
        <v>33460.724987036003</v>
      </c>
      <c r="BA199" s="175"/>
      <c r="BB199" s="145"/>
      <c r="BC199" s="145"/>
      <c r="BD199" s="145"/>
    </row>
    <row r="200" spans="1:56" x14ac:dyDescent="0.2">
      <c r="A200" s="496"/>
      <c r="B200" s="496"/>
      <c r="F200" s="216" t="s">
        <v>772</v>
      </c>
      <c r="G200" s="139"/>
      <c r="H200" s="261">
        <v>4</v>
      </c>
      <c r="I200" s="216"/>
      <c r="J200" s="313">
        <v>203023.49325333335</v>
      </c>
      <c r="K200" s="385"/>
      <c r="L200" s="260">
        <f t="shared" si="209"/>
        <v>94202.900869546662</v>
      </c>
      <c r="M200" s="212"/>
      <c r="N200" s="260">
        <f t="shared" si="210"/>
        <v>57658.672083946665</v>
      </c>
      <c r="O200" s="212"/>
      <c r="P200" s="260">
        <f t="shared" si="211"/>
        <v>7308.8457571200015</v>
      </c>
      <c r="Q200" s="212"/>
      <c r="R200" s="260">
        <f t="shared" si="212"/>
        <v>17460.020419786666</v>
      </c>
      <c r="S200" s="212"/>
      <c r="T200" s="260">
        <f t="shared" si="213"/>
        <v>0</v>
      </c>
      <c r="U200" s="212"/>
      <c r="V200" s="260">
        <f t="shared" si="214"/>
        <v>11876.87435532</v>
      </c>
      <c r="W200" s="212"/>
      <c r="X200" s="260">
        <f t="shared" si="215"/>
        <v>14516.179767613336</v>
      </c>
      <c r="Y200" s="212"/>
      <c r="Z200" s="175"/>
      <c r="AC200" s="216" t="s">
        <v>772</v>
      </c>
      <c r="AE200" s="239">
        <f t="shared" ref="AE200:AE233" si="225">+H200</f>
        <v>4</v>
      </c>
      <c r="AG200" s="312">
        <f t="shared" ref="AG200:AG203" si="226">+J200</f>
        <v>203023.49325333335</v>
      </c>
      <c r="AH200" s="385"/>
      <c r="AI200" s="260">
        <f t="shared" si="216"/>
        <v>70388.245110930671</v>
      </c>
      <c r="AJ200" s="212"/>
      <c r="AK200" s="260">
        <f t="shared" si="217"/>
        <v>0</v>
      </c>
      <c r="AL200" s="212"/>
      <c r="AM200" s="260">
        <f t="shared" si="218"/>
        <v>106242.19401946935</v>
      </c>
      <c r="AN200" s="212"/>
      <c r="AO200" s="260">
        <f t="shared" si="219"/>
        <v>0</v>
      </c>
      <c r="AP200" s="212"/>
      <c r="AQ200" s="260">
        <f t="shared" si="220"/>
        <v>0</v>
      </c>
      <c r="AR200" s="212"/>
      <c r="AS200" s="260">
        <f t="shared" si="221"/>
        <v>0</v>
      </c>
      <c r="AT200" s="212"/>
      <c r="AU200" s="260">
        <f t="shared" si="222"/>
        <v>0</v>
      </c>
      <c r="AV200" s="212"/>
      <c r="AW200" s="260">
        <f t="shared" si="223"/>
        <v>11876.87435532</v>
      </c>
      <c r="AX200" s="212"/>
      <c r="AY200" s="260">
        <f t="shared" si="224"/>
        <v>14516.179767613336</v>
      </c>
      <c r="BA200" s="175"/>
      <c r="BB200" s="145"/>
      <c r="BC200" s="145"/>
      <c r="BD200" s="145"/>
    </row>
    <row r="201" spans="1:56" x14ac:dyDescent="0.2">
      <c r="A201" s="496"/>
      <c r="B201" s="496"/>
      <c r="F201" s="216" t="s">
        <v>770</v>
      </c>
      <c r="G201" s="139"/>
      <c r="H201" s="261">
        <v>4</v>
      </c>
      <c r="I201" s="216"/>
      <c r="J201" s="313">
        <v>650991.30666327651</v>
      </c>
      <c r="K201" s="385"/>
      <c r="L201" s="260">
        <f t="shared" si="209"/>
        <v>302059.96629176027</v>
      </c>
      <c r="M201" s="212"/>
      <c r="N201" s="260">
        <f t="shared" si="210"/>
        <v>184881.53109237051</v>
      </c>
      <c r="O201" s="212"/>
      <c r="P201" s="260">
        <f t="shared" si="211"/>
        <v>23435.687039877957</v>
      </c>
      <c r="Q201" s="212"/>
      <c r="R201" s="260">
        <f t="shared" si="212"/>
        <v>55985.252373041774</v>
      </c>
      <c r="S201" s="212"/>
      <c r="T201" s="260">
        <f t="shared" si="213"/>
        <v>0</v>
      </c>
      <c r="U201" s="212"/>
      <c r="V201" s="260">
        <f t="shared" si="214"/>
        <v>38082.991439801677</v>
      </c>
      <c r="W201" s="212"/>
      <c r="X201" s="260">
        <f t="shared" si="215"/>
        <v>46545.878426424279</v>
      </c>
      <c r="Y201" s="212"/>
      <c r="Z201" s="175"/>
      <c r="AC201" s="216" t="s">
        <v>770</v>
      </c>
      <c r="AE201" s="239">
        <f t="shared" si="225"/>
        <v>4</v>
      </c>
      <c r="AG201" s="312">
        <f t="shared" si="226"/>
        <v>650991.30666327651</v>
      </c>
      <c r="AH201" s="385"/>
      <c r="AI201" s="260">
        <f t="shared" si="216"/>
        <v>225698.68602015797</v>
      </c>
      <c r="AJ201" s="212"/>
      <c r="AK201" s="260">
        <f t="shared" si="217"/>
        <v>0</v>
      </c>
      <c r="AL201" s="212"/>
      <c r="AM201" s="260">
        <f t="shared" si="218"/>
        <v>340663.75077689259</v>
      </c>
      <c r="AN201" s="212"/>
      <c r="AO201" s="260">
        <f t="shared" si="219"/>
        <v>0</v>
      </c>
      <c r="AP201" s="212"/>
      <c r="AQ201" s="260">
        <f t="shared" si="220"/>
        <v>0</v>
      </c>
      <c r="AR201" s="212"/>
      <c r="AS201" s="260">
        <f t="shared" si="221"/>
        <v>0</v>
      </c>
      <c r="AT201" s="212"/>
      <c r="AU201" s="260">
        <f t="shared" si="222"/>
        <v>0</v>
      </c>
      <c r="AV201" s="212"/>
      <c r="AW201" s="260">
        <f t="shared" si="223"/>
        <v>38082.991439801677</v>
      </c>
      <c r="AX201" s="212"/>
      <c r="AY201" s="260">
        <f t="shared" si="224"/>
        <v>46545.878426424279</v>
      </c>
      <c r="BA201" s="175"/>
      <c r="BB201" s="145"/>
      <c r="BC201" s="145"/>
      <c r="BD201" s="145"/>
    </row>
    <row r="202" spans="1:56" x14ac:dyDescent="0.2">
      <c r="A202" s="496"/>
      <c r="B202" s="496"/>
      <c r="F202" s="216" t="s">
        <v>771</v>
      </c>
      <c r="G202" s="139"/>
      <c r="H202" s="261">
        <v>3</v>
      </c>
      <c r="I202" s="216"/>
      <c r="J202" s="313">
        <v>820812.14513800002</v>
      </c>
      <c r="K202" s="385"/>
      <c r="L202" s="260">
        <f t="shared" si="209"/>
        <v>375029.06911355216</v>
      </c>
      <c r="M202" s="212"/>
      <c r="N202" s="260">
        <f t="shared" si="210"/>
        <v>232618.16193210919</v>
      </c>
      <c r="O202" s="212"/>
      <c r="P202" s="260">
        <f t="shared" si="211"/>
        <v>33078.7294490614</v>
      </c>
      <c r="Q202" s="212"/>
      <c r="R202" s="260">
        <f t="shared" si="212"/>
        <v>82819.9454444242</v>
      </c>
      <c r="S202" s="212"/>
      <c r="T202" s="260">
        <f t="shared" si="213"/>
        <v>25116.851641222802</v>
      </c>
      <c r="U202" s="212"/>
      <c r="V202" s="260">
        <f t="shared" si="214"/>
        <v>32422.079732951002</v>
      </c>
      <c r="W202" s="212"/>
      <c r="X202" s="260">
        <f t="shared" si="215"/>
        <v>39727.307824679207</v>
      </c>
      <c r="Y202" s="212"/>
      <c r="Z202" s="175"/>
      <c r="AC202" s="216" t="s">
        <v>771</v>
      </c>
      <c r="AE202" s="239">
        <f t="shared" si="225"/>
        <v>3</v>
      </c>
      <c r="AG202" s="312">
        <f t="shared" si="226"/>
        <v>820812.14513800002</v>
      </c>
      <c r="AH202" s="385"/>
      <c r="AI202" s="260">
        <f t="shared" si="216"/>
        <v>455304.49690804858</v>
      </c>
      <c r="AJ202" s="212"/>
      <c r="AK202" s="260">
        <f t="shared" si="217"/>
        <v>295984.85953676281</v>
      </c>
      <c r="AL202" s="212"/>
      <c r="AM202" s="260">
        <f t="shared" si="218"/>
        <v>0</v>
      </c>
      <c r="AN202" s="212"/>
      <c r="AO202" s="260">
        <f t="shared" si="219"/>
        <v>0</v>
      </c>
      <c r="AP202" s="212"/>
      <c r="AQ202" s="260">
        <f t="shared" si="220"/>
        <v>0</v>
      </c>
      <c r="AR202" s="212"/>
      <c r="AS202" s="260">
        <f t="shared" si="221"/>
        <v>0</v>
      </c>
      <c r="AT202" s="212"/>
      <c r="AU202" s="260">
        <f t="shared" si="222"/>
        <v>0</v>
      </c>
      <c r="AV202" s="212"/>
      <c r="AW202" s="260">
        <f t="shared" si="223"/>
        <v>31272.942729757804</v>
      </c>
      <c r="AX202" s="212"/>
      <c r="AY202" s="260">
        <f t="shared" si="224"/>
        <v>38249.845963430802</v>
      </c>
      <c r="BA202" s="175"/>
      <c r="BB202" s="145"/>
      <c r="BC202" s="145"/>
      <c r="BD202" s="145"/>
    </row>
    <row r="203" spans="1:56" x14ac:dyDescent="0.2">
      <c r="A203" s="496"/>
      <c r="B203" s="496"/>
      <c r="F203" s="216" t="s">
        <v>773</v>
      </c>
      <c r="G203" s="139"/>
      <c r="H203" s="261">
        <v>3</v>
      </c>
      <c r="I203" s="216"/>
      <c r="J203" s="313">
        <v>1492613.0282496666</v>
      </c>
      <c r="K203" s="385"/>
      <c r="L203" s="260">
        <f t="shared" si="209"/>
        <v>681974.8926072726</v>
      </c>
      <c r="M203" s="212"/>
      <c r="N203" s="260">
        <f t="shared" si="210"/>
        <v>423006.53220595547</v>
      </c>
      <c r="O203" s="212"/>
      <c r="P203" s="260">
        <f t="shared" si="211"/>
        <v>60152.305038461564</v>
      </c>
      <c r="Q203" s="212"/>
      <c r="R203" s="260">
        <f t="shared" si="212"/>
        <v>150604.65455039137</v>
      </c>
      <c r="S203" s="212"/>
      <c r="T203" s="260">
        <f t="shared" si="213"/>
        <v>45673.9586644398</v>
      </c>
      <c r="U203" s="212"/>
      <c r="V203" s="260">
        <f t="shared" si="214"/>
        <v>58958.214615861827</v>
      </c>
      <c r="W203" s="212"/>
      <c r="X203" s="260">
        <f t="shared" si="215"/>
        <v>72242.470567283875</v>
      </c>
      <c r="Y203" s="212"/>
      <c r="Z203" s="175"/>
      <c r="AC203" s="216" t="s">
        <v>773</v>
      </c>
      <c r="AE203" s="239">
        <f t="shared" si="225"/>
        <v>3</v>
      </c>
      <c r="AG203" s="312">
        <f t="shared" si="226"/>
        <v>1492613.0282496666</v>
      </c>
      <c r="AH203" s="385"/>
      <c r="AI203" s="260">
        <f t="shared" si="216"/>
        <v>827952.44677009003</v>
      </c>
      <c r="AJ203" s="212"/>
      <c r="AK203" s="260">
        <f t="shared" si="217"/>
        <v>538236.25798682973</v>
      </c>
      <c r="AL203" s="212"/>
      <c r="AM203" s="260">
        <f t="shared" si="218"/>
        <v>0</v>
      </c>
      <c r="AN203" s="212"/>
      <c r="AO203" s="260">
        <f t="shared" si="219"/>
        <v>0</v>
      </c>
      <c r="AP203" s="212"/>
      <c r="AQ203" s="260">
        <f t="shared" si="220"/>
        <v>0</v>
      </c>
      <c r="AR203" s="212"/>
      <c r="AS203" s="260">
        <f t="shared" si="221"/>
        <v>0</v>
      </c>
      <c r="AT203" s="212"/>
      <c r="AU203" s="260">
        <f t="shared" si="222"/>
        <v>0</v>
      </c>
      <c r="AV203" s="212"/>
      <c r="AW203" s="260">
        <f t="shared" si="223"/>
        <v>56868.556376312299</v>
      </c>
      <c r="AX203" s="212"/>
      <c r="AY203" s="260">
        <f t="shared" si="224"/>
        <v>69555.767116434465</v>
      </c>
      <c r="BA203" s="175"/>
      <c r="BB203" s="145"/>
      <c r="BC203" s="145"/>
      <c r="BD203" s="145"/>
    </row>
    <row r="204" spans="1:56" x14ac:dyDescent="0.2">
      <c r="A204" s="496"/>
      <c r="B204" s="496"/>
      <c r="F204" s="216" t="s">
        <v>649</v>
      </c>
      <c r="G204" s="139"/>
      <c r="H204" s="261">
        <v>10</v>
      </c>
      <c r="I204" s="216"/>
      <c r="J204" s="313">
        <v>869641.23344091547</v>
      </c>
      <c r="K204" s="385"/>
      <c r="L204" s="260">
        <f t="shared" si="209"/>
        <v>716584.37635531439</v>
      </c>
      <c r="M204" s="212"/>
      <c r="N204" s="260">
        <f t="shared" si="210"/>
        <v>98443.387625511634</v>
      </c>
      <c r="O204" s="212"/>
      <c r="P204" s="260">
        <f t="shared" si="211"/>
        <v>1043.5694801290986</v>
      </c>
      <c r="Q204" s="212"/>
      <c r="R204" s="260">
        <f t="shared" si="212"/>
        <v>12174.977268172817</v>
      </c>
      <c r="S204" s="212"/>
      <c r="T204" s="260">
        <f t="shared" si="213"/>
        <v>521.78474006454928</v>
      </c>
      <c r="U204" s="212"/>
      <c r="V204" s="260">
        <f t="shared" si="214"/>
        <v>40873.13797172303</v>
      </c>
      <c r="W204" s="212"/>
      <c r="X204" s="260">
        <f t="shared" si="215"/>
        <v>0</v>
      </c>
      <c r="Y204" s="212"/>
      <c r="Z204" s="175"/>
      <c r="AC204" s="216" t="s">
        <v>649</v>
      </c>
      <c r="AE204" s="239">
        <f t="shared" si="225"/>
        <v>10</v>
      </c>
      <c r="AG204" s="312">
        <f t="shared" ref="AG204:AG233" si="227">+J204</f>
        <v>869641.23344091547</v>
      </c>
      <c r="AH204" s="385"/>
      <c r="AI204" s="260">
        <f t="shared" si="216"/>
        <v>0</v>
      </c>
      <c r="AJ204" s="212"/>
      <c r="AK204" s="260">
        <f t="shared" si="217"/>
        <v>0</v>
      </c>
      <c r="AL204" s="212"/>
      <c r="AM204" s="260">
        <f t="shared" si="218"/>
        <v>0</v>
      </c>
      <c r="AN204" s="212"/>
      <c r="AO204" s="260">
        <f t="shared" si="219"/>
        <v>0</v>
      </c>
      <c r="AP204" s="212"/>
      <c r="AQ204" s="260">
        <f t="shared" si="220"/>
        <v>828768.09546919237</v>
      </c>
      <c r="AR204" s="212"/>
      <c r="AS204" s="260">
        <f t="shared" si="221"/>
        <v>0</v>
      </c>
      <c r="AT204" s="212"/>
      <c r="AU204" s="260">
        <f t="shared" si="222"/>
        <v>0</v>
      </c>
      <c r="AV204" s="212"/>
      <c r="AW204" s="260">
        <f t="shared" si="223"/>
        <v>40873.13797172303</v>
      </c>
      <c r="AX204" s="212"/>
      <c r="AY204" s="260">
        <f t="shared" si="224"/>
        <v>0</v>
      </c>
      <c r="BA204" s="175"/>
      <c r="BB204" s="145"/>
      <c r="BC204" s="145"/>
      <c r="BD204" s="145"/>
    </row>
    <row r="205" spans="1:56" x14ac:dyDescent="0.2">
      <c r="A205" s="496"/>
      <c r="B205" s="496"/>
      <c r="F205" s="216" t="s">
        <v>650</v>
      </c>
      <c r="G205" s="139"/>
      <c r="H205" s="261">
        <v>9</v>
      </c>
      <c r="I205" s="216"/>
      <c r="J205" s="313">
        <v>695560.54340201023</v>
      </c>
      <c r="K205" s="385"/>
      <c r="L205" s="260">
        <f t="shared" si="209"/>
        <v>575228.56939346239</v>
      </c>
      <c r="M205" s="212"/>
      <c r="N205" s="260">
        <f t="shared" si="210"/>
        <v>91257.543294343748</v>
      </c>
      <c r="O205" s="212"/>
      <c r="P205" s="260">
        <f t="shared" si="211"/>
        <v>2851.7982279482421</v>
      </c>
      <c r="Q205" s="212"/>
      <c r="R205" s="260">
        <f t="shared" si="212"/>
        <v>16484.784878627641</v>
      </c>
      <c r="S205" s="212"/>
      <c r="T205" s="260">
        <f t="shared" si="213"/>
        <v>1669.3453041648245</v>
      </c>
      <c r="U205" s="212"/>
      <c r="V205" s="260">
        <f t="shared" si="214"/>
        <v>8068.5023034633177</v>
      </c>
      <c r="W205" s="212"/>
      <c r="X205" s="260">
        <f t="shared" si="215"/>
        <v>0</v>
      </c>
      <c r="Y205" s="212"/>
      <c r="Z205" s="175"/>
      <c r="AC205" s="216" t="s">
        <v>650</v>
      </c>
      <c r="AE205" s="239">
        <f t="shared" si="225"/>
        <v>9</v>
      </c>
      <c r="AG205" s="312">
        <f t="shared" si="227"/>
        <v>695560.54340201023</v>
      </c>
      <c r="AH205" s="385"/>
      <c r="AI205" s="260">
        <f t="shared" si="216"/>
        <v>0</v>
      </c>
      <c r="AJ205" s="212"/>
      <c r="AK205" s="260">
        <f t="shared" si="217"/>
        <v>0</v>
      </c>
      <c r="AL205" s="212"/>
      <c r="AM205" s="260">
        <f t="shared" si="218"/>
        <v>0</v>
      </c>
      <c r="AN205" s="212"/>
      <c r="AO205" s="260">
        <f t="shared" si="219"/>
        <v>687492.04109854682</v>
      </c>
      <c r="AP205" s="212"/>
      <c r="AQ205" s="260">
        <f t="shared" si="220"/>
        <v>0</v>
      </c>
      <c r="AR205" s="212"/>
      <c r="AS205" s="260">
        <f t="shared" si="221"/>
        <v>0</v>
      </c>
      <c r="AT205" s="212"/>
      <c r="AU205" s="260">
        <f t="shared" si="222"/>
        <v>0</v>
      </c>
      <c r="AV205" s="212"/>
      <c r="AW205" s="260">
        <f t="shared" si="223"/>
        <v>8068.5023034633177</v>
      </c>
      <c r="AX205" s="212"/>
      <c r="AY205" s="260">
        <f t="shared" si="224"/>
        <v>0</v>
      </c>
      <c r="BA205" s="175"/>
      <c r="BB205" s="145"/>
      <c r="BC205" s="145"/>
      <c r="BD205" s="145"/>
    </row>
    <row r="206" spans="1:56" x14ac:dyDescent="0.2">
      <c r="A206" s="496"/>
      <c r="B206" s="496"/>
      <c r="F206" s="216" t="s">
        <v>651</v>
      </c>
      <c r="G206" s="139"/>
      <c r="H206" s="261">
        <v>9</v>
      </c>
      <c r="I206" s="216"/>
      <c r="J206" s="313">
        <v>526441.07862508914</v>
      </c>
      <c r="K206" s="385"/>
      <c r="L206" s="260">
        <f t="shared" si="209"/>
        <v>435366.77202294872</v>
      </c>
      <c r="M206" s="212"/>
      <c r="N206" s="260">
        <f t="shared" si="210"/>
        <v>69069.0695156117</v>
      </c>
      <c r="O206" s="212"/>
      <c r="P206" s="260">
        <f t="shared" si="211"/>
        <v>2158.4084223628656</v>
      </c>
      <c r="Q206" s="212"/>
      <c r="R206" s="260">
        <f t="shared" si="212"/>
        <v>12476.653563414611</v>
      </c>
      <c r="S206" s="212"/>
      <c r="T206" s="260">
        <f t="shared" si="213"/>
        <v>1263.4585887002138</v>
      </c>
      <c r="U206" s="212"/>
      <c r="V206" s="260">
        <f t="shared" si="214"/>
        <v>6106.7165120510335</v>
      </c>
      <c r="W206" s="212"/>
      <c r="X206" s="260">
        <f t="shared" si="215"/>
        <v>0</v>
      </c>
      <c r="Y206" s="212"/>
      <c r="Z206" s="175"/>
      <c r="AC206" s="216" t="s">
        <v>651</v>
      </c>
      <c r="AE206" s="239">
        <f t="shared" si="225"/>
        <v>9</v>
      </c>
      <c r="AG206" s="312">
        <f t="shared" si="227"/>
        <v>526441.07862508914</v>
      </c>
      <c r="AH206" s="385"/>
      <c r="AI206" s="260">
        <f t="shared" si="216"/>
        <v>0</v>
      </c>
      <c r="AJ206" s="212"/>
      <c r="AK206" s="260">
        <f t="shared" si="217"/>
        <v>0</v>
      </c>
      <c r="AL206" s="212"/>
      <c r="AM206" s="260">
        <f t="shared" si="218"/>
        <v>0</v>
      </c>
      <c r="AN206" s="212"/>
      <c r="AO206" s="260">
        <f t="shared" si="219"/>
        <v>520334.36211303808</v>
      </c>
      <c r="AP206" s="212"/>
      <c r="AQ206" s="260">
        <f t="shared" si="220"/>
        <v>0</v>
      </c>
      <c r="AR206" s="212"/>
      <c r="AS206" s="260">
        <f t="shared" si="221"/>
        <v>0</v>
      </c>
      <c r="AT206" s="212"/>
      <c r="AU206" s="260">
        <f t="shared" si="222"/>
        <v>0</v>
      </c>
      <c r="AV206" s="212"/>
      <c r="AW206" s="260">
        <f t="shared" si="223"/>
        <v>6106.7165120510335</v>
      </c>
      <c r="AX206" s="212"/>
      <c r="AY206" s="260">
        <f t="shared" si="224"/>
        <v>0</v>
      </c>
      <c r="BA206" s="175"/>
      <c r="BB206" s="145"/>
      <c r="BC206" s="145"/>
      <c r="BD206" s="145"/>
    </row>
    <row r="207" spans="1:56" x14ac:dyDescent="0.2">
      <c r="A207" s="496"/>
      <c r="B207" s="496"/>
      <c r="F207" s="216" t="s">
        <v>652</v>
      </c>
      <c r="G207" s="139"/>
      <c r="H207" s="261">
        <v>8</v>
      </c>
      <c r="I207" s="216"/>
      <c r="J207" s="313">
        <v>163916.5153919931</v>
      </c>
      <c r="K207" s="385"/>
      <c r="L207" s="260">
        <f t="shared" si="209"/>
        <v>0</v>
      </c>
      <c r="M207" s="212"/>
      <c r="N207" s="260">
        <f t="shared" si="210"/>
        <v>0</v>
      </c>
      <c r="O207" s="212"/>
      <c r="P207" s="260">
        <f t="shared" si="211"/>
        <v>0</v>
      </c>
      <c r="Q207" s="212"/>
      <c r="R207" s="260">
        <f t="shared" si="212"/>
        <v>0</v>
      </c>
      <c r="S207" s="212"/>
      <c r="T207" s="260">
        <f t="shared" si="213"/>
        <v>0</v>
      </c>
      <c r="U207" s="212"/>
      <c r="V207" s="260">
        <f t="shared" si="214"/>
        <v>0</v>
      </c>
      <c r="W207" s="212"/>
      <c r="X207" s="260">
        <f t="shared" si="215"/>
        <v>163916.5153919931</v>
      </c>
      <c r="Y207" s="212"/>
      <c r="Z207" s="175"/>
      <c r="AC207" s="216" t="s">
        <v>652</v>
      </c>
      <c r="AE207" s="239">
        <f t="shared" si="225"/>
        <v>8</v>
      </c>
      <c r="AG207" s="312">
        <f t="shared" si="227"/>
        <v>163916.5153919931</v>
      </c>
      <c r="AH207" s="385"/>
      <c r="AI207" s="260">
        <f t="shared" si="216"/>
        <v>0</v>
      </c>
      <c r="AJ207" s="212"/>
      <c r="AK207" s="260">
        <f t="shared" si="217"/>
        <v>0</v>
      </c>
      <c r="AL207" s="212"/>
      <c r="AM207" s="260">
        <f t="shared" si="218"/>
        <v>0</v>
      </c>
      <c r="AN207" s="212"/>
      <c r="AO207" s="260">
        <f t="shared" si="219"/>
        <v>0</v>
      </c>
      <c r="AP207" s="212"/>
      <c r="AQ207" s="260">
        <f t="shared" si="220"/>
        <v>0</v>
      </c>
      <c r="AR207" s="212"/>
      <c r="AS207" s="260">
        <f t="shared" si="221"/>
        <v>0</v>
      </c>
      <c r="AT207" s="212"/>
      <c r="AU207" s="260">
        <f t="shared" si="222"/>
        <v>0</v>
      </c>
      <c r="AV207" s="212"/>
      <c r="AW207" s="260">
        <f t="shared" si="223"/>
        <v>0</v>
      </c>
      <c r="AX207" s="212"/>
      <c r="AY207" s="260">
        <f t="shared" si="224"/>
        <v>163916.5153919931</v>
      </c>
      <c r="BA207" s="175"/>
      <c r="BB207" s="145"/>
      <c r="BC207" s="145"/>
      <c r="BD207" s="145"/>
    </row>
    <row r="208" spans="1:56" x14ac:dyDescent="0.2">
      <c r="A208" s="496"/>
      <c r="B208" s="496"/>
      <c r="F208" s="216" t="s">
        <v>653</v>
      </c>
      <c r="G208" s="139"/>
      <c r="H208" s="261">
        <v>15</v>
      </c>
      <c r="I208" s="216"/>
      <c r="J208" s="313">
        <v>126200.27887686659</v>
      </c>
      <c r="K208" s="385"/>
      <c r="L208" s="260">
        <f t="shared" si="209"/>
        <v>81437.039959242014</v>
      </c>
      <c r="M208" s="212"/>
      <c r="N208" s="260">
        <f t="shared" si="210"/>
        <v>25921.5372813084</v>
      </c>
      <c r="O208" s="212"/>
      <c r="P208" s="260">
        <f t="shared" si="211"/>
        <v>2864.7463305048718</v>
      </c>
      <c r="Q208" s="212"/>
      <c r="R208" s="260">
        <f t="shared" si="212"/>
        <v>7609.8768162750557</v>
      </c>
      <c r="S208" s="212"/>
      <c r="T208" s="260">
        <f t="shared" si="213"/>
        <v>1842.5240716022522</v>
      </c>
      <c r="U208" s="212"/>
      <c r="V208" s="260">
        <f t="shared" si="214"/>
        <v>2044.4445178052388</v>
      </c>
      <c r="W208" s="212"/>
      <c r="X208" s="260">
        <f t="shared" si="215"/>
        <v>4480.1099001287639</v>
      </c>
      <c r="Y208" s="212"/>
      <c r="Z208" s="175"/>
      <c r="AC208" s="216" t="s">
        <v>653</v>
      </c>
      <c r="AE208" s="239">
        <f t="shared" si="225"/>
        <v>15</v>
      </c>
      <c r="AG208" s="312">
        <f t="shared" si="227"/>
        <v>126200.27887686659</v>
      </c>
      <c r="AH208" s="385"/>
      <c r="AI208" s="260">
        <f t="shared" si="216"/>
        <v>37292.182408114073</v>
      </c>
      <c r="AJ208" s="212"/>
      <c r="AK208" s="260">
        <f t="shared" si="217"/>
        <v>19232.922500834469</v>
      </c>
      <c r="AL208" s="212"/>
      <c r="AM208" s="260">
        <f t="shared" si="218"/>
        <v>6032.3733303142235</v>
      </c>
      <c r="AN208" s="212"/>
      <c r="AO208" s="260">
        <f t="shared" si="219"/>
        <v>23006.310839252779</v>
      </c>
      <c r="AP208" s="212"/>
      <c r="AQ208" s="260">
        <f t="shared" si="220"/>
        <v>6234.2937765172092</v>
      </c>
      <c r="AR208" s="212"/>
      <c r="AS208" s="260">
        <f t="shared" si="221"/>
        <v>22299.589277542327</v>
      </c>
      <c r="AT208" s="212"/>
      <c r="AU208" s="260">
        <f t="shared" si="222"/>
        <v>5742.1126888974295</v>
      </c>
      <c r="AV208" s="212"/>
      <c r="AW208" s="260">
        <f t="shared" si="223"/>
        <v>1855.1440994899388</v>
      </c>
      <c r="AX208" s="212"/>
      <c r="AY208" s="260">
        <f t="shared" si="224"/>
        <v>4480.1099001287639</v>
      </c>
      <c r="BA208" s="175"/>
      <c r="BB208" s="145"/>
      <c r="BC208" s="145"/>
      <c r="BD208" s="145"/>
    </row>
    <row r="209" spans="1:56" ht="12.2" customHeight="1" x14ac:dyDescent="0.2">
      <c r="A209" s="496"/>
      <c r="B209" s="496"/>
      <c r="F209" s="216" t="s">
        <v>654</v>
      </c>
      <c r="G209" s="139"/>
      <c r="H209" s="261">
        <v>15</v>
      </c>
      <c r="I209" s="216"/>
      <c r="J209" s="313">
        <v>115463.81063575002</v>
      </c>
      <c r="K209" s="385"/>
      <c r="L209" s="260">
        <f t="shared" si="209"/>
        <v>74508.797003249492</v>
      </c>
      <c r="M209" s="212"/>
      <c r="N209" s="260">
        <f t="shared" si="210"/>
        <v>23716.266704583053</v>
      </c>
      <c r="O209" s="212"/>
      <c r="P209" s="260">
        <f t="shared" si="211"/>
        <v>2621.0285014315255</v>
      </c>
      <c r="Q209" s="212"/>
      <c r="R209" s="260">
        <f t="shared" si="212"/>
        <v>6962.4677813357266</v>
      </c>
      <c r="S209" s="212"/>
      <c r="T209" s="260">
        <f t="shared" si="213"/>
        <v>1685.7716352819502</v>
      </c>
      <c r="U209" s="212"/>
      <c r="V209" s="260">
        <f t="shared" si="214"/>
        <v>1870.5137322991502</v>
      </c>
      <c r="W209" s="212"/>
      <c r="X209" s="260">
        <f t="shared" si="215"/>
        <v>4098.9652775691256</v>
      </c>
      <c r="Y209" s="212"/>
      <c r="Z209" s="175"/>
      <c r="AC209" s="216" t="s">
        <v>654</v>
      </c>
      <c r="AE209" s="239">
        <f t="shared" si="225"/>
        <v>15</v>
      </c>
      <c r="AG209" s="312">
        <f t="shared" si="227"/>
        <v>115463.81063575002</v>
      </c>
      <c r="AH209" s="385"/>
      <c r="AI209" s="260">
        <f t="shared" si="216"/>
        <v>34119.556042864133</v>
      </c>
      <c r="AJ209" s="212"/>
      <c r="AK209" s="260">
        <f t="shared" si="217"/>
        <v>17596.684740888304</v>
      </c>
      <c r="AL209" s="212"/>
      <c r="AM209" s="260">
        <f t="shared" si="218"/>
        <v>5519.170148388851</v>
      </c>
      <c r="AN209" s="212"/>
      <c r="AO209" s="260">
        <f t="shared" si="219"/>
        <v>21049.052678897227</v>
      </c>
      <c r="AP209" s="212"/>
      <c r="AQ209" s="260">
        <f t="shared" si="220"/>
        <v>5703.9122454060507</v>
      </c>
      <c r="AR209" s="212"/>
      <c r="AS209" s="260">
        <f t="shared" si="221"/>
        <v>20402.45533933703</v>
      </c>
      <c r="AT209" s="212"/>
      <c r="AU209" s="260">
        <f t="shared" si="222"/>
        <v>5253.6033839266256</v>
      </c>
      <c r="AV209" s="212"/>
      <c r="AW209" s="260">
        <f t="shared" si="223"/>
        <v>1697.3180163455252</v>
      </c>
      <c r="AX209" s="212"/>
      <c r="AY209" s="260">
        <f t="shared" si="224"/>
        <v>4098.9652775691256</v>
      </c>
      <c r="BA209" s="175"/>
      <c r="BB209" s="145"/>
      <c r="BC209" s="145"/>
      <c r="BD209" s="145"/>
    </row>
    <row r="210" spans="1:56" x14ac:dyDescent="0.2">
      <c r="A210" s="496"/>
      <c r="B210" s="496"/>
      <c r="F210" s="216" t="s">
        <v>655</v>
      </c>
      <c r="G210" s="139"/>
      <c r="H210" s="261">
        <v>15</v>
      </c>
      <c r="I210" s="216"/>
      <c r="J210" s="313">
        <v>36260.345646486137</v>
      </c>
      <c r="K210" s="385"/>
      <c r="L210" s="260">
        <f t="shared" si="209"/>
        <v>23398.801045677505</v>
      </c>
      <c r="M210" s="212"/>
      <c r="N210" s="260">
        <f t="shared" si="210"/>
        <v>7447.8749957882528</v>
      </c>
      <c r="O210" s="212"/>
      <c r="P210" s="260">
        <f t="shared" si="211"/>
        <v>823.10984617523536</v>
      </c>
      <c r="Q210" s="212"/>
      <c r="R210" s="260">
        <f t="shared" si="212"/>
        <v>2186.498842483114</v>
      </c>
      <c r="S210" s="212"/>
      <c r="T210" s="260">
        <f t="shared" si="213"/>
        <v>529.40104643869756</v>
      </c>
      <c r="U210" s="212"/>
      <c r="V210" s="260">
        <f t="shared" si="214"/>
        <v>587.41759947307537</v>
      </c>
      <c r="W210" s="212"/>
      <c r="X210" s="260">
        <f t="shared" si="215"/>
        <v>1287.2422704502578</v>
      </c>
      <c r="Y210" s="212"/>
      <c r="Z210" s="175"/>
      <c r="AC210" s="216" t="s">
        <v>655</v>
      </c>
      <c r="AE210" s="239">
        <f t="shared" si="225"/>
        <v>15</v>
      </c>
      <c r="AG210" s="312">
        <f t="shared" si="227"/>
        <v>36260.345646486137</v>
      </c>
      <c r="AH210" s="385"/>
      <c r="AI210" s="260">
        <f t="shared" si="216"/>
        <v>10714.932138536653</v>
      </c>
      <c r="AJ210" s="212"/>
      <c r="AK210" s="260">
        <f t="shared" si="217"/>
        <v>5526.076676524488</v>
      </c>
      <c r="AL210" s="212"/>
      <c r="AM210" s="260">
        <f t="shared" si="218"/>
        <v>1733.2445219020374</v>
      </c>
      <c r="AN210" s="212"/>
      <c r="AO210" s="260">
        <f t="shared" si="219"/>
        <v>6610.2610113544224</v>
      </c>
      <c r="AP210" s="212"/>
      <c r="AQ210" s="260">
        <f t="shared" si="220"/>
        <v>1791.2610749364151</v>
      </c>
      <c r="AR210" s="212"/>
      <c r="AS210" s="260">
        <f t="shared" si="221"/>
        <v>6407.2030757340999</v>
      </c>
      <c r="AT210" s="212"/>
      <c r="AU210" s="260">
        <f t="shared" si="222"/>
        <v>1649.8457269151193</v>
      </c>
      <c r="AV210" s="212"/>
      <c r="AW210" s="260">
        <f t="shared" si="223"/>
        <v>533.02708100334621</v>
      </c>
      <c r="AX210" s="212"/>
      <c r="AY210" s="260">
        <f t="shared" si="224"/>
        <v>1287.2422704502578</v>
      </c>
      <c r="BA210" s="175"/>
      <c r="BB210" s="145"/>
      <c r="BC210" s="145"/>
      <c r="BD210" s="145"/>
    </row>
    <row r="211" spans="1:56" x14ac:dyDescent="0.2">
      <c r="A211" s="496"/>
      <c r="B211" s="496"/>
      <c r="F211" s="216" t="s">
        <v>776</v>
      </c>
      <c r="G211" s="139"/>
      <c r="H211" s="261">
        <v>15</v>
      </c>
      <c r="I211" s="216"/>
      <c r="J211" s="313">
        <v>82635.919573166684</v>
      </c>
      <c r="K211" s="385"/>
      <c r="L211" s="260">
        <f t="shared" si="209"/>
        <v>53324.958900564459</v>
      </c>
      <c r="M211" s="212"/>
      <c r="N211" s="260">
        <f t="shared" si="210"/>
        <v>16973.417880328438</v>
      </c>
      <c r="O211" s="212"/>
      <c r="P211" s="260">
        <f t="shared" si="211"/>
        <v>1875.8353743108839</v>
      </c>
      <c r="Q211" s="212"/>
      <c r="R211" s="260">
        <f t="shared" si="212"/>
        <v>4982.9459502619511</v>
      </c>
      <c r="S211" s="212"/>
      <c r="T211" s="260">
        <f t="shared" si="213"/>
        <v>1206.4844257682337</v>
      </c>
      <c r="U211" s="212"/>
      <c r="V211" s="260">
        <f t="shared" si="214"/>
        <v>1338.7018970853003</v>
      </c>
      <c r="W211" s="212"/>
      <c r="X211" s="260">
        <f t="shared" si="215"/>
        <v>2933.5751448474171</v>
      </c>
      <c r="Y211" s="212"/>
      <c r="Z211" s="175"/>
      <c r="AC211" s="216" t="s">
        <v>776</v>
      </c>
      <c r="AE211" s="239">
        <f t="shared" si="225"/>
        <v>15</v>
      </c>
      <c r="AG211" s="312">
        <f t="shared" si="227"/>
        <v>82635.919573166684</v>
      </c>
      <c r="AH211" s="385"/>
      <c r="AI211" s="260">
        <f t="shared" si="216"/>
        <v>24418.914233870753</v>
      </c>
      <c r="AJ211" s="212"/>
      <c r="AK211" s="260">
        <f t="shared" si="217"/>
        <v>12593.714142950603</v>
      </c>
      <c r="AL211" s="212"/>
      <c r="AM211" s="260">
        <f t="shared" si="218"/>
        <v>3949.9969555973676</v>
      </c>
      <c r="AN211" s="212"/>
      <c r="AO211" s="260">
        <f t="shared" si="219"/>
        <v>15064.528138188285</v>
      </c>
      <c r="AP211" s="212"/>
      <c r="AQ211" s="260">
        <f t="shared" si="220"/>
        <v>4082.2144269144342</v>
      </c>
      <c r="AR211" s="212"/>
      <c r="AS211" s="260">
        <f t="shared" si="221"/>
        <v>14601.766988578553</v>
      </c>
      <c r="AT211" s="212"/>
      <c r="AU211" s="260">
        <f t="shared" si="222"/>
        <v>3759.9343405790842</v>
      </c>
      <c r="AV211" s="212"/>
      <c r="AW211" s="260">
        <f t="shared" si="223"/>
        <v>1214.7480177255502</v>
      </c>
      <c r="AX211" s="212"/>
      <c r="AY211" s="260">
        <f t="shared" si="224"/>
        <v>2933.5751448474171</v>
      </c>
      <c r="BA211" s="175"/>
      <c r="BB211" s="145"/>
      <c r="BC211" s="145"/>
      <c r="BD211" s="145"/>
    </row>
    <row r="212" spans="1:56" x14ac:dyDescent="0.2">
      <c r="A212" s="496"/>
      <c r="B212" s="496"/>
      <c r="F212" s="216" t="s">
        <v>777</v>
      </c>
      <c r="G212" s="139"/>
      <c r="H212" s="261">
        <v>15</v>
      </c>
      <c r="I212" s="216"/>
      <c r="J212" s="313">
        <v>25829.781281198098</v>
      </c>
      <c r="K212" s="385"/>
      <c r="L212" s="260">
        <f t="shared" si="209"/>
        <v>16667.957860757131</v>
      </c>
      <c r="M212" s="212"/>
      <c r="N212" s="260">
        <f t="shared" si="210"/>
        <v>5305.4370751580891</v>
      </c>
      <c r="O212" s="212"/>
      <c r="P212" s="260">
        <f t="shared" si="211"/>
        <v>586.33603508319686</v>
      </c>
      <c r="Q212" s="212"/>
      <c r="R212" s="260">
        <f t="shared" si="212"/>
        <v>1557.5358112562453</v>
      </c>
      <c r="S212" s="212"/>
      <c r="T212" s="260">
        <f t="shared" si="213"/>
        <v>377.11480670549224</v>
      </c>
      <c r="U212" s="212"/>
      <c r="V212" s="260">
        <f t="shared" si="214"/>
        <v>418.44245675540918</v>
      </c>
      <c r="W212" s="212"/>
      <c r="X212" s="260">
        <f t="shared" si="215"/>
        <v>916.95723548253238</v>
      </c>
      <c r="Y212" s="212"/>
      <c r="Z212" s="175"/>
      <c r="AC212" s="216" t="s">
        <v>777</v>
      </c>
      <c r="AE212" s="239">
        <f t="shared" si="225"/>
        <v>15</v>
      </c>
      <c r="AG212" s="312">
        <f t="shared" si="227"/>
        <v>25829.781281198098</v>
      </c>
      <c r="AH212" s="385"/>
      <c r="AI212" s="260">
        <f t="shared" si="216"/>
        <v>7632.7003685940381</v>
      </c>
      <c r="AJ212" s="212"/>
      <c r="AK212" s="260">
        <f t="shared" si="217"/>
        <v>3936.4586672545902</v>
      </c>
      <c r="AL212" s="212"/>
      <c r="AM212" s="260">
        <f t="shared" si="218"/>
        <v>1234.6635452412693</v>
      </c>
      <c r="AN212" s="212"/>
      <c r="AO212" s="260">
        <f t="shared" si="219"/>
        <v>4708.7691275624129</v>
      </c>
      <c r="AP212" s="212"/>
      <c r="AQ212" s="260">
        <f t="shared" si="220"/>
        <v>1275.9911952911862</v>
      </c>
      <c r="AR212" s="212"/>
      <c r="AS212" s="260">
        <f t="shared" si="221"/>
        <v>4564.1223523877043</v>
      </c>
      <c r="AT212" s="212"/>
      <c r="AU212" s="260">
        <f t="shared" si="222"/>
        <v>1175.2550482945135</v>
      </c>
      <c r="AV212" s="212"/>
      <c r="AW212" s="260">
        <f t="shared" si="223"/>
        <v>379.69778483361205</v>
      </c>
      <c r="AX212" s="212"/>
      <c r="AY212" s="260">
        <f t="shared" si="224"/>
        <v>916.95723548253238</v>
      </c>
      <c r="BA212" s="175"/>
      <c r="BB212" s="145"/>
      <c r="BC212" s="145"/>
      <c r="BD212" s="145"/>
    </row>
    <row r="213" spans="1:56" s="146" customFormat="1" x14ac:dyDescent="0.2">
      <c r="A213" s="496"/>
      <c r="B213" s="496"/>
      <c r="C213" s="212"/>
      <c r="D213" s="488"/>
      <c r="E213" s="212"/>
      <c r="F213" s="216" t="s">
        <v>778</v>
      </c>
      <c r="G213" s="139"/>
      <c r="H213" s="261">
        <v>15</v>
      </c>
      <c r="I213" s="216"/>
      <c r="J213" s="313">
        <v>18059.707333333332</v>
      </c>
      <c r="K213" s="385"/>
      <c r="L213" s="260">
        <f t="shared" si="209"/>
        <v>11653.929142199999</v>
      </c>
      <c r="M213" s="212"/>
      <c r="N213" s="260">
        <f t="shared" si="210"/>
        <v>3709.4638862666666</v>
      </c>
      <c r="O213" s="212"/>
      <c r="P213" s="260">
        <f t="shared" si="211"/>
        <v>409.95535646666667</v>
      </c>
      <c r="Q213" s="212"/>
      <c r="R213" s="260">
        <f t="shared" si="212"/>
        <v>1089.0003522</v>
      </c>
      <c r="S213" s="212"/>
      <c r="T213" s="260">
        <f t="shared" si="213"/>
        <v>263.67172706666668</v>
      </c>
      <c r="U213" s="212"/>
      <c r="V213" s="260">
        <f t="shared" si="214"/>
        <v>292.56725879999993</v>
      </c>
      <c r="W213" s="212"/>
      <c r="X213" s="260">
        <f t="shared" si="215"/>
        <v>641.11961033333318</v>
      </c>
      <c r="Y213" s="212"/>
      <c r="Z213" s="175"/>
      <c r="AC213" s="216" t="s">
        <v>778</v>
      </c>
      <c r="AE213" s="239">
        <f t="shared" si="225"/>
        <v>15</v>
      </c>
      <c r="AF213" s="529"/>
      <c r="AG213" s="312">
        <f t="shared" si="227"/>
        <v>18059.707333333332</v>
      </c>
      <c r="AH213" s="385"/>
      <c r="AI213" s="260">
        <f t="shared" si="216"/>
        <v>5336.6435169999995</v>
      </c>
      <c r="AJ213" s="212"/>
      <c r="AK213" s="260">
        <f t="shared" si="217"/>
        <v>2752.2993975999998</v>
      </c>
      <c r="AL213" s="212"/>
      <c r="AM213" s="260">
        <f t="shared" si="218"/>
        <v>863.25401053333326</v>
      </c>
      <c r="AN213" s="212"/>
      <c r="AO213" s="260">
        <f t="shared" si="219"/>
        <v>3292.2846468666662</v>
      </c>
      <c r="AP213" s="212"/>
      <c r="AQ213" s="260">
        <f t="shared" si="220"/>
        <v>892.14954226666657</v>
      </c>
      <c r="AR213" s="212"/>
      <c r="AS213" s="260">
        <f t="shared" si="221"/>
        <v>3191.1502857999999</v>
      </c>
      <c r="AT213" s="212"/>
      <c r="AU213" s="260">
        <f t="shared" si="222"/>
        <v>821.71668366666654</v>
      </c>
      <c r="AV213" s="212"/>
      <c r="AW213" s="260">
        <f t="shared" si="223"/>
        <v>265.47769779999999</v>
      </c>
      <c r="AX213" s="212"/>
      <c r="AY213" s="260">
        <f t="shared" si="224"/>
        <v>641.11961033333318</v>
      </c>
      <c r="AZ213" s="529"/>
      <c r="BA213" s="175"/>
      <c r="BB213" s="145"/>
      <c r="BC213" s="145"/>
      <c r="BD213" s="145"/>
    </row>
    <row r="214" spans="1:56" s="146" customFormat="1" x14ac:dyDescent="0.2">
      <c r="A214" s="496"/>
      <c r="B214" s="496"/>
      <c r="C214" s="212"/>
      <c r="D214" s="488"/>
      <c r="E214" s="212"/>
      <c r="F214" s="216" t="s">
        <v>779</v>
      </c>
      <c r="G214" s="139"/>
      <c r="H214" s="261">
        <v>15</v>
      </c>
      <c r="I214" s="216"/>
      <c r="J214" s="313">
        <v>-52517.301944444378</v>
      </c>
      <c r="K214" s="385"/>
      <c r="L214" s="260">
        <f t="shared" si="209"/>
        <v>-33889.414944749959</v>
      </c>
      <c r="M214" s="212"/>
      <c r="N214" s="260">
        <f t="shared" si="210"/>
        <v>-10787.053819388875</v>
      </c>
      <c r="O214" s="212"/>
      <c r="P214" s="260">
        <f t="shared" si="211"/>
        <v>-1192.1427541388875</v>
      </c>
      <c r="Q214" s="212"/>
      <c r="R214" s="260">
        <f t="shared" si="212"/>
        <v>-3166.7933072499959</v>
      </c>
      <c r="S214" s="212"/>
      <c r="T214" s="260">
        <f t="shared" si="213"/>
        <v>-766.75260838888789</v>
      </c>
      <c r="U214" s="212"/>
      <c r="V214" s="260">
        <f t="shared" si="214"/>
        <v>-850.78029149999884</v>
      </c>
      <c r="W214" s="212"/>
      <c r="X214" s="260">
        <f t="shared" si="215"/>
        <v>-1864.3642190277753</v>
      </c>
      <c r="Y214" s="212"/>
      <c r="Z214" s="175"/>
      <c r="AC214" s="216" t="s">
        <v>779</v>
      </c>
      <c r="AE214" s="239">
        <f t="shared" si="225"/>
        <v>15</v>
      </c>
      <c r="AF214" s="529"/>
      <c r="AG214" s="312">
        <f t="shared" si="227"/>
        <v>-52517.301944444378</v>
      </c>
      <c r="AH214" s="385"/>
      <c r="AI214" s="260">
        <f t="shared" si="216"/>
        <v>-15518.862724583312</v>
      </c>
      <c r="AJ214" s="212"/>
      <c r="AK214" s="260">
        <f t="shared" si="217"/>
        <v>-8003.6368163333236</v>
      </c>
      <c r="AL214" s="212"/>
      <c r="AM214" s="260">
        <f t="shared" si="218"/>
        <v>-2510.3270329444413</v>
      </c>
      <c r="AN214" s="212"/>
      <c r="AO214" s="260">
        <f t="shared" si="219"/>
        <v>-9573.9041444722097</v>
      </c>
      <c r="AP214" s="212"/>
      <c r="AQ214" s="260">
        <f t="shared" si="220"/>
        <v>-2594.3547160555522</v>
      </c>
      <c r="AR214" s="212"/>
      <c r="AS214" s="260">
        <f t="shared" si="221"/>
        <v>-9279.8072535833217</v>
      </c>
      <c r="AT214" s="212"/>
      <c r="AU214" s="260">
        <f t="shared" si="222"/>
        <v>-2389.5372384722191</v>
      </c>
      <c r="AV214" s="212"/>
      <c r="AW214" s="260">
        <f t="shared" si="223"/>
        <v>-772.00433858333236</v>
      </c>
      <c r="AX214" s="212"/>
      <c r="AY214" s="260">
        <f t="shared" si="224"/>
        <v>-1864.3642190277753</v>
      </c>
      <c r="AZ214" s="529"/>
      <c r="BA214" s="175"/>
      <c r="BB214" s="145"/>
      <c r="BC214" s="145"/>
      <c r="BD214" s="145"/>
    </row>
    <row r="215" spans="1:56" s="146" customFormat="1" x14ac:dyDescent="0.2">
      <c r="A215" s="496"/>
      <c r="B215" s="496"/>
      <c r="C215" s="212"/>
      <c r="D215" s="488"/>
      <c r="E215" s="212"/>
      <c r="F215" s="216" t="s">
        <v>780</v>
      </c>
      <c r="G215" s="139"/>
      <c r="H215" s="261">
        <v>15</v>
      </c>
      <c r="I215" s="216"/>
      <c r="J215" s="313">
        <v>145090.72972222226</v>
      </c>
      <c r="K215" s="385"/>
      <c r="L215" s="260">
        <f t="shared" si="209"/>
        <v>93627.047889750014</v>
      </c>
      <c r="M215" s="212"/>
      <c r="N215" s="260">
        <f t="shared" si="210"/>
        <v>29801.635884944451</v>
      </c>
      <c r="O215" s="212"/>
      <c r="P215" s="260">
        <f t="shared" si="211"/>
        <v>3293.5595646944453</v>
      </c>
      <c r="Q215" s="212"/>
      <c r="R215" s="260">
        <f t="shared" si="212"/>
        <v>8748.9710022500021</v>
      </c>
      <c r="S215" s="212"/>
      <c r="T215" s="260">
        <f t="shared" si="213"/>
        <v>2118.3246539444449</v>
      </c>
      <c r="U215" s="212"/>
      <c r="V215" s="260">
        <f t="shared" si="214"/>
        <v>2350.4698215000003</v>
      </c>
      <c r="W215" s="212"/>
      <c r="X215" s="260">
        <f t="shared" si="215"/>
        <v>5150.72090513889</v>
      </c>
      <c r="Y215" s="212"/>
      <c r="Z215" s="175"/>
      <c r="AC215" s="216" t="s">
        <v>780</v>
      </c>
      <c r="AE215" s="239">
        <f t="shared" si="225"/>
        <v>15</v>
      </c>
      <c r="AF215" s="529"/>
      <c r="AG215" s="312">
        <f t="shared" si="227"/>
        <v>145090.72972222226</v>
      </c>
      <c r="AH215" s="385"/>
      <c r="AI215" s="260">
        <f t="shared" si="216"/>
        <v>42874.310632916677</v>
      </c>
      <c r="AJ215" s="212"/>
      <c r="AK215" s="260">
        <f t="shared" si="217"/>
        <v>22111.827209666673</v>
      </c>
      <c r="AL215" s="212"/>
      <c r="AM215" s="260">
        <f t="shared" si="218"/>
        <v>6935.3368807222241</v>
      </c>
      <c r="AN215" s="212"/>
      <c r="AO215" s="260">
        <f t="shared" si="219"/>
        <v>26450.040028361116</v>
      </c>
      <c r="AP215" s="212"/>
      <c r="AQ215" s="260">
        <f t="shared" si="220"/>
        <v>7167.4820482777795</v>
      </c>
      <c r="AR215" s="212"/>
      <c r="AS215" s="260">
        <f t="shared" si="221"/>
        <v>25637.531941916674</v>
      </c>
      <c r="AT215" s="212"/>
      <c r="AU215" s="260">
        <f t="shared" si="222"/>
        <v>6601.628202361112</v>
      </c>
      <c r="AV215" s="212"/>
      <c r="AW215" s="260">
        <f t="shared" si="223"/>
        <v>2132.8337269166673</v>
      </c>
      <c r="AX215" s="212"/>
      <c r="AY215" s="260">
        <f t="shared" si="224"/>
        <v>5150.72090513889</v>
      </c>
      <c r="AZ215" s="529"/>
      <c r="BA215" s="175"/>
      <c r="BB215" s="145"/>
      <c r="BC215" s="145"/>
      <c r="BD215" s="145"/>
    </row>
    <row r="216" spans="1:56" x14ac:dyDescent="0.2">
      <c r="A216" s="496"/>
      <c r="B216" s="496"/>
      <c r="F216" s="216" t="s">
        <v>781</v>
      </c>
      <c r="G216" s="139"/>
      <c r="H216" s="261">
        <v>15</v>
      </c>
      <c r="I216" s="216"/>
      <c r="J216" s="313">
        <v>-72420.731423404242</v>
      </c>
      <c r="K216" s="385"/>
      <c r="L216" s="260">
        <f t="shared" si="209"/>
        <v>-46733.097987522757</v>
      </c>
      <c r="M216" s="212"/>
      <c r="N216" s="260">
        <f t="shared" si="210"/>
        <v>-14875.218234367232</v>
      </c>
      <c r="O216" s="212"/>
      <c r="P216" s="260">
        <f t="shared" si="211"/>
        <v>-1643.9506033112764</v>
      </c>
      <c r="Q216" s="212"/>
      <c r="R216" s="260">
        <f t="shared" si="212"/>
        <v>-4366.9701048312754</v>
      </c>
      <c r="S216" s="212"/>
      <c r="T216" s="260">
        <f t="shared" si="213"/>
        <v>-1057.342678781702</v>
      </c>
      <c r="U216" s="212"/>
      <c r="V216" s="260">
        <f t="shared" si="214"/>
        <v>-1173.2158490591487</v>
      </c>
      <c r="W216" s="212"/>
      <c r="X216" s="260">
        <f t="shared" si="215"/>
        <v>-2570.9359655308504</v>
      </c>
      <c r="Y216" s="212"/>
      <c r="Z216" s="175"/>
      <c r="AC216" s="216" t="s">
        <v>781</v>
      </c>
      <c r="AE216" s="239">
        <f t="shared" si="225"/>
        <v>15</v>
      </c>
      <c r="AG216" s="312">
        <f t="shared" si="227"/>
        <v>-72420.731423404242</v>
      </c>
      <c r="AH216" s="385"/>
      <c r="AI216" s="260">
        <f t="shared" si="216"/>
        <v>-21400.326135615953</v>
      </c>
      <c r="AJ216" s="212"/>
      <c r="AK216" s="260">
        <f t="shared" si="217"/>
        <v>-11036.919468926808</v>
      </c>
      <c r="AL216" s="212"/>
      <c r="AM216" s="260">
        <f t="shared" si="218"/>
        <v>-3461.7109620387228</v>
      </c>
      <c r="AN216" s="212"/>
      <c r="AO216" s="260">
        <f t="shared" si="219"/>
        <v>-13202.299338486593</v>
      </c>
      <c r="AP216" s="212"/>
      <c r="AQ216" s="260">
        <f t="shared" si="220"/>
        <v>-3577.5841323161694</v>
      </c>
      <c r="AR216" s="212"/>
      <c r="AS216" s="260">
        <f t="shared" si="221"/>
        <v>-12796.743242515529</v>
      </c>
      <c r="AT216" s="212"/>
      <c r="AU216" s="260">
        <f t="shared" si="222"/>
        <v>-3295.1432797648931</v>
      </c>
      <c r="AV216" s="212"/>
      <c r="AW216" s="260">
        <f t="shared" si="223"/>
        <v>-1064.5847519240424</v>
      </c>
      <c r="AX216" s="212"/>
      <c r="AY216" s="260">
        <f t="shared" si="224"/>
        <v>-2570.9359655308504</v>
      </c>
      <c r="BA216" s="175"/>
      <c r="BB216" s="145"/>
      <c r="BC216" s="145"/>
      <c r="BD216" s="145"/>
    </row>
    <row r="217" spans="1:56" s="401" customFormat="1" x14ac:dyDescent="0.2">
      <c r="A217" s="554"/>
      <c r="B217" s="554"/>
      <c r="C217" s="479"/>
      <c r="D217" s="490"/>
      <c r="E217" s="479"/>
      <c r="F217" s="399" t="s">
        <v>782</v>
      </c>
      <c r="G217" s="555"/>
      <c r="H217" s="400">
        <v>15</v>
      </c>
      <c r="I217" s="399"/>
      <c r="J217" s="313">
        <v>-84351.842000000004</v>
      </c>
      <c r="K217" s="385"/>
      <c r="L217" s="260">
        <f t="shared" si="209"/>
        <v>-54432.243642599999</v>
      </c>
      <c r="M217" s="212"/>
      <c r="N217" s="260">
        <f t="shared" si="210"/>
        <v>-17325.868346800002</v>
      </c>
      <c r="O217" s="212"/>
      <c r="P217" s="260">
        <f t="shared" si="211"/>
        <v>-1914.7868134000003</v>
      </c>
      <c r="Q217" s="212"/>
      <c r="R217" s="260">
        <f t="shared" si="212"/>
        <v>-5086.4160726</v>
      </c>
      <c r="S217" s="212"/>
      <c r="T217" s="260">
        <f t="shared" si="213"/>
        <v>-1231.5368932000001</v>
      </c>
      <c r="U217" s="212"/>
      <c r="V217" s="260">
        <f t="shared" si="214"/>
        <v>-1366.4998404</v>
      </c>
      <c r="W217" s="212"/>
      <c r="X217" s="260">
        <f t="shared" si="215"/>
        <v>-2994.4903909999998</v>
      </c>
      <c r="Y217" s="212"/>
      <c r="Z217" s="175"/>
      <c r="AC217" s="399" t="s">
        <v>782</v>
      </c>
      <c r="AE217" s="239">
        <f t="shared" si="225"/>
        <v>15</v>
      </c>
      <c r="AF217" s="529"/>
      <c r="AG217" s="312">
        <f t="shared" si="227"/>
        <v>-84351.842000000004</v>
      </c>
      <c r="AH217" s="385"/>
      <c r="AI217" s="260">
        <f t="shared" si="216"/>
        <v>-24925.969311000001</v>
      </c>
      <c r="AJ217" s="212"/>
      <c r="AK217" s="260">
        <f t="shared" si="217"/>
        <v>-12855.220720800002</v>
      </c>
      <c r="AL217" s="212"/>
      <c r="AM217" s="260">
        <f t="shared" si="218"/>
        <v>-4032.0180476000005</v>
      </c>
      <c r="AN217" s="212"/>
      <c r="AO217" s="260">
        <f t="shared" si="219"/>
        <v>-15377.3407966</v>
      </c>
      <c r="AP217" s="212"/>
      <c r="AQ217" s="260">
        <f t="shared" si="220"/>
        <v>-4166.9809948000002</v>
      </c>
      <c r="AR217" s="212"/>
      <c r="AS217" s="260">
        <f t="shared" si="221"/>
        <v>-14904.9704814</v>
      </c>
      <c r="AT217" s="212"/>
      <c r="AU217" s="260">
        <f t="shared" si="222"/>
        <v>-3838.0088110000002</v>
      </c>
      <c r="AV217" s="212"/>
      <c r="AW217" s="260">
        <f t="shared" si="223"/>
        <v>-1239.9720774</v>
      </c>
      <c r="AX217" s="212"/>
      <c r="AY217" s="260">
        <f t="shared" si="224"/>
        <v>-2994.4903909999998</v>
      </c>
      <c r="AZ217" s="529"/>
      <c r="BA217" s="175"/>
      <c r="BB217" s="145"/>
      <c r="BC217" s="145"/>
      <c r="BD217" s="145"/>
    </row>
    <row r="218" spans="1:56" s="401" customFormat="1" x14ac:dyDescent="0.2">
      <c r="A218" s="554"/>
      <c r="B218" s="479"/>
      <c r="C218" s="479"/>
      <c r="D218" s="490"/>
      <c r="E218" s="479"/>
      <c r="F218" s="216" t="s">
        <v>683</v>
      </c>
      <c r="G218" s="555"/>
      <c r="H218" s="400">
        <v>13</v>
      </c>
      <c r="I218" s="399"/>
      <c r="J218" s="313">
        <v>363117.79986874666</v>
      </c>
      <c r="K218" s="385"/>
      <c r="L218" s="260">
        <f t="shared" si="209"/>
        <v>326660.77276192448</v>
      </c>
      <c r="M218" s="212"/>
      <c r="N218" s="260">
        <f t="shared" si="210"/>
        <v>26035.546250589134</v>
      </c>
      <c r="O218" s="212"/>
      <c r="P218" s="260">
        <f t="shared" si="211"/>
        <v>145.24711994749867</v>
      </c>
      <c r="Q218" s="212"/>
      <c r="R218" s="260">
        <f t="shared" si="212"/>
        <v>2251.3303591862291</v>
      </c>
      <c r="S218" s="212"/>
      <c r="T218" s="260">
        <f t="shared" si="213"/>
        <v>72.623559973749337</v>
      </c>
      <c r="U218" s="212"/>
      <c r="V218" s="260">
        <f t="shared" si="214"/>
        <v>7843.3444771649283</v>
      </c>
      <c r="W218" s="212"/>
      <c r="X218" s="260">
        <f t="shared" si="215"/>
        <v>108.93533996062399</v>
      </c>
      <c r="Y218" s="212"/>
      <c r="Z218" s="175"/>
      <c r="AC218" s="216" t="s">
        <v>683</v>
      </c>
      <c r="AE218" s="239">
        <f t="shared" si="225"/>
        <v>13</v>
      </c>
      <c r="AF218" s="529"/>
      <c r="AG218" s="312">
        <f t="shared" ref="AG218:AG219" si="228">+J218</f>
        <v>363117.79986874666</v>
      </c>
      <c r="AH218" s="385"/>
      <c r="AI218" s="260">
        <f t="shared" si="216"/>
        <v>0</v>
      </c>
      <c r="AJ218" s="212"/>
      <c r="AK218" s="260">
        <f t="shared" si="217"/>
        <v>0</v>
      </c>
      <c r="AL218" s="212"/>
      <c r="AM218" s="260">
        <f t="shared" si="218"/>
        <v>0</v>
      </c>
      <c r="AN218" s="212"/>
      <c r="AO218" s="260">
        <f t="shared" si="219"/>
        <v>0</v>
      </c>
      <c r="AP218" s="212"/>
      <c r="AQ218" s="260">
        <f t="shared" si="220"/>
        <v>0</v>
      </c>
      <c r="AR218" s="212"/>
      <c r="AS218" s="260">
        <f t="shared" si="221"/>
        <v>355165.52005162113</v>
      </c>
      <c r="AT218" s="212"/>
      <c r="AU218" s="260">
        <f t="shared" si="222"/>
        <v>0</v>
      </c>
      <c r="AV218" s="212"/>
      <c r="AW218" s="260">
        <f t="shared" si="223"/>
        <v>7843.3444771649283</v>
      </c>
      <c r="AX218" s="212"/>
      <c r="AY218" s="260">
        <f t="shared" si="224"/>
        <v>108.93533996062399</v>
      </c>
      <c r="AZ218" s="529"/>
      <c r="BA218" s="175"/>
      <c r="BB218" s="145"/>
      <c r="BC218" s="145"/>
      <c r="BD218" s="145"/>
    </row>
    <row r="219" spans="1:56" s="401" customFormat="1" x14ac:dyDescent="0.2">
      <c r="A219" s="554"/>
      <c r="B219" s="554"/>
      <c r="C219" s="479"/>
      <c r="D219" s="490"/>
      <c r="E219" s="479"/>
      <c r="F219" s="216" t="s">
        <v>821</v>
      </c>
      <c r="G219" s="555"/>
      <c r="H219" s="400">
        <v>15</v>
      </c>
      <c r="I219" s="399"/>
      <c r="J219" s="313">
        <v>788905.67687220057</v>
      </c>
      <c r="K219" s="385"/>
      <c r="L219" s="260">
        <f t="shared" si="209"/>
        <v>509080.83328563103</v>
      </c>
      <c r="M219" s="212"/>
      <c r="N219" s="260">
        <f t="shared" si="210"/>
        <v>162041.22602954999</v>
      </c>
      <c r="O219" s="212"/>
      <c r="P219" s="260">
        <f t="shared" si="211"/>
        <v>17908.158864998954</v>
      </c>
      <c r="Q219" s="212"/>
      <c r="R219" s="260">
        <f t="shared" si="212"/>
        <v>47571.012315393695</v>
      </c>
      <c r="S219" s="212"/>
      <c r="T219" s="260">
        <f t="shared" si="213"/>
        <v>11518.022882334128</v>
      </c>
      <c r="U219" s="212"/>
      <c r="V219" s="260">
        <f t="shared" si="214"/>
        <v>12780.271965329648</v>
      </c>
      <c r="W219" s="212"/>
      <c r="X219" s="260">
        <f t="shared" si="215"/>
        <v>28006.151528963117</v>
      </c>
      <c r="Y219" s="212"/>
      <c r="Z219" s="175"/>
      <c r="AC219" s="216" t="s">
        <v>821</v>
      </c>
      <c r="AE219" s="239">
        <f t="shared" si="225"/>
        <v>15</v>
      </c>
      <c r="AF219" s="529"/>
      <c r="AG219" s="312">
        <f t="shared" si="228"/>
        <v>788905.67687220057</v>
      </c>
      <c r="AH219" s="385"/>
      <c r="AI219" s="260">
        <f t="shared" si="216"/>
        <v>233121.62751573525</v>
      </c>
      <c r="AJ219" s="212"/>
      <c r="AK219" s="260">
        <f t="shared" si="217"/>
        <v>120229.22515532337</v>
      </c>
      <c r="AL219" s="212"/>
      <c r="AM219" s="260">
        <f t="shared" si="218"/>
        <v>37709.691354491188</v>
      </c>
      <c r="AN219" s="212"/>
      <c r="AO219" s="260">
        <f t="shared" si="219"/>
        <v>143817.50489380216</v>
      </c>
      <c r="AP219" s="212"/>
      <c r="AQ219" s="260">
        <f t="shared" si="220"/>
        <v>38971.940437486708</v>
      </c>
      <c r="AR219" s="212"/>
      <c r="AS219" s="260">
        <f t="shared" si="221"/>
        <v>139399.63310331784</v>
      </c>
      <c r="AT219" s="212"/>
      <c r="AU219" s="260">
        <f t="shared" si="222"/>
        <v>35895.208297685123</v>
      </c>
      <c r="AV219" s="212"/>
      <c r="AW219" s="260">
        <f t="shared" si="223"/>
        <v>11596.913450021348</v>
      </c>
      <c r="AX219" s="212"/>
      <c r="AY219" s="260">
        <f t="shared" si="224"/>
        <v>28006.151528963117</v>
      </c>
      <c r="AZ219" s="529"/>
      <c r="BA219" s="175"/>
      <c r="BB219" s="145"/>
      <c r="BC219" s="145"/>
      <c r="BD219" s="145"/>
    </row>
    <row r="220" spans="1:56" s="401" customFormat="1" x14ac:dyDescent="0.2">
      <c r="A220" s="554"/>
      <c r="B220" s="554"/>
      <c r="C220" s="479"/>
      <c r="D220" s="490"/>
      <c r="E220" s="479"/>
      <c r="F220" s="399" t="s">
        <v>783</v>
      </c>
      <c r="G220" s="555"/>
      <c r="H220" s="400">
        <v>15</v>
      </c>
      <c r="I220" s="399"/>
      <c r="J220" s="313">
        <v>166372.07999999999</v>
      </c>
      <c r="K220" s="385"/>
      <c r="L220" s="260">
        <f t="shared" si="209"/>
        <v>107359.90322399999</v>
      </c>
      <c r="M220" s="212"/>
      <c r="N220" s="260">
        <f t="shared" si="210"/>
        <v>34172.825231999996</v>
      </c>
      <c r="O220" s="212"/>
      <c r="P220" s="260">
        <f t="shared" si="211"/>
        <v>3776.6462160000001</v>
      </c>
      <c r="Q220" s="212"/>
      <c r="R220" s="260">
        <f t="shared" si="212"/>
        <v>10032.236423999999</v>
      </c>
      <c r="S220" s="212"/>
      <c r="T220" s="260">
        <f t="shared" si="213"/>
        <v>2429.0323679999997</v>
      </c>
      <c r="U220" s="212"/>
      <c r="V220" s="260">
        <f t="shared" si="214"/>
        <v>2695.2276959999995</v>
      </c>
      <c r="W220" s="212"/>
      <c r="X220" s="260">
        <f t="shared" si="215"/>
        <v>5906.2088399999993</v>
      </c>
      <c r="Y220" s="212"/>
      <c r="Z220" s="175"/>
      <c r="AC220" s="399" t="s">
        <v>783</v>
      </c>
      <c r="AE220" s="239">
        <f t="shared" si="225"/>
        <v>15</v>
      </c>
      <c r="AF220" s="529"/>
      <c r="AG220" s="312">
        <f t="shared" si="227"/>
        <v>166372.07999999999</v>
      </c>
      <c r="AH220" s="385"/>
      <c r="AI220" s="260">
        <f t="shared" si="216"/>
        <v>49162.949639999992</v>
      </c>
      <c r="AJ220" s="212"/>
      <c r="AK220" s="260">
        <f t="shared" si="217"/>
        <v>25355.104992</v>
      </c>
      <c r="AL220" s="212"/>
      <c r="AM220" s="260">
        <f t="shared" si="218"/>
        <v>7952.5854239999999</v>
      </c>
      <c r="AN220" s="212"/>
      <c r="AO220" s="260">
        <f t="shared" si="219"/>
        <v>30329.630183999994</v>
      </c>
      <c r="AP220" s="212"/>
      <c r="AQ220" s="260">
        <f t="shared" si="220"/>
        <v>8218.7807519999988</v>
      </c>
      <c r="AR220" s="212"/>
      <c r="AS220" s="260">
        <f t="shared" si="221"/>
        <v>29397.946535999996</v>
      </c>
      <c r="AT220" s="212"/>
      <c r="AU220" s="260">
        <f t="shared" si="222"/>
        <v>7569.9296399999994</v>
      </c>
      <c r="AV220" s="212"/>
      <c r="AW220" s="260">
        <f t="shared" si="223"/>
        <v>2445.6695759999998</v>
      </c>
      <c r="AX220" s="212"/>
      <c r="AY220" s="260">
        <f t="shared" si="224"/>
        <v>5906.2088399999993</v>
      </c>
      <c r="AZ220" s="529"/>
      <c r="BA220" s="175"/>
      <c r="BB220" s="145"/>
      <c r="BC220" s="145"/>
      <c r="BD220" s="145"/>
    </row>
    <row r="221" spans="1:56" x14ac:dyDescent="0.2">
      <c r="A221" s="496"/>
      <c r="B221" s="496"/>
      <c r="F221" s="216" t="s">
        <v>668</v>
      </c>
      <c r="G221" s="139"/>
      <c r="H221" s="261">
        <v>15</v>
      </c>
      <c r="I221" s="216"/>
      <c r="J221" s="313">
        <v>1077.6563950416626</v>
      </c>
      <c r="K221" s="385"/>
      <c r="L221" s="260">
        <f t="shared" si="209"/>
        <v>695.41167172038479</v>
      </c>
      <c r="M221" s="212"/>
      <c r="N221" s="260">
        <f t="shared" si="210"/>
        <v>221.3506235415575</v>
      </c>
      <c r="O221" s="212"/>
      <c r="P221" s="260">
        <f t="shared" si="211"/>
        <v>24.462800167445742</v>
      </c>
      <c r="Q221" s="212"/>
      <c r="R221" s="260">
        <f t="shared" si="212"/>
        <v>64.98268062101225</v>
      </c>
      <c r="S221" s="212"/>
      <c r="T221" s="260">
        <f t="shared" si="213"/>
        <v>15.733783367608273</v>
      </c>
      <c r="U221" s="212"/>
      <c r="V221" s="260">
        <f t="shared" si="214"/>
        <v>17.458033599674934</v>
      </c>
      <c r="W221" s="212"/>
      <c r="X221" s="260">
        <f t="shared" si="215"/>
        <v>38.25680202397902</v>
      </c>
      <c r="Y221" s="212"/>
      <c r="Z221" s="175"/>
      <c r="AC221" s="216" t="s">
        <v>668</v>
      </c>
      <c r="AE221" s="239">
        <f t="shared" si="225"/>
        <v>15</v>
      </c>
      <c r="AG221" s="312">
        <f t="shared" si="227"/>
        <v>1077.6563950416626</v>
      </c>
      <c r="AH221" s="385"/>
      <c r="AI221" s="260">
        <f t="shared" si="216"/>
        <v>318.44746473481126</v>
      </c>
      <c r="AJ221" s="212"/>
      <c r="AK221" s="260">
        <f t="shared" si="217"/>
        <v>164.23483460434937</v>
      </c>
      <c r="AL221" s="212"/>
      <c r="AM221" s="260">
        <f t="shared" si="218"/>
        <v>51.511975682991476</v>
      </c>
      <c r="AN221" s="212"/>
      <c r="AO221" s="260">
        <f t="shared" si="219"/>
        <v>196.45676081609508</v>
      </c>
      <c r="AP221" s="212"/>
      <c r="AQ221" s="260">
        <f t="shared" si="220"/>
        <v>53.236225915058128</v>
      </c>
      <c r="AR221" s="212"/>
      <c r="AS221" s="260">
        <f t="shared" si="221"/>
        <v>190.42188500386177</v>
      </c>
      <c r="AT221" s="212"/>
      <c r="AU221" s="260">
        <f t="shared" si="222"/>
        <v>49.033365974395643</v>
      </c>
      <c r="AV221" s="212"/>
      <c r="AW221" s="260">
        <f t="shared" si="223"/>
        <v>15.841549007112439</v>
      </c>
      <c r="AX221" s="212"/>
      <c r="AY221" s="260">
        <f t="shared" si="224"/>
        <v>38.25680202397902</v>
      </c>
      <c r="BA221" s="175"/>
      <c r="BB221" s="145"/>
      <c r="BC221" s="145"/>
      <c r="BD221" s="145"/>
    </row>
    <row r="222" spans="1:56" x14ac:dyDescent="0.2">
      <c r="A222" s="496"/>
      <c r="B222" s="496"/>
      <c r="F222" s="216" t="s">
        <v>669</v>
      </c>
      <c r="G222" s="139"/>
      <c r="H222" s="261">
        <v>15</v>
      </c>
      <c r="I222" s="216"/>
      <c r="J222" s="313">
        <v>29985.627547579752</v>
      </c>
      <c r="K222" s="385"/>
      <c r="L222" s="260">
        <f t="shared" si="209"/>
        <v>19349.725456453212</v>
      </c>
      <c r="M222" s="212"/>
      <c r="N222" s="260">
        <f t="shared" si="210"/>
        <v>6159.047898272881</v>
      </c>
      <c r="O222" s="212"/>
      <c r="P222" s="260">
        <f t="shared" si="211"/>
        <v>680.67374533006046</v>
      </c>
      <c r="Q222" s="212"/>
      <c r="R222" s="260">
        <f t="shared" si="212"/>
        <v>1808.133341119059</v>
      </c>
      <c r="S222" s="212"/>
      <c r="T222" s="260">
        <f t="shared" si="213"/>
        <v>437.79016219466439</v>
      </c>
      <c r="U222" s="212"/>
      <c r="V222" s="260">
        <f t="shared" si="214"/>
        <v>485.76716627079196</v>
      </c>
      <c r="W222" s="212"/>
      <c r="X222" s="260">
        <f t="shared" si="215"/>
        <v>1064.489777939081</v>
      </c>
      <c r="Y222" s="212"/>
      <c r="Z222" s="175"/>
      <c r="AC222" s="216" t="s">
        <v>669</v>
      </c>
      <c r="AE222" s="239">
        <f t="shared" si="225"/>
        <v>15</v>
      </c>
      <c r="AG222" s="312">
        <f t="shared" si="227"/>
        <v>29985.627547579752</v>
      </c>
      <c r="AH222" s="385"/>
      <c r="AI222" s="260">
        <f t="shared" si="216"/>
        <v>8860.752940309816</v>
      </c>
      <c r="AJ222" s="212"/>
      <c r="AK222" s="260">
        <f t="shared" si="217"/>
        <v>4569.8096382511549</v>
      </c>
      <c r="AL222" s="212"/>
      <c r="AM222" s="260">
        <f t="shared" si="218"/>
        <v>1433.3129967743123</v>
      </c>
      <c r="AN222" s="212"/>
      <c r="AO222" s="260">
        <f t="shared" si="219"/>
        <v>5466.3799019237886</v>
      </c>
      <c r="AP222" s="212"/>
      <c r="AQ222" s="260">
        <f t="shared" si="220"/>
        <v>1481.2900008504398</v>
      </c>
      <c r="AR222" s="212"/>
      <c r="AS222" s="260">
        <f t="shared" si="221"/>
        <v>5298.4603876573419</v>
      </c>
      <c r="AT222" s="212"/>
      <c r="AU222" s="260">
        <f t="shared" si="222"/>
        <v>1364.3460534148787</v>
      </c>
      <c r="AV222" s="212"/>
      <c r="AW222" s="260">
        <f t="shared" si="223"/>
        <v>440.78872494942232</v>
      </c>
      <c r="AX222" s="212"/>
      <c r="AY222" s="260">
        <f t="shared" si="224"/>
        <v>1064.489777939081</v>
      </c>
      <c r="BA222" s="175"/>
      <c r="BB222" s="145"/>
      <c r="BC222" s="145"/>
      <c r="BD222" s="145"/>
    </row>
    <row r="223" spans="1:56" x14ac:dyDescent="0.2">
      <c r="A223" s="496"/>
      <c r="B223" s="496"/>
      <c r="F223" s="216" t="s">
        <v>670</v>
      </c>
      <c r="G223" s="139"/>
      <c r="H223" s="261">
        <v>15</v>
      </c>
      <c r="I223" s="216"/>
      <c r="J223" s="313">
        <v>44038.751187470014</v>
      </c>
      <c r="K223" s="385"/>
      <c r="L223" s="260">
        <f t="shared" si="209"/>
        <v>28418.206141274401</v>
      </c>
      <c r="M223" s="212"/>
      <c r="N223" s="260">
        <f t="shared" si="210"/>
        <v>9045.5594939063412</v>
      </c>
      <c r="O223" s="212"/>
      <c r="P223" s="260">
        <f t="shared" si="211"/>
        <v>999.6796519555694</v>
      </c>
      <c r="Q223" s="212"/>
      <c r="R223" s="260">
        <f t="shared" si="212"/>
        <v>2655.5366966044417</v>
      </c>
      <c r="S223" s="212"/>
      <c r="T223" s="260">
        <f t="shared" si="213"/>
        <v>642.96576733706218</v>
      </c>
      <c r="U223" s="212"/>
      <c r="V223" s="260">
        <f t="shared" si="214"/>
        <v>713.42776923701422</v>
      </c>
      <c r="W223" s="212"/>
      <c r="X223" s="260">
        <f t="shared" si="215"/>
        <v>1563.3756671551853</v>
      </c>
      <c r="Y223" s="212"/>
      <c r="Z223" s="175"/>
      <c r="AC223" s="216" t="s">
        <v>670</v>
      </c>
      <c r="AE223" s="239">
        <f t="shared" si="225"/>
        <v>15</v>
      </c>
      <c r="AG223" s="312">
        <f t="shared" si="227"/>
        <v>44038.751187470014</v>
      </c>
      <c r="AH223" s="385"/>
      <c r="AI223" s="260">
        <f t="shared" si="216"/>
        <v>13013.450975897389</v>
      </c>
      <c r="AJ223" s="212"/>
      <c r="AK223" s="260">
        <f t="shared" si="217"/>
        <v>6711.5056809704301</v>
      </c>
      <c r="AL223" s="212"/>
      <c r="AM223" s="260">
        <f t="shared" si="218"/>
        <v>2105.0523067610666</v>
      </c>
      <c r="AN223" s="212"/>
      <c r="AO223" s="260">
        <f t="shared" si="219"/>
        <v>8028.2643414757831</v>
      </c>
      <c r="AP223" s="212"/>
      <c r="AQ223" s="260">
        <f t="shared" si="220"/>
        <v>2175.5143086610187</v>
      </c>
      <c r="AR223" s="212"/>
      <c r="AS223" s="260">
        <f t="shared" si="221"/>
        <v>7781.6473348259515</v>
      </c>
      <c r="AT223" s="212"/>
      <c r="AU223" s="260">
        <f t="shared" si="222"/>
        <v>2003.7631790298856</v>
      </c>
      <c r="AV223" s="212"/>
      <c r="AW223" s="260">
        <f t="shared" si="223"/>
        <v>647.36964245580918</v>
      </c>
      <c r="AX223" s="212"/>
      <c r="AY223" s="260">
        <f t="shared" si="224"/>
        <v>1563.3756671551853</v>
      </c>
      <c r="BA223" s="175"/>
      <c r="BB223" s="145"/>
      <c r="BC223" s="145"/>
      <c r="BD223" s="145"/>
    </row>
    <row r="224" spans="1:56" x14ac:dyDescent="0.2">
      <c r="A224" s="496"/>
      <c r="B224" s="496"/>
      <c r="F224" s="216" t="s">
        <v>533</v>
      </c>
      <c r="G224" s="139"/>
      <c r="H224" s="261">
        <v>15</v>
      </c>
      <c r="I224" s="216"/>
      <c r="J224" s="313">
        <v>19120.022794070766</v>
      </c>
      <c r="K224" s="385"/>
      <c r="L224" s="260">
        <f t="shared" si="209"/>
        <v>12338.150709013866</v>
      </c>
      <c r="M224" s="212"/>
      <c r="N224" s="260">
        <f t="shared" si="210"/>
        <v>3927.2526819021355</v>
      </c>
      <c r="O224" s="212"/>
      <c r="P224" s="260">
        <f t="shared" si="211"/>
        <v>434.02451742540643</v>
      </c>
      <c r="Q224" s="212"/>
      <c r="R224" s="260">
        <f t="shared" si="212"/>
        <v>1152.9373744824672</v>
      </c>
      <c r="S224" s="212"/>
      <c r="T224" s="260">
        <f t="shared" si="213"/>
        <v>279.15233279343317</v>
      </c>
      <c r="U224" s="212"/>
      <c r="V224" s="260">
        <f t="shared" si="214"/>
        <v>309.7443692639464</v>
      </c>
      <c r="W224" s="212"/>
      <c r="X224" s="260">
        <f t="shared" si="215"/>
        <v>678.7608091895122</v>
      </c>
      <c r="Y224" s="212"/>
      <c r="Z224" s="175"/>
      <c r="AC224" s="216" t="s">
        <v>533</v>
      </c>
      <c r="AE224" s="239">
        <f t="shared" si="225"/>
        <v>15</v>
      </c>
      <c r="AG224" s="312">
        <f t="shared" si="227"/>
        <v>19120.022794070766</v>
      </c>
      <c r="AH224" s="385"/>
      <c r="AI224" s="260">
        <f t="shared" si="216"/>
        <v>5649.9667356479113</v>
      </c>
      <c r="AJ224" s="212"/>
      <c r="AK224" s="260">
        <f t="shared" si="217"/>
        <v>2913.8914738163849</v>
      </c>
      <c r="AL224" s="212"/>
      <c r="AM224" s="260">
        <f t="shared" si="218"/>
        <v>913.93708955658269</v>
      </c>
      <c r="AN224" s="212"/>
      <c r="AO224" s="260">
        <f t="shared" si="219"/>
        <v>3485.5801553591004</v>
      </c>
      <c r="AP224" s="212"/>
      <c r="AQ224" s="260">
        <f t="shared" si="220"/>
        <v>944.5291260270958</v>
      </c>
      <c r="AR224" s="212"/>
      <c r="AS224" s="260">
        <f t="shared" si="221"/>
        <v>3378.5080277123043</v>
      </c>
      <c r="AT224" s="212"/>
      <c r="AU224" s="260">
        <f t="shared" si="222"/>
        <v>869.96103713021989</v>
      </c>
      <c r="AV224" s="212"/>
      <c r="AW224" s="260">
        <f t="shared" si="223"/>
        <v>281.06433507284027</v>
      </c>
      <c r="AX224" s="212"/>
      <c r="AY224" s="260">
        <f t="shared" si="224"/>
        <v>678.7608091895122</v>
      </c>
      <c r="BA224" s="175"/>
      <c r="BB224" s="145"/>
      <c r="BC224" s="145"/>
      <c r="BD224" s="145"/>
    </row>
    <row r="225" spans="1:56" x14ac:dyDescent="0.2">
      <c r="A225" s="496"/>
      <c r="B225" s="496"/>
      <c r="F225" s="216" t="s">
        <v>534</v>
      </c>
      <c r="G225" s="139"/>
      <c r="H225" s="261">
        <v>15</v>
      </c>
      <c r="I225" s="216"/>
      <c r="J225" s="313">
        <v>32072.666918736093</v>
      </c>
      <c r="K225" s="385"/>
      <c r="L225" s="260">
        <f t="shared" si="209"/>
        <v>20696.491962660399</v>
      </c>
      <c r="M225" s="212"/>
      <c r="N225" s="260">
        <f t="shared" si="210"/>
        <v>6587.7257851083932</v>
      </c>
      <c r="O225" s="212"/>
      <c r="P225" s="260">
        <f t="shared" si="211"/>
        <v>728.04953905530931</v>
      </c>
      <c r="Q225" s="212"/>
      <c r="R225" s="260">
        <f t="shared" si="212"/>
        <v>1933.9818151997863</v>
      </c>
      <c r="S225" s="212"/>
      <c r="T225" s="260">
        <f t="shared" si="213"/>
        <v>468.26093701354694</v>
      </c>
      <c r="U225" s="212"/>
      <c r="V225" s="260">
        <f t="shared" si="214"/>
        <v>519.57720408352463</v>
      </c>
      <c r="W225" s="212"/>
      <c r="X225" s="260">
        <f t="shared" si="215"/>
        <v>1138.5796756151312</v>
      </c>
      <c r="Y225" s="212"/>
      <c r="Z225" s="175"/>
      <c r="AC225" s="216" t="s">
        <v>534</v>
      </c>
      <c r="AE225" s="239">
        <f t="shared" si="225"/>
        <v>15</v>
      </c>
      <c r="AG225" s="312">
        <f t="shared" si="227"/>
        <v>32072.666918736093</v>
      </c>
      <c r="AH225" s="385"/>
      <c r="AI225" s="260">
        <f t="shared" si="216"/>
        <v>9477.4730744865155</v>
      </c>
      <c r="AJ225" s="212"/>
      <c r="AK225" s="260">
        <f t="shared" si="217"/>
        <v>4887.8744384153806</v>
      </c>
      <c r="AL225" s="212"/>
      <c r="AM225" s="260">
        <f t="shared" si="218"/>
        <v>1533.0734787155852</v>
      </c>
      <c r="AN225" s="212"/>
      <c r="AO225" s="260">
        <f t="shared" si="219"/>
        <v>5846.8471792855898</v>
      </c>
      <c r="AP225" s="212"/>
      <c r="AQ225" s="260">
        <f t="shared" si="220"/>
        <v>1584.389745785563</v>
      </c>
      <c r="AR225" s="212"/>
      <c r="AS225" s="260">
        <f t="shared" si="221"/>
        <v>5667.2402445406678</v>
      </c>
      <c r="AT225" s="212"/>
      <c r="AU225" s="260">
        <f t="shared" si="222"/>
        <v>1459.3063448024923</v>
      </c>
      <c r="AV225" s="212"/>
      <c r="AW225" s="260">
        <f t="shared" si="223"/>
        <v>471.46820370542054</v>
      </c>
      <c r="AX225" s="212"/>
      <c r="AY225" s="260">
        <f t="shared" si="224"/>
        <v>1138.5796756151312</v>
      </c>
      <c r="BA225" s="175"/>
      <c r="BB225" s="145"/>
      <c r="BC225" s="145"/>
      <c r="BD225" s="145"/>
    </row>
    <row r="226" spans="1:56" x14ac:dyDescent="0.2">
      <c r="A226" s="551"/>
      <c r="B226" s="552"/>
      <c r="F226" s="216" t="s">
        <v>535</v>
      </c>
      <c r="G226" s="139"/>
      <c r="H226" s="261">
        <v>15</v>
      </c>
      <c r="I226" s="216"/>
      <c r="J226" s="313">
        <v>957.426827777776</v>
      </c>
      <c r="K226" s="385"/>
      <c r="L226" s="260">
        <f t="shared" si="209"/>
        <v>617.8275319649988</v>
      </c>
      <c r="M226" s="212"/>
      <c r="N226" s="260">
        <f t="shared" si="210"/>
        <v>196.65547042555519</v>
      </c>
      <c r="O226" s="212"/>
      <c r="P226" s="260">
        <f t="shared" si="211"/>
        <v>21.733588990555518</v>
      </c>
      <c r="Q226" s="212"/>
      <c r="R226" s="260">
        <f t="shared" si="212"/>
        <v>57.732837714999889</v>
      </c>
      <c r="S226" s="212"/>
      <c r="T226" s="260">
        <f t="shared" si="213"/>
        <v>13.978431685555529</v>
      </c>
      <c r="U226" s="212"/>
      <c r="V226" s="260">
        <f t="shared" si="214"/>
        <v>15.51031460999997</v>
      </c>
      <c r="W226" s="212"/>
      <c r="X226" s="260">
        <f t="shared" si="215"/>
        <v>33.988652386111042</v>
      </c>
      <c r="Y226" s="212"/>
      <c r="Z226" s="175"/>
      <c r="AC226" s="216" t="s">
        <v>535</v>
      </c>
      <c r="AE226" s="239">
        <f t="shared" si="225"/>
        <v>15</v>
      </c>
      <c r="AG226" s="312">
        <f t="shared" si="227"/>
        <v>957.426827777776</v>
      </c>
      <c r="AH226" s="385"/>
      <c r="AI226" s="260">
        <f t="shared" si="216"/>
        <v>282.9196276083328</v>
      </c>
      <c r="AJ226" s="212"/>
      <c r="AK226" s="260">
        <f t="shared" si="217"/>
        <v>145.91184855333307</v>
      </c>
      <c r="AL226" s="212"/>
      <c r="AM226" s="260">
        <f t="shared" si="218"/>
        <v>45.765002367777697</v>
      </c>
      <c r="AN226" s="212"/>
      <c r="AO226" s="260">
        <f t="shared" si="219"/>
        <v>174.53891070388855</v>
      </c>
      <c r="AP226" s="212"/>
      <c r="AQ226" s="260">
        <f t="shared" si="220"/>
        <v>47.296885292222136</v>
      </c>
      <c r="AR226" s="212"/>
      <c r="AS226" s="260">
        <f t="shared" si="221"/>
        <v>169.17732046833302</v>
      </c>
      <c r="AT226" s="212"/>
      <c r="AU226" s="260">
        <f t="shared" si="222"/>
        <v>43.562920663888804</v>
      </c>
      <c r="AV226" s="212"/>
      <c r="AW226" s="260">
        <f t="shared" si="223"/>
        <v>14.074174368333306</v>
      </c>
      <c r="AX226" s="212"/>
      <c r="AY226" s="260">
        <f t="shared" si="224"/>
        <v>33.988652386111042</v>
      </c>
      <c r="BA226" s="175"/>
      <c r="BB226" s="145"/>
      <c r="BC226" s="145"/>
      <c r="BD226" s="145"/>
    </row>
    <row r="227" spans="1:56" x14ac:dyDescent="0.2">
      <c r="A227" s="496"/>
      <c r="B227" s="496"/>
      <c r="F227" s="216" t="s">
        <v>536</v>
      </c>
      <c r="G227" s="139"/>
      <c r="H227" s="261">
        <v>15</v>
      </c>
      <c r="I227" s="216"/>
      <c r="J227" s="313">
        <v>102074.66286111102</v>
      </c>
      <c r="K227" s="385"/>
      <c r="L227" s="260">
        <f t="shared" si="209"/>
        <v>65868.779944274938</v>
      </c>
      <c r="M227" s="212"/>
      <c r="N227" s="260">
        <f t="shared" si="210"/>
        <v>20966.135751672202</v>
      </c>
      <c r="O227" s="212"/>
      <c r="P227" s="260">
        <f t="shared" si="211"/>
        <v>2317.0948469472205</v>
      </c>
      <c r="Q227" s="212"/>
      <c r="R227" s="260">
        <f t="shared" si="212"/>
        <v>6155.1021705249941</v>
      </c>
      <c r="S227" s="212"/>
      <c r="T227" s="260">
        <f t="shared" si="213"/>
        <v>1490.2900777722209</v>
      </c>
      <c r="U227" s="212"/>
      <c r="V227" s="260">
        <f t="shared" si="214"/>
        <v>1653.6095383499985</v>
      </c>
      <c r="W227" s="212"/>
      <c r="X227" s="260">
        <f t="shared" si="215"/>
        <v>3623.6505315694408</v>
      </c>
      <c r="Y227" s="212"/>
      <c r="Z227" s="175"/>
      <c r="AC227" s="216" t="s">
        <v>536</v>
      </c>
      <c r="AE227" s="239">
        <f t="shared" si="225"/>
        <v>15</v>
      </c>
      <c r="AG227" s="312">
        <f t="shared" si="227"/>
        <v>102074.66286111102</v>
      </c>
      <c r="AH227" s="385"/>
      <c r="AI227" s="260">
        <f t="shared" si="216"/>
        <v>30163.062875458305</v>
      </c>
      <c r="AJ227" s="212"/>
      <c r="AK227" s="260">
        <f t="shared" si="217"/>
        <v>15556.178620033321</v>
      </c>
      <c r="AL227" s="212"/>
      <c r="AM227" s="260">
        <f t="shared" si="218"/>
        <v>4879.1688847611067</v>
      </c>
      <c r="AN227" s="212"/>
      <c r="AO227" s="260">
        <f t="shared" si="219"/>
        <v>18608.211039580539</v>
      </c>
      <c r="AP227" s="212"/>
      <c r="AQ227" s="260">
        <f t="shared" si="220"/>
        <v>5042.4883453388848</v>
      </c>
      <c r="AR227" s="212"/>
      <c r="AS227" s="260">
        <f t="shared" si="221"/>
        <v>18036.592927558318</v>
      </c>
      <c r="AT227" s="212"/>
      <c r="AU227" s="260">
        <f t="shared" si="222"/>
        <v>4644.3971601805515</v>
      </c>
      <c r="AV227" s="212"/>
      <c r="AW227" s="260">
        <f t="shared" si="223"/>
        <v>1500.4975440583319</v>
      </c>
      <c r="AX227" s="212"/>
      <c r="AY227" s="260">
        <f t="shared" si="224"/>
        <v>3623.6505315694408</v>
      </c>
      <c r="BA227" s="175"/>
      <c r="BB227" s="145"/>
      <c r="BC227" s="145"/>
      <c r="BD227" s="145"/>
    </row>
    <row r="228" spans="1:56" x14ac:dyDescent="0.2">
      <c r="A228" s="496"/>
      <c r="B228" s="496"/>
      <c r="F228" s="216" t="s">
        <v>537</v>
      </c>
      <c r="G228" s="139"/>
      <c r="H228" s="261">
        <v>2</v>
      </c>
      <c r="I228" s="216"/>
      <c r="J228" s="313">
        <v>51214.533756967663</v>
      </c>
      <c r="K228" s="385"/>
      <c r="L228" s="260">
        <f t="shared" si="209"/>
        <v>25556.052344726864</v>
      </c>
      <c r="M228" s="212"/>
      <c r="N228" s="260">
        <f t="shared" si="210"/>
        <v>15861.141104532884</v>
      </c>
      <c r="O228" s="212"/>
      <c r="P228" s="260">
        <f t="shared" si="211"/>
        <v>2258.5609386822739</v>
      </c>
      <c r="Q228" s="212"/>
      <c r="R228" s="260">
        <f t="shared" si="212"/>
        <v>5643.8416200178372</v>
      </c>
      <c r="S228" s="212"/>
      <c r="T228" s="260">
        <f t="shared" si="213"/>
        <v>1715.6868808584168</v>
      </c>
      <c r="U228" s="212"/>
      <c r="V228" s="260">
        <f t="shared" si="214"/>
        <v>81.943254011148269</v>
      </c>
      <c r="W228" s="212"/>
      <c r="X228" s="260">
        <f t="shared" si="215"/>
        <v>97.307614138238563</v>
      </c>
      <c r="Y228" s="212"/>
      <c r="Z228" s="175"/>
      <c r="AC228" s="216" t="s">
        <v>537</v>
      </c>
      <c r="AE228" s="239">
        <f t="shared" si="225"/>
        <v>2</v>
      </c>
      <c r="AG228" s="312">
        <f t="shared" si="227"/>
        <v>51214.533756967663</v>
      </c>
      <c r="AH228" s="385"/>
      <c r="AI228" s="260">
        <f t="shared" si="216"/>
        <v>30861.878041948708</v>
      </c>
      <c r="AJ228" s="212"/>
      <c r="AK228" s="260">
        <f t="shared" si="217"/>
        <v>20173.404846869562</v>
      </c>
      <c r="AL228" s="212"/>
      <c r="AM228" s="260">
        <f t="shared" si="218"/>
        <v>0</v>
      </c>
      <c r="AN228" s="212"/>
      <c r="AO228" s="260">
        <f t="shared" si="219"/>
        <v>0</v>
      </c>
      <c r="AP228" s="212"/>
      <c r="AQ228" s="260">
        <f t="shared" si="220"/>
        <v>0</v>
      </c>
      <c r="AR228" s="212"/>
      <c r="AS228" s="260">
        <f t="shared" si="221"/>
        <v>0</v>
      </c>
      <c r="AT228" s="212"/>
      <c r="AU228" s="260">
        <f t="shared" si="222"/>
        <v>0</v>
      </c>
      <c r="AV228" s="212"/>
      <c r="AW228" s="260">
        <f t="shared" si="223"/>
        <v>81.943254011148269</v>
      </c>
      <c r="AX228" s="212"/>
      <c r="AY228" s="260">
        <f t="shared" si="224"/>
        <v>97.307614138238563</v>
      </c>
      <c r="BA228" s="175"/>
      <c r="BB228" s="145"/>
      <c r="BC228" s="145"/>
      <c r="BD228" s="145"/>
    </row>
    <row r="229" spans="1:56" ht="11.25" customHeight="1" x14ac:dyDescent="0.2">
      <c r="A229" s="496"/>
      <c r="B229" s="496"/>
      <c r="F229" s="216" t="s">
        <v>538</v>
      </c>
      <c r="G229" s="139"/>
      <c r="H229" s="261">
        <v>15</v>
      </c>
      <c r="I229" s="216"/>
      <c r="J229" s="313">
        <v>30854.231727138907</v>
      </c>
      <c r="K229" s="385"/>
      <c r="L229" s="260">
        <f t="shared" si="209"/>
        <v>19910.235733522735</v>
      </c>
      <c r="M229" s="212"/>
      <c r="N229" s="260">
        <f t="shared" si="210"/>
        <v>6337.459196754332</v>
      </c>
      <c r="O229" s="212"/>
      <c r="P229" s="260">
        <f t="shared" si="211"/>
        <v>700.39106020605323</v>
      </c>
      <c r="Q229" s="212"/>
      <c r="R229" s="260">
        <f t="shared" si="212"/>
        <v>1860.5101731464761</v>
      </c>
      <c r="S229" s="212"/>
      <c r="T229" s="260">
        <f t="shared" si="213"/>
        <v>450.47178321622806</v>
      </c>
      <c r="U229" s="212"/>
      <c r="V229" s="260">
        <f t="shared" si="214"/>
        <v>499.83855397965027</v>
      </c>
      <c r="W229" s="212"/>
      <c r="X229" s="260">
        <f t="shared" si="215"/>
        <v>1095.3252263134311</v>
      </c>
      <c r="Y229" s="212"/>
      <c r="Z229" s="175"/>
      <c r="AC229" s="216" t="s">
        <v>538</v>
      </c>
      <c r="AE229" s="239">
        <f t="shared" si="225"/>
        <v>15</v>
      </c>
      <c r="AG229" s="312">
        <f t="shared" si="227"/>
        <v>30854.231727138907</v>
      </c>
      <c r="AH229" s="385"/>
      <c r="AI229" s="260">
        <f t="shared" si="216"/>
        <v>9117.4254753695459</v>
      </c>
      <c r="AJ229" s="212"/>
      <c r="AK229" s="260">
        <f t="shared" si="217"/>
        <v>4702.1849152159693</v>
      </c>
      <c r="AL229" s="212"/>
      <c r="AM229" s="260">
        <f t="shared" si="218"/>
        <v>1474.8322765572398</v>
      </c>
      <c r="AN229" s="212"/>
      <c r="AO229" s="260">
        <f t="shared" si="219"/>
        <v>5624.726443857423</v>
      </c>
      <c r="AP229" s="212"/>
      <c r="AQ229" s="260">
        <f t="shared" si="220"/>
        <v>1524.199047320662</v>
      </c>
      <c r="AR229" s="212"/>
      <c r="AS229" s="260">
        <f t="shared" si="221"/>
        <v>5451.9427461854448</v>
      </c>
      <c r="AT229" s="212"/>
      <c r="AU229" s="260">
        <f t="shared" si="222"/>
        <v>1403.8675435848202</v>
      </c>
      <c r="AV229" s="212"/>
      <c r="AW229" s="260">
        <f t="shared" si="223"/>
        <v>453.55720638894195</v>
      </c>
      <c r="AX229" s="212"/>
      <c r="AY229" s="260">
        <f t="shared" si="224"/>
        <v>1095.3252263134311</v>
      </c>
      <c r="BA229" s="175"/>
      <c r="BB229" s="145"/>
      <c r="BC229" s="145"/>
      <c r="BD229" s="145"/>
    </row>
    <row r="230" spans="1:56" x14ac:dyDescent="0.2">
      <c r="A230" s="496"/>
      <c r="B230" s="496"/>
      <c r="F230" s="216" t="s">
        <v>618</v>
      </c>
      <c r="G230" s="139"/>
      <c r="H230" s="261">
        <v>15</v>
      </c>
      <c r="I230" s="216"/>
      <c r="J230" s="313">
        <v>196701.13149141709</v>
      </c>
      <c r="K230" s="385"/>
      <c r="L230" s="260">
        <f t="shared" si="209"/>
        <v>126931.24015141145</v>
      </c>
      <c r="M230" s="212"/>
      <c r="N230" s="260">
        <f t="shared" si="210"/>
        <v>40402.41240833707</v>
      </c>
      <c r="O230" s="212"/>
      <c r="P230" s="260">
        <f t="shared" si="211"/>
        <v>4465.1156848551682</v>
      </c>
      <c r="Q230" s="212"/>
      <c r="R230" s="260">
        <f t="shared" si="212"/>
        <v>11861.078228932451</v>
      </c>
      <c r="S230" s="212"/>
      <c r="T230" s="260">
        <f t="shared" si="213"/>
        <v>2871.8365197746898</v>
      </c>
      <c r="U230" s="212"/>
      <c r="V230" s="260">
        <f t="shared" si="214"/>
        <v>3186.5583301609568</v>
      </c>
      <c r="W230" s="212"/>
      <c r="X230" s="260">
        <f t="shared" si="215"/>
        <v>6982.8901679453065</v>
      </c>
      <c r="Y230" s="212"/>
      <c r="Z230" s="175"/>
      <c r="AC230" s="216" t="s">
        <v>618</v>
      </c>
      <c r="AE230" s="239">
        <f t="shared" si="225"/>
        <v>15</v>
      </c>
      <c r="AG230" s="312">
        <f t="shared" si="227"/>
        <v>196701.13149141709</v>
      </c>
      <c r="AH230" s="385"/>
      <c r="AI230" s="260">
        <f t="shared" si="216"/>
        <v>58125.184355713747</v>
      </c>
      <c r="AJ230" s="212"/>
      <c r="AK230" s="260">
        <f t="shared" si="217"/>
        <v>29977.252439291966</v>
      </c>
      <c r="AL230" s="212"/>
      <c r="AM230" s="260">
        <f t="shared" si="218"/>
        <v>9402.3140852897377</v>
      </c>
      <c r="AN230" s="212"/>
      <c r="AO230" s="260">
        <f t="shared" si="219"/>
        <v>35858.616270885337</v>
      </c>
      <c r="AP230" s="212"/>
      <c r="AQ230" s="260">
        <f t="shared" si="220"/>
        <v>9717.0358956760047</v>
      </c>
      <c r="AR230" s="212"/>
      <c r="AS230" s="260">
        <f t="shared" si="221"/>
        <v>34757.089934533396</v>
      </c>
      <c r="AT230" s="212"/>
      <c r="AU230" s="260">
        <f t="shared" si="222"/>
        <v>8949.9014828594773</v>
      </c>
      <c r="AV230" s="212"/>
      <c r="AW230" s="260">
        <f t="shared" si="223"/>
        <v>2891.5066329238311</v>
      </c>
      <c r="AX230" s="212"/>
      <c r="AY230" s="260">
        <f t="shared" si="224"/>
        <v>6982.8901679453065</v>
      </c>
      <c r="BA230" s="175"/>
      <c r="BB230" s="145"/>
      <c r="BC230" s="145"/>
      <c r="BD230" s="145"/>
    </row>
    <row r="231" spans="1:56" x14ac:dyDescent="0.2">
      <c r="A231" s="496"/>
      <c r="B231" s="496"/>
      <c r="F231" s="216" t="s">
        <v>619</v>
      </c>
      <c r="G231" s="139"/>
      <c r="H231" s="261">
        <v>15</v>
      </c>
      <c r="I231" s="216"/>
      <c r="J231" s="313">
        <v>225526.40424796607</v>
      </c>
      <c r="K231" s="385"/>
      <c r="L231" s="260">
        <f t="shared" si="209"/>
        <v>145532.18866121251</v>
      </c>
      <c r="M231" s="212"/>
      <c r="N231" s="260">
        <f t="shared" si="210"/>
        <v>46323.123432532229</v>
      </c>
      <c r="O231" s="212"/>
      <c r="P231" s="260">
        <f t="shared" si="211"/>
        <v>5119.44937642883</v>
      </c>
      <c r="Q231" s="212"/>
      <c r="R231" s="260">
        <f t="shared" si="212"/>
        <v>13599.242176152355</v>
      </c>
      <c r="S231" s="212"/>
      <c r="T231" s="260">
        <f t="shared" si="213"/>
        <v>3292.6855020203047</v>
      </c>
      <c r="U231" s="212"/>
      <c r="V231" s="260">
        <f t="shared" si="214"/>
        <v>3653.52774881705</v>
      </c>
      <c r="W231" s="212"/>
      <c r="X231" s="260">
        <f t="shared" si="215"/>
        <v>8006.1873508027948</v>
      </c>
      <c r="Y231" s="212"/>
      <c r="Z231" s="175"/>
      <c r="AC231" s="216" t="s">
        <v>619</v>
      </c>
      <c r="AE231" s="239">
        <f t="shared" si="225"/>
        <v>15</v>
      </c>
      <c r="AG231" s="312">
        <f t="shared" si="227"/>
        <v>225526.40424796607</v>
      </c>
      <c r="AH231" s="385"/>
      <c r="AI231" s="260">
        <f t="shared" si="216"/>
        <v>66643.052455273966</v>
      </c>
      <c r="AJ231" s="212"/>
      <c r="AK231" s="260">
        <f t="shared" si="217"/>
        <v>34370.224007390032</v>
      </c>
      <c r="AL231" s="212"/>
      <c r="AM231" s="260">
        <f t="shared" si="218"/>
        <v>10780.162123052778</v>
      </c>
      <c r="AN231" s="212"/>
      <c r="AO231" s="260">
        <f t="shared" si="219"/>
        <v>41113.463494404212</v>
      </c>
      <c r="AP231" s="212"/>
      <c r="AQ231" s="260">
        <f t="shared" si="220"/>
        <v>11141.004369849525</v>
      </c>
      <c r="AR231" s="212"/>
      <c r="AS231" s="260">
        <f t="shared" si="221"/>
        <v>39850.515630615606</v>
      </c>
      <c r="AT231" s="212"/>
      <c r="AU231" s="260">
        <f t="shared" si="222"/>
        <v>10261.451393282456</v>
      </c>
      <c r="AV231" s="212"/>
      <c r="AW231" s="260">
        <f t="shared" si="223"/>
        <v>3315.2381424451009</v>
      </c>
      <c r="AX231" s="212"/>
      <c r="AY231" s="260">
        <f t="shared" si="224"/>
        <v>8006.1873508027948</v>
      </c>
      <c r="BA231" s="175"/>
      <c r="BB231" s="145"/>
      <c r="BC231" s="145"/>
      <c r="BD231" s="145"/>
    </row>
    <row r="232" spans="1:56" x14ac:dyDescent="0.2">
      <c r="A232" s="496"/>
      <c r="B232" s="496"/>
      <c r="F232" s="216" t="s">
        <v>747</v>
      </c>
      <c r="G232" s="139"/>
      <c r="H232" s="261">
        <v>15</v>
      </c>
      <c r="I232" s="216"/>
      <c r="J232" s="313">
        <v>21038.042958999999</v>
      </c>
      <c r="K232" s="385"/>
      <c r="L232" s="260">
        <f t="shared" si="209"/>
        <v>13575.849121442699</v>
      </c>
      <c r="M232" s="212"/>
      <c r="N232" s="260">
        <f t="shared" si="210"/>
        <v>4321.2140237785998</v>
      </c>
      <c r="O232" s="212"/>
      <c r="P232" s="260">
        <f t="shared" si="211"/>
        <v>477.56357516930001</v>
      </c>
      <c r="Q232" s="212"/>
      <c r="R232" s="260">
        <f t="shared" si="212"/>
        <v>1268.5939904277</v>
      </c>
      <c r="S232" s="212"/>
      <c r="T232" s="260">
        <f t="shared" si="213"/>
        <v>307.15542720139996</v>
      </c>
      <c r="U232" s="212"/>
      <c r="V232" s="260">
        <f t="shared" si="214"/>
        <v>340.81629593579999</v>
      </c>
      <c r="W232" s="212"/>
      <c r="X232" s="260">
        <f t="shared" si="215"/>
        <v>746.85052504449993</v>
      </c>
      <c r="Y232" s="212"/>
      <c r="Z232" s="175"/>
      <c r="AC232" s="216" t="s">
        <v>747</v>
      </c>
      <c r="AE232" s="239">
        <f t="shared" si="225"/>
        <v>15</v>
      </c>
      <c r="AG232" s="312">
        <f t="shared" si="227"/>
        <v>21038.042958999999</v>
      </c>
      <c r="AH232" s="385"/>
      <c r="AI232" s="260">
        <f t="shared" si="216"/>
        <v>6216.7416943844992</v>
      </c>
      <c r="AJ232" s="212"/>
      <c r="AK232" s="260">
        <f t="shared" si="217"/>
        <v>3206.1977469516</v>
      </c>
      <c r="AL232" s="212"/>
      <c r="AM232" s="260">
        <f t="shared" si="218"/>
        <v>1005.6184534402</v>
      </c>
      <c r="AN232" s="212"/>
      <c r="AO232" s="260">
        <f t="shared" si="219"/>
        <v>3835.2352314256996</v>
      </c>
      <c r="AP232" s="212"/>
      <c r="AQ232" s="260">
        <f t="shared" si="220"/>
        <v>1039.2793221745999</v>
      </c>
      <c r="AR232" s="212"/>
      <c r="AS232" s="260">
        <f t="shared" si="221"/>
        <v>3717.4221908552995</v>
      </c>
      <c r="AT232" s="212"/>
      <c r="AU232" s="260">
        <f t="shared" si="222"/>
        <v>957.23095463449988</v>
      </c>
      <c r="AV232" s="212"/>
      <c r="AW232" s="260">
        <f t="shared" si="223"/>
        <v>309.25923149729999</v>
      </c>
      <c r="AX232" s="212"/>
      <c r="AY232" s="260">
        <f t="shared" si="224"/>
        <v>746.85052504449993</v>
      </c>
      <c r="BA232" s="175"/>
      <c r="BB232" s="145"/>
      <c r="BC232" s="145"/>
      <c r="BD232" s="145"/>
    </row>
    <row r="233" spans="1:56" ht="15" customHeight="1" x14ac:dyDescent="0.2">
      <c r="A233" s="496"/>
      <c r="B233" s="496"/>
      <c r="F233" s="216" t="s">
        <v>540</v>
      </c>
      <c r="G233" s="139"/>
      <c r="H233" s="261">
        <v>15</v>
      </c>
      <c r="I233" s="216"/>
      <c r="J233" s="313">
        <v>80879.233771097934</v>
      </c>
      <c r="K233" s="385"/>
      <c r="L233" s="260">
        <f t="shared" si="209"/>
        <v>52191.369552489494</v>
      </c>
      <c r="M233" s="212"/>
      <c r="N233" s="260">
        <f t="shared" si="210"/>
        <v>16612.594616583516</v>
      </c>
      <c r="O233" s="212"/>
      <c r="P233" s="260">
        <f t="shared" si="211"/>
        <v>1835.9586066039233</v>
      </c>
      <c r="Q233" s="212"/>
      <c r="R233" s="260">
        <f t="shared" si="212"/>
        <v>4877.0177963972055</v>
      </c>
      <c r="S233" s="212"/>
      <c r="T233" s="260">
        <f t="shared" si="213"/>
        <v>1180.8368130580297</v>
      </c>
      <c r="U233" s="212"/>
      <c r="V233" s="260">
        <f t="shared" si="214"/>
        <v>1310.2435870917864</v>
      </c>
      <c r="W233" s="212"/>
      <c r="X233" s="260">
        <f t="shared" si="215"/>
        <v>2871.2127988739762</v>
      </c>
      <c r="Y233" s="212"/>
      <c r="Z233" s="175"/>
      <c r="AC233" s="216" t="s">
        <v>540</v>
      </c>
      <c r="AE233" s="239">
        <f t="shared" si="225"/>
        <v>15</v>
      </c>
      <c r="AG233" s="312">
        <f t="shared" si="227"/>
        <v>80879.233771097934</v>
      </c>
      <c r="AH233" s="385"/>
      <c r="AI233" s="260">
        <f t="shared" si="216"/>
        <v>23899.813579359437</v>
      </c>
      <c r="AJ233" s="212"/>
      <c r="AK233" s="260">
        <f t="shared" si="217"/>
        <v>12325.995226715326</v>
      </c>
      <c r="AL233" s="212"/>
      <c r="AM233" s="260">
        <f t="shared" si="218"/>
        <v>3866.0273742584814</v>
      </c>
      <c r="AN233" s="212"/>
      <c r="AO233" s="260">
        <f t="shared" si="219"/>
        <v>14744.284316471152</v>
      </c>
      <c r="AP233" s="212"/>
      <c r="AQ233" s="260">
        <f t="shared" si="220"/>
        <v>3995.4341482922378</v>
      </c>
      <c r="AR233" s="212"/>
      <c r="AS233" s="260">
        <f t="shared" si="221"/>
        <v>14291.360607353005</v>
      </c>
      <c r="AT233" s="212"/>
      <c r="AU233" s="260">
        <f t="shared" si="222"/>
        <v>3680.0051365849558</v>
      </c>
      <c r="AV233" s="212"/>
      <c r="AW233" s="260">
        <f t="shared" si="223"/>
        <v>1188.9247364351395</v>
      </c>
      <c r="AX233" s="212"/>
      <c r="AY233" s="260">
        <f t="shared" si="224"/>
        <v>2871.2127988739762</v>
      </c>
      <c r="BA233" s="175"/>
      <c r="BB233" s="145"/>
      <c r="BC233" s="145"/>
      <c r="BD233" s="145"/>
    </row>
    <row r="234" spans="1:56" s="146" customFormat="1" x14ac:dyDescent="0.2">
      <c r="A234" s="550"/>
      <c r="B234" s="550"/>
      <c r="C234" s="212"/>
      <c r="D234" s="488"/>
      <c r="E234" s="212"/>
      <c r="F234" s="216" t="s">
        <v>541</v>
      </c>
      <c r="G234" s="139"/>
      <c r="H234" s="261">
        <v>15</v>
      </c>
      <c r="I234" s="385"/>
      <c r="J234" s="389">
        <v>-20452.844676789413</v>
      </c>
      <c r="K234" s="385"/>
      <c r="L234" s="549">
        <f t="shared" si="209"/>
        <v>-13198.220669932209</v>
      </c>
      <c r="M234" s="385"/>
      <c r="N234" s="549">
        <f t="shared" si="210"/>
        <v>-4201.014296612545</v>
      </c>
      <c r="O234" s="385"/>
      <c r="P234" s="549">
        <f t="shared" si="211"/>
        <v>-464.27957416311972</v>
      </c>
      <c r="Q234" s="385"/>
      <c r="R234" s="549">
        <f t="shared" si="212"/>
        <v>-1233.3065340104015</v>
      </c>
      <c r="S234" s="385"/>
      <c r="T234" s="549">
        <f t="shared" si="213"/>
        <v>-298.61153228112545</v>
      </c>
      <c r="U234" s="385"/>
      <c r="V234" s="549">
        <f t="shared" si="214"/>
        <v>-331.33608376398848</v>
      </c>
      <c r="W234" s="385"/>
      <c r="X234" s="549">
        <f t="shared" si="215"/>
        <v>-726.07598602602411</v>
      </c>
      <c r="Y234" s="212"/>
      <c r="Z234" s="175"/>
      <c r="AC234" s="216" t="s">
        <v>541</v>
      </c>
      <c r="AE234" s="239">
        <f t="shared" si="197"/>
        <v>15</v>
      </c>
      <c r="AF234" s="529"/>
      <c r="AG234" s="389">
        <f t="shared" si="198"/>
        <v>-20452.844676789413</v>
      </c>
      <c r="AH234" s="385"/>
      <c r="AI234" s="549">
        <f t="shared" si="216"/>
        <v>-6043.8156019912713</v>
      </c>
      <c r="AJ234" s="385"/>
      <c r="AK234" s="549">
        <f t="shared" si="217"/>
        <v>-3117.0135287427065</v>
      </c>
      <c r="AL234" s="385"/>
      <c r="AM234" s="549">
        <f t="shared" si="218"/>
        <v>-977.64597555053399</v>
      </c>
      <c r="AN234" s="385"/>
      <c r="AO234" s="549">
        <f t="shared" si="219"/>
        <v>-3728.5535845787099</v>
      </c>
      <c r="AP234" s="385"/>
      <c r="AQ234" s="549">
        <f t="shared" si="220"/>
        <v>-1010.370527033397</v>
      </c>
      <c r="AR234" s="385"/>
      <c r="AS234" s="549">
        <f t="shared" si="221"/>
        <v>-3614.0176543886892</v>
      </c>
      <c r="AT234" s="385"/>
      <c r="AU234" s="549">
        <f t="shared" si="222"/>
        <v>-930.60443279391825</v>
      </c>
      <c r="AV234" s="385"/>
      <c r="AW234" s="549">
        <f t="shared" si="223"/>
        <v>-300.65681674880437</v>
      </c>
      <c r="AX234" s="385"/>
      <c r="AY234" s="549">
        <f t="shared" si="224"/>
        <v>-726.07598602602411</v>
      </c>
      <c r="AZ234" s="529"/>
      <c r="BA234" s="175"/>
      <c r="BB234" s="145"/>
      <c r="BC234" s="145"/>
      <c r="BD234" s="145"/>
    </row>
    <row r="235" spans="1:56" s="146" customFormat="1" x14ac:dyDescent="0.2">
      <c r="A235" s="550"/>
      <c r="B235" s="480"/>
      <c r="C235" s="212"/>
      <c r="D235" s="488"/>
      <c r="E235" s="212"/>
      <c r="F235" s="216"/>
      <c r="G235" s="139"/>
      <c r="H235" s="261"/>
      <c r="I235" s="385"/>
      <c r="J235" s="386"/>
      <c r="K235" s="385"/>
      <c r="L235" s="386"/>
      <c r="M235" s="385"/>
      <c r="N235" s="386"/>
      <c r="O235" s="385"/>
      <c r="P235" s="386"/>
      <c r="Q235" s="385"/>
      <c r="R235" s="386"/>
      <c r="S235" s="385"/>
      <c r="T235" s="386"/>
      <c r="U235" s="385"/>
      <c r="V235" s="386"/>
      <c r="W235" s="385"/>
      <c r="X235" s="386"/>
      <c r="Z235" s="175"/>
      <c r="AC235" s="216"/>
      <c r="AE235" s="494"/>
      <c r="AG235" s="386"/>
      <c r="AH235" s="385"/>
      <c r="AI235" s="386"/>
      <c r="AJ235" s="385"/>
      <c r="AK235" s="386"/>
      <c r="AL235" s="385"/>
      <c r="AM235" s="386"/>
      <c r="AN235" s="385"/>
      <c r="AO235" s="386"/>
      <c r="AP235" s="385"/>
      <c r="AQ235" s="386"/>
      <c r="AR235" s="385"/>
      <c r="AS235" s="386"/>
      <c r="AT235" s="385"/>
      <c r="AU235" s="386"/>
      <c r="AV235" s="385"/>
      <c r="AW235" s="386"/>
      <c r="AX235" s="385"/>
      <c r="AY235" s="386"/>
      <c r="BA235" s="175"/>
      <c r="BB235" s="145"/>
      <c r="BC235" s="145"/>
      <c r="BD235" s="145"/>
    </row>
    <row r="236" spans="1:56" s="146" customFormat="1" x14ac:dyDescent="0.2">
      <c r="A236" s="556"/>
      <c r="B236" s="495"/>
      <c r="C236" s="212"/>
      <c r="D236" s="488"/>
      <c r="E236" s="212"/>
      <c r="F236" s="216" t="s">
        <v>135</v>
      </c>
      <c r="G236" s="139"/>
      <c r="H236" s="261"/>
      <c r="I236" s="385"/>
      <c r="J236" s="386">
        <f>SUM(J177:J235)</f>
        <v>13121601.256259196</v>
      </c>
      <c r="K236" s="385"/>
      <c r="L236" s="386">
        <f>SUM(L177:L235)</f>
        <v>7407394.633884049</v>
      </c>
      <c r="M236" s="385"/>
      <c r="N236" s="386">
        <f>SUM(N177:N235)</f>
        <v>3192820.5717126592</v>
      </c>
      <c r="O236" s="385"/>
      <c r="P236" s="386">
        <f>SUM(P177:P235)</f>
        <v>398296.99265148421</v>
      </c>
      <c r="Q236" s="385"/>
      <c r="R236" s="386">
        <f>SUM(R177:R235)</f>
        <v>1023590.1185343629</v>
      </c>
      <c r="S236" s="385"/>
      <c r="T236" s="386">
        <f>SUM(T177:T235)</f>
        <v>252909.26644556018</v>
      </c>
      <c r="U236" s="385"/>
      <c r="V236" s="386">
        <f>SUM(V177:V235)</f>
        <v>326493.26623201108</v>
      </c>
      <c r="W236" s="385"/>
      <c r="X236" s="386">
        <f>SUM(X177:X235)</f>
        <v>520096.40679906658</v>
      </c>
      <c r="Z236" s="175"/>
      <c r="AC236" s="216" t="s">
        <v>135</v>
      </c>
      <c r="AD236" s="139"/>
      <c r="AE236" s="261"/>
      <c r="AF236" s="385"/>
      <c r="AG236" s="386">
        <f>SUM(AG177:AG235)</f>
        <v>13121601.256259196</v>
      </c>
      <c r="AH236" s="385"/>
      <c r="AI236" s="386">
        <f>SUM(AI177:AI235)</f>
        <v>5073323.9978863066</v>
      </c>
      <c r="AJ236" s="385"/>
      <c r="AK236" s="386">
        <f>SUM(AK177:AK235)</f>
        <v>2794375.0964214499</v>
      </c>
      <c r="AL236" s="385"/>
      <c r="AM236" s="386">
        <f>SUM(AM177:AM235)</f>
        <v>1078830.1148233407</v>
      </c>
      <c r="AN236" s="385"/>
      <c r="AO236" s="386">
        <f>SUM(AO177:AO235)</f>
        <v>1591743.5853890141</v>
      </c>
      <c r="AP236" s="385"/>
      <c r="AQ236" s="386">
        <f>SUM(AQ177:AQ235)</f>
        <v>932362.74654567847</v>
      </c>
      <c r="AR236" s="385"/>
      <c r="AS236" s="386">
        <f>SUM(AS177:AS235)</f>
        <v>720595.1829375372</v>
      </c>
      <c r="AT236" s="385"/>
      <c r="AU236" s="386">
        <f>SUM(AU177:AU235)</f>
        <v>93945.768341653093</v>
      </c>
      <c r="AV236" s="385"/>
      <c r="AW236" s="386">
        <f t="shared" ref="AW236" si="229">SUM(AW177:AW235)</f>
        <v>320121.63270352717</v>
      </c>
      <c r="AX236" s="385"/>
      <c r="AY236" s="386">
        <f t="shared" ref="AY236" si="230">SUM(AY177:AY235)</f>
        <v>515894.31468912994</v>
      </c>
      <c r="BA236" s="175"/>
      <c r="BB236" s="145"/>
      <c r="BC236" s="145"/>
      <c r="BD236" s="145"/>
    </row>
    <row r="237" spans="1:56" ht="8.1" customHeight="1" x14ac:dyDescent="0.2">
      <c r="A237" s="496"/>
      <c r="B237" s="496"/>
      <c r="F237" s="216"/>
      <c r="G237" s="139"/>
      <c r="H237" s="261"/>
      <c r="I237" s="216"/>
      <c r="J237" s="386"/>
      <c r="K237" s="385"/>
      <c r="L237" s="386"/>
      <c r="M237" s="387"/>
      <c r="N237" s="386"/>
      <c r="O237" s="387"/>
      <c r="P237" s="386"/>
      <c r="Q237" s="387"/>
      <c r="R237" s="386"/>
      <c r="S237" s="387"/>
      <c r="T237" s="386"/>
      <c r="U237" s="387"/>
      <c r="V237" s="386"/>
      <c r="W237" s="387"/>
      <c r="X237" s="386"/>
      <c r="Z237" s="175"/>
      <c r="AC237" s="216"/>
      <c r="AG237" s="386"/>
      <c r="AH237" s="385"/>
      <c r="AI237" s="386"/>
      <c r="AJ237" s="387"/>
      <c r="AK237" s="386"/>
      <c r="AL237" s="387"/>
      <c r="AM237" s="386"/>
      <c r="AN237" s="387"/>
      <c r="AO237" s="386"/>
      <c r="AP237" s="387"/>
      <c r="AQ237" s="386"/>
      <c r="AR237" s="387"/>
      <c r="AS237" s="386"/>
      <c r="AT237" s="387"/>
      <c r="AU237" s="386"/>
      <c r="AV237" s="387"/>
      <c r="AW237" s="386"/>
      <c r="AX237" s="387"/>
      <c r="AY237" s="386"/>
      <c r="BA237" s="175"/>
      <c r="BB237" s="145"/>
      <c r="BC237" s="145"/>
      <c r="BD237" s="145"/>
    </row>
    <row r="238" spans="1:56" x14ac:dyDescent="0.2">
      <c r="A238" s="496"/>
      <c r="B238" s="496"/>
      <c r="F238" s="390" t="s">
        <v>542</v>
      </c>
      <c r="G238" s="139"/>
      <c r="H238" s="261"/>
      <c r="I238" s="216"/>
      <c r="J238" s="386"/>
      <c r="K238" s="385"/>
      <c r="L238" s="386"/>
      <c r="M238" s="387"/>
      <c r="N238" s="386"/>
      <c r="O238" s="387"/>
      <c r="P238" s="386"/>
      <c r="Q238" s="387"/>
      <c r="R238" s="386"/>
      <c r="S238" s="387"/>
      <c r="T238" s="386"/>
      <c r="U238" s="387"/>
      <c r="V238" s="386"/>
      <c r="W238" s="387"/>
      <c r="X238" s="386"/>
      <c r="Z238" s="175"/>
      <c r="AC238" s="390" t="s">
        <v>542</v>
      </c>
      <c r="AG238" s="386"/>
      <c r="AH238" s="385"/>
      <c r="AI238" s="386"/>
      <c r="AJ238" s="387"/>
      <c r="AK238" s="386"/>
      <c r="AL238" s="387"/>
      <c r="AM238" s="386"/>
      <c r="AN238" s="387"/>
      <c r="AO238" s="386"/>
      <c r="AP238" s="387"/>
      <c r="AQ238" s="386"/>
      <c r="AR238" s="387"/>
      <c r="AS238" s="386"/>
      <c r="AT238" s="387"/>
      <c r="AU238" s="386"/>
      <c r="AV238" s="387"/>
      <c r="AW238" s="386"/>
      <c r="AX238" s="387"/>
      <c r="AY238" s="386"/>
      <c r="BA238" s="175"/>
      <c r="BB238" s="145"/>
      <c r="BC238" s="145"/>
      <c r="BD238" s="145"/>
    </row>
    <row r="239" spans="1:56" x14ac:dyDescent="0.2">
      <c r="A239" s="550"/>
      <c r="B239" s="480"/>
      <c r="F239" s="216" t="s">
        <v>248</v>
      </c>
      <c r="G239" s="139"/>
      <c r="H239" s="261">
        <v>18</v>
      </c>
      <c r="I239" s="216"/>
      <c r="J239" s="312">
        <v>153181.36000000002</v>
      </c>
      <c r="K239" s="385"/>
      <c r="L239" s="260">
        <f ca="1">(VLOOKUP($H239,Factors,L$382))*$J239</f>
        <v>78643.310224000001</v>
      </c>
      <c r="M239" s="212"/>
      <c r="N239" s="260">
        <f ca="1">(VLOOKUP($H239,Factors,N$382))*$J239</f>
        <v>39857.789872000001</v>
      </c>
      <c r="O239" s="212"/>
      <c r="P239" s="260">
        <f ca="1">(VLOOKUP($H239,Factors,P$382))*$J239</f>
        <v>5208.1662400000005</v>
      </c>
      <c r="Q239" s="212"/>
      <c r="R239" s="260">
        <f ca="1">(VLOOKUP($H239,Factors,R$382))*$J239</f>
        <v>13158.278824000003</v>
      </c>
      <c r="S239" s="212"/>
      <c r="T239" s="260">
        <f ca="1">(VLOOKUP($H239,Factors,T$382))*$J239</f>
        <v>3201.4904240000001</v>
      </c>
      <c r="U239" s="212"/>
      <c r="V239" s="260">
        <f ca="1">(VLOOKUP($H239,Factors,V$382))*$J239</f>
        <v>4580.1226640000004</v>
      </c>
      <c r="W239" s="212"/>
      <c r="X239" s="260">
        <f ca="1">(VLOOKUP($H239,Factors,X$382))*$J239</f>
        <v>8532.2017520000009</v>
      </c>
      <c r="Y239" s="212"/>
      <c r="Z239" s="175"/>
      <c r="AC239" s="216" t="s">
        <v>248</v>
      </c>
      <c r="AE239" s="239">
        <f>+H239</f>
        <v>18</v>
      </c>
      <c r="AG239" s="312">
        <f>+J239</f>
        <v>153181.36000000002</v>
      </c>
      <c r="AH239" s="385"/>
      <c r="AI239" s="260">
        <f ca="1">(VLOOKUP($AE239,func,AI$382))*$AG239</f>
        <v>65883.302936000007</v>
      </c>
      <c r="AJ239" s="212"/>
      <c r="AK239" s="260">
        <f ca="1">(VLOOKUP($AE239,func,AK$382))*$AG239</f>
        <v>35109.167712000002</v>
      </c>
      <c r="AL239" s="212"/>
      <c r="AM239" s="260">
        <f ca="1">(VLOOKUP($AE239,func,AM$382))*$AG239</f>
        <v>17432.038768000002</v>
      </c>
      <c r="AN239" s="212"/>
      <c r="AO239" s="260">
        <f ca="1">(VLOOKUP($AE239,func,AO$382))*$AG239</f>
        <v>15256.863456000001</v>
      </c>
      <c r="AP239" s="212"/>
      <c r="AQ239" s="260">
        <f ca="1">(VLOOKUP($AE239,func,AQ$382))*$AG239</f>
        <v>3339.3536480000002</v>
      </c>
      <c r="AR239" s="212"/>
      <c r="AS239" s="260">
        <f ca="1">(VLOOKUP($AE239,func,AS$382))*$AG239</f>
        <v>2726.6282080000001</v>
      </c>
      <c r="AT239" s="212"/>
      <c r="AU239" s="260">
        <f ca="1">(VLOOKUP($AE239,func,AU$382))*$AG239</f>
        <v>428.90780800000005</v>
      </c>
      <c r="AV239" s="212"/>
      <c r="AW239" s="260">
        <f ca="1">(VLOOKUP($AE239,func,AW$382))*$AG239</f>
        <v>4503.5319840000002</v>
      </c>
      <c r="AX239" s="212"/>
      <c r="AY239" s="260">
        <f ca="1">(VLOOKUP($AE239,func,AY$382))*$AG239</f>
        <v>8455.6110720000015</v>
      </c>
      <c r="BA239" s="175"/>
      <c r="BB239" s="145"/>
      <c r="BC239" s="145"/>
      <c r="BD239" s="145"/>
    </row>
    <row r="240" spans="1:56" x14ac:dyDescent="0.2">
      <c r="A240" s="550"/>
      <c r="B240" s="480"/>
      <c r="F240" s="216" t="s">
        <v>249</v>
      </c>
      <c r="G240" s="139"/>
      <c r="H240" s="261">
        <v>18</v>
      </c>
      <c r="I240" s="216"/>
      <c r="J240" s="312">
        <v>0</v>
      </c>
      <c r="K240" s="385"/>
      <c r="L240" s="260">
        <f ca="1">(VLOOKUP($H240,Factors,L$382))*$J240</f>
        <v>0</v>
      </c>
      <c r="M240" s="212"/>
      <c r="N240" s="260">
        <f ca="1">(VLOOKUP($H240,Factors,N$382))*$J240</f>
        <v>0</v>
      </c>
      <c r="O240" s="212"/>
      <c r="P240" s="260">
        <f ca="1">(VLOOKUP($H240,Factors,P$382))*$J240</f>
        <v>0</v>
      </c>
      <c r="Q240" s="212"/>
      <c r="R240" s="260">
        <f ca="1">(VLOOKUP($H240,Factors,R$382))*$J240</f>
        <v>0</v>
      </c>
      <c r="S240" s="212"/>
      <c r="T240" s="260">
        <f ca="1">(VLOOKUP($H240,Factors,T$382))*$J240</f>
        <v>0</v>
      </c>
      <c r="U240" s="212"/>
      <c r="V240" s="260">
        <f ca="1">(VLOOKUP($H240,Factors,V$382))*$J240</f>
        <v>0</v>
      </c>
      <c r="W240" s="212"/>
      <c r="X240" s="260">
        <f ca="1">(VLOOKUP($H240,Factors,X$382))*$J240</f>
        <v>0</v>
      </c>
      <c r="Y240" s="212"/>
      <c r="Z240" s="175"/>
      <c r="AC240" s="216" t="s">
        <v>249</v>
      </c>
      <c r="AE240" s="239">
        <f>+H240</f>
        <v>18</v>
      </c>
      <c r="AG240" s="312">
        <f>+J240</f>
        <v>0</v>
      </c>
      <c r="AH240" s="385"/>
      <c r="AI240" s="260">
        <f ca="1">(VLOOKUP($AE240,func,AI$382))*$AG240</f>
        <v>0</v>
      </c>
      <c r="AJ240" s="212"/>
      <c r="AK240" s="260">
        <f ca="1">(VLOOKUP($AE240,func,AK$382))*$AG240</f>
        <v>0</v>
      </c>
      <c r="AL240" s="212"/>
      <c r="AM240" s="260">
        <f ca="1">(VLOOKUP($AE240,func,AM$382))*$AG240</f>
        <v>0</v>
      </c>
      <c r="AN240" s="212"/>
      <c r="AO240" s="260">
        <f ca="1">(VLOOKUP($AE240,func,AO$382))*$AG240</f>
        <v>0</v>
      </c>
      <c r="AP240" s="212"/>
      <c r="AQ240" s="260">
        <f ca="1">(VLOOKUP($AE240,func,AQ$382))*$AG240</f>
        <v>0</v>
      </c>
      <c r="AR240" s="212"/>
      <c r="AS240" s="260">
        <f ca="1">(VLOOKUP($AE240,func,AS$382))*$AG240</f>
        <v>0</v>
      </c>
      <c r="AT240" s="212"/>
      <c r="AU240" s="260">
        <f ca="1">(VLOOKUP($AE240,func,AU$382))*$AG240</f>
        <v>0</v>
      </c>
      <c r="AV240" s="212"/>
      <c r="AW240" s="260">
        <f ca="1">(VLOOKUP($AE240,func,AW$382))*$AG240</f>
        <v>0</v>
      </c>
      <c r="AX240" s="212"/>
      <c r="AY240" s="260">
        <f ca="1">(VLOOKUP($AE240,func,AY$382))*$AG240</f>
        <v>0</v>
      </c>
      <c r="BA240" s="175"/>
      <c r="BB240" s="145"/>
      <c r="BC240" s="145"/>
      <c r="BD240" s="145"/>
    </row>
    <row r="241" spans="1:56" x14ac:dyDescent="0.2">
      <c r="A241" s="550"/>
      <c r="B241" s="480"/>
      <c r="F241" s="216" t="s">
        <v>250</v>
      </c>
      <c r="G241" s="139"/>
      <c r="H241" s="261">
        <v>2</v>
      </c>
      <c r="I241" s="216"/>
      <c r="J241" s="389">
        <v>57080.039999999986</v>
      </c>
      <c r="K241" s="385"/>
      <c r="L241" s="549">
        <f>(VLOOKUP($H241,Factors,L$382))*$J241</f>
        <v>28482.939959999992</v>
      </c>
      <c r="M241" s="385"/>
      <c r="N241" s="549">
        <f>(VLOOKUP($H241,Factors,N$382))*$J241</f>
        <v>17677.688387999995</v>
      </c>
      <c r="O241" s="385"/>
      <c r="P241" s="549">
        <f>(VLOOKUP($H241,Factors,P$382))*$J241</f>
        <v>2517.2297639999992</v>
      </c>
      <c r="Q241" s="385"/>
      <c r="R241" s="549">
        <f>(VLOOKUP($H241,Factors,R$382))*$J241</f>
        <v>6290.2204079999992</v>
      </c>
      <c r="S241" s="385"/>
      <c r="T241" s="549">
        <f>(VLOOKUP($H241,Factors,T$382))*$J241</f>
        <v>1912.1813399999996</v>
      </c>
      <c r="U241" s="385"/>
      <c r="V241" s="549">
        <f>(VLOOKUP($H241,Factors,V$382))*$J241</f>
        <v>91.328063999999983</v>
      </c>
      <c r="W241" s="385"/>
      <c r="X241" s="549">
        <f>(VLOOKUP($H241,Factors,X$382))*$J241</f>
        <v>108.45207599999998</v>
      </c>
      <c r="Y241" s="212"/>
      <c r="Z241" s="175"/>
      <c r="AC241" s="216" t="s">
        <v>250</v>
      </c>
      <c r="AE241" s="239">
        <f>+H241</f>
        <v>2</v>
      </c>
      <c r="AG241" s="389">
        <f>+J241</f>
        <v>57080.039999999986</v>
      </c>
      <c r="AH241" s="385"/>
      <c r="AI241" s="549">
        <f>(VLOOKUP($AE241,func,AI$382))*$AG241</f>
        <v>34396.432103999985</v>
      </c>
      <c r="AJ241" s="385"/>
      <c r="AK241" s="549">
        <f>(VLOOKUP($AE241,func,AK$382))*$AG241</f>
        <v>22483.827755999991</v>
      </c>
      <c r="AL241" s="385"/>
      <c r="AM241" s="549">
        <f>(VLOOKUP($AE241,func,AM$382))*$AG241</f>
        <v>0</v>
      </c>
      <c r="AN241" s="385"/>
      <c r="AO241" s="549">
        <f>(VLOOKUP($AE241,func,AO$382))*$AG241</f>
        <v>0</v>
      </c>
      <c r="AP241" s="385"/>
      <c r="AQ241" s="549">
        <f>(VLOOKUP($AE241,func,AQ$382))*$AG241</f>
        <v>0</v>
      </c>
      <c r="AR241" s="385"/>
      <c r="AS241" s="549">
        <f>(VLOOKUP($AE241,func,AS$382))*$AG241</f>
        <v>0</v>
      </c>
      <c r="AT241" s="385"/>
      <c r="AU241" s="549">
        <f>(VLOOKUP($AE241,func,AU$382))*$AG241</f>
        <v>0</v>
      </c>
      <c r="AV241" s="385"/>
      <c r="AW241" s="549">
        <f>(VLOOKUP($AE241,func,AW$382))*$AG241</f>
        <v>91.328063999999983</v>
      </c>
      <c r="AX241" s="385"/>
      <c r="AY241" s="549">
        <f>(VLOOKUP($AE241,func,AY$382))*$AG241</f>
        <v>108.45207599999998</v>
      </c>
      <c r="BA241" s="175"/>
      <c r="BB241" s="145"/>
      <c r="BC241" s="145"/>
      <c r="BD241" s="145"/>
    </row>
    <row r="242" spans="1:56" x14ac:dyDescent="0.2">
      <c r="A242" s="550"/>
      <c r="B242" s="480"/>
      <c r="F242" s="216"/>
      <c r="G242" s="139"/>
      <c r="H242" s="261"/>
      <c r="I242" s="216"/>
      <c r="J242" s="312"/>
      <c r="K242" s="385"/>
      <c r="L242" s="386"/>
      <c r="M242" s="385"/>
      <c r="N242" s="386"/>
      <c r="O242" s="385"/>
      <c r="P242" s="386"/>
      <c r="Q242" s="385"/>
      <c r="R242" s="386"/>
      <c r="S242" s="385"/>
      <c r="T242" s="386"/>
      <c r="U242" s="385"/>
      <c r="V242" s="386"/>
      <c r="W242" s="385"/>
      <c r="X242" s="386"/>
      <c r="Z242" s="175"/>
      <c r="AC242" s="216"/>
      <c r="AE242" s="239"/>
      <c r="AG242" s="312"/>
      <c r="AH242" s="385"/>
      <c r="AI242" s="386"/>
      <c r="AJ242" s="385"/>
      <c r="AK242" s="386"/>
      <c r="AL242" s="385"/>
      <c r="AM242" s="386"/>
      <c r="AN242" s="385"/>
      <c r="AO242" s="386"/>
      <c r="AP242" s="385"/>
      <c r="AQ242" s="386"/>
      <c r="AR242" s="385"/>
      <c r="AS242" s="386"/>
      <c r="AT242" s="385"/>
      <c r="AU242" s="386"/>
      <c r="AV242" s="385"/>
      <c r="AW242" s="386"/>
      <c r="AX242" s="385"/>
      <c r="AY242" s="386"/>
      <c r="BA242" s="175"/>
      <c r="BB242" s="145"/>
      <c r="BC242" s="145"/>
      <c r="BD242" s="145"/>
    </row>
    <row r="243" spans="1:56" x14ac:dyDescent="0.2">
      <c r="A243" s="550"/>
      <c r="B243" s="480"/>
      <c r="F243" s="216" t="s">
        <v>251</v>
      </c>
      <c r="G243" s="139"/>
      <c r="H243" s="261"/>
      <c r="I243" s="216"/>
      <c r="J243" s="312">
        <f>SUM(J239:J242)</f>
        <v>210261.4</v>
      </c>
      <c r="K243" s="216"/>
      <c r="L243" s="312">
        <f ca="1">SUM(L239:L242)</f>
        <v>107126.25018399999</v>
      </c>
      <c r="M243" s="216"/>
      <c r="N243" s="312">
        <f ca="1">SUM(N239:N242)</f>
        <v>57535.478259999996</v>
      </c>
      <c r="O243" s="216"/>
      <c r="P243" s="312">
        <f ca="1">SUM(P239:P242)</f>
        <v>7725.3960040000002</v>
      </c>
      <c r="Q243" s="216"/>
      <c r="R243" s="312">
        <f ca="1">SUM(R239:R242)</f>
        <v>19448.499232000002</v>
      </c>
      <c r="S243" s="216"/>
      <c r="T243" s="312">
        <f ca="1">SUM(T239:T242)</f>
        <v>5113.6717639999997</v>
      </c>
      <c r="U243" s="216"/>
      <c r="V243" s="312">
        <f ca="1">SUM(V239:V242)</f>
        <v>4671.4507280000007</v>
      </c>
      <c r="W243" s="216"/>
      <c r="X243" s="312">
        <f ca="1">SUM(X239:X242)</f>
        <v>8640.6538280000004</v>
      </c>
      <c r="Z243" s="175"/>
      <c r="AC243" s="216" t="s">
        <v>251</v>
      </c>
      <c r="AE243" s="239"/>
      <c r="AG243" s="312">
        <f>SUM(AG239:AG242)</f>
        <v>210261.4</v>
      </c>
      <c r="AH243" s="216"/>
      <c r="AI243" s="312">
        <f ca="1">SUM(AI239:AI242)</f>
        <v>100279.73504</v>
      </c>
      <c r="AJ243" s="216"/>
      <c r="AK243" s="312">
        <f ca="1">SUM(AK239:AK242)</f>
        <v>57592.995467999994</v>
      </c>
      <c r="AL243" s="216"/>
      <c r="AM243" s="312">
        <f ca="1">SUM(AM239:AM242)</f>
        <v>17432.038768000002</v>
      </c>
      <c r="AN243" s="216"/>
      <c r="AO243" s="312">
        <f ca="1">SUM(AO239:AO242)</f>
        <v>15256.863456000001</v>
      </c>
      <c r="AP243" s="216"/>
      <c r="AQ243" s="312">
        <f ca="1">SUM(AQ239:AQ242)</f>
        <v>3339.3536480000002</v>
      </c>
      <c r="AR243" s="216"/>
      <c r="AS243" s="312">
        <f ca="1">SUM(AS239:AS242)</f>
        <v>2726.6282080000001</v>
      </c>
      <c r="AT243" s="216"/>
      <c r="AU243" s="312">
        <f ca="1">SUM(AU239:AU242)</f>
        <v>428.90780800000005</v>
      </c>
      <c r="AV243" s="216"/>
      <c r="AW243" s="312">
        <f ca="1">SUM(AW239:AW242)</f>
        <v>4594.8600480000005</v>
      </c>
      <c r="AX243" s="216"/>
      <c r="AY243" s="312">
        <f ca="1">SUM(AY239:AY242)</f>
        <v>8564.0631480000011</v>
      </c>
      <c r="BA243" s="175"/>
      <c r="BB243" s="145"/>
      <c r="BC243" s="145"/>
      <c r="BD243" s="145"/>
    </row>
    <row r="244" spans="1:56" x14ac:dyDescent="0.2">
      <c r="A244" s="550"/>
      <c r="B244" s="480"/>
      <c r="F244" s="216"/>
      <c r="G244" s="139"/>
      <c r="H244" s="261"/>
      <c r="I244" s="216"/>
      <c r="J244" s="312"/>
      <c r="K244" s="385"/>
      <c r="L244" s="386"/>
      <c r="M244" s="387"/>
      <c r="N244" s="386"/>
      <c r="O244" s="387"/>
      <c r="P244" s="386"/>
      <c r="Q244" s="387"/>
      <c r="R244" s="386"/>
      <c r="S244" s="387"/>
      <c r="T244" s="386"/>
      <c r="U244" s="387"/>
      <c r="V244" s="386"/>
      <c r="W244" s="387"/>
      <c r="X244" s="386"/>
      <c r="Z244" s="175"/>
      <c r="AC244" s="216"/>
      <c r="AE244" s="239"/>
      <c r="AG244" s="312"/>
      <c r="AH244" s="385"/>
      <c r="AI244" s="386"/>
      <c r="AJ244" s="387"/>
      <c r="AK244" s="386"/>
      <c r="AL244" s="387"/>
      <c r="AM244" s="386"/>
      <c r="AN244" s="387"/>
      <c r="AO244" s="386"/>
      <c r="AP244" s="387"/>
      <c r="AQ244" s="386"/>
      <c r="AR244" s="387"/>
      <c r="AS244" s="386"/>
      <c r="AT244" s="387"/>
      <c r="AU244" s="386"/>
      <c r="AV244" s="387"/>
      <c r="AW244" s="386"/>
      <c r="AX244" s="387"/>
      <c r="AY244" s="386"/>
      <c r="BA244" s="175"/>
      <c r="BB244" s="145"/>
      <c r="BC244" s="145"/>
      <c r="BD244" s="145"/>
    </row>
    <row r="245" spans="1:56" x14ac:dyDescent="0.2">
      <c r="A245" s="550"/>
      <c r="B245" s="480"/>
      <c r="F245" s="390" t="s">
        <v>543</v>
      </c>
      <c r="G245" s="139"/>
      <c r="H245" s="261"/>
      <c r="I245" s="216"/>
      <c r="J245" s="312"/>
      <c r="K245" s="385"/>
      <c r="L245" s="386"/>
      <c r="M245" s="387"/>
      <c r="N245" s="386"/>
      <c r="O245" s="387"/>
      <c r="P245" s="386"/>
      <c r="Q245" s="387"/>
      <c r="R245" s="386"/>
      <c r="S245" s="387"/>
      <c r="T245" s="386"/>
      <c r="U245" s="387"/>
      <c r="V245" s="386"/>
      <c r="W245" s="387"/>
      <c r="X245" s="386"/>
      <c r="Z245" s="175"/>
      <c r="AC245" s="390" t="s">
        <v>543</v>
      </c>
      <c r="AE245" s="239"/>
      <c r="AG245" s="312"/>
      <c r="AH245" s="385"/>
      <c r="AI245" s="386"/>
      <c r="AJ245" s="387"/>
      <c r="AK245" s="386"/>
      <c r="AL245" s="387"/>
      <c r="AM245" s="386"/>
      <c r="AN245" s="387"/>
      <c r="AO245" s="386"/>
      <c r="AP245" s="387"/>
      <c r="AQ245" s="386"/>
      <c r="AR245" s="387"/>
      <c r="AS245" s="386"/>
      <c r="AT245" s="387"/>
      <c r="AU245" s="386"/>
      <c r="AV245" s="387"/>
      <c r="AW245" s="386"/>
      <c r="AX245" s="387"/>
      <c r="AY245" s="386"/>
      <c r="BA245" s="175"/>
      <c r="BB245" s="145"/>
      <c r="BC245" s="145"/>
      <c r="BD245" s="145"/>
    </row>
    <row r="246" spans="1:56" ht="14.25" customHeight="1" x14ac:dyDescent="0.2">
      <c r="A246" s="146"/>
      <c r="B246" s="146"/>
      <c r="D246" s="488">
        <v>408.1</v>
      </c>
      <c r="F246" s="216" t="s">
        <v>252</v>
      </c>
      <c r="G246" s="139"/>
      <c r="H246" s="261">
        <v>16</v>
      </c>
      <c r="I246" s="216"/>
      <c r="J246" s="312">
        <v>532600.49255681178</v>
      </c>
      <c r="K246" s="385"/>
      <c r="L246" s="260">
        <f>(VLOOKUP($H246,Factors,L$382))*$J246</f>
        <v>331916.6269614051</v>
      </c>
      <c r="M246" s="212"/>
      <c r="N246" s="260">
        <f>(VLOOKUP($H246,Factors,N$382))*$J246</f>
        <v>115521.04683557247</v>
      </c>
      <c r="O246" s="212"/>
      <c r="P246" s="260">
        <f>(VLOOKUP($H246,Factors,P$382))*$J246</f>
        <v>13261.752264664612</v>
      </c>
      <c r="Q246" s="212"/>
      <c r="R246" s="260">
        <f>(VLOOKUP($H246,Factors,R$382))*$J246</f>
        <v>35364.672705772304</v>
      </c>
      <c r="S246" s="212"/>
      <c r="T246" s="260">
        <f>(VLOOKUP($H246,Factors,T$382))*$J246</f>
        <v>8681.3880286760304</v>
      </c>
      <c r="U246" s="212"/>
      <c r="V246" s="260">
        <f>(VLOOKUP($H246,Factors,V$382))*$J246</f>
        <v>7509.6669450510462</v>
      </c>
      <c r="W246" s="212"/>
      <c r="X246" s="260">
        <f>(VLOOKUP($H246,Factors,X$382))*$J246</f>
        <v>20345.338815670209</v>
      </c>
      <c r="Y246" s="212"/>
      <c r="Z246" s="175"/>
      <c r="AC246" s="216" t="s">
        <v>252</v>
      </c>
      <c r="AE246" s="239">
        <f>+H246</f>
        <v>16</v>
      </c>
      <c r="AG246" s="312">
        <f>+J246</f>
        <v>532600.49255681178</v>
      </c>
      <c r="AH246" s="385"/>
      <c r="AI246" s="260">
        <f>(VLOOKUP($AE246,func,AI$382))*$AG246</f>
        <v>166011.57352995823</v>
      </c>
      <c r="AJ246" s="212"/>
      <c r="AK246" s="260">
        <f>(VLOOKUP($AE246,func,AK$382))*$AG246</f>
        <v>97093.069793106784</v>
      </c>
      <c r="AL246" s="212"/>
      <c r="AM246" s="260">
        <f>(VLOOKUP($AE246,func,AM$382))*$AG246</f>
        <v>24446.362608357664</v>
      </c>
      <c r="AN246" s="212"/>
      <c r="AO246" s="260">
        <f>(VLOOKUP($AE246,func,AO$382))*$AG246</f>
        <v>136825.06653784495</v>
      </c>
      <c r="AP246" s="212"/>
      <c r="AQ246" s="260">
        <f>(VLOOKUP($AE246,func,AQ$382))*$AG246</f>
        <v>29239.767041368967</v>
      </c>
      <c r="AR246" s="212"/>
      <c r="AS246" s="260">
        <f>(VLOOKUP($AE246,func,AS$382))*$AG246</f>
        <v>49638.365906294857</v>
      </c>
      <c r="AT246" s="212"/>
      <c r="AU246" s="260">
        <f>(VLOOKUP($AE246,func,AU$382))*$AG246</f>
        <v>1864.1017239488413</v>
      </c>
      <c r="AV246" s="212"/>
      <c r="AW246" s="260">
        <f>(VLOOKUP($AE246,func,AW$382))*$AG246</f>
        <v>7083.5865510055964</v>
      </c>
      <c r="AX246" s="212"/>
      <c r="AY246" s="260">
        <f>(VLOOKUP($AE246,func,AY$382))*$AG246</f>
        <v>20345.338815670209</v>
      </c>
      <c r="BA246" s="175"/>
      <c r="BB246" s="145"/>
      <c r="BC246" s="145"/>
      <c r="BD246" s="145"/>
    </row>
    <row r="247" spans="1:56" ht="15" customHeight="1" x14ac:dyDescent="0.2">
      <c r="A247" s="146"/>
      <c r="B247" s="146"/>
      <c r="D247" s="488">
        <v>408.1</v>
      </c>
      <c r="F247" s="216" t="s">
        <v>253</v>
      </c>
      <c r="G247" s="139"/>
      <c r="H247" s="261">
        <v>18</v>
      </c>
      <c r="I247" s="216"/>
      <c r="J247" s="312">
        <v>4455771.5391298449</v>
      </c>
      <c r="K247" s="385"/>
      <c r="L247" s="260">
        <f ca="1">(VLOOKUP($H247,Factors,L$382))*$J247</f>
        <v>2287593.108189262</v>
      </c>
      <c r="M247" s="212"/>
      <c r="N247" s="260">
        <f ca="1">(VLOOKUP($H247,Factors,N$382))*$J247</f>
        <v>1159391.7544815855</v>
      </c>
      <c r="O247" s="212"/>
      <c r="P247" s="260">
        <f ca="1">(VLOOKUP($H247,Factors,P$382))*$J247</f>
        <v>151496.23233041473</v>
      </c>
      <c r="Q247" s="212"/>
      <c r="R247" s="260">
        <f ca="1">(VLOOKUP($H247,Factors,R$382))*$J247</f>
        <v>382750.77521125367</v>
      </c>
      <c r="S247" s="212"/>
      <c r="T247" s="260">
        <f ca="1">(VLOOKUP($H247,Factors,T$382))*$J247</f>
        <v>93125.625167813749</v>
      </c>
      <c r="U247" s="212"/>
      <c r="V247" s="260">
        <f ca="1">(VLOOKUP($H247,Factors,V$382))*$J247</f>
        <v>133227.56901998236</v>
      </c>
      <c r="W247" s="212"/>
      <c r="X247" s="260">
        <f ca="1">(VLOOKUP($H247,Factors,X$382))*$J247</f>
        <v>248186.47472953235</v>
      </c>
      <c r="Y247" s="212"/>
      <c r="Z247" s="175"/>
      <c r="AC247" s="216" t="s">
        <v>253</v>
      </c>
      <c r="AE247" s="239">
        <f t="shared" ref="AE247:AE250" si="231">+H247</f>
        <v>18</v>
      </c>
      <c r="AG247" s="312">
        <f t="shared" ref="AG247:AG250" si="232">+J247</f>
        <v>4455771.5391298449</v>
      </c>
      <c r="AH247" s="385"/>
      <c r="AI247" s="260">
        <f ca="1">(VLOOKUP($AE247,func,AI$382))*$AG247</f>
        <v>1916427.3389797464</v>
      </c>
      <c r="AJ247" s="212"/>
      <c r="AK247" s="260">
        <f ca="1">(VLOOKUP($AE247,func,AK$382))*$AG247</f>
        <v>1021262.8367685603</v>
      </c>
      <c r="AL247" s="212"/>
      <c r="AM247" s="260">
        <f ca="1">(VLOOKUP($AE247,func,AM$382))*$AG247</f>
        <v>507066.80115297635</v>
      </c>
      <c r="AN247" s="212"/>
      <c r="AO247" s="260">
        <f ca="1">(VLOOKUP($AE247,func,AO$382))*$AG247</f>
        <v>443794.8452973325</v>
      </c>
      <c r="AP247" s="212"/>
      <c r="AQ247" s="260">
        <f ca="1">(VLOOKUP($AE247,func,AQ$382))*$AG247</f>
        <v>97135.819553030611</v>
      </c>
      <c r="AR247" s="212"/>
      <c r="AS247" s="260">
        <f ca="1">(VLOOKUP($AE247,func,AS$382))*$AG247</f>
        <v>79312.733396511234</v>
      </c>
      <c r="AT247" s="212"/>
      <c r="AU247" s="260">
        <f ca="1">(VLOOKUP($AE247,func,AU$382))*$AG247</f>
        <v>12476.160309563566</v>
      </c>
      <c r="AV247" s="212"/>
      <c r="AW247" s="260">
        <f ca="1">(VLOOKUP($AE247,func,AW$382))*$AG247</f>
        <v>130999.68325041744</v>
      </c>
      <c r="AX247" s="212"/>
      <c r="AY247" s="260">
        <f ca="1">(VLOOKUP($AE247,func,AY$382))*$AG247</f>
        <v>245958.58895996743</v>
      </c>
      <c r="BA247" s="175"/>
      <c r="BB247" s="145"/>
      <c r="BC247" s="145"/>
      <c r="BD247" s="145"/>
    </row>
    <row r="248" spans="1:56" ht="15" customHeight="1" x14ac:dyDescent="0.2">
      <c r="A248" s="146"/>
      <c r="B248" s="146"/>
      <c r="D248" s="488">
        <v>408.1</v>
      </c>
      <c r="F248" s="216" t="s">
        <v>674</v>
      </c>
      <c r="G248" s="139"/>
      <c r="H248" s="261">
        <v>18</v>
      </c>
      <c r="I248" s="216"/>
      <c r="J248" s="312">
        <v>2740.1800000000003</v>
      </c>
      <c r="K248" s="385"/>
      <c r="L248" s="260">
        <f ca="1">(VLOOKUP($H248,Factors,L$382))*$J248</f>
        <v>1406.8084120000001</v>
      </c>
      <c r="M248" s="212"/>
      <c r="N248" s="260">
        <f ca="1">(VLOOKUP($H248,Factors,N$382))*$J248</f>
        <v>712.99483600000008</v>
      </c>
      <c r="O248" s="212"/>
      <c r="P248" s="260">
        <f ca="1">(VLOOKUP($H248,Factors,P$382))*$J248</f>
        <v>93.166120000000021</v>
      </c>
      <c r="Q248" s="212"/>
      <c r="R248" s="260">
        <f ca="1">(VLOOKUP($H248,Factors,R$382))*$J248</f>
        <v>235.38146200000003</v>
      </c>
      <c r="S248" s="212"/>
      <c r="T248" s="260">
        <f ca="1">(VLOOKUP($H248,Factors,T$382))*$J248</f>
        <v>57.269762</v>
      </c>
      <c r="U248" s="212"/>
      <c r="V248" s="260">
        <f ca="1">(VLOOKUP($H248,Factors,V$382))*$J248</f>
        <v>81.931382000000013</v>
      </c>
      <c r="W248" s="212"/>
      <c r="X248" s="260">
        <f ca="1">(VLOOKUP($H248,Factors,X$382))*$J248</f>
        <v>152.62802600000001</v>
      </c>
      <c r="Y248" s="212"/>
      <c r="Z248" s="175"/>
      <c r="AC248" s="216" t="s">
        <v>674</v>
      </c>
      <c r="AE248" s="239">
        <f t="shared" ref="AE248" si="233">+H248</f>
        <v>18</v>
      </c>
      <c r="AG248" s="312">
        <f t="shared" ref="AG248" si="234">+J248</f>
        <v>2740.1800000000003</v>
      </c>
      <c r="AH248" s="385"/>
      <c r="AI248" s="260">
        <f ca="1">(VLOOKUP($AE248,func,AI$382))*$AG248</f>
        <v>1178.5514180000002</v>
      </c>
      <c r="AJ248" s="212"/>
      <c r="AK248" s="260">
        <f ca="1">(VLOOKUP($AE248,func,AK$382))*$AG248</f>
        <v>628.04925600000001</v>
      </c>
      <c r="AL248" s="212"/>
      <c r="AM248" s="260">
        <f ca="1">(VLOOKUP($AE248,func,AM$382))*$AG248</f>
        <v>311.83248400000002</v>
      </c>
      <c r="AN248" s="212"/>
      <c r="AO248" s="260">
        <f ca="1">(VLOOKUP($AE248,func,AO$382))*$AG248</f>
        <v>272.92192800000004</v>
      </c>
      <c r="AP248" s="212"/>
      <c r="AQ248" s="260">
        <f ca="1">(VLOOKUP($AE248,func,AQ$382))*$AG248</f>
        <v>59.735924000000004</v>
      </c>
      <c r="AR248" s="212"/>
      <c r="AS248" s="260">
        <f ca="1">(VLOOKUP($AE248,func,AS$382))*$AG248</f>
        <v>48.775204000000002</v>
      </c>
      <c r="AT248" s="212"/>
      <c r="AU248" s="260">
        <f ca="1">(VLOOKUP($AE248,func,AU$382))*$AG248</f>
        <v>7.6725040000000009</v>
      </c>
      <c r="AV248" s="212"/>
      <c r="AW248" s="260">
        <f ca="1">(VLOOKUP($AE248,func,AW$382))*$AG248</f>
        <v>80.561292000000009</v>
      </c>
      <c r="AX248" s="212"/>
      <c r="AY248" s="260">
        <f ca="1">(VLOOKUP($AE248,func,AY$382))*$AG248</f>
        <v>151.257936</v>
      </c>
      <c r="BA248" s="175"/>
      <c r="BB248" s="145"/>
      <c r="BC248" s="145"/>
      <c r="BD248" s="145"/>
    </row>
    <row r="249" spans="1:56" ht="14.25" customHeight="1" x14ac:dyDescent="0.2">
      <c r="A249" s="146"/>
      <c r="B249" s="146"/>
      <c r="D249" s="488">
        <v>408.1</v>
      </c>
      <c r="F249" s="646" t="s">
        <v>791</v>
      </c>
      <c r="G249" s="139"/>
      <c r="H249" s="261">
        <v>19</v>
      </c>
      <c r="I249" s="216"/>
      <c r="J249" s="647">
        <f>'AG Pres Wrk'!H9</f>
        <v>126987.843236</v>
      </c>
      <c r="K249" s="385"/>
      <c r="L249" s="260">
        <f ca="1">(VLOOKUP($H249,Factors,L$382))*$J249</f>
        <v>72332.275507225597</v>
      </c>
      <c r="M249" s="212"/>
      <c r="N249" s="260">
        <f ca="1">(VLOOKUP($H249,Factors,N$382))*$J249</f>
        <v>30413.588455022</v>
      </c>
      <c r="O249" s="212"/>
      <c r="P249" s="260">
        <f ca="1">(VLOOKUP($H249,Factors,P$382))*$J249</f>
        <v>3822.3340814035996</v>
      </c>
      <c r="Q249" s="212"/>
      <c r="R249" s="260">
        <f ca="1">(VLOOKUP($H249,Factors,R$382))*$J249</f>
        <v>9778.0639291719999</v>
      </c>
      <c r="S249" s="212"/>
      <c r="T249" s="260">
        <f ca="1">(VLOOKUP($H249,Factors,T$382))*$J249</f>
        <v>2450.8653744548001</v>
      </c>
      <c r="U249" s="212"/>
      <c r="V249" s="260">
        <f ca="1">(VLOOKUP($H249,Factors,V$382))*$J249</f>
        <v>2882.6240414572003</v>
      </c>
      <c r="W249" s="212"/>
      <c r="X249" s="260">
        <f ca="1">(VLOOKUP($H249,Factors,X$382))*$J249</f>
        <v>5308.0918472648</v>
      </c>
      <c r="Y249" s="212"/>
      <c r="Z249" s="175"/>
      <c r="AC249" s="216" t="s">
        <v>791</v>
      </c>
      <c r="AE249" s="239">
        <f t="shared" si="231"/>
        <v>19</v>
      </c>
      <c r="AG249" s="312">
        <f t="shared" si="232"/>
        <v>126987.843236</v>
      </c>
      <c r="AH249" s="385"/>
      <c r="AI249" s="260">
        <f ca="1">(VLOOKUP($AE249,func,AI$382))*$AG249</f>
        <v>52268.196275937597</v>
      </c>
      <c r="AJ249" s="212"/>
      <c r="AK249" s="260">
        <f ca="1">(VLOOKUP($AE249,func,AK$382))*$AG249</f>
        <v>23099.088684628401</v>
      </c>
      <c r="AL249" s="212"/>
      <c r="AM249" s="260">
        <f ca="1">(VLOOKUP($AE249,func,AM$382))*$AG249</f>
        <v>9841.5578507900009</v>
      </c>
      <c r="AN249" s="212"/>
      <c r="AO249" s="260">
        <f ca="1">(VLOOKUP($AE249,func,AO$382))*$AG249</f>
        <v>15365.529031556</v>
      </c>
      <c r="AP249" s="212"/>
      <c r="AQ249" s="260">
        <f ca="1">(VLOOKUP($AE249,func,AQ$382))*$AG249</f>
        <v>4508.0684348779996</v>
      </c>
      <c r="AR249" s="212"/>
      <c r="AS249" s="260">
        <f ca="1">(VLOOKUP($AE249,func,AS$382))*$AG249</f>
        <v>12101.941460390799</v>
      </c>
      <c r="AT249" s="212"/>
      <c r="AU249" s="260">
        <f ca="1">(VLOOKUP($AE249,func,AU$382))*$AG249</f>
        <v>1727.0346680096</v>
      </c>
      <c r="AV249" s="212"/>
      <c r="AW249" s="260">
        <f ca="1">(VLOOKUP($AE249,func,AW$382))*$AG249</f>
        <v>2793.7325511919998</v>
      </c>
      <c r="AX249" s="212"/>
      <c r="AY249" s="260">
        <f ca="1">(VLOOKUP($AE249,func,AY$382))*$AG249</f>
        <v>5282.6942786175996</v>
      </c>
      <c r="BA249" s="175"/>
      <c r="BB249" s="145"/>
      <c r="BC249" s="145"/>
      <c r="BD249" s="145"/>
    </row>
    <row r="250" spans="1:56" ht="14.25" customHeight="1" x14ac:dyDescent="0.2">
      <c r="A250" s="146"/>
      <c r="B250" s="146"/>
      <c r="D250" s="488">
        <v>412</v>
      </c>
      <c r="F250" s="216" t="s">
        <v>611</v>
      </c>
      <c r="G250" s="139"/>
      <c r="H250" s="261">
        <v>18</v>
      </c>
      <c r="I250" s="216"/>
      <c r="J250" s="312">
        <v>-84792</v>
      </c>
      <c r="K250" s="385"/>
      <c r="L250" s="260">
        <f ca="1">(VLOOKUP($H250,Factors,L$382))*$J250</f>
        <v>-43532.212799999994</v>
      </c>
      <c r="M250" s="212"/>
      <c r="N250" s="260">
        <f ca="1">(VLOOKUP($H250,Factors,N$382))*$J250</f>
        <v>-22062.878399999998</v>
      </c>
      <c r="O250" s="212"/>
      <c r="P250" s="260">
        <f ca="1">(VLOOKUP($H250,Factors,P$382))*$J250</f>
        <v>-2882.9280000000003</v>
      </c>
      <c r="Q250" s="212"/>
      <c r="R250" s="260">
        <f ca="1">(VLOOKUP($H250,Factors,R$382))*$J250</f>
        <v>-7283.6328000000003</v>
      </c>
      <c r="S250" s="212"/>
      <c r="T250" s="260">
        <f ca="1">(VLOOKUP($H250,Factors,T$382))*$J250</f>
        <v>-1772.1527999999998</v>
      </c>
      <c r="U250" s="212"/>
      <c r="V250" s="260">
        <f ca="1">(VLOOKUP($H250,Factors,V$382))*$J250</f>
        <v>-2535.2808</v>
      </c>
      <c r="W250" s="212"/>
      <c r="X250" s="260">
        <f ca="1">(VLOOKUP($H250,Factors,X$382))*$J250</f>
        <v>-4722.9143999999997</v>
      </c>
      <c r="Y250" s="212"/>
      <c r="Z250" s="175"/>
      <c r="AC250" s="216" t="s">
        <v>611</v>
      </c>
      <c r="AE250" s="239">
        <f t="shared" si="231"/>
        <v>18</v>
      </c>
      <c r="AG250" s="312">
        <f t="shared" si="232"/>
        <v>-84792</v>
      </c>
      <c r="AH250" s="385"/>
      <c r="AI250" s="260">
        <f ca="1">(VLOOKUP($AE250,func,AI$382))*$AG250</f>
        <v>-36469.039200000007</v>
      </c>
      <c r="AJ250" s="212"/>
      <c r="AK250" s="260">
        <f ca="1">(VLOOKUP($AE250,func,AK$382))*$AG250</f>
        <v>-19434.326399999998</v>
      </c>
      <c r="AL250" s="212"/>
      <c r="AM250" s="260">
        <f ca="1">(VLOOKUP($AE250,func,AM$382))*$AG250</f>
        <v>-9649.3295999999991</v>
      </c>
      <c r="AN250" s="212"/>
      <c r="AO250" s="260">
        <f ca="1">(VLOOKUP($AE250,func,AO$382))*$AG250</f>
        <v>-8445.2831999999999</v>
      </c>
      <c r="AP250" s="212"/>
      <c r="AQ250" s="260">
        <f ca="1">(VLOOKUP($AE250,func,AQ$382))*$AG250</f>
        <v>-1848.4656</v>
      </c>
      <c r="AR250" s="212"/>
      <c r="AS250" s="260">
        <f ca="1">(VLOOKUP($AE250,func,AS$382))*$AG250</f>
        <v>-1509.2975999999999</v>
      </c>
      <c r="AT250" s="212"/>
      <c r="AU250" s="260">
        <f ca="1">(VLOOKUP($AE250,func,AU$382))*$AG250</f>
        <v>-237.41759999999999</v>
      </c>
      <c r="AV250" s="212"/>
      <c r="AW250" s="260">
        <f ca="1">(VLOOKUP($AE250,func,AW$382))*$AG250</f>
        <v>-2492.8847999999998</v>
      </c>
      <c r="AX250" s="212"/>
      <c r="AY250" s="260">
        <f ca="1">(VLOOKUP($AE250,func,AY$382))*$AG250</f>
        <v>-4680.5183999999999</v>
      </c>
      <c r="BA250" s="175"/>
      <c r="BB250" s="145"/>
      <c r="BC250" s="145"/>
      <c r="BD250" s="145"/>
    </row>
    <row r="251" spans="1:56" x14ac:dyDescent="0.2">
      <c r="A251" s="550"/>
      <c r="B251" s="480"/>
      <c r="F251" s="216"/>
      <c r="G251" s="139"/>
      <c r="H251" s="261"/>
      <c r="I251" s="216"/>
      <c r="J251" s="389"/>
      <c r="K251" s="385"/>
      <c r="L251" s="549"/>
      <c r="M251" s="385"/>
      <c r="N251" s="549"/>
      <c r="O251" s="385"/>
      <c r="P251" s="549"/>
      <c r="Q251" s="385"/>
      <c r="R251" s="549"/>
      <c r="S251" s="385"/>
      <c r="T251" s="549"/>
      <c r="U251" s="385"/>
      <c r="V251" s="549"/>
      <c r="W251" s="385"/>
      <c r="X251" s="549"/>
      <c r="Y251" s="212"/>
      <c r="Z251" s="175"/>
      <c r="AC251" s="216"/>
      <c r="AE251" s="239"/>
      <c r="AG251" s="389"/>
      <c r="AH251" s="385"/>
      <c r="AI251" s="549"/>
      <c r="AJ251" s="385"/>
      <c r="AK251" s="549"/>
      <c r="AL251" s="385"/>
      <c r="AM251" s="549"/>
      <c r="AN251" s="385"/>
      <c r="AO251" s="549"/>
      <c r="AP251" s="385"/>
      <c r="AQ251" s="549"/>
      <c r="AR251" s="385"/>
      <c r="AS251" s="549"/>
      <c r="AT251" s="385"/>
      <c r="AU251" s="549"/>
      <c r="AV251" s="385"/>
      <c r="AW251" s="549"/>
      <c r="AX251" s="385"/>
      <c r="AY251" s="549"/>
      <c r="BA251" s="175"/>
      <c r="BB251" s="145"/>
      <c r="BC251" s="145"/>
      <c r="BD251" s="145"/>
    </row>
    <row r="252" spans="1:56" x14ac:dyDescent="0.2">
      <c r="A252" s="146"/>
      <c r="B252" s="557"/>
      <c r="F252" s="216"/>
      <c r="G252" s="139"/>
      <c r="H252" s="261"/>
      <c r="I252" s="216"/>
      <c r="J252" s="312"/>
      <c r="K252" s="385"/>
      <c r="L252" s="386"/>
      <c r="M252" s="385"/>
      <c r="N252" s="386"/>
      <c r="O252" s="385"/>
      <c r="P252" s="386"/>
      <c r="Q252" s="385"/>
      <c r="R252" s="386"/>
      <c r="S252" s="385"/>
      <c r="T252" s="386"/>
      <c r="U252" s="385"/>
      <c r="V252" s="386"/>
      <c r="W252" s="385"/>
      <c r="X252" s="386"/>
      <c r="Z252" s="175"/>
      <c r="AC252" s="216"/>
      <c r="AG252" s="312"/>
      <c r="AH252" s="385"/>
      <c r="AI252" s="386"/>
      <c r="AJ252" s="385"/>
      <c r="AK252" s="386"/>
      <c r="AL252" s="385"/>
      <c r="AM252" s="386"/>
      <c r="AN252" s="385"/>
      <c r="AO252" s="386"/>
      <c r="AP252" s="385"/>
      <c r="AQ252" s="386"/>
      <c r="AR252" s="385"/>
      <c r="AS252" s="386"/>
      <c r="AT252" s="385"/>
      <c r="AU252" s="386"/>
      <c r="AV252" s="385"/>
      <c r="AW252" s="386"/>
      <c r="AX252" s="385"/>
      <c r="AY252" s="386"/>
      <c r="BA252" s="175"/>
      <c r="BB252" s="145"/>
      <c r="BC252" s="145"/>
      <c r="BD252" s="145"/>
    </row>
    <row r="253" spans="1:56" x14ac:dyDescent="0.2">
      <c r="A253" s="146"/>
      <c r="B253" s="146"/>
      <c r="F253" s="216" t="s">
        <v>598</v>
      </c>
      <c r="G253" s="139"/>
      <c r="H253" s="261"/>
      <c r="I253" s="216"/>
      <c r="J253" s="312">
        <f>SUM(J246:J252)</f>
        <v>5033308.0549226562</v>
      </c>
      <c r="K253" s="216"/>
      <c r="L253" s="312">
        <f ca="1">SUM(L246:L252)</f>
        <v>2649716.6062698928</v>
      </c>
      <c r="M253" s="216"/>
      <c r="N253" s="312">
        <f ca="1">SUM(N246:N252)</f>
        <v>1283976.50620818</v>
      </c>
      <c r="O253" s="216"/>
      <c r="P253" s="312">
        <f ca="1">SUM(P246:P252)</f>
        <v>165790.55679648294</v>
      </c>
      <c r="Q253" s="216"/>
      <c r="R253" s="312">
        <f ca="1">SUM(R246:R252)</f>
        <v>420845.260508198</v>
      </c>
      <c r="S253" s="216"/>
      <c r="T253" s="312">
        <f ca="1">SUM(T246:T252)</f>
        <v>102542.99553294458</v>
      </c>
      <c r="U253" s="216"/>
      <c r="V253" s="312">
        <f ca="1">SUM(V246:V252)</f>
        <v>141166.51058849061</v>
      </c>
      <c r="W253" s="216"/>
      <c r="X253" s="312">
        <f ca="1">SUM(X246:X252)</f>
        <v>269269.61901846732</v>
      </c>
      <c r="Z253" s="175"/>
      <c r="AC253" s="216" t="s">
        <v>598</v>
      </c>
      <c r="AE253" s="239"/>
      <c r="AG253" s="312">
        <f>SUM(AG246:AG252)</f>
        <v>5033308.0549226562</v>
      </c>
      <c r="AH253" s="216"/>
      <c r="AI253" s="312">
        <f ca="1">SUM(AI246:AI252)</f>
        <v>2099416.6210036422</v>
      </c>
      <c r="AJ253" s="216"/>
      <c r="AK253" s="312">
        <f ca="1">SUM(AK246:AK252)</f>
        <v>1122648.7181022957</v>
      </c>
      <c r="AL253" s="216"/>
      <c r="AM253" s="312">
        <f ca="1">SUM(AM246:AM252)</f>
        <v>532017.22449612396</v>
      </c>
      <c r="AN253" s="216"/>
      <c r="AO253" s="312">
        <f ca="1">SUM(AO246:AO252)</f>
        <v>587813.07959473354</v>
      </c>
      <c r="AP253" s="216"/>
      <c r="AQ253" s="312">
        <f ca="1">SUM(AQ246:AQ252)</f>
        <v>129094.92535327758</v>
      </c>
      <c r="AR253" s="216"/>
      <c r="AS253" s="312">
        <f ca="1">SUM(AS246:AS252)</f>
        <v>139592.5183671969</v>
      </c>
      <c r="AT253" s="216"/>
      <c r="AU253" s="312">
        <f ca="1">SUM(AU246:AU252)</f>
        <v>15837.551605522007</v>
      </c>
      <c r="AW253" s="312">
        <f ca="1">SUM(AW246:AW252)</f>
        <v>138464.67884461503</v>
      </c>
      <c r="AY253" s="312">
        <f ca="1">SUM(AY246:AY252)</f>
        <v>267057.36159025528</v>
      </c>
      <c r="BA253" s="175"/>
      <c r="BB253" s="145"/>
      <c r="BC253" s="145"/>
      <c r="BD253" s="145"/>
    </row>
    <row r="254" spans="1:56" ht="14.25" customHeight="1" x14ac:dyDescent="0.2">
      <c r="A254" s="146"/>
      <c r="B254" s="146"/>
      <c r="F254" s="216"/>
      <c r="G254" s="139"/>
      <c r="H254" s="261"/>
      <c r="I254" s="216"/>
      <c r="J254" s="312"/>
      <c r="K254" s="385"/>
      <c r="L254" s="386"/>
      <c r="M254" s="387"/>
      <c r="N254" s="387"/>
      <c r="O254" s="387"/>
      <c r="P254" s="387"/>
      <c r="Q254" s="387"/>
      <c r="R254" s="387"/>
      <c r="S254" s="387"/>
      <c r="T254" s="387"/>
      <c r="U254" s="387"/>
      <c r="V254" s="387"/>
      <c r="W254" s="387"/>
      <c r="X254" s="387"/>
      <c r="Z254" s="175"/>
      <c r="AC254" s="216"/>
      <c r="AG254" s="312"/>
      <c r="AH254" s="385"/>
      <c r="AI254" s="386"/>
      <c r="AJ254" s="387"/>
      <c r="AK254" s="387"/>
      <c r="AL254" s="387"/>
      <c r="AM254" s="387"/>
      <c r="AN254" s="387"/>
      <c r="AO254" s="387"/>
      <c r="AP254" s="387"/>
      <c r="AQ254" s="387"/>
      <c r="AR254" s="387"/>
      <c r="AS254" s="387"/>
      <c r="AT254" s="387"/>
      <c r="AU254" s="387"/>
      <c r="AV254" s="146"/>
      <c r="AW254" s="146"/>
      <c r="AX254" s="146"/>
      <c r="AY254" s="146"/>
      <c r="BA254" s="175"/>
      <c r="BB254" s="145"/>
      <c r="BC254" s="145"/>
      <c r="BD254" s="145"/>
    </row>
    <row r="255" spans="1:56" x14ac:dyDescent="0.2">
      <c r="A255" s="146"/>
      <c r="B255" s="146"/>
      <c r="F255" s="216"/>
      <c r="G255" s="139"/>
      <c r="H255" s="261"/>
      <c r="I255" s="216"/>
      <c r="J255" s="312"/>
      <c r="K255" s="385"/>
      <c r="L255" s="386"/>
      <c r="M255" s="385"/>
      <c r="N255" s="386"/>
      <c r="O255" s="385"/>
      <c r="P255" s="386"/>
      <c r="Q255" s="385"/>
      <c r="R255" s="386"/>
      <c r="S255" s="385"/>
      <c r="T255" s="386"/>
      <c r="U255" s="385"/>
      <c r="V255" s="386"/>
      <c r="W255" s="385"/>
      <c r="X255" s="386"/>
      <c r="Z255" s="175"/>
      <c r="AC255" s="216"/>
      <c r="AG255" s="312"/>
      <c r="AH255" s="385"/>
      <c r="AI255" s="386"/>
      <c r="AJ255" s="385"/>
      <c r="AK255" s="386"/>
      <c r="AL255" s="385"/>
      <c r="AM255" s="386"/>
      <c r="AN255" s="385"/>
      <c r="AO255" s="386"/>
      <c r="AP255" s="385"/>
      <c r="AQ255" s="386"/>
      <c r="AR255" s="385"/>
      <c r="AS255" s="386"/>
      <c r="AT255" s="385"/>
      <c r="AU255" s="386"/>
      <c r="AV255" s="146"/>
      <c r="AW255" s="386"/>
      <c r="AX255" s="146"/>
      <c r="AY255" s="386"/>
      <c r="BA255" s="175"/>
      <c r="BB255" s="145"/>
      <c r="BC255" s="145"/>
      <c r="BD255" s="145"/>
    </row>
    <row r="256" spans="1:56" ht="13.5" customHeight="1" x14ac:dyDescent="0.2">
      <c r="A256" s="146"/>
      <c r="B256" s="146"/>
      <c r="C256" s="480"/>
      <c r="D256" s="491"/>
      <c r="E256" s="260"/>
      <c r="F256" s="650" t="s">
        <v>544</v>
      </c>
      <c r="G256" s="139"/>
      <c r="H256" s="261">
        <v>18</v>
      </c>
      <c r="I256" s="216"/>
      <c r="J256" s="647">
        <f>'AG Pres Wrk'!H14+'AG Pres Wrk'!H15</f>
        <v>8506716.9127834328</v>
      </c>
      <c r="K256" s="146"/>
      <c r="L256" s="260">
        <f ca="1">(VLOOKUP($H256,Factors,L$382))*$J256</f>
        <v>4367348.4630230144</v>
      </c>
      <c r="M256" s="212"/>
      <c r="N256" s="260">
        <f ca="1">(VLOOKUP($H256,Factors,N$382))*$J256</f>
        <v>2213447.7407062491</v>
      </c>
      <c r="O256" s="212"/>
      <c r="P256" s="260">
        <f ca="1">(VLOOKUP($H256,Factors,P$382))*$J256</f>
        <v>289228.37503463676</v>
      </c>
      <c r="Q256" s="212"/>
      <c r="R256" s="260">
        <f ca="1">(VLOOKUP($H256,Factors,R$382))*$J256</f>
        <v>730726.98280809692</v>
      </c>
      <c r="S256" s="212"/>
      <c r="T256" s="260">
        <f ca="1">(VLOOKUP($H256,Factors,T$382))*$J256</f>
        <v>177790.38347717375</v>
      </c>
      <c r="U256" s="212"/>
      <c r="V256" s="260">
        <f ca="1">(VLOOKUP($H256,Factors,V$382))*$J256</f>
        <v>254350.83569222465</v>
      </c>
      <c r="W256" s="212"/>
      <c r="X256" s="260">
        <f ca="1">(VLOOKUP($H256,Factors,X$382))*$J256</f>
        <v>473824.13204203721</v>
      </c>
      <c r="Y256" s="212"/>
      <c r="Z256" s="175"/>
      <c r="AC256" s="391" t="s">
        <v>544</v>
      </c>
      <c r="AE256" s="239">
        <f>+H256</f>
        <v>18</v>
      </c>
      <c r="AG256" s="312">
        <f>+J256</f>
        <v>8506716.9127834328</v>
      </c>
      <c r="AH256" s="146"/>
      <c r="AI256" s="260">
        <f ca="1">(VLOOKUP($AE256,func,AI$382))*$AG256</f>
        <v>3658738.9441881548</v>
      </c>
      <c r="AJ256" s="212"/>
      <c r="AK256" s="260">
        <f ca="1">(VLOOKUP($AE256,func,AK$382))*$AG256</f>
        <v>1949739.5164099627</v>
      </c>
      <c r="AL256" s="212"/>
      <c r="AM256" s="260">
        <f ca="1">(VLOOKUP($AE256,func,AM$382))*$AG256</f>
        <v>968064.38467475458</v>
      </c>
      <c r="AN256" s="212"/>
      <c r="AO256" s="260">
        <f ca="1">(VLOOKUP($AE256,func,AO$382))*$AG256</f>
        <v>847269.00451322983</v>
      </c>
      <c r="AP256" s="212"/>
      <c r="AQ256" s="260">
        <f ca="1">(VLOOKUP($AE256,func,AQ$382))*$AG256</f>
        <v>185446.42869867882</v>
      </c>
      <c r="AR256" s="212"/>
      <c r="AS256" s="260">
        <f ca="1">(VLOOKUP($AE256,func,AS$382))*$AG256</f>
        <v>151419.56104754511</v>
      </c>
      <c r="AT256" s="212"/>
      <c r="AU256" s="260">
        <f ca="1">(VLOOKUP($AE256,func,AU$382))*$AG256</f>
        <v>23818.807355793611</v>
      </c>
      <c r="AV256" s="262"/>
      <c r="AW256" s="262">
        <f ca="1">(VLOOKUP($AE256,func,AW$382))*$AG256</f>
        <v>250097.47723583292</v>
      </c>
      <c r="AX256" s="262"/>
      <c r="AY256" s="262">
        <f ca="1">(VLOOKUP($AE256,func,AY$382))*$AG256</f>
        <v>469570.77358564548</v>
      </c>
      <c r="BA256" s="175"/>
      <c r="BB256" s="145"/>
      <c r="BC256" s="145"/>
      <c r="BD256" s="145"/>
    </row>
    <row r="257" spans="1:56" ht="11.85" customHeight="1" x14ac:dyDescent="0.2">
      <c r="A257" s="146"/>
      <c r="B257" s="146"/>
      <c r="C257" s="480"/>
      <c r="D257" s="491"/>
      <c r="E257" s="260"/>
      <c r="F257" s="216"/>
      <c r="G257" s="139"/>
      <c r="H257" s="261"/>
      <c r="I257" s="216"/>
      <c r="J257" s="312"/>
      <c r="K257" s="146"/>
      <c r="L257" s="386"/>
      <c r="M257" s="387"/>
      <c r="N257" s="386"/>
      <c r="O257" s="387"/>
      <c r="P257" s="386"/>
      <c r="Q257" s="387"/>
      <c r="R257" s="386"/>
      <c r="S257" s="387"/>
      <c r="T257" s="386"/>
      <c r="U257" s="387"/>
      <c r="V257" s="386"/>
      <c r="W257" s="387"/>
      <c r="X257" s="386"/>
      <c r="Z257" s="175"/>
      <c r="AC257" s="216"/>
      <c r="AE257" s="239"/>
      <c r="AG257" s="312"/>
      <c r="AH257" s="146"/>
      <c r="AI257" s="386"/>
      <c r="AJ257" s="387"/>
      <c r="AK257" s="386"/>
      <c r="AL257" s="387"/>
      <c r="AM257" s="386"/>
      <c r="AN257" s="387"/>
      <c r="AO257" s="386"/>
      <c r="AP257" s="387"/>
      <c r="AQ257" s="386"/>
      <c r="AR257" s="387"/>
      <c r="AS257" s="386"/>
      <c r="AT257" s="387"/>
      <c r="AU257" s="386"/>
      <c r="AV257" s="386"/>
      <c r="AW257" s="386"/>
      <c r="AX257" s="386"/>
      <c r="AY257" s="386"/>
      <c r="BA257" s="175"/>
      <c r="BB257" s="145"/>
      <c r="BC257" s="145"/>
      <c r="BD257" s="145"/>
    </row>
    <row r="258" spans="1:56" ht="12.2" customHeight="1" x14ac:dyDescent="0.2">
      <c r="A258" s="146"/>
      <c r="B258" s="146"/>
      <c r="C258" s="478"/>
      <c r="F258" s="650" t="s">
        <v>254</v>
      </c>
      <c r="G258" s="139"/>
      <c r="H258" s="261"/>
      <c r="I258" s="216"/>
      <c r="J258" s="312"/>
      <c r="K258" s="146"/>
      <c r="L258" s="386"/>
      <c r="M258" s="146"/>
      <c r="N258" s="387"/>
      <c r="O258" s="146"/>
      <c r="P258" s="387"/>
      <c r="Q258" s="146"/>
      <c r="R258" s="387"/>
      <c r="S258" s="146"/>
      <c r="T258" s="387"/>
      <c r="U258" s="146"/>
      <c r="V258" s="387"/>
      <c r="W258" s="146"/>
      <c r="X258" s="387"/>
      <c r="Z258" s="175"/>
      <c r="AC258" s="391" t="s">
        <v>254</v>
      </c>
      <c r="AG258" s="312"/>
      <c r="AH258" s="146"/>
      <c r="AI258" s="386"/>
      <c r="AJ258" s="146"/>
      <c r="AK258" s="387"/>
      <c r="AL258" s="146"/>
      <c r="AM258" s="387"/>
      <c r="AN258" s="146"/>
      <c r="AO258" s="387"/>
      <c r="AP258" s="146"/>
      <c r="AQ258" s="387"/>
      <c r="AR258" s="146"/>
      <c r="AS258" s="387"/>
      <c r="AT258" s="146"/>
      <c r="AU258" s="387"/>
      <c r="AV258" s="146"/>
      <c r="AW258" s="387"/>
      <c r="AX258" s="146"/>
      <c r="AY258" s="387"/>
      <c r="BA258" s="175"/>
      <c r="BB258" s="145"/>
      <c r="BC258" s="145"/>
      <c r="BD258" s="145"/>
    </row>
    <row r="259" spans="1:56" x14ac:dyDescent="0.2">
      <c r="A259" s="146"/>
      <c r="B259" s="146"/>
      <c r="C259" s="480"/>
      <c r="D259" s="492"/>
      <c r="E259" s="480"/>
      <c r="F259" s="650" t="s">
        <v>255</v>
      </c>
      <c r="G259" s="139"/>
      <c r="H259" s="261">
        <v>18</v>
      </c>
      <c r="I259" s="216"/>
      <c r="J259" s="651">
        <f>'AG Pres Wrk'!H17</f>
        <v>25409481.467122566</v>
      </c>
      <c r="K259" s="146"/>
      <c r="L259" s="549">
        <f ca="1">(VLOOKUP($H259,Factors,L$382))*$J259</f>
        <v>13045227.785220725</v>
      </c>
      <c r="M259" s="146"/>
      <c r="N259" s="549">
        <f ca="1">(VLOOKUP($H259,Factors,N$382))*$J259</f>
        <v>6611547.0777452914</v>
      </c>
      <c r="O259" s="146"/>
      <c r="P259" s="549">
        <f ca="1">(VLOOKUP($H259,Factors,P$382))*$J259</f>
        <v>863922.36988216732</v>
      </c>
      <c r="Q259" s="146"/>
      <c r="R259" s="549">
        <f ca="1">(VLOOKUP($H259,Factors,R$382))*$J259</f>
        <v>2182674.4580258285</v>
      </c>
      <c r="S259" s="146"/>
      <c r="T259" s="549">
        <f ca="1">(VLOOKUP($H259,Factors,T$382))*$J259</f>
        <v>531058.16266286164</v>
      </c>
      <c r="U259" s="146"/>
      <c r="V259" s="549">
        <f ca="1">(VLOOKUP($H259,Factors,V$382))*$J259</f>
        <v>759743.49586696469</v>
      </c>
      <c r="W259" s="146"/>
      <c r="X259" s="549">
        <f ca="1">(VLOOKUP($H259,Factors,X$382))*$J259</f>
        <v>1415308.1177187269</v>
      </c>
      <c r="Y259" s="212"/>
      <c r="Z259" s="175"/>
      <c r="AC259" s="391" t="s">
        <v>255</v>
      </c>
      <c r="AE259" s="239">
        <f>+H259</f>
        <v>18</v>
      </c>
      <c r="AG259" s="389">
        <f>+J259</f>
        <v>25409481.467122566</v>
      </c>
      <c r="AH259" s="146"/>
      <c r="AI259" s="549">
        <f ca="1">(VLOOKUP($AE259,func,AI$382))*$AG259</f>
        <v>10928617.979009416</v>
      </c>
      <c r="AJ259" s="146"/>
      <c r="AK259" s="549">
        <f ca="1">(VLOOKUP($AE259,func,AK$382))*$AG259</f>
        <v>5823853.1522644917</v>
      </c>
      <c r="AL259" s="146"/>
      <c r="AM259" s="549">
        <f ca="1">(VLOOKUP($AE259,func,AM$382))*$AG259</f>
        <v>2891598.9909585482</v>
      </c>
      <c r="AN259" s="146"/>
      <c r="AO259" s="549">
        <f ca="1">(VLOOKUP($AE259,func,AO$382))*$AG259</f>
        <v>2530784.3541254075</v>
      </c>
      <c r="AP259" s="146"/>
      <c r="AQ259" s="549">
        <f ca="1">(VLOOKUP($AE259,func,AQ$382))*$AG259</f>
        <v>553926.69598327193</v>
      </c>
      <c r="AR259" s="146"/>
      <c r="AS259" s="549">
        <f ca="1">(VLOOKUP($AE259,func,AS$382))*$AG259</f>
        <v>452288.77011478168</v>
      </c>
      <c r="AT259" s="146"/>
      <c r="AU259" s="549">
        <f ca="1">(VLOOKUP($AE259,func,AU$382))*$AG259</f>
        <v>71146.548107943177</v>
      </c>
      <c r="AW259" s="509">
        <f ca="1">(VLOOKUP($AE259,func,AW$382))*$AG259</f>
        <v>747038.75513340347</v>
      </c>
      <c r="AY259" s="509">
        <f ca="1">(VLOOKUP($AE259,func,AY$382))*$AG259</f>
        <v>1402603.3769851655</v>
      </c>
      <c r="BA259" s="175"/>
      <c r="BB259" s="145"/>
      <c r="BC259" s="145"/>
      <c r="BD259" s="145"/>
    </row>
    <row r="260" spans="1:56" x14ac:dyDescent="0.2">
      <c r="A260" s="146"/>
      <c r="B260" s="146"/>
      <c r="F260" s="391"/>
      <c r="G260" s="139"/>
      <c r="H260" s="261"/>
      <c r="I260" s="216"/>
      <c r="J260" s="312"/>
      <c r="K260" s="385"/>
      <c r="L260" s="558"/>
      <c r="M260" s="385"/>
      <c r="N260" s="558"/>
      <c r="O260" s="385"/>
      <c r="P260" s="558"/>
      <c r="Q260" s="385"/>
      <c r="R260" s="558"/>
      <c r="S260" s="385"/>
      <c r="T260" s="558"/>
      <c r="U260" s="385"/>
      <c r="V260" s="558"/>
      <c r="W260" s="385"/>
      <c r="X260" s="558"/>
      <c r="Z260" s="175"/>
      <c r="AC260" s="391"/>
      <c r="AE260" s="205"/>
      <c r="AG260" s="312"/>
      <c r="AH260" s="385"/>
      <c r="AI260" s="558"/>
      <c r="AJ260" s="385"/>
      <c r="AK260" s="558"/>
      <c r="AL260" s="385"/>
      <c r="AM260" s="558"/>
      <c r="AN260" s="385"/>
      <c r="AO260" s="558"/>
      <c r="AP260" s="385"/>
      <c r="AQ260" s="558"/>
      <c r="AR260" s="385"/>
      <c r="AS260" s="558"/>
      <c r="AT260" s="385"/>
      <c r="AU260" s="558"/>
      <c r="AV260" s="146"/>
      <c r="AW260" s="386"/>
      <c r="AX260" s="146"/>
      <c r="AY260" s="386"/>
      <c r="BA260" s="175"/>
      <c r="BB260" s="145"/>
      <c r="BC260" s="145"/>
      <c r="BD260" s="145"/>
    </row>
    <row r="261" spans="1:56" ht="12" customHeight="1" x14ac:dyDescent="0.2">
      <c r="A261" s="146"/>
      <c r="B261" s="146"/>
      <c r="F261" s="391" t="s">
        <v>597</v>
      </c>
      <c r="G261" s="139"/>
      <c r="H261" s="261"/>
      <c r="I261" s="216"/>
      <c r="J261" s="312">
        <f>J173+J236+J253+J256+J259+J243</f>
        <v>86410095.87473616</v>
      </c>
      <c r="K261" s="216"/>
      <c r="L261" s="312">
        <f ca="1">L173+L236+L253+L256+L259+L243</f>
        <v>49208550.187562063</v>
      </c>
      <c r="M261" s="216"/>
      <c r="N261" s="312">
        <f ca="1">N173+N236+N253+N256+N259+N243</f>
        <v>20696833.611475892</v>
      </c>
      <c r="O261" s="216"/>
      <c r="P261" s="312">
        <f ca="1">P173+P236+P253+P256+P259+P243</f>
        <v>2601913.9841172495</v>
      </c>
      <c r="Q261" s="216"/>
      <c r="R261" s="312">
        <f ca="1">R173+R236+R253+R256+R259+R243</f>
        <v>6656844.298191743</v>
      </c>
      <c r="S261" s="216"/>
      <c r="T261" s="312">
        <f ca="1">T173+T236+T253+T256+T259+T243</f>
        <v>1668077.7729994813</v>
      </c>
      <c r="U261" s="216"/>
      <c r="V261" s="312">
        <f ca="1">V173+V236+V253+V256+V259+V243</f>
        <v>1962037.0439679825</v>
      </c>
      <c r="W261" s="216"/>
      <c r="X261" s="312">
        <f ca="1">X173+X236+X253+X256+X259+X243</f>
        <v>3615838.9764217427</v>
      </c>
      <c r="Y261" s="145"/>
      <c r="Z261" s="175"/>
      <c r="AA261" s="145">
        <f ca="1">SUM(L261:X261)</f>
        <v>86410095.87473616</v>
      </c>
      <c r="AC261" s="391" t="s">
        <v>597</v>
      </c>
      <c r="AG261" s="312">
        <f>AG173+AG236+AG253+AG256+AG259+AG243</f>
        <v>86410095.87473616</v>
      </c>
      <c r="AH261" s="216"/>
      <c r="AI261" s="312">
        <f ca="1">AI173+AI236+AI253+AI256+AI259+AI243</f>
        <v>35555971.835764796</v>
      </c>
      <c r="AJ261" s="216"/>
      <c r="AK261" s="312">
        <f ca="1">AK173+AK236+AK253+AK256+AK259+AK243</f>
        <v>15721220.185381012</v>
      </c>
      <c r="AL261" s="216"/>
      <c r="AM261" s="312">
        <f ca="1">AM173+AM236+AM253+AM256+AM259+AM243</f>
        <v>6694207.7479663463</v>
      </c>
      <c r="AN261" s="216"/>
      <c r="AO261" s="312">
        <f ca="1">AO173+AO236+AO253+AO256+AO259+AO243</f>
        <v>10457204.400815843</v>
      </c>
      <c r="AP261" s="216"/>
      <c r="AQ261" s="312">
        <f ca="1">AQ173+AQ236+AQ253+AQ256+AQ259+AQ243</f>
        <v>3069025.1797776683</v>
      </c>
      <c r="AR261" s="216"/>
      <c r="AS261" s="312">
        <f ca="1">AS173+AS236+AS253+AS256+AS259+AS243</f>
        <v>8231264.9339862894</v>
      </c>
      <c r="AT261" s="216"/>
      <c r="AU261" s="312">
        <f ca="1">AU173+AU236+AU253+AU256+AU259+AU243</f>
        <v>1173709.8361929317</v>
      </c>
      <c r="AW261" s="312">
        <f ca="1">AW173+AW236+AW253+AW256+AW259+AW243</f>
        <v>1900814.5104015328</v>
      </c>
      <c r="AY261" s="312">
        <f ca="1">AY173+AY236+AY253+AY256+AY259+AY243</f>
        <v>3592335.7591897915</v>
      </c>
      <c r="BA261" s="175"/>
      <c r="BB261" s="145"/>
      <c r="BC261" s="145"/>
      <c r="BD261" s="145"/>
    </row>
    <row r="262" spans="1:56" ht="10.35" customHeight="1" x14ac:dyDescent="0.2">
      <c r="A262" s="146"/>
      <c r="B262" s="146"/>
      <c r="F262" s="216"/>
      <c r="G262" s="139"/>
      <c r="H262" s="261"/>
      <c r="I262" s="216"/>
      <c r="J262" s="312"/>
      <c r="K262" s="146"/>
      <c r="L262" s="386"/>
      <c r="M262" s="146"/>
      <c r="N262" s="387"/>
      <c r="O262" s="146"/>
      <c r="P262" s="387"/>
      <c r="Q262" s="146"/>
      <c r="R262" s="387"/>
      <c r="S262" s="146"/>
      <c r="T262" s="387"/>
      <c r="U262" s="146"/>
      <c r="V262" s="387"/>
      <c r="W262" s="146"/>
      <c r="X262" s="387"/>
      <c r="Y262" s="145"/>
      <c r="Z262" s="175"/>
      <c r="AC262" s="216"/>
      <c r="AG262" s="312"/>
      <c r="AH262" s="146"/>
      <c r="AI262" s="386"/>
      <c r="AJ262" s="146"/>
      <c r="AK262" s="387"/>
      <c r="AL262" s="146"/>
      <c r="AM262" s="387"/>
      <c r="AN262" s="146"/>
      <c r="AO262" s="387"/>
      <c r="AP262" s="146"/>
      <c r="AQ262" s="387"/>
      <c r="AR262" s="146"/>
      <c r="AS262" s="387"/>
      <c r="AT262" s="146"/>
      <c r="AU262" s="387"/>
      <c r="AV262" s="146"/>
      <c r="AW262" s="146"/>
      <c r="AX262" s="146"/>
      <c r="AY262" s="146"/>
      <c r="BA262" s="175"/>
      <c r="BB262" s="145"/>
      <c r="BC262" s="145"/>
      <c r="BD262" s="145"/>
    </row>
    <row r="263" spans="1:56" x14ac:dyDescent="0.2">
      <c r="A263" s="146"/>
      <c r="B263" s="146"/>
      <c r="F263" s="216" t="s">
        <v>677</v>
      </c>
      <c r="G263" s="139"/>
      <c r="H263" s="261">
        <v>19</v>
      </c>
      <c r="I263" s="216"/>
      <c r="J263" s="312">
        <v>60000</v>
      </c>
      <c r="K263" s="146"/>
      <c r="L263" s="260">
        <f t="shared" ref="L263:L270" ca="1" si="235">(VLOOKUP($H263,Factors,L$382))*$J263</f>
        <v>34176</v>
      </c>
      <c r="M263" s="212"/>
      <c r="N263" s="260">
        <f t="shared" ref="N263:N270" ca="1" si="236">(VLOOKUP($H263,Factors,N$382))*$J263</f>
        <v>14370</v>
      </c>
      <c r="O263" s="212"/>
      <c r="P263" s="260">
        <f t="shared" ref="P263:P270" ca="1" si="237">(VLOOKUP($H263,Factors,P$382))*$J263</f>
        <v>1806</v>
      </c>
      <c r="Q263" s="212"/>
      <c r="R263" s="260">
        <f t="shared" ref="R263:R270" ca="1" si="238">(VLOOKUP($H263,Factors,R$382))*$J263</f>
        <v>4620</v>
      </c>
      <c r="S263" s="212"/>
      <c r="T263" s="260">
        <f t="shared" ref="T263:T270" ca="1" si="239">(VLOOKUP($H263,Factors,T$382))*$J263</f>
        <v>1158</v>
      </c>
      <c r="U263" s="212"/>
      <c r="V263" s="260">
        <f t="shared" ref="V263:V270" ca="1" si="240">(VLOOKUP($H263,Factors,V$382))*$J263</f>
        <v>1362</v>
      </c>
      <c r="W263" s="212"/>
      <c r="X263" s="260">
        <f t="shared" ref="X263:X270" ca="1" si="241">(VLOOKUP($H263,Factors,X$382))*$J263</f>
        <v>2508</v>
      </c>
      <c r="Y263" s="212"/>
      <c r="Z263" s="175"/>
      <c r="AC263" s="216" t="s">
        <v>677</v>
      </c>
      <c r="AE263" s="239">
        <f t="shared" ref="AE263:AE270" si="242">+H263</f>
        <v>19</v>
      </c>
      <c r="AG263" s="312">
        <f t="shared" ref="AG263:AG270" si="243">+J263</f>
        <v>60000</v>
      </c>
      <c r="AH263" s="146"/>
      <c r="AI263" s="260">
        <f t="shared" ref="AI263:AW270" ca="1" si="244">(VLOOKUP($AE263,func,AI$382))*$AG263</f>
        <v>24695.999999999996</v>
      </c>
      <c r="AJ263" s="212"/>
      <c r="AK263" s="260">
        <f t="shared" ref="AK263:AK269" ca="1" si="245">(VLOOKUP($AE263,func,AK$382))*$AG263</f>
        <v>10914</v>
      </c>
      <c r="AL263" s="212"/>
      <c r="AM263" s="260">
        <f t="shared" ref="AM263:AM269" ca="1" si="246">(VLOOKUP($AE263,func,AM$382))*$AG263</f>
        <v>4650</v>
      </c>
      <c r="AN263" s="212"/>
      <c r="AO263" s="260">
        <f t="shared" ref="AO263:AO269" ca="1" si="247">(VLOOKUP($AE263,func,AO$382))*$AG263</f>
        <v>7260</v>
      </c>
      <c r="AP263" s="212"/>
      <c r="AQ263" s="260">
        <f t="shared" ref="AQ263:AQ269" ca="1" si="248">(VLOOKUP($AE263,func,AQ$382))*$AG263</f>
        <v>2130</v>
      </c>
      <c r="AR263" s="212"/>
      <c r="AS263" s="260">
        <f t="shared" ref="AS263:AS269" ca="1" si="249">(VLOOKUP($AE263,func,AS$382))*$AG263</f>
        <v>5718</v>
      </c>
      <c r="AT263" s="212"/>
      <c r="AU263" s="260">
        <f t="shared" ref="AU263:AU269" ca="1" si="250">(VLOOKUP($AE263,func,AU$382))*$AG263</f>
        <v>816</v>
      </c>
      <c r="AV263" s="262"/>
      <c r="AW263" s="262">
        <f t="shared" ref="AW263:AW269" ca="1" si="251">(VLOOKUP($AE263,func,AW$382))*$AG263</f>
        <v>1320</v>
      </c>
      <c r="AX263" s="262"/>
      <c r="AY263" s="262">
        <f t="shared" ref="AY263:AY270" ca="1" si="252">(VLOOKUP($AE263,func,AY$382))*$AG263</f>
        <v>2496</v>
      </c>
      <c r="BA263" s="175"/>
      <c r="BB263" s="145"/>
      <c r="BC263" s="145"/>
      <c r="BD263" s="145"/>
    </row>
    <row r="264" spans="1:56" x14ac:dyDescent="0.2">
      <c r="A264" s="146"/>
      <c r="B264" s="146"/>
      <c r="F264" s="216" t="s">
        <v>678</v>
      </c>
      <c r="G264" s="139"/>
      <c r="H264" s="261">
        <v>19</v>
      </c>
      <c r="I264" s="216"/>
      <c r="J264" s="312">
        <v>91800</v>
      </c>
      <c r="K264" s="146"/>
      <c r="L264" s="260">
        <f t="shared" ca="1" si="235"/>
        <v>52289.279999999999</v>
      </c>
      <c r="M264" s="212"/>
      <c r="N264" s="260">
        <f t="shared" ca="1" si="236"/>
        <v>21986.1</v>
      </c>
      <c r="O264" s="212"/>
      <c r="P264" s="260">
        <f t="shared" ca="1" si="237"/>
        <v>2763.18</v>
      </c>
      <c r="Q264" s="212"/>
      <c r="R264" s="260">
        <f t="shared" ca="1" si="238"/>
        <v>7068.5999999999995</v>
      </c>
      <c r="S264" s="212"/>
      <c r="T264" s="260">
        <f t="shared" ca="1" si="239"/>
        <v>1771.74</v>
      </c>
      <c r="U264" s="212"/>
      <c r="V264" s="260">
        <f t="shared" ca="1" si="240"/>
        <v>2083.86</v>
      </c>
      <c r="W264" s="212"/>
      <c r="X264" s="260">
        <f t="shared" ca="1" si="241"/>
        <v>3837.24</v>
      </c>
      <c r="Y264" s="212"/>
      <c r="Z264" s="175"/>
      <c r="AC264" s="216" t="s">
        <v>678</v>
      </c>
      <c r="AE264" s="239">
        <f t="shared" ref="AE264:AE267" si="253">+H264</f>
        <v>19</v>
      </c>
      <c r="AG264" s="312">
        <f t="shared" ref="AG264:AG267" si="254">+J264</f>
        <v>91800</v>
      </c>
      <c r="AH264" s="146"/>
      <c r="AI264" s="260">
        <f t="shared" ca="1" si="244"/>
        <v>37784.879999999997</v>
      </c>
      <c r="AJ264" s="212"/>
      <c r="AK264" s="260">
        <f t="shared" ca="1" si="245"/>
        <v>16698.420000000002</v>
      </c>
      <c r="AL264" s="212"/>
      <c r="AM264" s="260">
        <f t="shared" ca="1" si="246"/>
        <v>7114.5</v>
      </c>
      <c r="AN264" s="212"/>
      <c r="AO264" s="260">
        <f t="shared" ca="1" si="247"/>
        <v>11107.8</v>
      </c>
      <c r="AP264" s="212"/>
      <c r="AQ264" s="260">
        <f t="shared" ca="1" si="248"/>
        <v>3258.8999999999996</v>
      </c>
      <c r="AR264" s="212"/>
      <c r="AS264" s="260">
        <f t="shared" ca="1" si="249"/>
        <v>8748.5399999999991</v>
      </c>
      <c r="AT264" s="212"/>
      <c r="AU264" s="260">
        <f t="shared" ca="1" si="250"/>
        <v>1248.48</v>
      </c>
      <c r="AV264" s="262"/>
      <c r="AW264" s="262">
        <f t="shared" ca="1" si="251"/>
        <v>2019.6</v>
      </c>
      <c r="AX264" s="262"/>
      <c r="AY264" s="262">
        <f t="shared" ca="1" si="252"/>
        <v>3818.8799999999997</v>
      </c>
      <c r="BA264" s="175"/>
      <c r="BB264" s="145"/>
      <c r="BC264" s="145"/>
      <c r="BD264" s="145"/>
    </row>
    <row r="265" spans="1:56" x14ac:dyDescent="0.2">
      <c r="A265" s="146"/>
      <c r="B265" s="146"/>
      <c r="F265" s="216" t="s">
        <v>679</v>
      </c>
      <c r="G265" s="139"/>
      <c r="H265" s="261">
        <v>19</v>
      </c>
      <c r="I265" s="216"/>
      <c r="J265" s="312">
        <v>100000</v>
      </c>
      <c r="K265" s="146"/>
      <c r="L265" s="260">
        <f t="shared" ca="1" si="235"/>
        <v>56960</v>
      </c>
      <c r="M265" s="212"/>
      <c r="N265" s="260">
        <f t="shared" ca="1" si="236"/>
        <v>23950</v>
      </c>
      <c r="O265" s="212"/>
      <c r="P265" s="260">
        <f t="shared" ca="1" si="237"/>
        <v>3010</v>
      </c>
      <c r="Q265" s="212"/>
      <c r="R265" s="260">
        <f t="shared" ca="1" si="238"/>
        <v>7700</v>
      </c>
      <c r="S265" s="212"/>
      <c r="T265" s="260">
        <f t="shared" ca="1" si="239"/>
        <v>1930.0000000000002</v>
      </c>
      <c r="U265" s="212"/>
      <c r="V265" s="260">
        <f t="shared" ca="1" si="240"/>
        <v>2270</v>
      </c>
      <c r="W265" s="212"/>
      <c r="X265" s="260">
        <f t="shared" ca="1" si="241"/>
        <v>4180</v>
      </c>
      <c r="Y265" s="212"/>
      <c r="Z265" s="175"/>
      <c r="AC265" s="216" t="s">
        <v>679</v>
      </c>
      <c r="AE265" s="239">
        <f t="shared" si="253"/>
        <v>19</v>
      </c>
      <c r="AG265" s="312">
        <f t="shared" si="254"/>
        <v>100000</v>
      </c>
      <c r="AH265" s="146"/>
      <c r="AI265" s="260">
        <f t="shared" ca="1" si="244"/>
        <v>41160</v>
      </c>
      <c r="AJ265" s="212"/>
      <c r="AK265" s="260">
        <f t="shared" ca="1" si="245"/>
        <v>18190</v>
      </c>
      <c r="AL265" s="212"/>
      <c r="AM265" s="260">
        <f t="shared" ca="1" si="246"/>
        <v>7750</v>
      </c>
      <c r="AN265" s="212"/>
      <c r="AO265" s="260">
        <f t="shared" ca="1" si="247"/>
        <v>12100</v>
      </c>
      <c r="AP265" s="212"/>
      <c r="AQ265" s="260">
        <f t="shared" ca="1" si="248"/>
        <v>3549.9999999999995</v>
      </c>
      <c r="AR265" s="212"/>
      <c r="AS265" s="260">
        <f t="shared" ca="1" si="249"/>
        <v>9530</v>
      </c>
      <c r="AT265" s="212"/>
      <c r="AU265" s="260">
        <f t="shared" ca="1" si="250"/>
        <v>1360</v>
      </c>
      <c r="AV265" s="262"/>
      <c r="AW265" s="262">
        <f t="shared" ca="1" si="251"/>
        <v>2200</v>
      </c>
      <c r="AX265" s="262"/>
      <c r="AY265" s="262">
        <f t="shared" ca="1" si="252"/>
        <v>4160</v>
      </c>
      <c r="BA265" s="175"/>
      <c r="BB265" s="145"/>
      <c r="BC265" s="145"/>
      <c r="BD265" s="145"/>
    </row>
    <row r="266" spans="1:56" x14ac:dyDescent="0.2">
      <c r="A266" s="146"/>
      <c r="B266" s="146"/>
      <c r="F266" s="216" t="s">
        <v>680</v>
      </c>
      <c r="G266" s="139"/>
      <c r="H266" s="261">
        <v>13</v>
      </c>
      <c r="I266" s="216"/>
      <c r="J266" s="312">
        <v>32142</v>
      </c>
      <c r="K266" s="146"/>
      <c r="L266" s="260">
        <f t="shared" si="235"/>
        <v>28914.943199999998</v>
      </c>
      <c r="M266" s="212"/>
      <c r="N266" s="260">
        <f t="shared" si="236"/>
        <v>2304.5814</v>
      </c>
      <c r="O266" s="212"/>
      <c r="P266" s="260">
        <f t="shared" si="237"/>
        <v>12.8568</v>
      </c>
      <c r="Q266" s="212"/>
      <c r="R266" s="260">
        <f t="shared" si="238"/>
        <v>199.28039999999999</v>
      </c>
      <c r="S266" s="212"/>
      <c r="T266" s="260">
        <f t="shared" si="239"/>
        <v>6.4283999999999999</v>
      </c>
      <c r="U266" s="212"/>
      <c r="V266" s="260">
        <f t="shared" si="240"/>
        <v>694.2672</v>
      </c>
      <c r="W266" s="212"/>
      <c r="X266" s="260">
        <f t="shared" si="241"/>
        <v>9.6425999999999998</v>
      </c>
      <c r="Y266" s="212"/>
      <c r="Z266" s="175"/>
      <c r="AC266" s="216" t="s">
        <v>680</v>
      </c>
      <c r="AE266" s="239">
        <f t="shared" si="253"/>
        <v>13</v>
      </c>
      <c r="AG266" s="312">
        <f t="shared" si="254"/>
        <v>32142</v>
      </c>
      <c r="AH266" s="146"/>
      <c r="AI266" s="260">
        <f t="shared" si="244"/>
        <v>0</v>
      </c>
      <c r="AJ266" s="212"/>
      <c r="AK266" s="260">
        <f t="shared" si="245"/>
        <v>0</v>
      </c>
      <c r="AL266" s="212"/>
      <c r="AM266" s="260">
        <f t="shared" si="246"/>
        <v>0</v>
      </c>
      <c r="AN266" s="212"/>
      <c r="AO266" s="260">
        <f t="shared" si="247"/>
        <v>0</v>
      </c>
      <c r="AP266" s="212"/>
      <c r="AQ266" s="260">
        <f t="shared" si="248"/>
        <v>0</v>
      </c>
      <c r="AR266" s="212"/>
      <c r="AS266" s="260">
        <f t="shared" si="249"/>
        <v>31438.090200000002</v>
      </c>
      <c r="AT266" s="212"/>
      <c r="AU266" s="260">
        <f t="shared" si="250"/>
        <v>0</v>
      </c>
      <c r="AV266" s="262"/>
      <c r="AW266" s="262">
        <f t="shared" si="251"/>
        <v>694.2672</v>
      </c>
      <c r="AX266" s="262"/>
      <c r="AY266" s="262">
        <f t="shared" si="252"/>
        <v>9.6425999999999998</v>
      </c>
      <c r="BA266" s="175"/>
      <c r="BB266" s="145"/>
      <c r="BC266" s="145"/>
      <c r="BD266" s="145"/>
    </row>
    <row r="267" spans="1:56" x14ac:dyDescent="0.2">
      <c r="A267" s="146"/>
      <c r="B267" s="146"/>
      <c r="F267" s="216" t="s">
        <v>681</v>
      </c>
      <c r="G267" s="139"/>
      <c r="H267" s="261">
        <v>13</v>
      </c>
      <c r="I267" s="216"/>
      <c r="J267" s="312">
        <v>680000</v>
      </c>
      <c r="K267" s="146"/>
      <c r="L267" s="260">
        <f t="shared" si="235"/>
        <v>611728</v>
      </c>
      <c r="M267" s="212"/>
      <c r="N267" s="260">
        <f t="shared" si="236"/>
        <v>48756</v>
      </c>
      <c r="O267" s="212"/>
      <c r="P267" s="260">
        <f t="shared" si="237"/>
        <v>272</v>
      </c>
      <c r="Q267" s="212"/>
      <c r="R267" s="260">
        <f t="shared" si="238"/>
        <v>4216</v>
      </c>
      <c r="S267" s="212"/>
      <c r="T267" s="260">
        <f t="shared" si="239"/>
        <v>136</v>
      </c>
      <c r="U267" s="212"/>
      <c r="V267" s="260">
        <f t="shared" si="240"/>
        <v>14688</v>
      </c>
      <c r="W267" s="212"/>
      <c r="X267" s="260">
        <f t="shared" si="241"/>
        <v>203.99999999999997</v>
      </c>
      <c r="Y267" s="212"/>
      <c r="Z267" s="175"/>
      <c r="AC267" s="216" t="s">
        <v>681</v>
      </c>
      <c r="AE267" s="239">
        <f t="shared" si="253"/>
        <v>13</v>
      </c>
      <c r="AG267" s="312">
        <f t="shared" si="254"/>
        <v>680000</v>
      </c>
      <c r="AH267" s="146"/>
      <c r="AI267" s="260">
        <f t="shared" si="244"/>
        <v>0</v>
      </c>
      <c r="AJ267" s="212"/>
      <c r="AK267" s="260">
        <f t="shared" si="245"/>
        <v>0</v>
      </c>
      <c r="AL267" s="212"/>
      <c r="AM267" s="260">
        <f t="shared" si="246"/>
        <v>0</v>
      </c>
      <c r="AN267" s="212"/>
      <c r="AO267" s="260">
        <f t="shared" si="247"/>
        <v>0</v>
      </c>
      <c r="AP267" s="212"/>
      <c r="AQ267" s="260">
        <f t="shared" si="248"/>
        <v>0</v>
      </c>
      <c r="AR267" s="212"/>
      <c r="AS267" s="260">
        <f t="shared" si="249"/>
        <v>665108</v>
      </c>
      <c r="AT267" s="212"/>
      <c r="AU267" s="260">
        <f t="shared" si="250"/>
        <v>0</v>
      </c>
      <c r="AV267" s="262"/>
      <c r="AW267" s="262">
        <f t="shared" si="251"/>
        <v>14688</v>
      </c>
      <c r="AX267" s="262"/>
      <c r="AY267" s="262">
        <f t="shared" si="252"/>
        <v>203.99999999999997</v>
      </c>
      <c r="BA267" s="175"/>
      <c r="BB267" s="145"/>
      <c r="BC267" s="145"/>
      <c r="BD267" s="145"/>
    </row>
    <row r="268" spans="1:56" ht="14.25" customHeight="1" x14ac:dyDescent="0.2">
      <c r="A268" s="146"/>
      <c r="B268" s="146"/>
      <c r="F268" s="646" t="s">
        <v>689</v>
      </c>
      <c r="G268" s="139"/>
      <c r="H268" s="261">
        <v>7</v>
      </c>
      <c r="I268" s="216"/>
      <c r="J268" s="647">
        <v>259272</v>
      </c>
      <c r="K268" s="146"/>
      <c r="L268" s="260">
        <f t="shared" si="235"/>
        <v>119913.29999999999</v>
      </c>
      <c r="M268" s="212"/>
      <c r="N268" s="260">
        <f t="shared" si="236"/>
        <v>73607.320800000001</v>
      </c>
      <c r="O268" s="212"/>
      <c r="P268" s="260">
        <f t="shared" si="237"/>
        <v>9567.1368000000002</v>
      </c>
      <c r="Q268" s="212"/>
      <c r="R268" s="260">
        <f t="shared" si="238"/>
        <v>23075.207999999999</v>
      </c>
      <c r="S268" s="212"/>
      <c r="T268" s="260">
        <f t="shared" si="239"/>
        <v>1633.4136000000001</v>
      </c>
      <c r="U268" s="212"/>
      <c r="V268" s="260">
        <f t="shared" si="240"/>
        <v>14156.251199999999</v>
      </c>
      <c r="W268" s="212"/>
      <c r="X268" s="260">
        <f t="shared" si="241"/>
        <v>17319.369599999998</v>
      </c>
      <c r="Y268" s="212"/>
      <c r="Z268" s="175"/>
      <c r="AC268" s="216" t="s">
        <v>689</v>
      </c>
      <c r="AE268" s="239">
        <f t="shared" si="242"/>
        <v>7</v>
      </c>
      <c r="AG268" s="312">
        <f t="shared" si="243"/>
        <v>259272</v>
      </c>
      <c r="AH268" s="146"/>
      <c r="AI268" s="260">
        <f t="shared" si="244"/>
        <v>100830.88079999998</v>
      </c>
      <c r="AJ268" s="212"/>
      <c r="AK268" s="260">
        <f t="shared" si="245"/>
        <v>19212.055199999999</v>
      </c>
      <c r="AL268" s="212"/>
      <c r="AM268" s="260">
        <f t="shared" si="246"/>
        <v>107779.3704</v>
      </c>
      <c r="AN268" s="212"/>
      <c r="AO268" s="260">
        <f t="shared" si="247"/>
        <v>0</v>
      </c>
      <c r="AP268" s="212"/>
      <c r="AQ268" s="260">
        <f t="shared" si="248"/>
        <v>0</v>
      </c>
      <c r="AR268" s="212"/>
      <c r="AS268" s="260">
        <f t="shared" si="249"/>
        <v>0</v>
      </c>
      <c r="AT268" s="212"/>
      <c r="AU268" s="260">
        <f t="shared" si="250"/>
        <v>0</v>
      </c>
      <c r="AV268" s="262"/>
      <c r="AW268" s="262">
        <f t="shared" si="251"/>
        <v>14156.251199999999</v>
      </c>
      <c r="AX268" s="262"/>
      <c r="AY268" s="262">
        <f t="shared" si="252"/>
        <v>17319.369599999998</v>
      </c>
      <c r="BA268" s="175"/>
      <c r="BB268" s="145"/>
      <c r="BC268" s="145"/>
      <c r="BD268" s="145"/>
    </row>
    <row r="269" spans="1:56" ht="14.25" customHeight="1" x14ac:dyDescent="0.2">
      <c r="A269" s="146"/>
      <c r="B269" s="146"/>
      <c r="F269" s="646" t="s">
        <v>740</v>
      </c>
      <c r="G269" s="139"/>
      <c r="H269" s="261">
        <v>13</v>
      </c>
      <c r="I269" s="216"/>
      <c r="J269" s="647">
        <v>610852</v>
      </c>
      <c r="K269" s="146"/>
      <c r="L269" s="260">
        <f t="shared" si="235"/>
        <v>549522.45919999992</v>
      </c>
      <c r="M269" s="212"/>
      <c r="N269" s="260">
        <f t="shared" si="236"/>
        <v>43798.088400000001</v>
      </c>
      <c r="O269" s="212"/>
      <c r="P269" s="260">
        <f t="shared" si="237"/>
        <v>244.3408</v>
      </c>
      <c r="Q269" s="212"/>
      <c r="R269" s="260">
        <f t="shared" si="238"/>
        <v>3787.2824000000001</v>
      </c>
      <c r="S269" s="212"/>
      <c r="T269" s="260">
        <f t="shared" si="239"/>
        <v>122.1704</v>
      </c>
      <c r="U269" s="212"/>
      <c r="V269" s="260">
        <f t="shared" si="240"/>
        <v>13194.403200000001</v>
      </c>
      <c r="W269" s="212"/>
      <c r="X269" s="260">
        <f t="shared" si="241"/>
        <v>183.25559999999999</v>
      </c>
      <c r="Y269" s="212"/>
      <c r="Z269" s="175"/>
      <c r="AC269" s="216" t="s">
        <v>740</v>
      </c>
      <c r="AE269" s="239">
        <f t="shared" si="242"/>
        <v>13</v>
      </c>
      <c r="AG269" s="312">
        <f t="shared" si="243"/>
        <v>610852</v>
      </c>
      <c r="AH269" s="146"/>
      <c r="AI269" s="260">
        <f t="shared" si="244"/>
        <v>0</v>
      </c>
      <c r="AJ269" s="212"/>
      <c r="AK269" s="260">
        <f t="shared" si="245"/>
        <v>0</v>
      </c>
      <c r="AL269" s="212"/>
      <c r="AM269" s="260">
        <f t="shared" si="246"/>
        <v>0</v>
      </c>
      <c r="AN269" s="212"/>
      <c r="AO269" s="260">
        <f t="shared" si="247"/>
        <v>0</v>
      </c>
      <c r="AP269" s="212"/>
      <c r="AQ269" s="260">
        <f t="shared" si="248"/>
        <v>0</v>
      </c>
      <c r="AR269" s="212"/>
      <c r="AS269" s="260">
        <f t="shared" si="249"/>
        <v>597474.34120000002</v>
      </c>
      <c r="AT269" s="212"/>
      <c r="AU269" s="260">
        <f t="shared" si="250"/>
        <v>0</v>
      </c>
      <c r="AV269" s="262"/>
      <c r="AW269" s="262">
        <f t="shared" si="251"/>
        <v>13194.403200000001</v>
      </c>
      <c r="AX269" s="262"/>
      <c r="AY269" s="262">
        <f t="shared" si="252"/>
        <v>183.25559999999999</v>
      </c>
      <c r="BA269" s="175"/>
      <c r="BB269" s="145"/>
      <c r="BC269" s="145"/>
      <c r="BD269" s="145"/>
    </row>
    <row r="270" spans="1:56" x14ac:dyDescent="0.2">
      <c r="A270" s="146"/>
      <c r="B270" s="146"/>
      <c r="F270" s="216" t="s">
        <v>688</v>
      </c>
      <c r="G270" s="139"/>
      <c r="H270" s="261">
        <v>18</v>
      </c>
      <c r="I270" s="216"/>
      <c r="J270" s="389">
        <v>491629.08875616518</v>
      </c>
      <c r="K270" s="558"/>
      <c r="L270" s="549">
        <f t="shared" ca="1" si="235"/>
        <v>252402.3741674152</v>
      </c>
      <c r="M270" s="558"/>
      <c r="N270" s="549">
        <f t="shared" ca="1" si="236"/>
        <v>127921.88889435417</v>
      </c>
      <c r="O270" s="558"/>
      <c r="P270" s="549">
        <f t="shared" ca="1" si="237"/>
        <v>16715.389017709618</v>
      </c>
      <c r="Q270" s="558"/>
      <c r="R270" s="549">
        <f t="shared" ca="1" si="238"/>
        <v>42230.938724154592</v>
      </c>
      <c r="S270" s="558"/>
      <c r="T270" s="549">
        <f t="shared" ca="1" si="239"/>
        <v>10275.047955003851</v>
      </c>
      <c r="U270" s="558"/>
      <c r="V270" s="549">
        <f t="shared" ca="1" si="240"/>
        <v>14699.709753809339</v>
      </c>
      <c r="W270" s="558"/>
      <c r="X270" s="549">
        <f t="shared" ca="1" si="241"/>
        <v>27383.740243718399</v>
      </c>
      <c r="Y270" s="212"/>
      <c r="Z270" s="175"/>
      <c r="AC270" s="216" t="s">
        <v>688</v>
      </c>
      <c r="AE270" s="239">
        <f t="shared" si="242"/>
        <v>18</v>
      </c>
      <c r="AG270" s="389">
        <f t="shared" si="243"/>
        <v>491629.08875616518</v>
      </c>
      <c r="AH270" s="558"/>
      <c r="AI270" s="549">
        <f t="shared" ca="1" si="244"/>
        <v>211449.67107402667</v>
      </c>
      <c r="AJ270" s="558"/>
      <c r="AK270" s="549">
        <f t="shared" ca="1" si="244"/>
        <v>112681.38714291305</v>
      </c>
      <c r="AL270" s="558"/>
      <c r="AM270" s="549">
        <f t="shared" ca="1" si="244"/>
        <v>55947.390300451596</v>
      </c>
      <c r="AN270" s="558"/>
      <c r="AO270" s="549">
        <f t="shared" ca="1" si="244"/>
        <v>48966.25724011405</v>
      </c>
      <c r="AP270" s="558"/>
      <c r="AQ270" s="549">
        <f t="shared" ca="1" si="244"/>
        <v>10717.514134884401</v>
      </c>
      <c r="AR270" s="558"/>
      <c r="AS270" s="549">
        <f t="shared" ca="1" si="244"/>
        <v>8750.9977798597392</v>
      </c>
      <c r="AT270" s="558"/>
      <c r="AU270" s="549">
        <f t="shared" ca="1" si="244"/>
        <v>1376.5614485172625</v>
      </c>
      <c r="AV270" s="558"/>
      <c r="AW270" s="549">
        <f t="shared" ca="1" si="244"/>
        <v>14453.895209431255</v>
      </c>
      <c r="AX270" s="558"/>
      <c r="AY270" s="549">
        <f t="shared" ca="1" si="252"/>
        <v>27137.925699340318</v>
      </c>
      <c r="BA270" s="175"/>
      <c r="BB270" s="145"/>
      <c r="BC270" s="145"/>
      <c r="BD270" s="145"/>
    </row>
    <row r="271" spans="1:56" x14ac:dyDescent="0.2">
      <c r="A271" s="146"/>
      <c r="B271" s="146"/>
      <c r="F271" s="216"/>
      <c r="G271" s="139"/>
      <c r="H271" s="261"/>
      <c r="I271" s="216"/>
      <c r="J271" s="312"/>
      <c r="K271" s="558"/>
      <c r="L271" s="558"/>
      <c r="M271" s="558"/>
      <c r="N271" s="558"/>
      <c r="O271" s="558"/>
      <c r="P271" s="558"/>
      <c r="Q271" s="558"/>
      <c r="R271" s="558"/>
      <c r="S271" s="558"/>
      <c r="T271" s="558"/>
      <c r="U271" s="558"/>
      <c r="V271" s="558"/>
      <c r="W271" s="558"/>
      <c r="X271" s="558"/>
      <c r="Z271" s="175"/>
      <c r="AC271" s="216"/>
      <c r="AE271" s="205"/>
      <c r="AG271" s="312"/>
      <c r="AH271" s="558"/>
      <c r="AI271" s="558"/>
      <c r="AJ271" s="558"/>
      <c r="AK271" s="558"/>
      <c r="AL271" s="558"/>
      <c r="AM271" s="558"/>
      <c r="AN271" s="558"/>
      <c r="AO271" s="558"/>
      <c r="AP271" s="558"/>
      <c r="AQ271" s="558"/>
      <c r="AR271" s="558"/>
      <c r="AS271" s="558"/>
      <c r="AT271" s="558"/>
      <c r="AU271" s="558"/>
      <c r="AV271" s="558"/>
      <c r="AW271" s="558"/>
      <c r="AX271" s="558"/>
      <c r="AY271" s="558"/>
      <c r="BA271" s="175"/>
      <c r="BB271" s="145"/>
      <c r="BC271" s="145"/>
      <c r="BD271" s="145"/>
    </row>
    <row r="272" spans="1:56" x14ac:dyDescent="0.2">
      <c r="A272" s="146"/>
      <c r="B272" s="146"/>
      <c r="F272" s="216" t="s">
        <v>256</v>
      </c>
      <c r="G272" s="139"/>
      <c r="H272" s="261"/>
      <c r="I272" s="216"/>
      <c r="J272" s="312">
        <f>SUM(J263:J271)</f>
        <v>2325695.088756165</v>
      </c>
      <c r="K272" s="216"/>
      <c r="L272" s="312">
        <f ca="1">SUM(L263:L271)</f>
        <v>1705906.3565674149</v>
      </c>
      <c r="M272" s="216"/>
      <c r="N272" s="312">
        <f ca="1">SUM(N263:N271)</f>
        <v>356693.97949435416</v>
      </c>
      <c r="O272" s="216"/>
      <c r="P272" s="312">
        <f ca="1">SUM(P263:P271)</f>
        <v>34390.903417709618</v>
      </c>
      <c r="Q272" s="216"/>
      <c r="R272" s="312">
        <f ca="1">SUM(R263:R271)</f>
        <v>92897.309524154582</v>
      </c>
      <c r="S272" s="216"/>
      <c r="T272" s="312">
        <f ca="1">SUM(T263:T271)</f>
        <v>17032.800355003848</v>
      </c>
      <c r="U272" s="216"/>
      <c r="V272" s="312">
        <f ca="1">SUM(V263:V271)</f>
        <v>63148.491353809339</v>
      </c>
      <c r="W272" s="216"/>
      <c r="X272" s="312">
        <f ca="1">SUM(X263:X271)</f>
        <v>55625.248043718399</v>
      </c>
      <c r="Z272" s="175"/>
      <c r="AC272" s="216" t="s">
        <v>256</v>
      </c>
      <c r="AE272" s="205"/>
      <c r="AG272" s="389">
        <f>SUM(AG263:AG271)</f>
        <v>2325695.088756165</v>
      </c>
      <c r="AH272" s="216"/>
      <c r="AI272" s="389">
        <f ca="1">SUM(AI263:AI271)</f>
        <v>415921.43187402666</v>
      </c>
      <c r="AJ272" s="216"/>
      <c r="AK272" s="389">
        <f t="shared" ref="AK272" ca="1" si="255">SUM(AK263:AK271)</f>
        <v>177695.86234291305</v>
      </c>
      <c r="AL272" s="216"/>
      <c r="AM272" s="389">
        <f t="shared" ref="AM272" ca="1" si="256">SUM(AM263:AM271)</f>
        <v>183241.26070045159</v>
      </c>
      <c r="AN272" s="216"/>
      <c r="AO272" s="389">
        <f t="shared" ref="AO272" ca="1" si="257">SUM(AO263:AO271)</f>
        <v>79434.057240114053</v>
      </c>
      <c r="AP272" s="216"/>
      <c r="AQ272" s="389">
        <f t="shared" ref="AQ272" ca="1" si="258">SUM(AQ263:AQ271)</f>
        <v>19656.414134884399</v>
      </c>
      <c r="AR272" s="216"/>
      <c r="AS272" s="389">
        <f t="shared" ref="AS272" ca="1" si="259">SUM(AS263:AS271)</f>
        <v>1326767.9691798599</v>
      </c>
      <c r="AT272" s="216"/>
      <c r="AU272" s="389">
        <f t="shared" ref="AU272" ca="1" si="260">SUM(AU263:AU271)</f>
        <v>4801.0414485172623</v>
      </c>
      <c r="AV272" s="216"/>
      <c r="AW272" s="389">
        <f t="shared" ref="AW272" ca="1" si="261">SUM(AW263:AW271)</f>
        <v>62726.416809431255</v>
      </c>
      <c r="AX272" s="216"/>
      <c r="AY272" s="389">
        <f t="shared" ref="AY272" ca="1" si="262">SUM(AY263:AY271)</f>
        <v>55329.073499340317</v>
      </c>
      <c r="BA272" s="175"/>
      <c r="BB272" s="145"/>
      <c r="BC272" s="145"/>
      <c r="BD272" s="145"/>
    </row>
    <row r="273" spans="1:56" x14ac:dyDescent="0.2">
      <c r="A273" s="146"/>
      <c r="B273" s="146"/>
      <c r="F273" s="216"/>
      <c r="G273" s="139"/>
      <c r="H273" s="261"/>
      <c r="I273" s="216"/>
      <c r="J273" s="312"/>
      <c r="K273" s="558"/>
      <c r="L273" s="558"/>
      <c r="M273" s="558"/>
      <c r="N273" s="558"/>
      <c r="O273" s="558"/>
      <c r="P273" s="558"/>
      <c r="Q273" s="558"/>
      <c r="R273" s="558"/>
      <c r="S273" s="558"/>
      <c r="T273" s="558"/>
      <c r="U273" s="558"/>
      <c r="V273" s="558"/>
      <c r="W273" s="558"/>
      <c r="X273" s="558"/>
      <c r="Z273" s="175"/>
      <c r="AC273" s="216"/>
      <c r="AE273" s="205"/>
      <c r="AG273" s="312"/>
      <c r="AH273" s="558"/>
      <c r="AI273" s="558"/>
      <c r="AJ273" s="558"/>
      <c r="AK273" s="558"/>
      <c r="AL273" s="558"/>
      <c r="AM273" s="558"/>
      <c r="AN273" s="558"/>
      <c r="AO273" s="558"/>
      <c r="AP273" s="558"/>
      <c r="AQ273" s="558"/>
      <c r="AR273" s="558"/>
      <c r="AS273" s="558"/>
      <c r="AT273" s="558"/>
      <c r="AU273" s="558"/>
      <c r="AV273" s="146"/>
      <c r="AW273" s="146"/>
      <c r="AX273" s="146"/>
      <c r="AY273" s="146"/>
      <c r="BA273" s="175"/>
      <c r="BB273" s="145"/>
      <c r="BC273" s="145"/>
      <c r="BD273" s="145"/>
    </row>
    <row r="274" spans="1:56" x14ac:dyDescent="0.2">
      <c r="A274" s="146"/>
      <c r="B274" s="146"/>
      <c r="C274" s="559"/>
      <c r="F274" s="391" t="s">
        <v>596</v>
      </c>
      <c r="G274" s="139"/>
      <c r="H274" s="261"/>
      <c r="I274" s="216"/>
      <c r="J274" s="312"/>
      <c r="K274" s="216"/>
      <c r="L274" s="312"/>
      <c r="M274" s="216"/>
      <c r="N274" s="312"/>
      <c r="O274" s="216"/>
      <c r="P274" s="312"/>
      <c r="Q274" s="216"/>
      <c r="R274" s="312"/>
      <c r="S274" s="216"/>
      <c r="T274" s="312"/>
      <c r="U274" s="216"/>
      <c r="V274" s="312"/>
      <c r="W274" s="216"/>
      <c r="X274" s="312"/>
      <c r="Z274" s="175"/>
      <c r="AC274" s="391" t="s">
        <v>596</v>
      </c>
      <c r="AE274" s="205"/>
      <c r="AG274" s="312"/>
      <c r="AH274" s="216"/>
      <c r="AI274" s="312"/>
      <c r="AJ274" s="216"/>
      <c r="AK274" s="312"/>
      <c r="AL274" s="216"/>
      <c r="AM274" s="312"/>
      <c r="AN274" s="216"/>
      <c r="AO274" s="312"/>
      <c r="AP274" s="216"/>
      <c r="AQ274" s="312"/>
      <c r="AR274" s="216"/>
      <c r="AS274" s="312"/>
      <c r="AT274" s="216"/>
      <c r="AU274" s="312"/>
      <c r="AV274" s="146"/>
      <c r="AW274" s="146"/>
      <c r="AX274" s="146"/>
      <c r="AY274" s="146"/>
      <c r="BA274" s="175"/>
      <c r="BB274" s="145"/>
      <c r="BC274" s="145"/>
      <c r="BD274" s="145"/>
    </row>
    <row r="275" spans="1:56" ht="13.5" thickBot="1" x14ac:dyDescent="0.25">
      <c r="A275" s="146"/>
      <c r="B275" s="146"/>
      <c r="F275" s="391" t="s">
        <v>595</v>
      </c>
      <c r="G275" s="139"/>
      <c r="H275" s="261"/>
      <c r="I275" s="216"/>
      <c r="J275" s="392">
        <f>J261-J272</f>
        <v>84084400.785980001</v>
      </c>
      <c r="K275" s="216"/>
      <c r="L275" s="392">
        <f ca="1">L261-L272</f>
        <v>47502643.830994651</v>
      </c>
      <c r="M275" s="216"/>
      <c r="N275" s="392">
        <f ca="1">N261-N272</f>
        <v>20340139.631981537</v>
      </c>
      <c r="O275" s="216"/>
      <c r="P275" s="392">
        <f ca="1">P261-P272</f>
        <v>2567523.0806995397</v>
      </c>
      <c r="Q275" s="216"/>
      <c r="R275" s="392">
        <f ca="1">R261-R272</f>
        <v>6563946.9886675887</v>
      </c>
      <c r="S275" s="216"/>
      <c r="T275" s="392">
        <f ca="1">T261-T272</f>
        <v>1651044.9726444774</v>
      </c>
      <c r="U275" s="216"/>
      <c r="V275" s="392">
        <f ca="1">V261-V272</f>
        <v>1898888.5526141732</v>
      </c>
      <c r="W275" s="216"/>
      <c r="X275" s="392">
        <f ca="1">X261-X272</f>
        <v>3560213.7283780244</v>
      </c>
      <c r="Z275" s="175"/>
      <c r="AC275" s="391" t="s">
        <v>595</v>
      </c>
      <c r="AE275" s="205"/>
      <c r="AG275" s="392">
        <f>AG261-AG272</f>
        <v>84084400.785980001</v>
      </c>
      <c r="AH275" s="216"/>
      <c r="AI275" s="392">
        <f ca="1">AI261-AI272</f>
        <v>35140050.403890766</v>
      </c>
      <c r="AJ275" s="216"/>
      <c r="AK275" s="392">
        <f ca="1">AK261-AK272</f>
        <v>15543524.323038099</v>
      </c>
      <c r="AL275" s="216"/>
      <c r="AM275" s="392">
        <f ca="1">AM261-AM272</f>
        <v>6510966.4872658951</v>
      </c>
      <c r="AN275" s="216"/>
      <c r="AO275" s="392">
        <f ca="1">AO261-AO272</f>
        <v>10377770.343575729</v>
      </c>
      <c r="AP275" s="216"/>
      <c r="AQ275" s="392">
        <f ca="1">AQ261-AQ272</f>
        <v>3049368.7656427841</v>
      </c>
      <c r="AR275" s="216"/>
      <c r="AS275" s="392">
        <f ca="1">AS261-AS272</f>
        <v>6904496.96480643</v>
      </c>
      <c r="AT275" s="216"/>
      <c r="AU275" s="392">
        <f ca="1">AU261-AU272</f>
        <v>1168908.7947444145</v>
      </c>
      <c r="AW275" s="392">
        <f ca="1">AW261-AW272</f>
        <v>1838088.0935921015</v>
      </c>
      <c r="AY275" s="392">
        <f ca="1">AY261-AY272</f>
        <v>3537006.6856904514</v>
      </c>
      <c r="BA275" s="175"/>
      <c r="BB275" s="145"/>
      <c r="BC275" s="145"/>
      <c r="BD275" s="145"/>
    </row>
    <row r="276" spans="1:56" ht="13.5" thickTop="1" x14ac:dyDescent="0.2">
      <c r="A276" s="146"/>
      <c r="B276" s="146"/>
      <c r="F276" s="216"/>
      <c r="G276" s="139"/>
      <c r="H276" s="261"/>
      <c r="I276" s="216"/>
      <c r="J276" s="558"/>
      <c r="K276" s="558"/>
      <c r="L276" s="558"/>
      <c r="M276" s="558"/>
      <c r="N276" s="558"/>
      <c r="O276" s="558"/>
      <c r="P276" s="558"/>
      <c r="Q276" s="558"/>
      <c r="R276" s="558"/>
      <c r="S276" s="558"/>
      <c r="T276" s="558"/>
      <c r="U276" s="558"/>
      <c r="V276" s="558"/>
      <c r="W276" s="558"/>
      <c r="X276" s="558"/>
      <c r="Z276" s="175"/>
      <c r="AC276" s="216"/>
      <c r="AE276" s="205"/>
      <c r="AG276" s="146"/>
      <c r="AH276" s="146"/>
      <c r="AI276" s="146"/>
      <c r="AJ276" s="146"/>
      <c r="AK276" s="146"/>
      <c r="AL276" s="146"/>
      <c r="AM276" s="146"/>
      <c r="AN276" s="146"/>
      <c r="AO276" s="146"/>
      <c r="AP276" s="146"/>
      <c r="AQ276" s="146"/>
      <c r="AR276" s="146"/>
      <c r="AS276" s="553"/>
      <c r="AT276" s="146"/>
      <c r="AU276" s="553"/>
      <c r="AV276" s="146"/>
      <c r="AW276" s="146"/>
      <c r="AX276" s="146"/>
      <c r="AY276" s="146"/>
      <c r="BA276" s="175"/>
    </row>
    <row r="277" spans="1:56" x14ac:dyDescent="0.2">
      <c r="A277" s="146"/>
      <c r="B277" s="146"/>
      <c r="F277" s="393" t="s">
        <v>186</v>
      </c>
      <c r="J277" s="256"/>
      <c r="K277" s="558"/>
      <c r="L277" s="558"/>
      <c r="M277" s="558"/>
      <c r="N277" s="558"/>
      <c r="O277" s="558"/>
      <c r="P277" s="558"/>
      <c r="Q277" s="558"/>
      <c r="R277" s="558"/>
      <c r="S277" s="558"/>
      <c r="T277" s="558"/>
      <c r="U277" s="558"/>
      <c r="V277" s="558"/>
      <c r="W277" s="558"/>
      <c r="X277" s="558"/>
      <c r="Z277" s="175"/>
      <c r="AC277" s="393" t="s">
        <v>186</v>
      </c>
      <c r="AE277" s="205"/>
      <c r="AG277" s="146"/>
      <c r="AH277" s="146"/>
      <c r="AI277" s="146"/>
      <c r="AJ277" s="146"/>
      <c r="AK277" s="146"/>
      <c r="AL277" s="146"/>
      <c r="AM277" s="146"/>
      <c r="AN277" s="146"/>
      <c r="AO277" s="146"/>
      <c r="AP277" s="146"/>
      <c r="AQ277" s="146"/>
      <c r="AR277" s="146"/>
      <c r="AS277" s="553"/>
      <c r="AT277" s="146"/>
      <c r="AU277" s="553"/>
      <c r="AV277" s="146"/>
      <c r="AW277" s="146"/>
      <c r="AX277" s="146"/>
      <c r="AY277" s="146"/>
      <c r="BA277" s="175"/>
      <c r="BB277" s="145"/>
      <c r="BC277" s="145"/>
      <c r="BD277" s="145"/>
    </row>
    <row r="278" spans="1:56" x14ac:dyDescent="0.2">
      <c r="A278" s="146"/>
      <c r="B278" s="146"/>
      <c r="D278" s="488">
        <v>301</v>
      </c>
      <c r="F278" s="216" t="s">
        <v>862</v>
      </c>
      <c r="H278" s="144">
        <v>17</v>
      </c>
      <c r="J278" s="312">
        <v>37450.43</v>
      </c>
      <c r="K278" s="146"/>
      <c r="L278" s="260">
        <f t="shared" ref="L278:L303" si="263">(VLOOKUP($H278,Factors,L$382))*$J278</f>
        <v>19275.736320999997</v>
      </c>
      <c r="M278" s="212"/>
      <c r="N278" s="260">
        <f t="shared" ref="N278:N303" si="264">(VLOOKUP($H278,Factors,N$382))*$J278</f>
        <v>9737.1118000000006</v>
      </c>
      <c r="O278" s="212"/>
      <c r="P278" s="260">
        <f t="shared" ref="P278:P303" si="265">(VLOOKUP($H278,Factors,P$382))*$J278</f>
        <v>1273.3146200000001</v>
      </c>
      <c r="Q278" s="212"/>
      <c r="R278" s="260">
        <f t="shared" ref="R278:R303" si="266">(VLOOKUP($H278,Factors,R$382))*$J278</f>
        <v>3216.9919370000002</v>
      </c>
      <c r="S278" s="212"/>
      <c r="T278" s="260">
        <f t="shared" ref="T278:T303" si="267">(VLOOKUP($H278,Factors,T$382))*$J278</f>
        <v>782.71398699999997</v>
      </c>
      <c r="U278" s="212"/>
      <c r="V278" s="260">
        <f t="shared" ref="V278:V303" si="268">(VLOOKUP($H278,Factors,V$382))*$J278</f>
        <v>1093.5525560000001</v>
      </c>
      <c r="W278" s="212"/>
      <c r="X278" s="260">
        <f t="shared" ref="X278:X303" si="269">(VLOOKUP($H278,Factors,X$382))*$J278</f>
        <v>2071.0087790000002</v>
      </c>
      <c r="Y278" s="212"/>
      <c r="Z278" s="175"/>
      <c r="AC278" s="216" t="s">
        <v>862</v>
      </c>
      <c r="AE278" s="239">
        <f>+H278</f>
        <v>17</v>
      </c>
      <c r="AG278" s="145">
        <f>+J278</f>
        <v>37450.43</v>
      </c>
      <c r="AI278" s="262">
        <f t="shared" ref="AI278:AI303" si="270">(VLOOKUP($AE278,func,AI$382))*$AG278</f>
        <v>16137.390287</v>
      </c>
      <c r="AJ278" s="262"/>
      <c r="AK278" s="262">
        <f t="shared" ref="AK278:AK303" si="271">(VLOOKUP($AE278,func,AK$382))*$AG278</f>
        <v>8666.0295019999994</v>
      </c>
      <c r="AL278" s="262"/>
      <c r="AM278" s="262">
        <f t="shared" ref="AM278:AM303" si="272">(VLOOKUP($AE278,func,AM$382))*$AG278</f>
        <v>4104.5671280000006</v>
      </c>
      <c r="AN278" s="262"/>
      <c r="AO278" s="262">
        <f t="shared" ref="AO278:AO303" si="273">(VLOOKUP($AE278,func,AO$382))*$AG278</f>
        <v>3793.7285590000001</v>
      </c>
      <c r="AP278" s="262"/>
      <c r="AQ278" s="262">
        <f t="shared" ref="AQ278:AQ303" si="274">(VLOOKUP($AE278,func,AQ$382))*$AG278</f>
        <v>831.39954599999999</v>
      </c>
      <c r="AR278" s="262"/>
      <c r="AS278" s="262">
        <f t="shared" ref="AS278:AS303" si="275">(VLOOKUP($AE278,func,AS$382))*$AG278</f>
        <v>685.34286900000006</v>
      </c>
      <c r="AT278" s="262"/>
      <c r="AU278" s="262">
        <f t="shared" ref="AU278:AU303" si="276">(VLOOKUP($AE278,func,AU$382))*$AG278</f>
        <v>108.606247</v>
      </c>
      <c r="AV278" s="262"/>
      <c r="AW278" s="262">
        <f t="shared" ref="AW278:AW303" si="277">(VLOOKUP($AE278,func,AW$382))*$AG278</f>
        <v>1074.8273409999999</v>
      </c>
      <c r="AX278" s="262"/>
      <c r="AY278" s="262">
        <f t="shared" ref="AY278:AY303" si="278">(VLOOKUP($AE278,func,AY$382))*$AG278</f>
        <v>2048.5385209999999</v>
      </c>
      <c r="BA278" s="175"/>
      <c r="BB278" s="145"/>
      <c r="BC278" s="145"/>
      <c r="BD278" s="145"/>
    </row>
    <row r="279" spans="1:56" x14ac:dyDescent="0.2">
      <c r="A279" s="514"/>
      <c r="B279" s="515"/>
      <c r="D279" s="488">
        <v>302</v>
      </c>
      <c r="F279" s="216" t="s">
        <v>759</v>
      </c>
      <c r="H279" s="144">
        <v>17</v>
      </c>
      <c r="J279" s="312">
        <v>70260.820000000036</v>
      </c>
      <c r="K279" s="560"/>
      <c r="L279" s="260">
        <f t="shared" si="263"/>
        <v>36163.244054000017</v>
      </c>
      <c r="M279" s="212"/>
      <c r="N279" s="260">
        <f t="shared" si="264"/>
        <v>18267.813200000011</v>
      </c>
      <c r="O279" s="212"/>
      <c r="P279" s="260">
        <f t="shared" si="265"/>
        <v>2388.8678800000016</v>
      </c>
      <c r="Q279" s="212"/>
      <c r="R279" s="260">
        <f t="shared" si="266"/>
        <v>6035.4044380000032</v>
      </c>
      <c r="S279" s="212"/>
      <c r="T279" s="260">
        <f t="shared" si="267"/>
        <v>1468.4511380000006</v>
      </c>
      <c r="U279" s="212"/>
      <c r="V279" s="260">
        <f t="shared" si="268"/>
        <v>2051.615944000001</v>
      </c>
      <c r="W279" s="212"/>
      <c r="X279" s="260">
        <f t="shared" si="269"/>
        <v>3885.4233460000023</v>
      </c>
      <c r="Y279" s="212"/>
      <c r="Z279" s="175"/>
      <c r="AC279" s="216" t="s">
        <v>759</v>
      </c>
      <c r="AE279" s="239">
        <f t="shared" ref="AE279:AE324" si="279">+H279</f>
        <v>17</v>
      </c>
      <c r="AG279" s="145">
        <f t="shared" ref="AG279:AG324" si="280">+J279</f>
        <v>70260.820000000036</v>
      </c>
      <c r="AI279" s="262">
        <f t="shared" si="270"/>
        <v>30275.387338000015</v>
      </c>
      <c r="AJ279" s="262"/>
      <c r="AK279" s="262">
        <f t="shared" si="271"/>
        <v>16258.353748000009</v>
      </c>
      <c r="AL279" s="262"/>
      <c r="AM279" s="262">
        <f t="shared" si="272"/>
        <v>7700.5858720000042</v>
      </c>
      <c r="AN279" s="262"/>
      <c r="AO279" s="262">
        <f t="shared" si="273"/>
        <v>7117.4210660000035</v>
      </c>
      <c r="AP279" s="262"/>
      <c r="AQ279" s="262">
        <f t="shared" si="274"/>
        <v>1559.7902040000008</v>
      </c>
      <c r="AR279" s="262"/>
      <c r="AS279" s="262">
        <f t="shared" si="275"/>
        <v>1285.7730060000006</v>
      </c>
      <c r="AT279" s="262"/>
      <c r="AU279" s="262">
        <f t="shared" si="276"/>
        <v>203.7563780000001</v>
      </c>
      <c r="AV279" s="262"/>
      <c r="AW279" s="262">
        <f t="shared" si="277"/>
        <v>2016.4855340000011</v>
      </c>
      <c r="AX279" s="262"/>
      <c r="AY279" s="262">
        <f t="shared" si="278"/>
        <v>3843.2668540000018</v>
      </c>
      <c r="BA279" s="175"/>
      <c r="BB279" s="145"/>
      <c r="BC279" s="145"/>
      <c r="BD279" s="145"/>
    </row>
    <row r="280" spans="1:56" x14ac:dyDescent="0.2">
      <c r="A280" s="514"/>
      <c r="B280" s="515"/>
      <c r="D280" s="488">
        <v>339.1</v>
      </c>
      <c r="F280" s="216" t="s">
        <v>621</v>
      </c>
      <c r="H280" s="144">
        <v>17</v>
      </c>
      <c r="J280" s="312">
        <v>433962.15182923176</v>
      </c>
      <c r="K280" s="146"/>
      <c r="L280" s="260">
        <f t="shared" si="263"/>
        <v>223360.31954650555</v>
      </c>
      <c r="M280" s="212"/>
      <c r="N280" s="260">
        <f t="shared" si="264"/>
        <v>112830.15947560026</v>
      </c>
      <c r="O280" s="212"/>
      <c r="P280" s="260">
        <f t="shared" si="265"/>
        <v>14754.713162193881</v>
      </c>
      <c r="Q280" s="212"/>
      <c r="R280" s="260">
        <f t="shared" si="266"/>
        <v>37277.34884213101</v>
      </c>
      <c r="S280" s="212"/>
      <c r="T280" s="260">
        <f t="shared" si="267"/>
        <v>9069.8089732309436</v>
      </c>
      <c r="U280" s="212"/>
      <c r="V280" s="260">
        <f t="shared" si="268"/>
        <v>12671.694833413567</v>
      </c>
      <c r="W280" s="212"/>
      <c r="X280" s="260">
        <f t="shared" si="269"/>
        <v>23998.106996156519</v>
      </c>
      <c r="Y280" s="212"/>
      <c r="Z280" s="175"/>
      <c r="AC280" s="216" t="s">
        <v>621</v>
      </c>
      <c r="AE280" s="239">
        <f t="shared" si="279"/>
        <v>17</v>
      </c>
      <c r="AG280" s="145">
        <f t="shared" si="280"/>
        <v>433962.15182923176</v>
      </c>
      <c r="AI280" s="262">
        <f t="shared" si="270"/>
        <v>186994.29122321596</v>
      </c>
      <c r="AJ280" s="262"/>
      <c r="AK280" s="262">
        <f t="shared" si="271"/>
        <v>100418.84193328423</v>
      </c>
      <c r="AL280" s="262"/>
      <c r="AM280" s="262">
        <f t="shared" si="272"/>
        <v>47562.251840483805</v>
      </c>
      <c r="AN280" s="262"/>
      <c r="AO280" s="262">
        <f t="shared" si="273"/>
        <v>43960.365980301176</v>
      </c>
      <c r="AP280" s="262"/>
      <c r="AQ280" s="262">
        <f t="shared" si="274"/>
        <v>9633.9597706089462</v>
      </c>
      <c r="AR280" s="262"/>
      <c r="AS280" s="262">
        <f t="shared" si="275"/>
        <v>7941.5073784749411</v>
      </c>
      <c r="AT280" s="262"/>
      <c r="AU280" s="262">
        <f t="shared" si="276"/>
        <v>1258.490240304772</v>
      </c>
      <c r="AV280" s="262"/>
      <c r="AW280" s="262">
        <f t="shared" si="277"/>
        <v>12454.713757498952</v>
      </c>
      <c r="AX280" s="262"/>
      <c r="AY280" s="262">
        <f t="shared" si="278"/>
        <v>23737.729705058977</v>
      </c>
      <c r="BA280" s="175"/>
      <c r="BB280" s="145"/>
      <c r="BC280" s="145"/>
      <c r="BD280" s="145"/>
    </row>
    <row r="281" spans="1:56" x14ac:dyDescent="0.2">
      <c r="A281" s="514"/>
      <c r="B281" s="515"/>
      <c r="D281" s="488">
        <v>339.3</v>
      </c>
      <c r="F281" s="216" t="s">
        <v>789</v>
      </c>
      <c r="H281" s="144">
        <v>2</v>
      </c>
      <c r="J281" s="312">
        <v>237771.62535093338</v>
      </c>
      <c r="K281" s="146"/>
      <c r="L281" s="260">
        <f t="shared" si="263"/>
        <v>118648.04105011576</v>
      </c>
      <c r="M281" s="212"/>
      <c r="N281" s="260">
        <f t="shared" si="264"/>
        <v>73637.872371184058</v>
      </c>
      <c r="O281" s="212"/>
      <c r="P281" s="260">
        <f t="shared" si="265"/>
        <v>10485.728677976162</v>
      </c>
      <c r="Q281" s="212"/>
      <c r="R281" s="260">
        <f t="shared" si="266"/>
        <v>26202.433113672858</v>
      </c>
      <c r="S281" s="212"/>
      <c r="T281" s="260">
        <f t="shared" si="267"/>
        <v>7965.3494492562686</v>
      </c>
      <c r="U281" s="212"/>
      <c r="V281" s="260">
        <f t="shared" si="268"/>
        <v>380.43460056149343</v>
      </c>
      <c r="W281" s="212"/>
      <c r="X281" s="260">
        <f t="shared" si="269"/>
        <v>451.76608816677339</v>
      </c>
      <c r="Y281" s="212"/>
      <c r="Z281" s="175"/>
      <c r="AC281" s="216" t="s">
        <v>789</v>
      </c>
      <c r="AE281" s="239">
        <f t="shared" si="279"/>
        <v>2</v>
      </c>
      <c r="AG281" s="145">
        <f t="shared" si="280"/>
        <v>237771.62535093338</v>
      </c>
      <c r="AI281" s="262">
        <f t="shared" si="270"/>
        <v>143281.18143647243</v>
      </c>
      <c r="AJ281" s="262"/>
      <c r="AK281" s="262">
        <f t="shared" si="271"/>
        <v>93658.243225732644</v>
      </c>
      <c r="AL281" s="262"/>
      <c r="AM281" s="262">
        <f t="shared" si="272"/>
        <v>0</v>
      </c>
      <c r="AN281" s="262"/>
      <c r="AO281" s="262">
        <f t="shared" si="273"/>
        <v>0</v>
      </c>
      <c r="AP281" s="262"/>
      <c r="AQ281" s="262">
        <f t="shared" si="274"/>
        <v>0</v>
      </c>
      <c r="AR281" s="262"/>
      <c r="AS281" s="262">
        <f t="shared" si="275"/>
        <v>0</v>
      </c>
      <c r="AT281" s="262"/>
      <c r="AU281" s="262">
        <f t="shared" si="276"/>
        <v>0</v>
      </c>
      <c r="AV281" s="262"/>
      <c r="AW281" s="262">
        <f t="shared" si="277"/>
        <v>380.43460056149343</v>
      </c>
      <c r="AX281" s="262"/>
      <c r="AY281" s="262">
        <f t="shared" si="278"/>
        <v>451.76608816677339</v>
      </c>
      <c r="BA281" s="175"/>
      <c r="BB281" s="145"/>
      <c r="BC281" s="145"/>
      <c r="BD281" s="145"/>
    </row>
    <row r="282" spans="1:56" x14ac:dyDescent="0.2">
      <c r="A282" s="514"/>
      <c r="B282" s="515"/>
      <c r="D282" s="488">
        <v>303.2</v>
      </c>
      <c r="F282" s="216" t="s">
        <v>819</v>
      </c>
      <c r="H282" s="144">
        <v>2</v>
      </c>
      <c r="J282" s="312">
        <v>1077363.07</v>
      </c>
      <c r="K282" s="146"/>
      <c r="L282" s="260">
        <f t="shared" si="263"/>
        <v>537604.17193000007</v>
      </c>
      <c r="M282" s="212"/>
      <c r="N282" s="260">
        <f t="shared" si="264"/>
        <v>333659.342779</v>
      </c>
      <c r="O282" s="212"/>
      <c r="P282" s="260">
        <f t="shared" si="265"/>
        <v>47511.711387000003</v>
      </c>
      <c r="Q282" s="212"/>
      <c r="R282" s="260">
        <f t="shared" si="266"/>
        <v>118725.41031400001</v>
      </c>
      <c r="S282" s="212"/>
      <c r="T282" s="260">
        <f t="shared" si="267"/>
        <v>36091.662845000006</v>
      </c>
      <c r="U282" s="212"/>
      <c r="V282" s="260">
        <f t="shared" si="268"/>
        <v>1723.7809120000002</v>
      </c>
      <c r="W282" s="212"/>
      <c r="X282" s="260">
        <f t="shared" si="269"/>
        <v>2046.9898330000001</v>
      </c>
      <c r="Y282" s="212"/>
      <c r="Z282" s="175"/>
      <c r="AC282" s="216" t="s">
        <v>819</v>
      </c>
      <c r="AE282" s="239">
        <f t="shared" si="279"/>
        <v>2</v>
      </c>
      <c r="AG282" s="145">
        <f t="shared" si="280"/>
        <v>1077363.07</v>
      </c>
      <c r="AI282" s="262">
        <f t="shared" si="270"/>
        <v>649218.9859819999</v>
      </c>
      <c r="AJ282" s="262"/>
      <c r="AK282" s="262">
        <f t="shared" si="271"/>
        <v>424373.31327300001</v>
      </c>
      <c r="AL282" s="262"/>
      <c r="AM282" s="262">
        <f t="shared" si="272"/>
        <v>0</v>
      </c>
      <c r="AN282" s="262"/>
      <c r="AO282" s="262">
        <f t="shared" si="273"/>
        <v>0</v>
      </c>
      <c r="AP282" s="262"/>
      <c r="AQ282" s="262">
        <f t="shared" si="274"/>
        <v>0</v>
      </c>
      <c r="AR282" s="262"/>
      <c r="AS282" s="262">
        <f t="shared" si="275"/>
        <v>0</v>
      </c>
      <c r="AT282" s="262"/>
      <c r="AU282" s="262">
        <f t="shared" si="276"/>
        <v>0</v>
      </c>
      <c r="AV282" s="262"/>
      <c r="AW282" s="262">
        <f t="shared" si="277"/>
        <v>1723.7809120000002</v>
      </c>
      <c r="AX282" s="262"/>
      <c r="AY282" s="262">
        <f t="shared" si="278"/>
        <v>2046.9898330000001</v>
      </c>
      <c r="BA282" s="175"/>
      <c r="BB282" s="145"/>
      <c r="BC282" s="145"/>
      <c r="BD282" s="145"/>
    </row>
    <row r="283" spans="1:56" x14ac:dyDescent="0.2">
      <c r="A283" s="514"/>
      <c r="B283" s="515"/>
      <c r="D283" s="488">
        <v>304.10000000000002</v>
      </c>
      <c r="F283" s="216" t="s">
        <v>749</v>
      </c>
      <c r="H283" s="144">
        <v>2</v>
      </c>
      <c r="J283" s="312">
        <v>6072694.5172304567</v>
      </c>
      <c r="K283" s="146"/>
      <c r="L283" s="260">
        <f t="shared" si="263"/>
        <v>3030274.5640979977</v>
      </c>
      <c r="M283" s="212"/>
      <c r="N283" s="260">
        <f t="shared" si="264"/>
        <v>1880713.4919862724</v>
      </c>
      <c r="O283" s="212"/>
      <c r="P283" s="260">
        <f t="shared" si="265"/>
        <v>267805.82820986316</v>
      </c>
      <c r="Q283" s="212"/>
      <c r="R283" s="260">
        <f t="shared" si="266"/>
        <v>669210.93579879636</v>
      </c>
      <c r="S283" s="212"/>
      <c r="T283" s="260">
        <f t="shared" si="267"/>
        <v>203435.26632722031</v>
      </c>
      <c r="U283" s="212"/>
      <c r="V283" s="260">
        <f t="shared" si="268"/>
        <v>9716.3112275687308</v>
      </c>
      <c r="W283" s="212"/>
      <c r="X283" s="260">
        <f t="shared" si="269"/>
        <v>11538.119582737867</v>
      </c>
      <c r="Y283" s="212"/>
      <c r="Z283" s="175"/>
      <c r="AC283" s="216" t="s">
        <v>749</v>
      </c>
      <c r="AE283" s="239">
        <f t="shared" si="279"/>
        <v>2</v>
      </c>
      <c r="AG283" s="145">
        <f t="shared" si="280"/>
        <v>6072694.5172304567</v>
      </c>
      <c r="AI283" s="262">
        <f t="shared" si="270"/>
        <v>3659405.7160830726</v>
      </c>
      <c r="AJ283" s="262"/>
      <c r="AK283" s="262">
        <f t="shared" si="271"/>
        <v>2392034.370337077</v>
      </c>
      <c r="AL283" s="262"/>
      <c r="AM283" s="262">
        <f t="shared" si="272"/>
        <v>0</v>
      </c>
      <c r="AN283" s="262"/>
      <c r="AO283" s="262">
        <f t="shared" si="273"/>
        <v>0</v>
      </c>
      <c r="AP283" s="262"/>
      <c r="AQ283" s="262">
        <f t="shared" si="274"/>
        <v>0</v>
      </c>
      <c r="AR283" s="262"/>
      <c r="AS283" s="262">
        <f t="shared" si="275"/>
        <v>0</v>
      </c>
      <c r="AT283" s="262"/>
      <c r="AU283" s="262">
        <f t="shared" si="276"/>
        <v>0</v>
      </c>
      <c r="AV283" s="262"/>
      <c r="AW283" s="262">
        <f t="shared" si="277"/>
        <v>9716.3112275687308</v>
      </c>
      <c r="AX283" s="262"/>
      <c r="AY283" s="262">
        <f t="shared" si="278"/>
        <v>11538.119582737867</v>
      </c>
      <c r="BA283" s="175"/>
      <c r="BB283" s="145"/>
      <c r="BC283" s="145"/>
      <c r="BD283" s="145"/>
    </row>
    <row r="284" spans="1:56" x14ac:dyDescent="0.2">
      <c r="A284" s="514"/>
      <c r="B284" s="515"/>
      <c r="D284" s="488">
        <v>305</v>
      </c>
      <c r="F284" s="216" t="s">
        <v>863</v>
      </c>
      <c r="H284" s="144">
        <v>1</v>
      </c>
      <c r="J284" s="312">
        <v>597698.13053121301</v>
      </c>
      <c r="K284" s="146"/>
      <c r="L284" s="260">
        <f t="shared" si="263"/>
        <v>290839.91031648824</v>
      </c>
      <c r="M284" s="212"/>
      <c r="N284" s="260">
        <f t="shared" si="264"/>
        <v>184688.72233414481</v>
      </c>
      <c r="O284" s="212"/>
      <c r="P284" s="260">
        <f t="shared" si="265"/>
        <v>28271.121574126377</v>
      </c>
      <c r="Q284" s="212"/>
      <c r="R284" s="260">
        <f t="shared" si="266"/>
        <v>68974.364263301977</v>
      </c>
      <c r="S284" s="212"/>
      <c r="T284" s="260">
        <f t="shared" si="267"/>
        <v>21457.362886070547</v>
      </c>
      <c r="U284" s="212"/>
      <c r="V284" s="260">
        <f t="shared" si="268"/>
        <v>1554.0151393811539</v>
      </c>
      <c r="W284" s="212"/>
      <c r="X284" s="260">
        <f t="shared" si="269"/>
        <v>1912.6340176998817</v>
      </c>
      <c r="Y284" s="212"/>
      <c r="Z284" s="175"/>
      <c r="AC284" s="216" t="s">
        <v>863</v>
      </c>
      <c r="AE284" s="239">
        <f t="shared" si="279"/>
        <v>1</v>
      </c>
      <c r="AG284" s="145">
        <f t="shared" si="280"/>
        <v>597698.13053121301</v>
      </c>
      <c r="AI284" s="262">
        <f t="shared" si="270"/>
        <v>594231.48137413198</v>
      </c>
      <c r="AJ284" s="262"/>
      <c r="AK284" s="262">
        <f t="shared" si="271"/>
        <v>0</v>
      </c>
      <c r="AL284" s="262"/>
      <c r="AM284" s="262">
        <f t="shared" si="272"/>
        <v>0</v>
      </c>
      <c r="AN284" s="262"/>
      <c r="AO284" s="262">
        <f t="shared" si="273"/>
        <v>0</v>
      </c>
      <c r="AP284" s="262"/>
      <c r="AQ284" s="262">
        <f t="shared" si="274"/>
        <v>0</v>
      </c>
      <c r="AR284" s="262"/>
      <c r="AS284" s="262">
        <f t="shared" si="275"/>
        <v>0</v>
      </c>
      <c r="AT284" s="262"/>
      <c r="AU284" s="262">
        <f t="shared" si="276"/>
        <v>0</v>
      </c>
      <c r="AV284" s="262"/>
      <c r="AW284" s="262">
        <f t="shared" si="277"/>
        <v>1554.0151393811539</v>
      </c>
      <c r="AX284" s="262"/>
      <c r="AY284" s="262">
        <f t="shared" si="278"/>
        <v>1912.6340176998817</v>
      </c>
      <c r="BA284" s="175"/>
      <c r="BB284" s="145"/>
      <c r="BC284" s="145"/>
      <c r="BD284" s="145"/>
    </row>
    <row r="285" spans="1:56" x14ac:dyDescent="0.2">
      <c r="A285" s="514"/>
      <c r="B285" s="515"/>
      <c r="D285" s="488">
        <v>306</v>
      </c>
      <c r="F285" s="216" t="s">
        <v>751</v>
      </c>
      <c r="H285" s="144">
        <v>2</v>
      </c>
      <c r="J285" s="312">
        <v>6964539.8717343044</v>
      </c>
      <c r="K285" s="146"/>
      <c r="L285" s="260">
        <f t="shared" si="263"/>
        <v>3475305.3959954181</v>
      </c>
      <c r="M285" s="212"/>
      <c r="N285" s="260">
        <f t="shared" si="264"/>
        <v>2156917.998276114</v>
      </c>
      <c r="O285" s="212"/>
      <c r="P285" s="260">
        <f t="shared" si="265"/>
        <v>307136.20834348281</v>
      </c>
      <c r="Q285" s="212"/>
      <c r="R285" s="260">
        <f t="shared" si="266"/>
        <v>767492.29386512039</v>
      </c>
      <c r="S285" s="212"/>
      <c r="T285" s="260">
        <f t="shared" si="267"/>
        <v>233312.0857030992</v>
      </c>
      <c r="U285" s="212"/>
      <c r="V285" s="260">
        <f t="shared" si="268"/>
        <v>11143.263794774888</v>
      </c>
      <c r="W285" s="212"/>
      <c r="X285" s="260">
        <f t="shared" si="269"/>
        <v>13232.625756295178</v>
      </c>
      <c r="Y285" s="212"/>
      <c r="Z285" s="175"/>
      <c r="AC285" s="216" t="s">
        <v>751</v>
      </c>
      <c r="AE285" s="239">
        <f t="shared" si="279"/>
        <v>2</v>
      </c>
      <c r="AG285" s="145">
        <f t="shared" si="280"/>
        <v>6964539.8717343044</v>
      </c>
      <c r="AI285" s="262">
        <f t="shared" si="270"/>
        <v>4196831.7267070916</v>
      </c>
      <c r="AJ285" s="262"/>
      <c r="AK285" s="262">
        <f t="shared" si="271"/>
        <v>2743332.2554761423</v>
      </c>
      <c r="AL285" s="262"/>
      <c r="AM285" s="262">
        <f t="shared" si="272"/>
        <v>0</v>
      </c>
      <c r="AN285" s="262"/>
      <c r="AO285" s="262">
        <f t="shared" si="273"/>
        <v>0</v>
      </c>
      <c r="AP285" s="262"/>
      <c r="AQ285" s="262">
        <f t="shared" si="274"/>
        <v>0</v>
      </c>
      <c r="AR285" s="262"/>
      <c r="AS285" s="262">
        <f t="shared" si="275"/>
        <v>0</v>
      </c>
      <c r="AT285" s="262"/>
      <c r="AU285" s="262">
        <f t="shared" si="276"/>
        <v>0</v>
      </c>
      <c r="AV285" s="262"/>
      <c r="AW285" s="262">
        <f t="shared" si="277"/>
        <v>11143.263794774888</v>
      </c>
      <c r="AX285" s="262"/>
      <c r="AY285" s="262">
        <f t="shared" si="278"/>
        <v>13232.625756295178</v>
      </c>
      <c r="BA285" s="175"/>
      <c r="BB285" s="145"/>
      <c r="BC285" s="145"/>
      <c r="BD285" s="145"/>
    </row>
    <row r="286" spans="1:56" x14ac:dyDescent="0.2">
      <c r="A286" s="514"/>
      <c r="B286" s="515"/>
      <c r="D286" s="488">
        <v>309</v>
      </c>
      <c r="F286" s="216" t="s">
        <v>753</v>
      </c>
      <c r="H286" s="144">
        <v>2</v>
      </c>
      <c r="J286" s="312">
        <v>24631165.925660156</v>
      </c>
      <c r="K286" s="146"/>
      <c r="L286" s="260">
        <f t="shared" si="263"/>
        <v>12290951.796904417</v>
      </c>
      <c r="M286" s="212"/>
      <c r="N286" s="260">
        <f t="shared" si="264"/>
        <v>7628272.0871769497</v>
      </c>
      <c r="O286" s="212"/>
      <c r="P286" s="260">
        <f t="shared" si="265"/>
        <v>1086234.4173216128</v>
      </c>
      <c r="Q286" s="212"/>
      <c r="R286" s="260">
        <f t="shared" si="266"/>
        <v>2714354.4850077494</v>
      </c>
      <c r="S286" s="212"/>
      <c r="T286" s="260">
        <f t="shared" si="267"/>
        <v>825144.05850961525</v>
      </c>
      <c r="U286" s="212"/>
      <c r="V286" s="260">
        <f t="shared" si="268"/>
        <v>39409.865481056251</v>
      </c>
      <c r="W286" s="212"/>
      <c r="X286" s="260">
        <f t="shared" si="269"/>
        <v>46799.215258754295</v>
      </c>
      <c r="Y286" s="212"/>
      <c r="Z286" s="175"/>
      <c r="AC286" s="216" t="s">
        <v>753</v>
      </c>
      <c r="AE286" s="239">
        <f t="shared" si="279"/>
        <v>2</v>
      </c>
      <c r="AG286" s="145">
        <f t="shared" si="280"/>
        <v>24631165.925660156</v>
      </c>
      <c r="AI286" s="262">
        <f t="shared" si="270"/>
        <v>14842740.586802809</v>
      </c>
      <c r="AJ286" s="262"/>
      <c r="AK286" s="262">
        <f t="shared" si="271"/>
        <v>9702216.2581175342</v>
      </c>
      <c r="AL286" s="262"/>
      <c r="AM286" s="262">
        <f t="shared" si="272"/>
        <v>0</v>
      </c>
      <c r="AN286" s="262"/>
      <c r="AO286" s="262">
        <f t="shared" si="273"/>
        <v>0</v>
      </c>
      <c r="AP286" s="262"/>
      <c r="AQ286" s="262">
        <f t="shared" si="274"/>
        <v>0</v>
      </c>
      <c r="AR286" s="262"/>
      <c r="AS286" s="262">
        <f t="shared" si="275"/>
        <v>0</v>
      </c>
      <c r="AT286" s="262"/>
      <c r="AU286" s="262">
        <f t="shared" si="276"/>
        <v>0</v>
      </c>
      <c r="AV286" s="262"/>
      <c r="AW286" s="262">
        <f t="shared" si="277"/>
        <v>39409.865481056251</v>
      </c>
      <c r="AX286" s="262"/>
      <c r="AY286" s="262">
        <f t="shared" si="278"/>
        <v>46799.215258754295</v>
      </c>
      <c r="BA286" s="175"/>
      <c r="BB286" s="145"/>
      <c r="BC286" s="145"/>
      <c r="BD286" s="145"/>
    </row>
    <row r="287" spans="1:56" x14ac:dyDescent="0.2">
      <c r="A287" s="514"/>
      <c r="B287" s="515"/>
      <c r="D287" s="488">
        <v>311.52</v>
      </c>
      <c r="F287" s="216" t="s">
        <v>867</v>
      </c>
      <c r="H287" s="144">
        <v>2</v>
      </c>
      <c r="J287" s="312">
        <v>13560794.519267326</v>
      </c>
      <c r="K287" s="146"/>
      <c r="L287" s="260">
        <f t="shared" si="263"/>
        <v>6766836.4651143961</v>
      </c>
      <c r="M287" s="212"/>
      <c r="N287" s="260">
        <f t="shared" si="264"/>
        <v>4199778.0626170905</v>
      </c>
      <c r="O287" s="212"/>
      <c r="P287" s="260">
        <f t="shared" si="265"/>
        <v>598031.03829968907</v>
      </c>
      <c r="Q287" s="212"/>
      <c r="R287" s="260">
        <f t="shared" si="266"/>
        <v>1494399.5560232594</v>
      </c>
      <c r="S287" s="212"/>
      <c r="T287" s="260">
        <f t="shared" si="267"/>
        <v>454286.61639545544</v>
      </c>
      <c r="U287" s="212"/>
      <c r="V287" s="260">
        <f t="shared" si="268"/>
        <v>21697.271230827722</v>
      </c>
      <c r="W287" s="212"/>
      <c r="X287" s="260">
        <f t="shared" si="269"/>
        <v>25765.509586607921</v>
      </c>
      <c r="Y287" s="212"/>
      <c r="Z287" s="175"/>
      <c r="AC287" s="216" t="s">
        <v>867</v>
      </c>
      <c r="AE287" s="239">
        <f t="shared" si="279"/>
        <v>2</v>
      </c>
      <c r="AG287" s="145">
        <f t="shared" si="280"/>
        <v>13560794.519267326</v>
      </c>
      <c r="AI287" s="262">
        <f t="shared" si="270"/>
        <v>8171734.7773104897</v>
      </c>
      <c r="AJ287" s="262"/>
      <c r="AK287" s="262">
        <f t="shared" si="271"/>
        <v>5341596.9611393996</v>
      </c>
      <c r="AL287" s="262"/>
      <c r="AM287" s="262">
        <f t="shared" si="272"/>
        <v>0</v>
      </c>
      <c r="AN287" s="262"/>
      <c r="AO287" s="262">
        <f t="shared" si="273"/>
        <v>0</v>
      </c>
      <c r="AP287" s="262"/>
      <c r="AQ287" s="262">
        <f t="shared" si="274"/>
        <v>0</v>
      </c>
      <c r="AR287" s="262"/>
      <c r="AS287" s="262">
        <f t="shared" si="275"/>
        <v>0</v>
      </c>
      <c r="AT287" s="262"/>
      <c r="AU287" s="262">
        <f t="shared" si="276"/>
        <v>0</v>
      </c>
      <c r="AV287" s="262"/>
      <c r="AW287" s="262">
        <f t="shared" si="277"/>
        <v>21697.271230827722</v>
      </c>
      <c r="AX287" s="262"/>
      <c r="AY287" s="262">
        <f t="shared" si="278"/>
        <v>25765.509586607921</v>
      </c>
      <c r="BA287" s="175"/>
      <c r="BB287" s="145"/>
      <c r="BC287" s="145"/>
      <c r="BD287" s="145"/>
    </row>
    <row r="288" spans="1:56" x14ac:dyDescent="0.2">
      <c r="A288" s="514"/>
      <c r="B288" s="515"/>
      <c r="D288" s="488">
        <v>303.3</v>
      </c>
      <c r="F288" s="216" t="s">
        <v>864</v>
      </c>
      <c r="H288" s="144">
        <v>6</v>
      </c>
      <c r="J288" s="312">
        <v>195966.12999999995</v>
      </c>
      <c r="K288" s="146"/>
      <c r="L288" s="260">
        <f t="shared" si="263"/>
        <v>93436.650783999969</v>
      </c>
      <c r="M288" s="212"/>
      <c r="N288" s="260">
        <f t="shared" si="264"/>
        <v>57751.218510999985</v>
      </c>
      <c r="O288" s="212"/>
      <c r="P288" s="260">
        <f t="shared" si="265"/>
        <v>7995.4181039999985</v>
      </c>
      <c r="Q288" s="212"/>
      <c r="R288" s="260">
        <f t="shared" si="266"/>
        <v>19772.982516999993</v>
      </c>
      <c r="S288" s="212"/>
      <c r="T288" s="260">
        <f t="shared" si="267"/>
        <v>4663.9938939999993</v>
      </c>
      <c r="U288" s="212"/>
      <c r="V288" s="260">
        <f t="shared" si="268"/>
        <v>5565.4380919999985</v>
      </c>
      <c r="W288" s="212"/>
      <c r="X288" s="260">
        <f t="shared" si="269"/>
        <v>6780.4280979999976</v>
      </c>
      <c r="Y288" s="212"/>
      <c r="Z288" s="175"/>
      <c r="AC288" s="216" t="s">
        <v>864</v>
      </c>
      <c r="AE288" s="239">
        <f t="shared" si="279"/>
        <v>6</v>
      </c>
      <c r="AG288" s="145">
        <f t="shared" si="280"/>
        <v>195966.12999999995</v>
      </c>
      <c r="AI288" s="262">
        <f t="shared" si="270"/>
        <v>101775.29180672717</v>
      </c>
      <c r="AJ288" s="262"/>
      <c r="AK288" s="262">
        <f t="shared" si="271"/>
        <v>54850.919786999992</v>
      </c>
      <c r="AL288" s="262"/>
      <c r="AM288" s="262">
        <f t="shared" si="272"/>
        <v>26990.916758192794</v>
      </c>
      <c r="AN288" s="262"/>
      <c r="AO288" s="262">
        <f t="shared" si="273"/>
        <v>0</v>
      </c>
      <c r="AP288" s="262"/>
      <c r="AQ288" s="262">
        <f t="shared" si="274"/>
        <v>0</v>
      </c>
      <c r="AR288" s="262"/>
      <c r="AS288" s="262">
        <f t="shared" si="275"/>
        <v>0</v>
      </c>
      <c r="AT288" s="262"/>
      <c r="AU288" s="262">
        <f t="shared" si="276"/>
        <v>0</v>
      </c>
      <c r="AV288" s="262"/>
      <c r="AW288" s="262">
        <f t="shared" si="277"/>
        <v>5564.8893868359983</v>
      </c>
      <c r="AX288" s="262"/>
      <c r="AY288" s="262">
        <f t="shared" si="278"/>
        <v>6784.1122612439976</v>
      </c>
      <c r="BA288" s="175"/>
      <c r="BB288" s="145"/>
      <c r="BC288" s="145"/>
      <c r="BD288" s="145"/>
    </row>
    <row r="289" spans="1:56" x14ac:dyDescent="0.2">
      <c r="A289" s="514"/>
      <c r="B289" s="515"/>
      <c r="D289" s="488">
        <v>304.2</v>
      </c>
      <c r="F289" s="216" t="s">
        <v>754</v>
      </c>
      <c r="H289" s="144">
        <v>6</v>
      </c>
      <c r="J289" s="312">
        <v>7238577.4156801673</v>
      </c>
      <c r="K289" s="146"/>
      <c r="L289" s="260">
        <f t="shared" si="263"/>
        <v>3451353.7117963037</v>
      </c>
      <c r="M289" s="212"/>
      <c r="N289" s="260">
        <f t="shared" si="264"/>
        <v>2133208.7644009455</v>
      </c>
      <c r="O289" s="212"/>
      <c r="P289" s="260">
        <f t="shared" si="265"/>
        <v>295333.95855975087</v>
      </c>
      <c r="Q289" s="212"/>
      <c r="R289" s="260">
        <f t="shared" si="266"/>
        <v>730372.46124212875</v>
      </c>
      <c r="S289" s="212"/>
      <c r="T289" s="260">
        <f t="shared" si="267"/>
        <v>172278.142493188</v>
      </c>
      <c r="U289" s="212"/>
      <c r="V289" s="260">
        <f t="shared" si="268"/>
        <v>205575.59860531677</v>
      </c>
      <c r="W289" s="212"/>
      <c r="X289" s="260">
        <f t="shared" si="269"/>
        <v>250454.77858253379</v>
      </c>
      <c r="Y289" s="212"/>
      <c r="Z289" s="175"/>
      <c r="AC289" s="216" t="s">
        <v>754</v>
      </c>
      <c r="AE289" s="239">
        <f t="shared" si="279"/>
        <v>6</v>
      </c>
      <c r="AG289" s="145">
        <f t="shared" si="280"/>
        <v>7238577.4156801673</v>
      </c>
      <c r="AI289" s="262">
        <f t="shared" si="270"/>
        <v>3759365.6043849736</v>
      </c>
      <c r="AJ289" s="262"/>
      <c r="AK289" s="262">
        <f t="shared" si="271"/>
        <v>2026077.8186488792</v>
      </c>
      <c r="AL289" s="262"/>
      <c r="AM289" s="262">
        <f t="shared" si="272"/>
        <v>996987.79821981362</v>
      </c>
      <c r="AN289" s="262"/>
      <c r="AO289" s="262">
        <f t="shared" si="273"/>
        <v>0</v>
      </c>
      <c r="AP289" s="262"/>
      <c r="AQ289" s="262">
        <f t="shared" si="274"/>
        <v>0</v>
      </c>
      <c r="AR289" s="262"/>
      <c r="AS289" s="262">
        <f t="shared" si="275"/>
        <v>0</v>
      </c>
      <c r="AT289" s="262"/>
      <c r="AU289" s="262">
        <f t="shared" si="276"/>
        <v>0</v>
      </c>
      <c r="AV289" s="262"/>
      <c r="AW289" s="262">
        <f t="shared" si="277"/>
        <v>205555.33058855284</v>
      </c>
      <c r="AX289" s="262"/>
      <c r="AY289" s="262">
        <f t="shared" si="278"/>
        <v>250590.86383794856</v>
      </c>
      <c r="BA289" s="175"/>
      <c r="BB289" s="145"/>
      <c r="BC289" s="145"/>
      <c r="BD289" s="145"/>
    </row>
    <row r="290" spans="1:56" x14ac:dyDescent="0.2">
      <c r="A290" s="514"/>
      <c r="B290" s="515"/>
      <c r="D290" s="488">
        <v>310</v>
      </c>
      <c r="F290" s="216" t="s">
        <v>755</v>
      </c>
      <c r="H290" s="144">
        <v>6</v>
      </c>
      <c r="J290" s="312">
        <v>2807784.1896296358</v>
      </c>
      <c r="K290" s="146"/>
      <c r="L290" s="260">
        <f t="shared" si="263"/>
        <v>1338751.5016154104</v>
      </c>
      <c r="M290" s="212"/>
      <c r="N290" s="260">
        <f t="shared" si="264"/>
        <v>827454.00068385375</v>
      </c>
      <c r="O290" s="212"/>
      <c r="P290" s="260">
        <f t="shared" si="265"/>
        <v>114557.59493688915</v>
      </c>
      <c r="Q290" s="212"/>
      <c r="R290" s="260">
        <f t="shared" si="266"/>
        <v>283305.42473363021</v>
      </c>
      <c r="S290" s="212"/>
      <c r="T290" s="260">
        <f t="shared" si="267"/>
        <v>66825.263713185341</v>
      </c>
      <c r="U290" s="212"/>
      <c r="V290" s="260">
        <f t="shared" si="268"/>
        <v>79741.070985481667</v>
      </c>
      <c r="W290" s="212"/>
      <c r="X290" s="260">
        <f t="shared" si="269"/>
        <v>97149.332961185399</v>
      </c>
      <c r="Y290" s="212"/>
      <c r="Z290" s="175"/>
      <c r="AC290" s="216" t="s">
        <v>755</v>
      </c>
      <c r="AE290" s="239">
        <f t="shared" si="279"/>
        <v>6</v>
      </c>
      <c r="AG290" s="145">
        <f t="shared" si="280"/>
        <v>2807784.1896296358</v>
      </c>
      <c r="AI290" s="262">
        <f t="shared" si="270"/>
        <v>1458226.7620933843</v>
      </c>
      <c r="AJ290" s="262"/>
      <c r="AK290" s="262">
        <f t="shared" si="271"/>
        <v>785898.79467733519</v>
      </c>
      <c r="AL290" s="262"/>
      <c r="AM290" s="262">
        <f t="shared" si="272"/>
        <v>386723.30436521518</v>
      </c>
      <c r="AN290" s="262"/>
      <c r="AO290" s="262">
        <f t="shared" si="273"/>
        <v>0</v>
      </c>
      <c r="AP290" s="262"/>
      <c r="AQ290" s="262">
        <f t="shared" si="274"/>
        <v>0</v>
      </c>
      <c r="AR290" s="262"/>
      <c r="AS290" s="262">
        <f t="shared" si="275"/>
        <v>0</v>
      </c>
      <c r="AT290" s="262"/>
      <c r="AU290" s="262">
        <f t="shared" si="276"/>
        <v>0</v>
      </c>
      <c r="AV290" s="262"/>
      <c r="AW290" s="262">
        <f t="shared" si="277"/>
        <v>79733.209189750691</v>
      </c>
      <c r="AX290" s="262"/>
      <c r="AY290" s="262">
        <f t="shared" si="278"/>
        <v>97202.119303950429</v>
      </c>
      <c r="BA290" s="175"/>
      <c r="BB290" s="145"/>
      <c r="BC290" s="145"/>
      <c r="BD290" s="145"/>
    </row>
    <row r="291" spans="1:56" x14ac:dyDescent="0.2">
      <c r="A291" s="514"/>
      <c r="B291" s="515"/>
      <c r="D291" s="488">
        <v>311.2</v>
      </c>
      <c r="F291" s="216" t="s">
        <v>756</v>
      </c>
      <c r="H291" s="144">
        <v>6</v>
      </c>
      <c r="J291" s="312">
        <v>6492956.4357273271</v>
      </c>
      <c r="K291" s="146"/>
      <c r="L291" s="260">
        <f t="shared" si="263"/>
        <v>3095841.6285547898</v>
      </c>
      <c r="M291" s="212"/>
      <c r="N291" s="260">
        <f t="shared" si="264"/>
        <v>1913474.2616088435</v>
      </c>
      <c r="O291" s="212"/>
      <c r="P291" s="260">
        <f t="shared" si="265"/>
        <v>264912.62257767498</v>
      </c>
      <c r="Q291" s="212"/>
      <c r="R291" s="260">
        <f t="shared" si="266"/>
        <v>655139.30436488718</v>
      </c>
      <c r="S291" s="212"/>
      <c r="T291" s="260">
        <f t="shared" si="267"/>
        <v>154532.36317031039</v>
      </c>
      <c r="U291" s="212"/>
      <c r="V291" s="260">
        <f t="shared" si="268"/>
        <v>184399.9627746561</v>
      </c>
      <c r="W291" s="212"/>
      <c r="X291" s="260">
        <f t="shared" si="269"/>
        <v>224656.29267616553</v>
      </c>
      <c r="Y291" s="212"/>
      <c r="Z291" s="175"/>
      <c r="AC291" s="216" t="s">
        <v>756</v>
      </c>
      <c r="AE291" s="239">
        <f t="shared" si="279"/>
        <v>6</v>
      </c>
      <c r="AG291" s="145">
        <f t="shared" si="280"/>
        <v>6492956.4357273271</v>
      </c>
      <c r="AI291" s="262">
        <f t="shared" si="270"/>
        <v>3372126.2747522546</v>
      </c>
      <c r="AJ291" s="262"/>
      <c r="AK291" s="262">
        <f t="shared" si="271"/>
        <v>1817378.5063600792</v>
      </c>
      <c r="AL291" s="262"/>
      <c r="AM291" s="262">
        <f t="shared" si="272"/>
        <v>894291.51186120021</v>
      </c>
      <c r="AN291" s="262"/>
      <c r="AO291" s="262">
        <f t="shared" si="273"/>
        <v>0</v>
      </c>
      <c r="AP291" s="262"/>
      <c r="AQ291" s="262">
        <f t="shared" si="274"/>
        <v>0</v>
      </c>
      <c r="AR291" s="262"/>
      <c r="AS291" s="262">
        <f t="shared" si="275"/>
        <v>0</v>
      </c>
      <c r="AT291" s="262"/>
      <c r="AU291" s="262">
        <f t="shared" si="276"/>
        <v>0</v>
      </c>
      <c r="AV291" s="262"/>
      <c r="AW291" s="262">
        <f t="shared" si="277"/>
        <v>184381.78249663603</v>
      </c>
      <c r="AX291" s="262"/>
      <c r="AY291" s="262">
        <f t="shared" si="278"/>
        <v>224778.36025715718</v>
      </c>
      <c r="BA291" s="175"/>
      <c r="BB291" s="145"/>
      <c r="BC291" s="145"/>
      <c r="BD291" s="145"/>
    </row>
    <row r="292" spans="1:56" x14ac:dyDescent="0.2">
      <c r="A292" s="551"/>
      <c r="B292" s="552"/>
      <c r="D292" s="488">
        <v>311.2</v>
      </c>
      <c r="F292" s="216" t="s">
        <v>757</v>
      </c>
      <c r="H292" s="144">
        <v>6</v>
      </c>
      <c r="J292" s="312">
        <v>302306.28345537052</v>
      </c>
      <c r="K292" s="146"/>
      <c r="L292" s="260">
        <f t="shared" si="263"/>
        <v>144139.63595152067</v>
      </c>
      <c r="M292" s="212"/>
      <c r="N292" s="260">
        <f t="shared" si="264"/>
        <v>89089.661734297697</v>
      </c>
      <c r="O292" s="212"/>
      <c r="P292" s="260">
        <f t="shared" si="265"/>
        <v>12334.096364979117</v>
      </c>
      <c r="Q292" s="212"/>
      <c r="R292" s="260">
        <f t="shared" si="266"/>
        <v>30502.704000646881</v>
      </c>
      <c r="S292" s="212"/>
      <c r="T292" s="260">
        <f t="shared" si="267"/>
        <v>7194.8895462378186</v>
      </c>
      <c r="U292" s="212"/>
      <c r="V292" s="260">
        <f t="shared" si="268"/>
        <v>8585.4984501325234</v>
      </c>
      <c r="W292" s="212"/>
      <c r="X292" s="260">
        <f t="shared" si="269"/>
        <v>10459.79740755582</v>
      </c>
      <c r="Y292" s="212"/>
      <c r="Z292" s="175"/>
      <c r="AC292" s="216" t="s">
        <v>757</v>
      </c>
      <c r="AE292" s="239">
        <f t="shared" si="279"/>
        <v>6</v>
      </c>
      <c r="AG292" s="145">
        <f t="shared" si="280"/>
        <v>302306.28345537052</v>
      </c>
      <c r="AI292" s="262">
        <f t="shared" si="270"/>
        <v>157003.20363359485</v>
      </c>
      <c r="AJ292" s="262"/>
      <c r="AK292" s="262">
        <f t="shared" si="271"/>
        <v>84615.528739158224</v>
      </c>
      <c r="AL292" s="262"/>
      <c r="AM292" s="262">
        <f t="shared" si="272"/>
        <v>41637.418324393831</v>
      </c>
      <c r="AN292" s="262"/>
      <c r="AO292" s="262">
        <f t="shared" si="273"/>
        <v>0</v>
      </c>
      <c r="AP292" s="262"/>
      <c r="AQ292" s="262">
        <f t="shared" si="274"/>
        <v>0</v>
      </c>
      <c r="AR292" s="262"/>
      <c r="AS292" s="262">
        <f t="shared" si="275"/>
        <v>0</v>
      </c>
      <c r="AT292" s="262"/>
      <c r="AU292" s="262">
        <f t="shared" si="276"/>
        <v>0</v>
      </c>
      <c r="AV292" s="262"/>
      <c r="AW292" s="262">
        <f t="shared" si="277"/>
        <v>8584.6519925388475</v>
      </c>
      <c r="AX292" s="262"/>
      <c r="AY292" s="262">
        <f t="shared" si="278"/>
        <v>10465.480765684781</v>
      </c>
      <c r="BA292" s="175"/>
      <c r="BB292" s="145"/>
      <c r="BC292" s="145"/>
      <c r="BD292" s="145"/>
    </row>
    <row r="293" spans="1:56" x14ac:dyDescent="0.2">
      <c r="A293" s="551"/>
      <c r="B293" s="552"/>
      <c r="D293" s="488">
        <v>311.39999999999998</v>
      </c>
      <c r="F293" s="216" t="s">
        <v>865</v>
      </c>
      <c r="H293" s="144">
        <v>6</v>
      </c>
      <c r="J293" s="312">
        <v>-1354.6175519999888</v>
      </c>
      <c r="K293" s="146"/>
      <c r="L293" s="260">
        <f t="shared" si="263"/>
        <v>-645.88164879359465</v>
      </c>
      <c r="M293" s="212"/>
      <c r="N293" s="260">
        <f t="shared" si="264"/>
        <v>-399.2057925743967</v>
      </c>
      <c r="O293" s="212"/>
      <c r="P293" s="260">
        <f t="shared" si="265"/>
        <v>-55.268396121599544</v>
      </c>
      <c r="Q293" s="212"/>
      <c r="R293" s="260">
        <f t="shared" si="266"/>
        <v>-136.68091099679884</v>
      </c>
      <c r="S293" s="212"/>
      <c r="T293" s="260">
        <f t="shared" si="267"/>
        <v>-32.239897737599733</v>
      </c>
      <c r="U293" s="212"/>
      <c r="V293" s="260">
        <f t="shared" si="268"/>
        <v>-38.47113847679968</v>
      </c>
      <c r="W293" s="212"/>
      <c r="X293" s="260">
        <f t="shared" si="269"/>
        <v>-46.869767299199609</v>
      </c>
      <c r="Y293" s="212"/>
      <c r="Z293" s="175"/>
      <c r="AC293" s="216" t="s">
        <v>865</v>
      </c>
      <c r="AE293" s="239">
        <f t="shared" si="279"/>
        <v>6</v>
      </c>
      <c r="AG293" s="145">
        <f t="shared" si="280"/>
        <v>-1354.6175519999888</v>
      </c>
      <c r="AI293" s="262">
        <f t="shared" si="270"/>
        <v>-703.52257628046902</v>
      </c>
      <c r="AJ293" s="262"/>
      <c r="AK293" s="262">
        <f t="shared" si="271"/>
        <v>-379.15745280479689</v>
      </c>
      <c r="AL293" s="262"/>
      <c r="AM293" s="262">
        <f t="shared" si="272"/>
        <v>-186.57494325789159</v>
      </c>
      <c r="AN293" s="262"/>
      <c r="AO293" s="262">
        <f t="shared" si="273"/>
        <v>0</v>
      </c>
      <c r="AP293" s="262"/>
      <c r="AQ293" s="262">
        <f t="shared" si="274"/>
        <v>0</v>
      </c>
      <c r="AR293" s="262"/>
      <c r="AS293" s="262">
        <f t="shared" si="275"/>
        <v>0</v>
      </c>
      <c r="AT293" s="262"/>
      <c r="AU293" s="262">
        <f t="shared" si="276"/>
        <v>0</v>
      </c>
      <c r="AV293" s="262"/>
      <c r="AW293" s="262">
        <f t="shared" si="277"/>
        <v>-38.467345547654077</v>
      </c>
      <c r="AX293" s="262"/>
      <c r="AY293" s="262">
        <f t="shared" si="278"/>
        <v>-46.89523410917721</v>
      </c>
      <c r="BA293" s="175"/>
      <c r="BB293" s="145"/>
      <c r="BC293" s="145"/>
      <c r="BD293" s="145"/>
    </row>
    <row r="294" spans="1:56" x14ac:dyDescent="0.2">
      <c r="A294" s="514"/>
      <c r="B294" s="515"/>
      <c r="D294" s="488">
        <v>311.5</v>
      </c>
      <c r="F294" s="216" t="s">
        <v>866</v>
      </c>
      <c r="H294" s="144">
        <v>6</v>
      </c>
      <c r="J294" s="312">
        <v>36.254507044174716</v>
      </c>
      <c r="K294" s="146"/>
      <c r="L294" s="260">
        <f t="shared" si="263"/>
        <v>17.286148958662505</v>
      </c>
      <c r="M294" s="212"/>
      <c r="N294" s="260">
        <f t="shared" si="264"/>
        <v>10.684203225918289</v>
      </c>
      <c r="O294" s="212"/>
      <c r="P294" s="260">
        <f t="shared" si="265"/>
        <v>1.4791838874023284</v>
      </c>
      <c r="Q294" s="212"/>
      <c r="R294" s="260">
        <f t="shared" si="266"/>
        <v>3.6580797607572286</v>
      </c>
      <c r="S294" s="212"/>
      <c r="T294" s="260">
        <f t="shared" si="267"/>
        <v>0.86285726765135828</v>
      </c>
      <c r="U294" s="212"/>
      <c r="V294" s="260">
        <f t="shared" si="268"/>
        <v>1.0296280000545619</v>
      </c>
      <c r="W294" s="212"/>
      <c r="X294" s="260">
        <f t="shared" si="269"/>
        <v>1.2544059437284452</v>
      </c>
      <c r="Y294" s="212"/>
      <c r="Z294" s="175"/>
      <c r="AC294" s="216" t="s">
        <v>866</v>
      </c>
      <c r="AE294" s="239">
        <f t="shared" si="279"/>
        <v>6</v>
      </c>
      <c r="AG294" s="145">
        <f t="shared" si="280"/>
        <v>36.254507044174716</v>
      </c>
      <c r="AI294" s="262">
        <f t="shared" si="270"/>
        <v>18.828830439882282</v>
      </c>
      <c r="AJ294" s="262"/>
      <c r="AK294" s="262">
        <f t="shared" si="271"/>
        <v>10.147636521664504</v>
      </c>
      <c r="AL294" s="262"/>
      <c r="AM294" s="262">
        <f t="shared" si="272"/>
        <v>4.9934260667322166</v>
      </c>
      <c r="AN294" s="262"/>
      <c r="AO294" s="262">
        <f t="shared" si="273"/>
        <v>0</v>
      </c>
      <c r="AP294" s="262"/>
      <c r="AQ294" s="262">
        <f t="shared" si="274"/>
        <v>0</v>
      </c>
      <c r="AR294" s="262"/>
      <c r="AS294" s="262">
        <f t="shared" si="275"/>
        <v>0</v>
      </c>
      <c r="AT294" s="262"/>
      <c r="AU294" s="262">
        <f t="shared" si="276"/>
        <v>0</v>
      </c>
      <c r="AV294" s="262"/>
      <c r="AW294" s="262">
        <f t="shared" si="277"/>
        <v>1.0295264874348382</v>
      </c>
      <c r="AX294" s="262"/>
      <c r="AY294" s="262">
        <f t="shared" si="278"/>
        <v>1.2550875284608756</v>
      </c>
      <c r="BA294" s="175"/>
      <c r="BB294" s="145"/>
      <c r="BC294" s="145"/>
      <c r="BD294" s="145"/>
    </row>
    <row r="295" spans="1:56" x14ac:dyDescent="0.2">
      <c r="A295" s="551"/>
      <c r="B295" s="552"/>
      <c r="D295" s="488">
        <v>303.39999999999998</v>
      </c>
      <c r="F295" s="216" t="s">
        <v>868</v>
      </c>
      <c r="H295" s="144">
        <v>2</v>
      </c>
      <c r="J295" s="312">
        <v>800183.34</v>
      </c>
      <c r="K295" s="146"/>
      <c r="L295" s="260">
        <f t="shared" si="263"/>
        <v>399291.48666</v>
      </c>
      <c r="M295" s="212"/>
      <c r="N295" s="260">
        <f t="shared" si="264"/>
        <v>247816.78039799997</v>
      </c>
      <c r="O295" s="212"/>
      <c r="P295" s="260">
        <f t="shared" si="265"/>
        <v>35288.085293999997</v>
      </c>
      <c r="Q295" s="212"/>
      <c r="R295" s="260">
        <f t="shared" si="266"/>
        <v>88180.204068000006</v>
      </c>
      <c r="S295" s="212"/>
      <c r="T295" s="260">
        <f t="shared" si="267"/>
        <v>26806.141889999999</v>
      </c>
      <c r="U295" s="212"/>
      <c r="V295" s="260">
        <f t="shared" si="268"/>
        <v>1280.2933439999999</v>
      </c>
      <c r="W295" s="212"/>
      <c r="X295" s="260">
        <f t="shared" si="269"/>
        <v>1520.348346</v>
      </c>
      <c r="Y295" s="212"/>
      <c r="Z295" s="175"/>
      <c r="AC295" s="216" t="s">
        <v>868</v>
      </c>
      <c r="AE295" s="239">
        <f t="shared" si="279"/>
        <v>2</v>
      </c>
      <c r="AG295" s="145">
        <f t="shared" si="280"/>
        <v>800183.34</v>
      </c>
      <c r="AI295" s="262">
        <f t="shared" si="270"/>
        <v>482190.48068399989</v>
      </c>
      <c r="AJ295" s="262"/>
      <c r="AK295" s="262">
        <f t="shared" si="271"/>
        <v>315192.21762599994</v>
      </c>
      <c r="AL295" s="262"/>
      <c r="AM295" s="262">
        <f t="shared" si="272"/>
        <v>0</v>
      </c>
      <c r="AN295" s="262"/>
      <c r="AO295" s="262">
        <f t="shared" si="273"/>
        <v>0</v>
      </c>
      <c r="AP295" s="262"/>
      <c r="AQ295" s="262">
        <f t="shared" si="274"/>
        <v>0</v>
      </c>
      <c r="AR295" s="262"/>
      <c r="AS295" s="262">
        <f t="shared" si="275"/>
        <v>0</v>
      </c>
      <c r="AT295" s="262"/>
      <c r="AU295" s="262">
        <f t="shared" si="276"/>
        <v>0</v>
      </c>
      <c r="AV295" s="262"/>
      <c r="AW295" s="262">
        <f t="shared" si="277"/>
        <v>1280.2933439999999</v>
      </c>
      <c r="AX295" s="262"/>
      <c r="AY295" s="262">
        <f t="shared" si="278"/>
        <v>1520.348346</v>
      </c>
      <c r="BA295" s="175"/>
      <c r="BB295" s="145"/>
      <c r="BC295" s="145"/>
      <c r="BD295" s="145"/>
    </row>
    <row r="296" spans="1:56" x14ac:dyDescent="0.2">
      <c r="A296" s="514"/>
      <c r="B296" s="515"/>
      <c r="D296" s="488">
        <v>304.3</v>
      </c>
      <c r="F296" s="216" t="s">
        <v>761</v>
      </c>
      <c r="H296" s="144">
        <v>2</v>
      </c>
      <c r="J296" s="312">
        <v>22710222.980000786</v>
      </c>
      <c r="K296" s="146"/>
      <c r="L296" s="260">
        <f t="shared" si="263"/>
        <v>11332401.267020393</v>
      </c>
      <c r="M296" s="212"/>
      <c r="N296" s="260">
        <f t="shared" si="264"/>
        <v>7033356.0569062429</v>
      </c>
      <c r="O296" s="212"/>
      <c r="P296" s="260">
        <f t="shared" si="265"/>
        <v>1001520.8334180347</v>
      </c>
      <c r="Q296" s="212"/>
      <c r="R296" s="260">
        <f t="shared" si="266"/>
        <v>2502666.572396087</v>
      </c>
      <c r="S296" s="212"/>
      <c r="T296" s="260">
        <f t="shared" si="267"/>
        <v>760792.46983002638</v>
      </c>
      <c r="U296" s="212"/>
      <c r="V296" s="260">
        <f t="shared" si="268"/>
        <v>36336.356768001257</v>
      </c>
      <c r="W296" s="212"/>
      <c r="X296" s="260">
        <f t="shared" si="269"/>
        <v>43149.423662001493</v>
      </c>
      <c r="Y296" s="212"/>
      <c r="Z296" s="175"/>
      <c r="AC296" s="216" t="s">
        <v>761</v>
      </c>
      <c r="AE296" s="239">
        <f t="shared" si="279"/>
        <v>2</v>
      </c>
      <c r="AG296" s="145">
        <f t="shared" si="280"/>
        <v>22710222.980000786</v>
      </c>
      <c r="AI296" s="262">
        <f t="shared" si="270"/>
        <v>13685180.367748473</v>
      </c>
      <c r="AJ296" s="262"/>
      <c r="AK296" s="262">
        <f t="shared" si="271"/>
        <v>8945556.8318223096</v>
      </c>
      <c r="AL296" s="262"/>
      <c r="AM296" s="262">
        <f t="shared" si="272"/>
        <v>0</v>
      </c>
      <c r="AN296" s="262"/>
      <c r="AO296" s="262">
        <f t="shared" si="273"/>
        <v>0</v>
      </c>
      <c r="AP296" s="262"/>
      <c r="AQ296" s="262">
        <f t="shared" si="274"/>
        <v>0</v>
      </c>
      <c r="AR296" s="262"/>
      <c r="AS296" s="262">
        <f t="shared" si="275"/>
        <v>0</v>
      </c>
      <c r="AT296" s="262"/>
      <c r="AU296" s="262">
        <f t="shared" si="276"/>
        <v>0</v>
      </c>
      <c r="AV296" s="262"/>
      <c r="AW296" s="262">
        <f t="shared" si="277"/>
        <v>36336.356768001257</v>
      </c>
      <c r="AX296" s="262"/>
      <c r="AY296" s="262">
        <f t="shared" si="278"/>
        <v>43149.423662001493</v>
      </c>
      <c r="BA296" s="175"/>
      <c r="BB296" s="145"/>
      <c r="BC296" s="145"/>
      <c r="BD296" s="145"/>
    </row>
    <row r="297" spans="1:56" x14ac:dyDescent="0.2">
      <c r="A297" s="514"/>
      <c r="B297" s="515"/>
      <c r="D297" s="488">
        <v>311.52999999999997</v>
      </c>
      <c r="F297" s="216" t="s">
        <v>768</v>
      </c>
      <c r="H297" s="144">
        <v>2</v>
      </c>
      <c r="J297" s="312">
        <v>242.36999999999992</v>
      </c>
      <c r="K297" s="146"/>
      <c r="L297" s="260">
        <f t="shared" si="263"/>
        <v>120.94262999999997</v>
      </c>
      <c r="M297" s="212"/>
      <c r="N297" s="260">
        <f t="shared" si="264"/>
        <v>75.061988999999969</v>
      </c>
      <c r="O297" s="212"/>
      <c r="P297" s="260">
        <f t="shared" si="265"/>
        <v>10.688516999999997</v>
      </c>
      <c r="Q297" s="212"/>
      <c r="R297" s="260">
        <f t="shared" si="266"/>
        <v>26.709173999999994</v>
      </c>
      <c r="S297" s="212"/>
      <c r="T297" s="260">
        <f t="shared" si="267"/>
        <v>8.1193949999999973</v>
      </c>
      <c r="U297" s="212"/>
      <c r="V297" s="260">
        <f t="shared" si="268"/>
        <v>0.38779199999999991</v>
      </c>
      <c r="W297" s="212"/>
      <c r="X297" s="260">
        <f t="shared" si="269"/>
        <v>0.46050299999999983</v>
      </c>
      <c r="Y297" s="212"/>
      <c r="Z297" s="175"/>
      <c r="AC297" s="216" t="s">
        <v>768</v>
      </c>
      <c r="AE297" s="239">
        <f t="shared" si="279"/>
        <v>2</v>
      </c>
      <c r="AG297" s="145">
        <f t="shared" si="280"/>
        <v>242.36999999999992</v>
      </c>
      <c r="AI297" s="262">
        <f t="shared" si="270"/>
        <v>146.05216199999992</v>
      </c>
      <c r="AJ297" s="262"/>
      <c r="AK297" s="262">
        <f t="shared" si="271"/>
        <v>95.469542999999959</v>
      </c>
      <c r="AL297" s="262"/>
      <c r="AM297" s="262">
        <f t="shared" si="272"/>
        <v>0</v>
      </c>
      <c r="AN297" s="262"/>
      <c r="AO297" s="262">
        <f t="shared" si="273"/>
        <v>0</v>
      </c>
      <c r="AP297" s="262"/>
      <c r="AQ297" s="262">
        <f t="shared" si="274"/>
        <v>0</v>
      </c>
      <c r="AR297" s="262"/>
      <c r="AS297" s="262">
        <f t="shared" si="275"/>
        <v>0</v>
      </c>
      <c r="AT297" s="262"/>
      <c r="AU297" s="262">
        <f t="shared" si="276"/>
        <v>0</v>
      </c>
      <c r="AV297" s="262"/>
      <c r="AW297" s="262">
        <f t="shared" si="277"/>
        <v>0.38779199999999991</v>
      </c>
      <c r="AX297" s="262"/>
      <c r="AY297" s="262">
        <f t="shared" si="278"/>
        <v>0.46050299999999983</v>
      </c>
      <c r="BA297" s="175"/>
      <c r="BB297" s="145"/>
      <c r="BC297" s="145"/>
      <c r="BD297" s="145"/>
    </row>
    <row r="298" spans="1:56" x14ac:dyDescent="0.2">
      <c r="A298" s="514"/>
      <c r="B298" s="515"/>
      <c r="D298" s="488">
        <v>320.10000000000002</v>
      </c>
      <c r="F298" s="216" t="s">
        <v>869</v>
      </c>
      <c r="H298" s="144">
        <v>2</v>
      </c>
      <c r="J298" s="312">
        <v>35290141.547463223</v>
      </c>
      <c r="K298" s="146"/>
      <c r="L298" s="260">
        <f t="shared" si="263"/>
        <v>17609780.632184148</v>
      </c>
      <c r="M298" s="212"/>
      <c r="N298" s="260">
        <f t="shared" si="264"/>
        <v>10929356.837249359</v>
      </c>
      <c r="O298" s="212"/>
      <c r="P298" s="260">
        <f t="shared" si="265"/>
        <v>1556295.2422431281</v>
      </c>
      <c r="Q298" s="212"/>
      <c r="R298" s="260">
        <f t="shared" si="266"/>
        <v>3888973.5985304476</v>
      </c>
      <c r="S298" s="212"/>
      <c r="T298" s="260">
        <f t="shared" si="267"/>
        <v>1182219.741840018</v>
      </c>
      <c r="U298" s="212"/>
      <c r="V298" s="260">
        <f t="shared" si="268"/>
        <v>56464.226475941163</v>
      </c>
      <c r="W298" s="212"/>
      <c r="X298" s="260">
        <f t="shared" si="269"/>
        <v>67051.268940180118</v>
      </c>
      <c r="Y298" s="212"/>
      <c r="Z298" s="175"/>
      <c r="AC298" s="216" t="s">
        <v>869</v>
      </c>
      <c r="AE298" s="239">
        <f t="shared" si="279"/>
        <v>2</v>
      </c>
      <c r="AG298" s="145">
        <f t="shared" si="280"/>
        <v>35290141.547463223</v>
      </c>
      <c r="AI298" s="262">
        <f t="shared" si="270"/>
        <v>21265839.296501335</v>
      </c>
      <c r="AJ298" s="262"/>
      <c r="AK298" s="262">
        <f t="shared" si="271"/>
        <v>13900786.755545763</v>
      </c>
      <c r="AL298" s="262"/>
      <c r="AM298" s="262">
        <f t="shared" si="272"/>
        <v>0</v>
      </c>
      <c r="AN298" s="262"/>
      <c r="AO298" s="262">
        <f t="shared" si="273"/>
        <v>0</v>
      </c>
      <c r="AP298" s="262"/>
      <c r="AQ298" s="262">
        <f t="shared" si="274"/>
        <v>0</v>
      </c>
      <c r="AR298" s="262"/>
      <c r="AS298" s="262">
        <f t="shared" si="275"/>
        <v>0</v>
      </c>
      <c r="AT298" s="262"/>
      <c r="AU298" s="262">
        <f t="shared" si="276"/>
        <v>0</v>
      </c>
      <c r="AV298" s="262"/>
      <c r="AW298" s="262">
        <f t="shared" si="277"/>
        <v>56464.226475941163</v>
      </c>
      <c r="AX298" s="262"/>
      <c r="AY298" s="262">
        <f t="shared" si="278"/>
        <v>67051.268940180118</v>
      </c>
      <c r="BA298" s="175"/>
      <c r="BB298" s="145"/>
      <c r="BC298" s="145"/>
      <c r="BD298" s="145"/>
    </row>
    <row r="299" spans="1:56" x14ac:dyDescent="0.2">
      <c r="A299" s="514"/>
      <c r="B299" s="515"/>
      <c r="D299" s="488">
        <v>320.2</v>
      </c>
      <c r="F299" s="216" t="s">
        <v>870</v>
      </c>
      <c r="H299" s="144">
        <v>2</v>
      </c>
      <c r="J299" s="312">
        <v>110447.13736533374</v>
      </c>
      <c r="K299" s="146"/>
      <c r="L299" s="260">
        <f t="shared" si="263"/>
        <v>55113.121545301532</v>
      </c>
      <c r="M299" s="212"/>
      <c r="N299" s="260">
        <f t="shared" si="264"/>
        <v>34205.478442043852</v>
      </c>
      <c r="O299" s="212"/>
      <c r="P299" s="260">
        <f t="shared" si="265"/>
        <v>4870.718757811218</v>
      </c>
      <c r="Q299" s="212"/>
      <c r="R299" s="260">
        <f t="shared" si="266"/>
        <v>12171.274537659778</v>
      </c>
      <c r="S299" s="212"/>
      <c r="T299" s="260">
        <f t="shared" si="267"/>
        <v>3699.9791017386806</v>
      </c>
      <c r="U299" s="212"/>
      <c r="V299" s="260">
        <f t="shared" si="268"/>
        <v>176.71541978453399</v>
      </c>
      <c r="W299" s="212"/>
      <c r="X299" s="260">
        <f t="shared" si="269"/>
        <v>209.84956099413409</v>
      </c>
      <c r="Y299" s="212"/>
      <c r="Z299" s="175"/>
      <c r="AC299" s="216" t="s">
        <v>870</v>
      </c>
      <c r="AE299" s="239">
        <f t="shared" si="279"/>
        <v>2</v>
      </c>
      <c r="AG299" s="145">
        <f t="shared" si="280"/>
        <v>110447.13736533374</v>
      </c>
      <c r="AI299" s="262">
        <f t="shared" si="270"/>
        <v>66555.444976350103</v>
      </c>
      <c r="AJ299" s="262"/>
      <c r="AK299" s="262">
        <f t="shared" si="271"/>
        <v>43505.127408204957</v>
      </c>
      <c r="AL299" s="262"/>
      <c r="AM299" s="262">
        <f t="shared" si="272"/>
        <v>0</v>
      </c>
      <c r="AN299" s="262"/>
      <c r="AO299" s="262">
        <f t="shared" si="273"/>
        <v>0</v>
      </c>
      <c r="AP299" s="262"/>
      <c r="AQ299" s="262">
        <f t="shared" si="274"/>
        <v>0</v>
      </c>
      <c r="AR299" s="262"/>
      <c r="AS299" s="262">
        <f t="shared" si="275"/>
        <v>0</v>
      </c>
      <c r="AT299" s="262"/>
      <c r="AU299" s="262">
        <f t="shared" si="276"/>
        <v>0</v>
      </c>
      <c r="AV299" s="262"/>
      <c r="AW299" s="262">
        <f t="shared" si="277"/>
        <v>176.71541978453399</v>
      </c>
      <c r="AX299" s="262"/>
      <c r="AY299" s="262">
        <f t="shared" si="278"/>
        <v>209.84956099413409</v>
      </c>
      <c r="BA299" s="175"/>
      <c r="BB299" s="145"/>
      <c r="BC299" s="145"/>
      <c r="BD299" s="145"/>
    </row>
    <row r="300" spans="1:56" x14ac:dyDescent="0.2">
      <c r="A300" s="514"/>
      <c r="B300" s="515"/>
      <c r="D300" s="488">
        <v>303.5</v>
      </c>
      <c r="F300" s="216" t="s">
        <v>767</v>
      </c>
      <c r="H300" s="144">
        <v>7</v>
      </c>
      <c r="J300" s="312">
        <v>7696495.5631670067</v>
      </c>
      <c r="K300" s="146"/>
      <c r="L300" s="260">
        <f t="shared" si="263"/>
        <v>3559629.1979647405</v>
      </c>
      <c r="M300" s="212"/>
      <c r="N300" s="260">
        <f t="shared" si="264"/>
        <v>2185035.0903831129</v>
      </c>
      <c r="O300" s="212"/>
      <c r="P300" s="260">
        <f t="shared" si="265"/>
        <v>284000.68628086254</v>
      </c>
      <c r="Q300" s="212"/>
      <c r="R300" s="260">
        <f t="shared" si="266"/>
        <v>684988.10512186354</v>
      </c>
      <c r="S300" s="212"/>
      <c r="T300" s="260">
        <f t="shared" si="267"/>
        <v>48487.922047952139</v>
      </c>
      <c r="U300" s="212"/>
      <c r="V300" s="260">
        <f t="shared" si="268"/>
        <v>420228.65774891851</v>
      </c>
      <c r="W300" s="212"/>
      <c r="X300" s="260">
        <f t="shared" si="269"/>
        <v>514125.90361955605</v>
      </c>
      <c r="Y300" s="212"/>
      <c r="Z300" s="175"/>
      <c r="AC300" s="216" t="s">
        <v>767</v>
      </c>
      <c r="AE300" s="239">
        <f t="shared" si="279"/>
        <v>7</v>
      </c>
      <c r="AG300" s="145">
        <f t="shared" si="280"/>
        <v>7696495.5631670067</v>
      </c>
      <c r="AI300" s="262">
        <f t="shared" si="270"/>
        <v>2993167.1245156485</v>
      </c>
      <c r="AJ300" s="262"/>
      <c r="AK300" s="262">
        <f t="shared" si="271"/>
        <v>570310.32123067521</v>
      </c>
      <c r="AL300" s="262"/>
      <c r="AM300" s="262">
        <f t="shared" si="272"/>
        <v>3199433.2056085248</v>
      </c>
      <c r="AN300" s="262"/>
      <c r="AO300" s="262">
        <f t="shared" si="273"/>
        <v>0</v>
      </c>
      <c r="AP300" s="262"/>
      <c r="AQ300" s="262">
        <f t="shared" si="274"/>
        <v>0</v>
      </c>
      <c r="AR300" s="262"/>
      <c r="AS300" s="262">
        <f t="shared" si="275"/>
        <v>0</v>
      </c>
      <c r="AT300" s="262"/>
      <c r="AU300" s="262">
        <f t="shared" si="276"/>
        <v>0</v>
      </c>
      <c r="AV300" s="262"/>
      <c r="AW300" s="262">
        <f t="shared" si="277"/>
        <v>420228.65774891851</v>
      </c>
      <c r="AX300" s="262"/>
      <c r="AY300" s="262">
        <f t="shared" si="278"/>
        <v>514125.90361955605</v>
      </c>
      <c r="BA300" s="175"/>
      <c r="BB300" s="145"/>
      <c r="BC300" s="145"/>
      <c r="BD300" s="145"/>
    </row>
    <row r="301" spans="1:56" x14ac:dyDescent="0.2">
      <c r="A301" s="514"/>
      <c r="B301" s="515"/>
      <c r="D301" s="488">
        <v>304.39999999999998</v>
      </c>
      <c r="F301" s="216" t="s">
        <v>764</v>
      </c>
      <c r="H301" s="144">
        <v>7</v>
      </c>
      <c r="J301" s="312">
        <v>303002.93736309081</v>
      </c>
      <c r="K301" s="146"/>
      <c r="L301" s="260">
        <f t="shared" si="263"/>
        <v>140138.85853042948</v>
      </c>
      <c r="M301" s="212"/>
      <c r="N301" s="260">
        <f t="shared" si="264"/>
        <v>86022.533917381472</v>
      </c>
      <c r="O301" s="212"/>
      <c r="P301" s="260">
        <f t="shared" si="265"/>
        <v>11180.808388698051</v>
      </c>
      <c r="Q301" s="212"/>
      <c r="R301" s="260">
        <f t="shared" si="266"/>
        <v>26967.261425315082</v>
      </c>
      <c r="S301" s="212"/>
      <c r="T301" s="260">
        <f t="shared" si="267"/>
        <v>1908.9185053874721</v>
      </c>
      <c r="U301" s="212"/>
      <c r="V301" s="260">
        <f t="shared" si="268"/>
        <v>16543.960380024757</v>
      </c>
      <c r="W301" s="212"/>
      <c r="X301" s="260">
        <f t="shared" si="269"/>
        <v>20240.596215854464</v>
      </c>
      <c r="Y301" s="212"/>
      <c r="Z301" s="175"/>
      <c r="AC301" s="216" t="s">
        <v>764</v>
      </c>
      <c r="AE301" s="239">
        <f t="shared" si="279"/>
        <v>7</v>
      </c>
      <c r="AG301" s="145">
        <f t="shared" si="280"/>
        <v>303002.93736309081</v>
      </c>
      <c r="AI301" s="262">
        <f t="shared" si="270"/>
        <v>117837.842340506</v>
      </c>
      <c r="AJ301" s="262"/>
      <c r="AK301" s="262">
        <f t="shared" si="271"/>
        <v>22452.517658605029</v>
      </c>
      <c r="AL301" s="262"/>
      <c r="AM301" s="262">
        <f t="shared" si="272"/>
        <v>125958.32106183685</v>
      </c>
      <c r="AN301" s="262"/>
      <c r="AO301" s="262">
        <f t="shared" si="273"/>
        <v>0</v>
      </c>
      <c r="AP301" s="262"/>
      <c r="AQ301" s="262">
        <f t="shared" si="274"/>
        <v>0</v>
      </c>
      <c r="AR301" s="262"/>
      <c r="AS301" s="262">
        <f t="shared" si="275"/>
        <v>0</v>
      </c>
      <c r="AT301" s="262"/>
      <c r="AU301" s="262">
        <f t="shared" si="276"/>
        <v>0</v>
      </c>
      <c r="AV301" s="262"/>
      <c r="AW301" s="262">
        <f t="shared" si="277"/>
        <v>16543.960380024757</v>
      </c>
      <c r="AX301" s="262"/>
      <c r="AY301" s="262">
        <f t="shared" si="278"/>
        <v>20240.596215854464</v>
      </c>
      <c r="BA301" s="175"/>
      <c r="BB301" s="145"/>
      <c r="BC301" s="145"/>
      <c r="BD301" s="145"/>
    </row>
    <row r="302" spans="1:56" x14ac:dyDescent="0.2">
      <c r="A302" s="514"/>
      <c r="B302" s="515"/>
      <c r="D302" s="488">
        <v>311.54000000000002</v>
      </c>
      <c r="F302" s="216" t="s">
        <v>832</v>
      </c>
      <c r="H302" s="144">
        <v>7</v>
      </c>
      <c r="J302" s="312">
        <v>356051.50035119994</v>
      </c>
      <c r="K302" s="146"/>
      <c r="L302" s="260">
        <f t="shared" si="263"/>
        <v>164673.81891242997</v>
      </c>
      <c r="M302" s="212"/>
      <c r="N302" s="260">
        <f t="shared" si="264"/>
        <v>101083.02094970566</v>
      </c>
      <c r="O302" s="212"/>
      <c r="P302" s="260">
        <f t="shared" si="265"/>
        <v>13138.300362959279</v>
      </c>
      <c r="Q302" s="212"/>
      <c r="R302" s="260">
        <f t="shared" si="266"/>
        <v>31688.583531256794</v>
      </c>
      <c r="S302" s="212"/>
      <c r="T302" s="260">
        <f t="shared" si="267"/>
        <v>2243.1244522125598</v>
      </c>
      <c r="U302" s="212"/>
      <c r="V302" s="260">
        <f t="shared" si="268"/>
        <v>19440.411919175516</v>
      </c>
      <c r="W302" s="212"/>
      <c r="X302" s="260">
        <f t="shared" si="269"/>
        <v>23784.240223460154</v>
      </c>
      <c r="Y302" s="212"/>
      <c r="Z302" s="175"/>
      <c r="AC302" s="216" t="s">
        <v>832</v>
      </c>
      <c r="AE302" s="239">
        <f t="shared" si="279"/>
        <v>7</v>
      </c>
      <c r="AG302" s="145">
        <f t="shared" si="280"/>
        <v>356051.50035119994</v>
      </c>
      <c r="AI302" s="262">
        <f t="shared" si="270"/>
        <v>138468.42848658166</v>
      </c>
      <c r="AJ302" s="262"/>
      <c r="AK302" s="262">
        <f t="shared" si="271"/>
        <v>26383.416176023915</v>
      </c>
      <c r="AL302" s="262"/>
      <c r="AM302" s="262">
        <f t="shared" si="272"/>
        <v>148010.60869599381</v>
      </c>
      <c r="AN302" s="262"/>
      <c r="AO302" s="262">
        <f t="shared" si="273"/>
        <v>0</v>
      </c>
      <c r="AP302" s="262"/>
      <c r="AQ302" s="262">
        <f t="shared" si="274"/>
        <v>0</v>
      </c>
      <c r="AR302" s="262"/>
      <c r="AS302" s="262">
        <f t="shared" si="275"/>
        <v>0</v>
      </c>
      <c r="AT302" s="262"/>
      <c r="AU302" s="262">
        <f t="shared" si="276"/>
        <v>0</v>
      </c>
      <c r="AV302" s="262"/>
      <c r="AW302" s="262">
        <f t="shared" si="277"/>
        <v>19440.411919175516</v>
      </c>
      <c r="AX302" s="262"/>
      <c r="AY302" s="262">
        <f t="shared" si="278"/>
        <v>23784.240223460154</v>
      </c>
      <c r="BA302" s="175"/>
      <c r="BB302" s="145"/>
      <c r="BC302" s="145"/>
      <c r="BD302" s="145"/>
    </row>
    <row r="303" spans="1:56" x14ac:dyDescent="0.2">
      <c r="A303" s="514"/>
      <c r="B303" s="515"/>
      <c r="D303" s="488">
        <v>330</v>
      </c>
      <c r="F303" s="216" t="s">
        <v>765</v>
      </c>
      <c r="H303" s="144">
        <v>5</v>
      </c>
      <c r="J303" s="312">
        <v>15578399.335651673</v>
      </c>
      <c r="K303" s="146"/>
      <c r="L303" s="260">
        <f t="shared" si="263"/>
        <v>6475940.6038304009</v>
      </c>
      <c r="M303" s="212"/>
      <c r="N303" s="260">
        <f t="shared" si="264"/>
        <v>3960029.1111226552</v>
      </c>
      <c r="O303" s="212"/>
      <c r="P303" s="260">
        <f t="shared" si="265"/>
        <v>503182.29854154907</v>
      </c>
      <c r="Q303" s="212"/>
      <c r="R303" s="260">
        <f t="shared" si="266"/>
        <v>1196421.0689780486</v>
      </c>
      <c r="S303" s="212"/>
      <c r="T303" s="260">
        <f t="shared" si="267"/>
        <v>338051.2655836413</v>
      </c>
      <c r="U303" s="212"/>
      <c r="V303" s="260">
        <f t="shared" si="268"/>
        <v>1398940.2603415202</v>
      </c>
      <c r="W303" s="212"/>
      <c r="X303" s="260">
        <f t="shared" si="269"/>
        <v>1705834.7272538582</v>
      </c>
      <c r="Y303" s="212"/>
      <c r="Z303" s="175"/>
      <c r="AC303" s="216" t="s">
        <v>765</v>
      </c>
      <c r="AE303" s="239">
        <f t="shared" si="279"/>
        <v>5</v>
      </c>
      <c r="AG303" s="145">
        <f t="shared" si="280"/>
        <v>15578399.335651673</v>
      </c>
      <c r="AI303" s="262">
        <f t="shared" si="270"/>
        <v>4972625.0679400135</v>
      </c>
      <c r="AJ303" s="262"/>
      <c r="AK303" s="262">
        <f t="shared" si="271"/>
        <v>0</v>
      </c>
      <c r="AL303" s="262"/>
      <c r="AM303" s="262">
        <f t="shared" si="272"/>
        <v>7500999.2801162805</v>
      </c>
      <c r="AN303" s="262"/>
      <c r="AO303" s="262">
        <f t="shared" si="273"/>
        <v>0</v>
      </c>
      <c r="AP303" s="262"/>
      <c r="AQ303" s="262">
        <f t="shared" si="274"/>
        <v>0</v>
      </c>
      <c r="AR303" s="262"/>
      <c r="AS303" s="262">
        <f t="shared" si="275"/>
        <v>0</v>
      </c>
      <c r="AT303" s="262"/>
      <c r="AU303" s="262">
        <f t="shared" si="276"/>
        <v>0</v>
      </c>
      <c r="AV303" s="262"/>
      <c r="AW303" s="262">
        <f t="shared" si="277"/>
        <v>1398940.2603415202</v>
      </c>
      <c r="AX303" s="262"/>
      <c r="AY303" s="262">
        <f t="shared" si="278"/>
        <v>1705834.7272538582</v>
      </c>
      <c r="BA303" s="175"/>
      <c r="BB303" s="145"/>
      <c r="BC303" s="145"/>
      <c r="BD303" s="145"/>
    </row>
    <row r="304" spans="1:56" x14ac:dyDescent="0.2">
      <c r="A304" s="514"/>
      <c r="B304" s="515"/>
      <c r="D304" s="488">
        <v>331</v>
      </c>
      <c r="F304" s="216" t="s">
        <v>766</v>
      </c>
      <c r="J304" s="312"/>
      <c r="K304" s="146"/>
      <c r="L304" s="260"/>
      <c r="M304" s="212"/>
      <c r="N304" s="260"/>
      <c r="O304" s="212"/>
      <c r="P304" s="260"/>
      <c r="Q304" s="212"/>
      <c r="R304" s="260"/>
      <c r="S304" s="212"/>
      <c r="T304" s="260"/>
      <c r="U304" s="212"/>
      <c r="V304" s="260"/>
      <c r="W304" s="212"/>
      <c r="X304" s="260"/>
      <c r="Y304" s="212"/>
      <c r="Z304" s="175"/>
      <c r="AC304" s="216" t="s">
        <v>766</v>
      </c>
      <c r="AE304" s="239"/>
      <c r="AG304" s="145"/>
      <c r="AI304" s="262"/>
      <c r="AJ304" s="262"/>
      <c r="AK304" s="262"/>
      <c r="AL304" s="262"/>
      <c r="AM304" s="262"/>
      <c r="AN304" s="262"/>
      <c r="AO304" s="262"/>
      <c r="AP304" s="262"/>
      <c r="AQ304" s="262"/>
      <c r="AR304" s="262"/>
      <c r="AS304" s="262"/>
      <c r="AT304" s="262"/>
      <c r="AU304" s="262"/>
      <c r="AV304" s="262"/>
      <c r="AW304" s="262"/>
      <c r="AX304" s="262"/>
      <c r="AY304" s="262"/>
      <c r="BA304" s="175"/>
      <c r="BB304" s="145"/>
      <c r="BC304" s="145"/>
      <c r="BD304" s="145"/>
    </row>
    <row r="305" spans="1:56" x14ac:dyDescent="0.2">
      <c r="A305" s="561"/>
      <c r="B305" s="515"/>
      <c r="F305" s="529" t="s">
        <v>769</v>
      </c>
      <c r="G305" s="144"/>
      <c r="H305" s="144">
        <v>4</v>
      </c>
      <c r="J305" s="313">
        <v>3697427.5569422911</v>
      </c>
      <c r="K305" s="146"/>
      <c r="L305" s="260">
        <f t="shared" ref="L305:L326" si="281">(VLOOKUP($H305,Factors,L$382))*$J305</f>
        <v>1715606.3864212229</v>
      </c>
      <c r="M305" s="212"/>
      <c r="N305" s="260">
        <f t="shared" ref="N305:N326" si="282">(VLOOKUP($H305,Factors,N$382))*$J305</f>
        <v>1050069.4261716106</v>
      </c>
      <c r="O305" s="212"/>
      <c r="P305" s="260">
        <f t="shared" ref="P305:P326" si="283">(VLOOKUP($H305,Factors,P$382))*$J305</f>
        <v>133107.39204992249</v>
      </c>
      <c r="Q305" s="212"/>
      <c r="R305" s="260">
        <f t="shared" ref="R305:R326" si="284">(VLOOKUP($H305,Factors,R$382))*$J305</f>
        <v>317978.76989703701</v>
      </c>
      <c r="S305" s="212"/>
      <c r="T305" s="260">
        <f t="shared" ref="T305:T326" si="285">(VLOOKUP($H305,Factors,T$382))*$J305</f>
        <v>0</v>
      </c>
      <c r="U305" s="212"/>
      <c r="V305" s="260">
        <f t="shared" ref="V305:V326" si="286">(VLOOKUP($H305,Factors,V$382))*$J305</f>
        <v>216299.512081124</v>
      </c>
      <c r="W305" s="212"/>
      <c r="X305" s="260">
        <f t="shared" ref="X305:X326" si="287">(VLOOKUP($H305,Factors,X$382))*$J305</f>
        <v>264366.07032137382</v>
      </c>
      <c r="Y305" s="212"/>
      <c r="Z305" s="175"/>
      <c r="AC305" s="529" t="s">
        <v>769</v>
      </c>
      <c r="AE305" s="239">
        <f t="shared" si="279"/>
        <v>4</v>
      </c>
      <c r="AG305" s="145">
        <f t="shared" si="280"/>
        <v>3697427.5569422911</v>
      </c>
      <c r="AI305" s="262">
        <f t="shared" ref="AI305:AI326" si="288">(VLOOKUP($AE305,func,AI$382))*$AG305</f>
        <v>1281898.1339918924</v>
      </c>
      <c r="AJ305" s="262"/>
      <c r="AK305" s="262">
        <f t="shared" ref="AK305:AK326" si="289">(VLOOKUP($AE305,func,AK$382))*$AG305</f>
        <v>0</v>
      </c>
      <c r="AL305" s="262"/>
      <c r="AM305" s="262">
        <f t="shared" ref="AM305:AM326" si="290">(VLOOKUP($AE305,func,AM$382))*$AG305</f>
        <v>1934863.8405479009</v>
      </c>
      <c r="AN305" s="262"/>
      <c r="AO305" s="262">
        <f t="shared" ref="AO305:AO326" si="291">(VLOOKUP($AE305,func,AO$382))*$AG305</f>
        <v>0</v>
      </c>
      <c r="AP305" s="262"/>
      <c r="AQ305" s="262">
        <f t="shared" ref="AQ305:AQ326" si="292">(VLOOKUP($AE305,func,AQ$382))*$AG305</f>
        <v>0</v>
      </c>
      <c r="AR305" s="262"/>
      <c r="AS305" s="262">
        <f t="shared" ref="AS305:AS326" si="293">(VLOOKUP($AE305,func,AS$382))*$AG305</f>
        <v>0</v>
      </c>
      <c r="AT305" s="262"/>
      <c r="AU305" s="262">
        <f t="shared" ref="AU305:AU326" si="294">(VLOOKUP($AE305,func,AU$382))*$AG305</f>
        <v>0</v>
      </c>
      <c r="AV305" s="262"/>
      <c r="AW305" s="262">
        <f t="shared" ref="AW305:AW326" si="295">(VLOOKUP($AE305,func,AW$382))*$AG305</f>
        <v>216299.512081124</v>
      </c>
      <c r="AX305" s="262"/>
      <c r="AY305" s="262">
        <f t="shared" ref="AY305:AY326" si="296">(VLOOKUP($AE305,func,AY$382))*$AG305</f>
        <v>264366.07032137382</v>
      </c>
      <c r="BA305" s="175"/>
      <c r="BB305" s="145"/>
      <c r="BC305" s="145"/>
      <c r="BD305" s="145"/>
    </row>
    <row r="306" spans="1:56" x14ac:dyDescent="0.2">
      <c r="A306" s="514"/>
      <c r="B306" s="515"/>
      <c r="F306" s="216" t="s">
        <v>772</v>
      </c>
      <c r="G306" s="144"/>
      <c r="H306" s="144">
        <v>4</v>
      </c>
      <c r="J306" s="313">
        <v>6485904.4691641778</v>
      </c>
      <c r="K306" s="146"/>
      <c r="L306" s="260">
        <f t="shared" si="281"/>
        <v>3009459.6736921784</v>
      </c>
      <c r="M306" s="212"/>
      <c r="N306" s="260">
        <f t="shared" si="282"/>
        <v>1841996.8692426262</v>
      </c>
      <c r="O306" s="212"/>
      <c r="P306" s="260">
        <f t="shared" si="283"/>
        <v>233492.56088991044</v>
      </c>
      <c r="Q306" s="212"/>
      <c r="R306" s="260">
        <f t="shared" si="284"/>
        <v>557787.78434811928</v>
      </c>
      <c r="S306" s="212"/>
      <c r="T306" s="260">
        <f t="shared" si="285"/>
        <v>0</v>
      </c>
      <c r="U306" s="212"/>
      <c r="V306" s="260">
        <f t="shared" si="286"/>
        <v>379425.41144610435</v>
      </c>
      <c r="W306" s="212"/>
      <c r="X306" s="260">
        <f t="shared" si="287"/>
        <v>463742.16954523878</v>
      </c>
      <c r="Y306" s="212"/>
      <c r="Z306" s="175"/>
      <c r="AC306" s="216" t="s">
        <v>772</v>
      </c>
      <c r="AE306" s="239">
        <f t="shared" si="279"/>
        <v>4</v>
      </c>
      <c r="AG306" s="145">
        <f t="shared" si="280"/>
        <v>6485904.4691641778</v>
      </c>
      <c r="AI306" s="262">
        <f t="shared" si="288"/>
        <v>2248663.0794592206</v>
      </c>
      <c r="AJ306" s="262"/>
      <c r="AK306" s="262">
        <f t="shared" si="289"/>
        <v>0</v>
      </c>
      <c r="AL306" s="262"/>
      <c r="AM306" s="262">
        <f t="shared" si="290"/>
        <v>3394073.808713614</v>
      </c>
      <c r="AN306" s="262"/>
      <c r="AO306" s="262">
        <f t="shared" si="291"/>
        <v>0</v>
      </c>
      <c r="AP306" s="262"/>
      <c r="AQ306" s="262">
        <f t="shared" si="292"/>
        <v>0</v>
      </c>
      <c r="AR306" s="262"/>
      <c r="AS306" s="262">
        <f t="shared" si="293"/>
        <v>0</v>
      </c>
      <c r="AT306" s="262"/>
      <c r="AU306" s="262">
        <f t="shared" si="294"/>
        <v>0</v>
      </c>
      <c r="AV306" s="262"/>
      <c r="AW306" s="262">
        <f t="shared" si="295"/>
        <v>379425.41144610435</v>
      </c>
      <c r="AX306" s="262"/>
      <c r="AY306" s="262">
        <f t="shared" si="296"/>
        <v>463742.16954523878</v>
      </c>
      <c r="BA306" s="175"/>
      <c r="BB306" s="145"/>
      <c r="BC306" s="145"/>
      <c r="BD306" s="145"/>
    </row>
    <row r="307" spans="1:56" x14ac:dyDescent="0.2">
      <c r="A307" s="514"/>
      <c r="B307" s="515"/>
      <c r="F307" s="216" t="s">
        <v>770</v>
      </c>
      <c r="G307" s="144"/>
      <c r="H307" s="144">
        <v>4</v>
      </c>
      <c r="J307" s="313">
        <v>50269469.98255311</v>
      </c>
      <c r="K307" s="146"/>
      <c r="L307" s="260">
        <f t="shared" si="281"/>
        <v>23325034.071904641</v>
      </c>
      <c r="M307" s="212"/>
      <c r="N307" s="260">
        <f t="shared" si="282"/>
        <v>14276529.475045081</v>
      </c>
      <c r="O307" s="212"/>
      <c r="P307" s="260">
        <f t="shared" si="283"/>
        <v>1809700.9193719123</v>
      </c>
      <c r="Q307" s="212"/>
      <c r="R307" s="260">
        <f t="shared" si="284"/>
        <v>4323174.4184995666</v>
      </c>
      <c r="S307" s="212"/>
      <c r="T307" s="260">
        <f t="shared" si="285"/>
        <v>0</v>
      </c>
      <c r="U307" s="212"/>
      <c r="V307" s="260">
        <f t="shared" si="286"/>
        <v>2940763.9939793567</v>
      </c>
      <c r="W307" s="212"/>
      <c r="X307" s="260">
        <f t="shared" si="287"/>
        <v>3594267.1037525479</v>
      </c>
      <c r="Y307" s="212"/>
      <c r="Z307" s="175"/>
      <c r="AC307" s="216" t="s">
        <v>770</v>
      </c>
      <c r="AE307" s="239">
        <f t="shared" si="279"/>
        <v>4</v>
      </c>
      <c r="AG307" s="145">
        <f t="shared" si="280"/>
        <v>50269469.98255311</v>
      </c>
      <c r="AI307" s="262">
        <f t="shared" si="288"/>
        <v>17428425.242951162</v>
      </c>
      <c r="AJ307" s="262"/>
      <c r="AK307" s="262">
        <f t="shared" si="289"/>
        <v>0</v>
      </c>
      <c r="AL307" s="262"/>
      <c r="AM307" s="262">
        <f t="shared" si="290"/>
        <v>26306013.64187004</v>
      </c>
      <c r="AN307" s="262"/>
      <c r="AO307" s="262">
        <f t="shared" si="291"/>
        <v>0</v>
      </c>
      <c r="AP307" s="262"/>
      <c r="AQ307" s="262">
        <f t="shared" si="292"/>
        <v>0</v>
      </c>
      <c r="AR307" s="262"/>
      <c r="AS307" s="262">
        <f t="shared" si="293"/>
        <v>0</v>
      </c>
      <c r="AT307" s="262"/>
      <c r="AU307" s="262">
        <f t="shared" si="294"/>
        <v>0</v>
      </c>
      <c r="AV307" s="262"/>
      <c r="AW307" s="262">
        <f t="shared" si="295"/>
        <v>2940763.9939793567</v>
      </c>
      <c r="AX307" s="262"/>
      <c r="AY307" s="262">
        <f t="shared" si="296"/>
        <v>3594267.1037525479</v>
      </c>
      <c r="BA307" s="175"/>
      <c r="BB307" s="145"/>
      <c r="BC307" s="145"/>
      <c r="BD307" s="145"/>
    </row>
    <row r="308" spans="1:56" x14ac:dyDescent="0.2">
      <c r="A308" s="514"/>
      <c r="B308" s="515"/>
      <c r="F308" s="216" t="s">
        <v>771</v>
      </c>
      <c r="G308" s="144"/>
      <c r="H308" s="144">
        <v>3</v>
      </c>
      <c r="J308" s="313">
        <v>46510308.432293095</v>
      </c>
      <c r="K308" s="146"/>
      <c r="L308" s="260">
        <f t="shared" si="281"/>
        <v>21250559.922714714</v>
      </c>
      <c r="M308" s="212"/>
      <c r="N308" s="260">
        <f t="shared" si="282"/>
        <v>13181021.409711862</v>
      </c>
      <c r="O308" s="212"/>
      <c r="P308" s="260">
        <f t="shared" si="283"/>
        <v>1874365.4298214118</v>
      </c>
      <c r="Q308" s="212"/>
      <c r="R308" s="260">
        <f t="shared" si="284"/>
        <v>4692890.1208183737</v>
      </c>
      <c r="S308" s="212"/>
      <c r="T308" s="260">
        <f t="shared" si="285"/>
        <v>1423215.4380281689</v>
      </c>
      <c r="U308" s="212"/>
      <c r="V308" s="260">
        <f t="shared" si="286"/>
        <v>1837157.1830755773</v>
      </c>
      <c r="W308" s="212"/>
      <c r="X308" s="260">
        <f t="shared" si="287"/>
        <v>2251098.9281229861</v>
      </c>
      <c r="Y308" s="212"/>
      <c r="Z308" s="175"/>
      <c r="AC308" s="216" t="s">
        <v>771</v>
      </c>
      <c r="AE308" s="239">
        <f t="shared" si="279"/>
        <v>3</v>
      </c>
      <c r="AG308" s="145">
        <f t="shared" si="280"/>
        <v>46510308.432293095</v>
      </c>
      <c r="AI308" s="262">
        <f t="shared" si="288"/>
        <v>25799268.087392978</v>
      </c>
      <c r="AJ308" s="262"/>
      <c r="AK308" s="262">
        <f t="shared" si="289"/>
        <v>16771617.22068489</v>
      </c>
      <c r="AL308" s="262"/>
      <c r="AM308" s="262">
        <f t="shared" si="290"/>
        <v>0</v>
      </c>
      <c r="AN308" s="262"/>
      <c r="AO308" s="262">
        <f t="shared" si="291"/>
        <v>0</v>
      </c>
      <c r="AP308" s="262"/>
      <c r="AQ308" s="262">
        <f t="shared" si="292"/>
        <v>0</v>
      </c>
      <c r="AR308" s="262"/>
      <c r="AS308" s="262">
        <f t="shared" si="293"/>
        <v>0</v>
      </c>
      <c r="AT308" s="262"/>
      <c r="AU308" s="262">
        <f t="shared" si="294"/>
        <v>0</v>
      </c>
      <c r="AV308" s="262"/>
      <c r="AW308" s="262">
        <f t="shared" si="295"/>
        <v>1772042.7512703671</v>
      </c>
      <c r="AX308" s="262"/>
      <c r="AY308" s="262">
        <f t="shared" si="296"/>
        <v>2167380.3729448584</v>
      </c>
      <c r="BA308" s="175"/>
      <c r="BB308" s="145"/>
      <c r="BC308" s="145"/>
      <c r="BD308" s="145"/>
    </row>
    <row r="309" spans="1:56" x14ac:dyDescent="0.2">
      <c r="A309" s="514"/>
      <c r="B309" s="515"/>
      <c r="F309" s="216" t="s">
        <v>773</v>
      </c>
      <c r="G309" s="144"/>
      <c r="H309" s="144">
        <v>3</v>
      </c>
      <c r="J309" s="313">
        <v>77388326.920000032</v>
      </c>
      <c r="K309" s="146"/>
      <c r="L309" s="260">
        <f t="shared" si="281"/>
        <v>35358726.569748014</v>
      </c>
      <c r="M309" s="212"/>
      <c r="N309" s="260">
        <f t="shared" si="282"/>
        <v>21931851.849128008</v>
      </c>
      <c r="O309" s="212"/>
      <c r="P309" s="260">
        <f t="shared" si="283"/>
        <v>3118749.5748760016</v>
      </c>
      <c r="Q309" s="212"/>
      <c r="R309" s="260">
        <f t="shared" si="284"/>
        <v>7808482.1862280034</v>
      </c>
      <c r="S309" s="212"/>
      <c r="T309" s="260">
        <f t="shared" si="285"/>
        <v>2368082.8037520009</v>
      </c>
      <c r="U309" s="212"/>
      <c r="V309" s="260">
        <f t="shared" si="286"/>
        <v>3056838.9133400014</v>
      </c>
      <c r="W309" s="212"/>
      <c r="X309" s="260">
        <f t="shared" si="287"/>
        <v>3745595.0229280018</v>
      </c>
      <c r="Y309" s="212"/>
      <c r="Z309" s="175"/>
      <c r="AC309" s="216" t="s">
        <v>773</v>
      </c>
      <c r="AE309" s="239">
        <f t="shared" si="279"/>
        <v>3</v>
      </c>
      <c r="AG309" s="145">
        <f t="shared" si="280"/>
        <v>77388326.920000032</v>
      </c>
      <c r="AI309" s="262">
        <f t="shared" si="288"/>
        <v>42927304.942524016</v>
      </c>
      <c r="AJ309" s="262"/>
      <c r="AK309" s="262">
        <f t="shared" si="289"/>
        <v>27906230.687352009</v>
      </c>
      <c r="AL309" s="262"/>
      <c r="AM309" s="262">
        <f t="shared" si="290"/>
        <v>0</v>
      </c>
      <c r="AN309" s="262"/>
      <c r="AO309" s="262">
        <f t="shared" si="291"/>
        <v>0</v>
      </c>
      <c r="AP309" s="262"/>
      <c r="AQ309" s="262">
        <f t="shared" si="292"/>
        <v>0</v>
      </c>
      <c r="AR309" s="262"/>
      <c r="AS309" s="262">
        <f t="shared" si="293"/>
        <v>0</v>
      </c>
      <c r="AT309" s="262"/>
      <c r="AU309" s="262">
        <f t="shared" si="294"/>
        <v>0</v>
      </c>
      <c r="AV309" s="262"/>
      <c r="AW309" s="262">
        <f t="shared" si="295"/>
        <v>2948495.2556520011</v>
      </c>
      <c r="AX309" s="262"/>
      <c r="AY309" s="262">
        <f t="shared" si="296"/>
        <v>3606296.0344720017</v>
      </c>
      <c r="BA309" s="175"/>
      <c r="BB309" s="145"/>
      <c r="BC309" s="145"/>
      <c r="BD309" s="145"/>
    </row>
    <row r="310" spans="1:56" x14ac:dyDescent="0.2">
      <c r="A310" s="551"/>
      <c r="B310" s="552"/>
      <c r="D310" s="488">
        <v>333</v>
      </c>
      <c r="F310" s="216" t="s">
        <v>649</v>
      </c>
      <c r="H310" s="144">
        <v>10</v>
      </c>
      <c r="J310" s="313">
        <v>8576274.0723275729</v>
      </c>
      <c r="K310" s="146"/>
      <c r="L310" s="260">
        <f t="shared" si="281"/>
        <v>7066849.8355979202</v>
      </c>
      <c r="M310" s="212"/>
      <c r="N310" s="260">
        <f t="shared" si="282"/>
        <v>970834.22498748126</v>
      </c>
      <c r="O310" s="212"/>
      <c r="P310" s="260">
        <f t="shared" si="283"/>
        <v>10291.528886793087</v>
      </c>
      <c r="Q310" s="212"/>
      <c r="R310" s="260">
        <f t="shared" si="284"/>
        <v>120067.83701258602</v>
      </c>
      <c r="S310" s="212"/>
      <c r="T310" s="260">
        <f t="shared" si="285"/>
        <v>5145.7644433965434</v>
      </c>
      <c r="U310" s="212"/>
      <c r="V310" s="260">
        <f t="shared" si="286"/>
        <v>403084.88139939593</v>
      </c>
      <c r="W310" s="212"/>
      <c r="X310" s="260">
        <f t="shared" si="287"/>
        <v>0</v>
      </c>
      <c r="Y310" s="212"/>
      <c r="Z310" s="175"/>
      <c r="AC310" s="216" t="s">
        <v>649</v>
      </c>
      <c r="AE310" s="239">
        <f t="shared" si="279"/>
        <v>10</v>
      </c>
      <c r="AG310" s="145">
        <f t="shared" si="280"/>
        <v>8576274.0723275729</v>
      </c>
      <c r="AI310" s="262">
        <f t="shared" si="288"/>
        <v>0</v>
      </c>
      <c r="AJ310" s="262"/>
      <c r="AK310" s="262">
        <f t="shared" si="289"/>
        <v>0</v>
      </c>
      <c r="AL310" s="262"/>
      <c r="AM310" s="262">
        <f t="shared" si="290"/>
        <v>0</v>
      </c>
      <c r="AN310" s="262"/>
      <c r="AO310" s="262">
        <f t="shared" si="291"/>
        <v>0</v>
      </c>
      <c r="AP310" s="262"/>
      <c r="AQ310" s="262">
        <f t="shared" si="292"/>
        <v>8173189.190928177</v>
      </c>
      <c r="AR310" s="262"/>
      <c r="AS310" s="262">
        <f t="shared" si="293"/>
        <v>0</v>
      </c>
      <c r="AT310" s="262"/>
      <c r="AU310" s="262">
        <f t="shared" si="294"/>
        <v>0</v>
      </c>
      <c r="AV310" s="262"/>
      <c r="AW310" s="262">
        <f t="shared" si="295"/>
        <v>403084.88139939593</v>
      </c>
      <c r="AX310" s="262"/>
      <c r="AY310" s="262">
        <f t="shared" si="296"/>
        <v>0</v>
      </c>
      <c r="BA310" s="175"/>
      <c r="BB310" s="145"/>
      <c r="BC310" s="145"/>
      <c r="BD310" s="145"/>
    </row>
    <row r="311" spans="1:56" x14ac:dyDescent="0.2">
      <c r="A311" s="514"/>
      <c r="B311" s="515"/>
      <c r="D311" s="488">
        <v>334</v>
      </c>
      <c r="F311" s="216" t="s">
        <v>650</v>
      </c>
      <c r="H311" s="144">
        <v>9</v>
      </c>
      <c r="J311" s="313">
        <v>26394093.616844207</v>
      </c>
      <c r="K311" s="146"/>
      <c r="L311" s="260">
        <f t="shared" si="281"/>
        <v>21827915.421130158</v>
      </c>
      <c r="M311" s="212"/>
      <c r="N311" s="260">
        <f t="shared" si="282"/>
        <v>3462905.0825299602</v>
      </c>
      <c r="O311" s="212"/>
      <c r="P311" s="260">
        <f t="shared" si="283"/>
        <v>108215.78382906126</v>
      </c>
      <c r="Q311" s="212"/>
      <c r="R311" s="260">
        <f t="shared" si="284"/>
        <v>625540.01871920773</v>
      </c>
      <c r="S311" s="212"/>
      <c r="T311" s="260">
        <f t="shared" si="285"/>
        <v>63345.824680426093</v>
      </c>
      <c r="U311" s="212"/>
      <c r="V311" s="260">
        <f t="shared" si="286"/>
        <v>306171.48595539277</v>
      </c>
      <c r="W311" s="212"/>
      <c r="X311" s="260">
        <f t="shared" si="287"/>
        <v>0</v>
      </c>
      <c r="Y311" s="212"/>
      <c r="Z311" s="175"/>
      <c r="AC311" s="216" t="s">
        <v>650</v>
      </c>
      <c r="AE311" s="239">
        <f t="shared" si="279"/>
        <v>9</v>
      </c>
      <c r="AG311" s="145">
        <f t="shared" si="280"/>
        <v>26394093.616844207</v>
      </c>
      <c r="AI311" s="262">
        <f t="shared" si="288"/>
        <v>0</v>
      </c>
      <c r="AJ311" s="262"/>
      <c r="AK311" s="262">
        <f t="shared" si="289"/>
        <v>0</v>
      </c>
      <c r="AL311" s="262"/>
      <c r="AM311" s="262">
        <f t="shared" si="290"/>
        <v>0</v>
      </c>
      <c r="AN311" s="262"/>
      <c r="AO311" s="262">
        <f t="shared" si="291"/>
        <v>26087922.130888812</v>
      </c>
      <c r="AP311" s="262"/>
      <c r="AQ311" s="262">
        <f t="shared" si="292"/>
        <v>0</v>
      </c>
      <c r="AR311" s="262"/>
      <c r="AS311" s="262">
        <f t="shared" si="293"/>
        <v>0</v>
      </c>
      <c r="AT311" s="262"/>
      <c r="AU311" s="262">
        <f t="shared" si="294"/>
        <v>0</v>
      </c>
      <c r="AV311" s="262"/>
      <c r="AW311" s="262">
        <f t="shared" si="295"/>
        <v>306171.48595539277</v>
      </c>
      <c r="AX311" s="262"/>
      <c r="AY311" s="262">
        <f t="shared" si="296"/>
        <v>0</v>
      </c>
      <c r="BA311" s="175"/>
      <c r="BB311" s="145"/>
      <c r="BC311" s="145"/>
      <c r="BD311" s="145"/>
    </row>
    <row r="312" spans="1:56" x14ac:dyDescent="0.2">
      <c r="A312" s="514"/>
      <c r="B312" s="515"/>
      <c r="D312" s="488">
        <v>334</v>
      </c>
      <c r="F312" s="216" t="s">
        <v>651</v>
      </c>
      <c r="H312" s="144">
        <v>9</v>
      </c>
      <c r="J312" s="313">
        <v>12607261.981526522</v>
      </c>
      <c r="K312" s="146"/>
      <c r="L312" s="260">
        <f t="shared" si="281"/>
        <v>10426205.658722432</v>
      </c>
      <c r="M312" s="212"/>
      <c r="N312" s="260">
        <f t="shared" si="282"/>
        <v>1654072.7719762798</v>
      </c>
      <c r="O312" s="212"/>
      <c r="P312" s="260">
        <f t="shared" si="283"/>
        <v>51689.774124258744</v>
      </c>
      <c r="Q312" s="212"/>
      <c r="R312" s="260">
        <f t="shared" si="284"/>
        <v>298792.10896217858</v>
      </c>
      <c r="S312" s="212"/>
      <c r="T312" s="260">
        <f t="shared" si="285"/>
        <v>30257.428755663652</v>
      </c>
      <c r="U312" s="212"/>
      <c r="V312" s="260">
        <f t="shared" si="286"/>
        <v>146244.23898570763</v>
      </c>
      <c r="W312" s="212"/>
      <c r="X312" s="260">
        <f t="shared" si="287"/>
        <v>0</v>
      </c>
      <c r="Y312" s="212"/>
      <c r="Z312" s="175"/>
      <c r="AC312" s="216" t="s">
        <v>651</v>
      </c>
      <c r="AE312" s="239">
        <f t="shared" si="279"/>
        <v>9</v>
      </c>
      <c r="AG312" s="145">
        <f t="shared" si="280"/>
        <v>12607261.981526522</v>
      </c>
      <c r="AI312" s="262">
        <f t="shared" si="288"/>
        <v>0</v>
      </c>
      <c r="AJ312" s="262"/>
      <c r="AK312" s="262">
        <f t="shared" si="289"/>
        <v>0</v>
      </c>
      <c r="AL312" s="262"/>
      <c r="AM312" s="262">
        <f t="shared" si="290"/>
        <v>0</v>
      </c>
      <c r="AN312" s="262"/>
      <c r="AO312" s="262">
        <f t="shared" si="291"/>
        <v>12461017.742540814</v>
      </c>
      <c r="AP312" s="262"/>
      <c r="AQ312" s="262">
        <f t="shared" si="292"/>
        <v>0</v>
      </c>
      <c r="AR312" s="262"/>
      <c r="AS312" s="262">
        <f t="shared" si="293"/>
        <v>0</v>
      </c>
      <c r="AT312" s="262"/>
      <c r="AU312" s="262">
        <f t="shared" si="294"/>
        <v>0</v>
      </c>
      <c r="AV312" s="262"/>
      <c r="AW312" s="262">
        <f t="shared" si="295"/>
        <v>146244.23898570763</v>
      </c>
      <c r="AX312" s="262"/>
      <c r="AY312" s="262">
        <f t="shared" si="296"/>
        <v>0</v>
      </c>
      <c r="BA312" s="175"/>
      <c r="BB312" s="145"/>
      <c r="BC312" s="145"/>
      <c r="BD312" s="145"/>
    </row>
    <row r="313" spans="1:56" x14ac:dyDescent="0.2">
      <c r="A313" s="514"/>
      <c r="B313" s="515"/>
      <c r="D313" s="488">
        <v>335</v>
      </c>
      <c r="F313" s="216" t="s">
        <v>774</v>
      </c>
      <c r="H313" s="144">
        <v>8</v>
      </c>
      <c r="J313" s="313">
        <v>9034173.7128936723</v>
      </c>
      <c r="K313" s="146"/>
      <c r="L313" s="260">
        <f t="shared" si="281"/>
        <v>0</v>
      </c>
      <c r="M313" s="212"/>
      <c r="N313" s="260">
        <f t="shared" si="282"/>
        <v>0</v>
      </c>
      <c r="O313" s="212"/>
      <c r="P313" s="260">
        <f t="shared" si="283"/>
        <v>0</v>
      </c>
      <c r="Q313" s="212"/>
      <c r="R313" s="260">
        <f t="shared" si="284"/>
        <v>0</v>
      </c>
      <c r="S313" s="212"/>
      <c r="T313" s="260">
        <f t="shared" si="285"/>
        <v>0</v>
      </c>
      <c r="U313" s="212"/>
      <c r="V313" s="260">
        <f t="shared" si="286"/>
        <v>0</v>
      </c>
      <c r="W313" s="212"/>
      <c r="X313" s="260">
        <f t="shared" si="287"/>
        <v>9034173.7128936723</v>
      </c>
      <c r="Y313" s="212"/>
      <c r="Z313" s="175"/>
      <c r="AC313" s="216" t="s">
        <v>774</v>
      </c>
      <c r="AE313" s="239">
        <f t="shared" si="279"/>
        <v>8</v>
      </c>
      <c r="AG313" s="145">
        <f t="shared" si="280"/>
        <v>9034173.7128936723</v>
      </c>
      <c r="AI313" s="262">
        <f t="shared" si="288"/>
        <v>0</v>
      </c>
      <c r="AJ313" s="262"/>
      <c r="AK313" s="262">
        <f t="shared" si="289"/>
        <v>0</v>
      </c>
      <c r="AL313" s="262"/>
      <c r="AM313" s="262">
        <f t="shared" si="290"/>
        <v>0</v>
      </c>
      <c r="AN313" s="262"/>
      <c r="AO313" s="262">
        <f t="shared" si="291"/>
        <v>0</v>
      </c>
      <c r="AP313" s="262"/>
      <c r="AQ313" s="262">
        <f t="shared" si="292"/>
        <v>0</v>
      </c>
      <c r="AR313" s="262"/>
      <c r="AS313" s="262">
        <f t="shared" si="293"/>
        <v>0</v>
      </c>
      <c r="AT313" s="262"/>
      <c r="AU313" s="262">
        <f t="shared" si="294"/>
        <v>0</v>
      </c>
      <c r="AV313" s="262"/>
      <c r="AW313" s="262">
        <f t="shared" si="295"/>
        <v>0</v>
      </c>
      <c r="AX313" s="262"/>
      <c r="AY313" s="262">
        <f t="shared" si="296"/>
        <v>9034173.7128936723</v>
      </c>
      <c r="BA313" s="175"/>
      <c r="BB313" s="145"/>
      <c r="BC313" s="145"/>
      <c r="BD313" s="145"/>
    </row>
    <row r="314" spans="1:56" x14ac:dyDescent="0.2">
      <c r="A314" s="514"/>
      <c r="B314" s="515"/>
      <c r="D314" s="488">
        <v>304.5</v>
      </c>
      <c r="F314" s="216" t="s">
        <v>775</v>
      </c>
      <c r="H314" s="144">
        <v>15</v>
      </c>
      <c r="J314" s="313">
        <v>10802913.858178874</v>
      </c>
      <c r="K314" s="146"/>
      <c r="L314" s="260">
        <f t="shared" si="281"/>
        <v>6971120.3126828279</v>
      </c>
      <c r="M314" s="212"/>
      <c r="N314" s="260">
        <f t="shared" si="282"/>
        <v>2218918.5064699408</v>
      </c>
      <c r="O314" s="212"/>
      <c r="P314" s="260">
        <f t="shared" si="283"/>
        <v>245226.14458066048</v>
      </c>
      <c r="Q314" s="212"/>
      <c r="R314" s="260">
        <f t="shared" si="284"/>
        <v>651415.70564818615</v>
      </c>
      <c r="S314" s="212"/>
      <c r="T314" s="260">
        <f t="shared" si="285"/>
        <v>157722.54232941158</v>
      </c>
      <c r="U314" s="212"/>
      <c r="V314" s="260">
        <f t="shared" si="286"/>
        <v>175007.20450249777</v>
      </c>
      <c r="W314" s="212"/>
      <c r="X314" s="260">
        <f t="shared" si="287"/>
        <v>383503.44196535001</v>
      </c>
      <c r="Y314" s="212"/>
      <c r="Z314" s="175"/>
      <c r="AC314" s="216" t="s">
        <v>775</v>
      </c>
      <c r="AE314" s="239">
        <f t="shared" si="279"/>
        <v>15</v>
      </c>
      <c r="AG314" s="145">
        <f t="shared" si="280"/>
        <v>10802913.858178874</v>
      </c>
      <c r="AI314" s="262">
        <f t="shared" si="288"/>
        <v>3192261.0450918572</v>
      </c>
      <c r="AJ314" s="262"/>
      <c r="AK314" s="262">
        <f t="shared" si="289"/>
        <v>1646364.0719864606</v>
      </c>
      <c r="AL314" s="262"/>
      <c r="AM314" s="262">
        <f t="shared" si="290"/>
        <v>516379.28242095024</v>
      </c>
      <c r="AN314" s="262"/>
      <c r="AO314" s="262">
        <f t="shared" si="291"/>
        <v>1969371.1963460087</v>
      </c>
      <c r="AP314" s="262"/>
      <c r="AQ314" s="262">
        <f t="shared" si="292"/>
        <v>533663.94459403644</v>
      </c>
      <c r="AR314" s="262"/>
      <c r="AS314" s="262">
        <f t="shared" si="293"/>
        <v>1908874.8787402071</v>
      </c>
      <c r="AT314" s="262"/>
      <c r="AU314" s="262">
        <f t="shared" si="294"/>
        <v>491532.58054713876</v>
      </c>
      <c r="AV314" s="262"/>
      <c r="AW314" s="262">
        <f t="shared" si="295"/>
        <v>158802.83371522944</v>
      </c>
      <c r="AX314" s="262"/>
      <c r="AY314" s="262">
        <f t="shared" si="296"/>
        <v>383503.44196535001</v>
      </c>
      <c r="BA314" s="175"/>
      <c r="BB314" s="145"/>
      <c r="BC314" s="145"/>
      <c r="BD314" s="145"/>
    </row>
    <row r="315" spans="1:56" x14ac:dyDescent="0.2">
      <c r="A315" s="514"/>
      <c r="B315" s="515"/>
      <c r="D315" s="488">
        <v>340.1</v>
      </c>
      <c r="F315" s="216" t="s">
        <v>777</v>
      </c>
      <c r="H315" s="144">
        <v>15</v>
      </c>
      <c r="J315" s="313">
        <v>232116.21177240653</v>
      </c>
      <c r="K315" s="146"/>
      <c r="L315" s="260">
        <f t="shared" si="281"/>
        <v>149784.59145673394</v>
      </c>
      <c r="M315" s="212"/>
      <c r="N315" s="260">
        <f t="shared" si="282"/>
        <v>47676.6698980523</v>
      </c>
      <c r="O315" s="212"/>
      <c r="P315" s="260">
        <f t="shared" si="283"/>
        <v>5269.0380072336284</v>
      </c>
      <c r="Q315" s="212"/>
      <c r="R315" s="260">
        <f t="shared" si="284"/>
        <v>13996.607569876114</v>
      </c>
      <c r="S315" s="212"/>
      <c r="T315" s="260">
        <f t="shared" si="285"/>
        <v>3388.8966918771353</v>
      </c>
      <c r="U315" s="212"/>
      <c r="V315" s="260">
        <f t="shared" si="286"/>
        <v>3760.2826307129858</v>
      </c>
      <c r="W315" s="212"/>
      <c r="X315" s="260">
        <f t="shared" si="287"/>
        <v>8240.1255179204309</v>
      </c>
      <c r="Y315" s="212"/>
      <c r="Z315" s="175"/>
      <c r="AC315" s="216" t="s">
        <v>777</v>
      </c>
      <c r="AE315" s="239">
        <f t="shared" si="279"/>
        <v>15</v>
      </c>
      <c r="AG315" s="145">
        <f t="shared" si="280"/>
        <v>232116.21177240653</v>
      </c>
      <c r="AI315" s="262">
        <f t="shared" si="288"/>
        <v>68590.340578746123</v>
      </c>
      <c r="AJ315" s="262"/>
      <c r="AK315" s="262">
        <f t="shared" si="289"/>
        <v>35374.510674114754</v>
      </c>
      <c r="AL315" s="262"/>
      <c r="AM315" s="262">
        <f t="shared" si="290"/>
        <v>11095.154922721033</v>
      </c>
      <c r="AN315" s="262"/>
      <c r="AO315" s="262">
        <f t="shared" si="291"/>
        <v>42314.78540610971</v>
      </c>
      <c r="AP315" s="262"/>
      <c r="AQ315" s="262">
        <f t="shared" si="292"/>
        <v>11466.540861556883</v>
      </c>
      <c r="AR315" s="262"/>
      <c r="AS315" s="262">
        <f t="shared" si="293"/>
        <v>41014.934620184235</v>
      </c>
      <c r="AT315" s="262"/>
      <c r="AU315" s="262">
        <f t="shared" si="294"/>
        <v>10561.287635644498</v>
      </c>
      <c r="AV315" s="262"/>
      <c r="AW315" s="262">
        <f t="shared" si="295"/>
        <v>3412.1083130543757</v>
      </c>
      <c r="AX315" s="262"/>
      <c r="AY315" s="262">
        <f t="shared" si="296"/>
        <v>8240.1255179204309</v>
      </c>
      <c r="BA315" s="175"/>
      <c r="BB315" s="145"/>
      <c r="BC315" s="145"/>
      <c r="BD315" s="145"/>
    </row>
    <row r="316" spans="1:56" x14ac:dyDescent="0.2">
      <c r="A316" s="514"/>
      <c r="B316" s="515"/>
      <c r="D316" s="488">
        <v>340.2</v>
      </c>
      <c r="F316" s="216" t="s">
        <v>830</v>
      </c>
      <c r="H316" s="144">
        <v>15</v>
      </c>
      <c r="J316" s="313">
        <v>-837136.4987775702</v>
      </c>
      <c r="K316" s="146"/>
      <c r="L316" s="260">
        <f t="shared" si="281"/>
        <v>-540204.18266116607</v>
      </c>
      <c r="M316" s="212"/>
      <c r="N316" s="260">
        <f t="shared" si="282"/>
        <v>-171947.83684891291</v>
      </c>
      <c r="O316" s="212"/>
      <c r="P316" s="260">
        <f t="shared" si="283"/>
        <v>-19002.998522250844</v>
      </c>
      <c r="Q316" s="212"/>
      <c r="R316" s="260">
        <f t="shared" si="284"/>
        <v>-50479.33087628748</v>
      </c>
      <c r="S316" s="212"/>
      <c r="T316" s="260">
        <f t="shared" si="285"/>
        <v>-12222.192882152525</v>
      </c>
      <c r="U316" s="212"/>
      <c r="V316" s="260">
        <f t="shared" si="286"/>
        <v>-13561.611280196637</v>
      </c>
      <c r="W316" s="212"/>
      <c r="X316" s="260">
        <f t="shared" si="287"/>
        <v>-29718.345706603741</v>
      </c>
      <c r="Y316" s="212"/>
      <c r="Z316" s="175"/>
      <c r="AC316" s="216" t="s">
        <v>830</v>
      </c>
      <c r="AE316" s="239">
        <f t="shared" si="279"/>
        <v>15</v>
      </c>
      <c r="AG316" s="145">
        <f t="shared" si="280"/>
        <v>-837136.4987775702</v>
      </c>
      <c r="AI316" s="262">
        <f t="shared" si="288"/>
        <v>-247373.83538877199</v>
      </c>
      <c r="AJ316" s="262"/>
      <c r="AK316" s="262">
        <f t="shared" si="289"/>
        <v>-127579.60241370171</v>
      </c>
      <c r="AL316" s="262"/>
      <c r="AM316" s="262">
        <f t="shared" si="290"/>
        <v>-40015.124641567854</v>
      </c>
      <c r="AN316" s="262"/>
      <c r="AO316" s="262">
        <f t="shared" si="291"/>
        <v>-152609.98372715103</v>
      </c>
      <c r="AP316" s="262"/>
      <c r="AQ316" s="262">
        <f t="shared" si="292"/>
        <v>-41354.54303961197</v>
      </c>
      <c r="AR316" s="262"/>
      <c r="AS316" s="262">
        <f t="shared" si="293"/>
        <v>-147922.01933399666</v>
      </c>
      <c r="AT316" s="262"/>
      <c r="AU316" s="262">
        <f t="shared" si="294"/>
        <v>-38089.710694379442</v>
      </c>
      <c r="AV316" s="262"/>
      <c r="AW316" s="262">
        <f t="shared" si="295"/>
        <v>-12305.906532030282</v>
      </c>
      <c r="AX316" s="262"/>
      <c r="AY316" s="262">
        <f t="shared" si="296"/>
        <v>-29718.345706603741</v>
      </c>
      <c r="BA316" s="175"/>
      <c r="BB316" s="145"/>
      <c r="BC316" s="145"/>
      <c r="BD316" s="145"/>
    </row>
    <row r="317" spans="1:56" x14ac:dyDescent="0.2">
      <c r="A317" s="514"/>
      <c r="B317" s="212"/>
      <c r="D317" s="488">
        <v>340.3</v>
      </c>
      <c r="F317" s="216" t="s">
        <v>683</v>
      </c>
      <c r="H317" s="144">
        <v>13</v>
      </c>
      <c r="J317" s="313">
        <v>3142918.7157586906</v>
      </c>
      <c r="K317" s="146"/>
      <c r="L317" s="260">
        <f t="shared" si="281"/>
        <v>2827369.676696518</v>
      </c>
      <c r="M317" s="212"/>
      <c r="N317" s="260">
        <f t="shared" si="282"/>
        <v>225347.27191989811</v>
      </c>
      <c r="O317" s="212"/>
      <c r="P317" s="260">
        <f t="shared" si="283"/>
        <v>1257.1674863034764</v>
      </c>
      <c r="Q317" s="212"/>
      <c r="R317" s="260">
        <f t="shared" si="284"/>
        <v>19486.096037703883</v>
      </c>
      <c r="S317" s="212"/>
      <c r="T317" s="260">
        <f t="shared" si="285"/>
        <v>628.58374315173819</v>
      </c>
      <c r="U317" s="212"/>
      <c r="V317" s="260">
        <f t="shared" si="286"/>
        <v>67887.044260387716</v>
      </c>
      <c r="W317" s="212"/>
      <c r="X317" s="260">
        <f t="shared" si="287"/>
        <v>942.87561472760706</v>
      </c>
      <c r="Y317" s="212"/>
      <c r="Z317" s="175"/>
      <c r="AC317" s="216" t="s">
        <v>683</v>
      </c>
      <c r="AE317" s="239">
        <f t="shared" si="279"/>
        <v>13</v>
      </c>
      <c r="AG317" s="145">
        <f t="shared" si="280"/>
        <v>3142918.7157586906</v>
      </c>
      <c r="AI317" s="262">
        <f t="shared" si="288"/>
        <v>0</v>
      </c>
      <c r="AJ317" s="262"/>
      <c r="AK317" s="262">
        <f t="shared" si="289"/>
        <v>0</v>
      </c>
      <c r="AL317" s="262"/>
      <c r="AM317" s="262">
        <f t="shared" si="290"/>
        <v>0</v>
      </c>
      <c r="AN317" s="262"/>
      <c r="AO317" s="262">
        <f t="shared" si="291"/>
        <v>0</v>
      </c>
      <c r="AP317" s="262"/>
      <c r="AQ317" s="262">
        <f t="shared" si="292"/>
        <v>0</v>
      </c>
      <c r="AR317" s="262"/>
      <c r="AS317" s="262">
        <f t="shared" si="293"/>
        <v>3074088.7958835755</v>
      </c>
      <c r="AT317" s="262"/>
      <c r="AU317" s="262">
        <f t="shared" si="294"/>
        <v>0</v>
      </c>
      <c r="AV317" s="262"/>
      <c r="AW317" s="262">
        <f t="shared" si="295"/>
        <v>67887.044260387716</v>
      </c>
      <c r="AX317" s="262"/>
      <c r="AY317" s="262">
        <f t="shared" si="296"/>
        <v>942.87561472760706</v>
      </c>
      <c r="BA317" s="175"/>
      <c r="BB317" s="145"/>
      <c r="BC317" s="145"/>
      <c r="BD317" s="145"/>
    </row>
    <row r="318" spans="1:56" x14ac:dyDescent="0.2">
      <c r="A318" s="514"/>
      <c r="B318" s="515"/>
      <c r="D318" s="488">
        <v>340.3</v>
      </c>
      <c r="F318" s="216" t="s">
        <v>821</v>
      </c>
      <c r="H318" s="144">
        <v>15</v>
      </c>
      <c r="J318" s="313">
        <v>6828270.1032726858</v>
      </c>
      <c r="K318" s="146"/>
      <c r="L318" s="260">
        <f t="shared" si="281"/>
        <v>4406282.6976418644</v>
      </c>
      <c r="M318" s="212"/>
      <c r="N318" s="260">
        <f t="shared" si="282"/>
        <v>1402526.6792122098</v>
      </c>
      <c r="O318" s="212"/>
      <c r="P318" s="260">
        <f t="shared" si="283"/>
        <v>155001.73134428999</v>
      </c>
      <c r="Q318" s="212"/>
      <c r="R318" s="260">
        <f t="shared" si="284"/>
        <v>411744.68722734298</v>
      </c>
      <c r="S318" s="212"/>
      <c r="T318" s="260">
        <f t="shared" si="285"/>
        <v>99692.743507781212</v>
      </c>
      <c r="U318" s="212"/>
      <c r="V318" s="260">
        <f t="shared" si="286"/>
        <v>110617.9756730175</v>
      </c>
      <c r="W318" s="212"/>
      <c r="X318" s="260">
        <f t="shared" si="287"/>
        <v>242403.58866618032</v>
      </c>
      <c r="Y318" s="212"/>
      <c r="Z318" s="175"/>
      <c r="AC318" s="216" t="s">
        <v>821</v>
      </c>
      <c r="AE318" s="239">
        <f t="shared" si="279"/>
        <v>15</v>
      </c>
      <c r="AG318" s="145">
        <f t="shared" si="280"/>
        <v>6828270.1032726858</v>
      </c>
      <c r="AI318" s="262">
        <f t="shared" si="288"/>
        <v>2017753.8155170786</v>
      </c>
      <c r="AJ318" s="262"/>
      <c r="AK318" s="262">
        <f t="shared" si="289"/>
        <v>1040628.3637387573</v>
      </c>
      <c r="AL318" s="262"/>
      <c r="AM318" s="262">
        <f t="shared" si="290"/>
        <v>326391.31093643437</v>
      </c>
      <c r="AN318" s="262"/>
      <c r="AO318" s="262">
        <f t="shared" si="291"/>
        <v>1244793.6398266105</v>
      </c>
      <c r="AP318" s="262"/>
      <c r="AQ318" s="262">
        <f t="shared" si="292"/>
        <v>337316.54310167069</v>
      </c>
      <c r="AR318" s="262"/>
      <c r="AS318" s="262">
        <f t="shared" si="293"/>
        <v>1206555.3272482837</v>
      </c>
      <c r="AT318" s="262"/>
      <c r="AU318" s="262">
        <f t="shared" si="294"/>
        <v>310686.28969890717</v>
      </c>
      <c r="AV318" s="262"/>
      <c r="AW318" s="262">
        <f t="shared" si="295"/>
        <v>100375.57051810848</v>
      </c>
      <c r="AX318" s="262"/>
      <c r="AY318" s="262">
        <f t="shared" si="296"/>
        <v>242403.58866618032</v>
      </c>
      <c r="BA318" s="175"/>
      <c r="BB318" s="145"/>
      <c r="BC318" s="145"/>
      <c r="BD318" s="145"/>
    </row>
    <row r="319" spans="1:56" x14ac:dyDescent="0.2">
      <c r="A319" s="514"/>
      <c r="B319" s="515"/>
      <c r="D319" s="488">
        <v>341</v>
      </c>
      <c r="F319" s="216" t="s">
        <v>831</v>
      </c>
      <c r="H319" s="144">
        <v>15</v>
      </c>
      <c r="J319" s="313">
        <v>2817241.3294299031</v>
      </c>
      <c r="K319" s="146"/>
      <c r="L319" s="260">
        <f t="shared" si="281"/>
        <v>1817965.8298811165</v>
      </c>
      <c r="M319" s="212"/>
      <c r="N319" s="260">
        <f t="shared" si="282"/>
        <v>578661.36906490207</v>
      </c>
      <c r="O319" s="212"/>
      <c r="P319" s="260">
        <f t="shared" si="283"/>
        <v>63951.378178058803</v>
      </c>
      <c r="Q319" s="212"/>
      <c r="R319" s="260">
        <f t="shared" si="284"/>
        <v>169879.65216462314</v>
      </c>
      <c r="S319" s="212"/>
      <c r="T319" s="260">
        <f t="shared" si="285"/>
        <v>41131.723409676582</v>
      </c>
      <c r="U319" s="212"/>
      <c r="V319" s="260">
        <f t="shared" si="286"/>
        <v>45639.309536764427</v>
      </c>
      <c r="W319" s="212"/>
      <c r="X319" s="260">
        <f t="shared" si="287"/>
        <v>100012.06719476155</v>
      </c>
      <c r="Y319" s="212"/>
      <c r="Z319" s="175"/>
      <c r="AC319" s="216" t="s">
        <v>831</v>
      </c>
      <c r="AE319" s="239">
        <f t="shared" si="279"/>
        <v>15</v>
      </c>
      <c r="AG319" s="145">
        <f t="shared" si="280"/>
        <v>2817241.3294299031</v>
      </c>
      <c r="AI319" s="262">
        <f t="shared" si="288"/>
        <v>832494.81284653628</v>
      </c>
      <c r="AJ319" s="262"/>
      <c r="AK319" s="262">
        <f t="shared" si="289"/>
        <v>429347.57860511728</v>
      </c>
      <c r="AL319" s="262"/>
      <c r="AM319" s="262">
        <f t="shared" si="290"/>
        <v>134664.13554674937</v>
      </c>
      <c r="AN319" s="262"/>
      <c r="AO319" s="262">
        <f t="shared" si="291"/>
        <v>513583.09435507131</v>
      </c>
      <c r="AP319" s="262"/>
      <c r="AQ319" s="262">
        <f t="shared" si="292"/>
        <v>139171.72167383722</v>
      </c>
      <c r="AR319" s="262"/>
      <c r="AS319" s="262">
        <f t="shared" si="293"/>
        <v>497806.54291026387</v>
      </c>
      <c r="AT319" s="262"/>
      <c r="AU319" s="262">
        <f t="shared" si="294"/>
        <v>128184.48048906059</v>
      </c>
      <c r="AV319" s="262"/>
      <c r="AW319" s="262">
        <f t="shared" si="295"/>
        <v>41413.447542619571</v>
      </c>
      <c r="AX319" s="262"/>
      <c r="AY319" s="262">
        <f t="shared" si="296"/>
        <v>100012.06719476155</v>
      </c>
      <c r="BA319" s="175"/>
      <c r="BB319" s="145"/>
      <c r="BC319" s="145"/>
      <c r="BD319" s="145"/>
    </row>
    <row r="320" spans="1:56" x14ac:dyDescent="0.2">
      <c r="A320" s="514"/>
      <c r="B320" s="515"/>
      <c r="D320" s="488">
        <v>342</v>
      </c>
      <c r="F320" s="216" t="s">
        <v>535</v>
      </c>
      <c r="H320" s="144">
        <v>15</v>
      </c>
      <c r="J320" s="313">
        <v>2485.0987509259212</v>
      </c>
      <c r="K320" s="146"/>
      <c r="L320" s="260">
        <f t="shared" si="281"/>
        <v>1603.634223972497</v>
      </c>
      <c r="M320" s="212"/>
      <c r="N320" s="260">
        <f t="shared" si="282"/>
        <v>510.43928344018423</v>
      </c>
      <c r="O320" s="212"/>
      <c r="P320" s="260">
        <f t="shared" si="283"/>
        <v>56.411741646018413</v>
      </c>
      <c r="Q320" s="212"/>
      <c r="R320" s="260">
        <f t="shared" si="284"/>
        <v>149.85145468083306</v>
      </c>
      <c r="S320" s="212"/>
      <c r="T320" s="260">
        <f t="shared" si="285"/>
        <v>36.282441763518449</v>
      </c>
      <c r="U320" s="212"/>
      <c r="V320" s="260">
        <f t="shared" si="286"/>
        <v>40.258599764999921</v>
      </c>
      <c r="W320" s="212"/>
      <c r="X320" s="260">
        <f t="shared" si="287"/>
        <v>88.221005657870194</v>
      </c>
      <c r="Y320" s="212"/>
      <c r="Z320" s="175"/>
      <c r="AC320" s="216" t="s">
        <v>535</v>
      </c>
      <c r="AE320" s="239">
        <f t="shared" si="279"/>
        <v>15</v>
      </c>
      <c r="AG320" s="145">
        <f t="shared" si="280"/>
        <v>2485.0987509259212</v>
      </c>
      <c r="AI320" s="262">
        <f t="shared" si="288"/>
        <v>734.34668089860963</v>
      </c>
      <c r="AJ320" s="262"/>
      <c r="AK320" s="262">
        <f t="shared" si="289"/>
        <v>378.72904964111041</v>
      </c>
      <c r="AL320" s="262"/>
      <c r="AM320" s="262">
        <f t="shared" si="290"/>
        <v>118.78772029425903</v>
      </c>
      <c r="AN320" s="262"/>
      <c r="AO320" s="262">
        <f t="shared" si="291"/>
        <v>453.03350229379544</v>
      </c>
      <c r="AP320" s="262"/>
      <c r="AQ320" s="262">
        <f t="shared" si="292"/>
        <v>122.76387829574051</v>
      </c>
      <c r="AR320" s="262"/>
      <c r="AS320" s="262">
        <f t="shared" si="293"/>
        <v>439.11694928861027</v>
      </c>
      <c r="AT320" s="262"/>
      <c r="AU320" s="262">
        <f t="shared" si="294"/>
        <v>113.07199316712941</v>
      </c>
      <c r="AV320" s="262"/>
      <c r="AW320" s="262">
        <f t="shared" si="295"/>
        <v>36.530951638611043</v>
      </c>
      <c r="AX320" s="262"/>
      <c r="AY320" s="262">
        <f t="shared" si="296"/>
        <v>88.221005657870194</v>
      </c>
      <c r="BA320" s="175"/>
      <c r="BB320" s="145"/>
      <c r="BC320" s="145"/>
      <c r="BD320" s="145"/>
    </row>
    <row r="321" spans="1:56" x14ac:dyDescent="0.2">
      <c r="A321" s="551"/>
      <c r="B321" s="552"/>
      <c r="D321" s="488">
        <v>343</v>
      </c>
      <c r="F321" s="216" t="s">
        <v>536</v>
      </c>
      <c r="H321" s="144">
        <v>15</v>
      </c>
      <c r="J321" s="313">
        <v>1431910.8703493739</v>
      </c>
      <c r="K321" s="146"/>
      <c r="L321" s="260">
        <f t="shared" si="281"/>
        <v>924012.08463645098</v>
      </c>
      <c r="M321" s="212"/>
      <c r="N321" s="260">
        <f t="shared" si="282"/>
        <v>294114.49276976142</v>
      </c>
      <c r="O321" s="212"/>
      <c r="P321" s="260">
        <f t="shared" si="283"/>
        <v>32504.376756930789</v>
      </c>
      <c r="Q321" s="212"/>
      <c r="R321" s="260">
        <f t="shared" si="284"/>
        <v>86344.225482067239</v>
      </c>
      <c r="S321" s="212"/>
      <c r="T321" s="260">
        <f t="shared" si="285"/>
        <v>20905.89870710086</v>
      </c>
      <c r="U321" s="212"/>
      <c r="V321" s="260">
        <f t="shared" si="286"/>
        <v>23196.956099659856</v>
      </c>
      <c r="W321" s="212"/>
      <c r="X321" s="260">
        <f t="shared" si="287"/>
        <v>50832.835897402772</v>
      </c>
      <c r="Y321" s="212"/>
      <c r="Z321" s="175"/>
      <c r="AC321" s="216" t="s">
        <v>536</v>
      </c>
      <c r="AE321" s="239">
        <f t="shared" si="279"/>
        <v>15</v>
      </c>
      <c r="AG321" s="145">
        <f t="shared" si="280"/>
        <v>1431910.8703493739</v>
      </c>
      <c r="AI321" s="262">
        <f t="shared" si="288"/>
        <v>423129.66218823998</v>
      </c>
      <c r="AJ321" s="262"/>
      <c r="AK321" s="262">
        <f t="shared" si="289"/>
        <v>218223.21664124459</v>
      </c>
      <c r="AL321" s="262"/>
      <c r="AM321" s="262">
        <f t="shared" si="290"/>
        <v>68445.339602700071</v>
      </c>
      <c r="AN321" s="262"/>
      <c r="AO321" s="262">
        <f t="shared" si="291"/>
        <v>261037.35166469085</v>
      </c>
      <c r="AP321" s="262"/>
      <c r="AQ321" s="262">
        <f t="shared" si="292"/>
        <v>70736.396995259071</v>
      </c>
      <c r="AR321" s="262"/>
      <c r="AS321" s="262">
        <f t="shared" si="293"/>
        <v>253018.65079073436</v>
      </c>
      <c r="AT321" s="262"/>
      <c r="AU321" s="262">
        <f t="shared" si="294"/>
        <v>65151.94460089651</v>
      </c>
      <c r="AV321" s="262"/>
      <c r="AW321" s="262">
        <f t="shared" si="295"/>
        <v>21049.089794135794</v>
      </c>
      <c r="AX321" s="262"/>
      <c r="AY321" s="262">
        <f t="shared" si="296"/>
        <v>50832.835897402772</v>
      </c>
      <c r="BA321" s="175"/>
      <c r="BB321" s="145"/>
      <c r="BC321" s="145"/>
      <c r="BD321" s="145"/>
    </row>
    <row r="322" spans="1:56" x14ac:dyDescent="0.2">
      <c r="A322" s="551"/>
      <c r="B322" s="552"/>
      <c r="D322" s="488">
        <v>344</v>
      </c>
      <c r="F322" s="216" t="s">
        <v>537</v>
      </c>
      <c r="H322" s="144">
        <v>2</v>
      </c>
      <c r="J322" s="313">
        <v>519230.54546329973</v>
      </c>
      <c r="K322" s="146"/>
      <c r="L322" s="260">
        <f t="shared" si="281"/>
        <v>259096.04218618656</v>
      </c>
      <c r="M322" s="212"/>
      <c r="N322" s="260">
        <f t="shared" si="282"/>
        <v>160805.69992998391</v>
      </c>
      <c r="O322" s="212"/>
      <c r="P322" s="260">
        <f t="shared" si="283"/>
        <v>22898.067054931518</v>
      </c>
      <c r="Q322" s="212"/>
      <c r="R322" s="260">
        <f t="shared" si="284"/>
        <v>57219.206110055631</v>
      </c>
      <c r="S322" s="212"/>
      <c r="T322" s="260">
        <f t="shared" si="285"/>
        <v>17394.223273020543</v>
      </c>
      <c r="U322" s="212"/>
      <c r="V322" s="260">
        <f t="shared" si="286"/>
        <v>830.76887274127955</v>
      </c>
      <c r="W322" s="212"/>
      <c r="X322" s="260">
        <f t="shared" si="287"/>
        <v>986.53803638026943</v>
      </c>
      <c r="Y322" s="212"/>
      <c r="Z322" s="175"/>
      <c r="AC322" s="216" t="s">
        <v>537</v>
      </c>
      <c r="AE322" s="239">
        <f t="shared" si="279"/>
        <v>2</v>
      </c>
      <c r="AG322" s="145">
        <f t="shared" si="280"/>
        <v>519230.54546329973</v>
      </c>
      <c r="AI322" s="262">
        <f t="shared" si="288"/>
        <v>312888.32669618435</v>
      </c>
      <c r="AJ322" s="262"/>
      <c r="AK322" s="262">
        <f t="shared" si="289"/>
        <v>204524.91185799375</v>
      </c>
      <c r="AL322" s="262"/>
      <c r="AM322" s="262">
        <f t="shared" si="290"/>
        <v>0</v>
      </c>
      <c r="AN322" s="262"/>
      <c r="AO322" s="262">
        <f t="shared" si="291"/>
        <v>0</v>
      </c>
      <c r="AP322" s="262"/>
      <c r="AQ322" s="262">
        <f t="shared" si="292"/>
        <v>0</v>
      </c>
      <c r="AR322" s="262"/>
      <c r="AS322" s="262">
        <f t="shared" si="293"/>
        <v>0</v>
      </c>
      <c r="AT322" s="262"/>
      <c r="AU322" s="262">
        <f t="shared" si="294"/>
        <v>0</v>
      </c>
      <c r="AV322" s="262"/>
      <c r="AW322" s="262">
        <f t="shared" si="295"/>
        <v>830.76887274127955</v>
      </c>
      <c r="AX322" s="262"/>
      <c r="AY322" s="262">
        <f t="shared" si="296"/>
        <v>986.53803638026943</v>
      </c>
      <c r="BA322" s="175"/>
      <c r="BB322" s="145"/>
      <c r="BC322" s="145"/>
      <c r="BD322" s="145"/>
    </row>
    <row r="323" spans="1:56" ht="15" customHeight="1" x14ac:dyDescent="0.2">
      <c r="A323" s="514"/>
      <c r="B323" s="515"/>
      <c r="D323" s="488">
        <v>345</v>
      </c>
      <c r="F323" s="216" t="s">
        <v>538</v>
      </c>
      <c r="H323" s="144">
        <v>15</v>
      </c>
      <c r="J323" s="313">
        <v>508657.89297190076</v>
      </c>
      <c r="K323" s="146"/>
      <c r="L323" s="260">
        <f t="shared" si="281"/>
        <v>328236.93833476753</v>
      </c>
      <c r="M323" s="212"/>
      <c r="N323" s="260">
        <f t="shared" si="282"/>
        <v>104478.33121642841</v>
      </c>
      <c r="O323" s="212"/>
      <c r="P323" s="260">
        <f t="shared" si="283"/>
        <v>11546.534170462148</v>
      </c>
      <c r="Q323" s="212"/>
      <c r="R323" s="260">
        <f t="shared" si="284"/>
        <v>30672.070946205615</v>
      </c>
      <c r="S323" s="212"/>
      <c r="T323" s="260">
        <f t="shared" si="285"/>
        <v>7426.4052373897512</v>
      </c>
      <c r="U323" s="212"/>
      <c r="V323" s="260">
        <f t="shared" si="286"/>
        <v>8240.2578661447915</v>
      </c>
      <c r="W323" s="212"/>
      <c r="X323" s="260">
        <f t="shared" si="287"/>
        <v>18057.355200502476</v>
      </c>
      <c r="Y323" s="212"/>
      <c r="Z323" s="175"/>
      <c r="AC323" s="216" t="s">
        <v>538</v>
      </c>
      <c r="AE323" s="239">
        <f t="shared" si="279"/>
        <v>15</v>
      </c>
      <c r="AG323" s="145">
        <f t="shared" si="280"/>
        <v>508657.89297190076</v>
      </c>
      <c r="AI323" s="262">
        <f t="shared" si="288"/>
        <v>150308.40737319668</v>
      </c>
      <c r="AJ323" s="262"/>
      <c r="AK323" s="262">
        <f t="shared" si="289"/>
        <v>77519.462888917682</v>
      </c>
      <c r="AL323" s="262"/>
      <c r="AM323" s="262">
        <f t="shared" si="290"/>
        <v>24313.847284056857</v>
      </c>
      <c r="AN323" s="262"/>
      <c r="AO323" s="262">
        <f t="shared" si="291"/>
        <v>92728.333888777503</v>
      </c>
      <c r="AP323" s="262"/>
      <c r="AQ323" s="262">
        <f t="shared" si="292"/>
        <v>25127.699912811899</v>
      </c>
      <c r="AR323" s="262"/>
      <c r="AS323" s="262">
        <f t="shared" si="293"/>
        <v>89879.849688134855</v>
      </c>
      <c r="AT323" s="262"/>
      <c r="AU323" s="262">
        <f t="shared" si="294"/>
        <v>23143.934130221485</v>
      </c>
      <c r="AV323" s="262"/>
      <c r="AW323" s="262">
        <f t="shared" si="295"/>
        <v>7477.2710266869408</v>
      </c>
      <c r="AX323" s="262"/>
      <c r="AY323" s="262">
        <f t="shared" si="296"/>
        <v>18057.355200502476</v>
      </c>
      <c r="BA323" s="175"/>
      <c r="BB323" s="145"/>
      <c r="BC323" s="145"/>
      <c r="BD323" s="145"/>
    </row>
    <row r="324" spans="1:56" x14ac:dyDescent="0.2">
      <c r="A324" s="514"/>
      <c r="B324" s="515"/>
      <c r="D324" s="488">
        <v>346</v>
      </c>
      <c r="F324" s="216" t="s">
        <v>539</v>
      </c>
      <c r="H324" s="144">
        <v>15</v>
      </c>
      <c r="J324" s="313">
        <v>3729655.0761444685</v>
      </c>
      <c r="K324" s="146"/>
      <c r="L324" s="260">
        <f t="shared" si="281"/>
        <v>2406746.4206360253</v>
      </c>
      <c r="M324" s="212"/>
      <c r="N324" s="260">
        <f t="shared" si="282"/>
        <v>766071.15264007379</v>
      </c>
      <c r="O324" s="212"/>
      <c r="P324" s="260">
        <f t="shared" si="283"/>
        <v>84663.170228479445</v>
      </c>
      <c r="Q324" s="212"/>
      <c r="R324" s="260">
        <f t="shared" si="284"/>
        <v>224898.20109151144</v>
      </c>
      <c r="S324" s="212"/>
      <c r="T324" s="260">
        <f t="shared" si="285"/>
        <v>54452.96411170924</v>
      </c>
      <c r="U324" s="212"/>
      <c r="V324" s="260">
        <f t="shared" si="286"/>
        <v>60420.412233540388</v>
      </c>
      <c r="W324" s="212"/>
      <c r="X324" s="260">
        <f t="shared" si="287"/>
        <v>132402.75520312862</v>
      </c>
      <c r="Y324" s="212"/>
      <c r="Z324" s="175"/>
      <c r="AC324" s="216" t="s">
        <v>539</v>
      </c>
      <c r="AE324" s="239">
        <f t="shared" si="279"/>
        <v>15</v>
      </c>
      <c r="AG324" s="145">
        <f t="shared" si="280"/>
        <v>3729655.0761444685</v>
      </c>
      <c r="AI324" s="262">
        <f t="shared" si="288"/>
        <v>1102113.0750006903</v>
      </c>
      <c r="AJ324" s="262"/>
      <c r="AK324" s="262">
        <f t="shared" si="289"/>
        <v>568399.43360441702</v>
      </c>
      <c r="AL324" s="262"/>
      <c r="AM324" s="262">
        <f t="shared" si="290"/>
        <v>178277.51263970562</v>
      </c>
      <c r="AN324" s="262"/>
      <c r="AO324" s="262">
        <f t="shared" si="291"/>
        <v>679916.12038113654</v>
      </c>
      <c r="AP324" s="262"/>
      <c r="AQ324" s="262">
        <f t="shared" si="292"/>
        <v>184244.96076153673</v>
      </c>
      <c r="AR324" s="262"/>
      <c r="AS324" s="262">
        <f t="shared" si="293"/>
        <v>659030.05195472762</v>
      </c>
      <c r="AT324" s="262"/>
      <c r="AU324" s="262">
        <f t="shared" si="294"/>
        <v>169699.30596457332</v>
      </c>
      <c r="AV324" s="262"/>
      <c r="AW324" s="262">
        <f t="shared" si="295"/>
        <v>54825.929619323688</v>
      </c>
      <c r="AX324" s="262"/>
      <c r="AY324" s="262">
        <f t="shared" si="296"/>
        <v>132402.75520312862</v>
      </c>
      <c r="BA324" s="175"/>
      <c r="BB324" s="145"/>
      <c r="BC324" s="145"/>
      <c r="BD324" s="145"/>
    </row>
    <row r="325" spans="1:56" x14ac:dyDescent="0.2">
      <c r="A325" s="514"/>
      <c r="B325" s="515"/>
      <c r="D325" s="488">
        <v>347</v>
      </c>
      <c r="F325" s="216" t="s">
        <v>540</v>
      </c>
      <c r="H325" s="144">
        <v>15</v>
      </c>
      <c r="J325" s="313">
        <v>833878.51214030362</v>
      </c>
      <c r="K325" s="146"/>
      <c r="L325" s="260">
        <f t="shared" si="281"/>
        <v>538101.80388413789</v>
      </c>
      <c r="M325" s="212"/>
      <c r="N325" s="260">
        <f t="shared" si="282"/>
        <v>171278.64639361837</v>
      </c>
      <c r="O325" s="212"/>
      <c r="P325" s="260">
        <f t="shared" si="283"/>
        <v>18929.042225584893</v>
      </c>
      <c r="Q325" s="212"/>
      <c r="R325" s="260">
        <f t="shared" si="284"/>
        <v>50282.874282060307</v>
      </c>
      <c r="S325" s="212"/>
      <c r="T325" s="260">
        <f t="shared" si="285"/>
        <v>12174.626277248433</v>
      </c>
      <c r="U325" s="212"/>
      <c r="V325" s="260">
        <f t="shared" si="286"/>
        <v>13508.831896672918</v>
      </c>
      <c r="W325" s="212"/>
      <c r="X325" s="260">
        <f t="shared" si="287"/>
        <v>29602.687180980774</v>
      </c>
      <c r="Y325" s="212"/>
      <c r="Z325" s="175"/>
      <c r="AC325" s="216" t="s">
        <v>540</v>
      </c>
      <c r="AE325" s="239">
        <f t="shared" ref="AE325:AE326" si="297">+H325</f>
        <v>15</v>
      </c>
      <c r="AG325" s="145">
        <f t="shared" ref="AG325:AG326" si="298">+J325</f>
        <v>833878.51214030362</v>
      </c>
      <c r="AI325" s="262">
        <f t="shared" si="288"/>
        <v>246411.10033745971</v>
      </c>
      <c r="AJ325" s="262"/>
      <c r="AK325" s="262">
        <f t="shared" si="289"/>
        <v>127083.08525018228</v>
      </c>
      <c r="AL325" s="262"/>
      <c r="AM325" s="262">
        <f t="shared" si="290"/>
        <v>39859.392880306514</v>
      </c>
      <c r="AN325" s="262"/>
      <c r="AO325" s="262">
        <f t="shared" si="291"/>
        <v>152016.05276317734</v>
      </c>
      <c r="AP325" s="262"/>
      <c r="AQ325" s="262">
        <f t="shared" si="292"/>
        <v>41193.598499731001</v>
      </c>
      <c r="AR325" s="262"/>
      <c r="AS325" s="262">
        <f t="shared" si="293"/>
        <v>147346.33309519166</v>
      </c>
      <c r="AT325" s="262"/>
      <c r="AU325" s="262">
        <f t="shared" si="294"/>
        <v>37941.472302383816</v>
      </c>
      <c r="AV325" s="262"/>
      <c r="AW325" s="262">
        <f t="shared" si="295"/>
        <v>12258.014128462462</v>
      </c>
      <c r="AX325" s="262"/>
      <c r="AY325" s="262">
        <f t="shared" si="296"/>
        <v>29602.687180980774</v>
      </c>
      <c r="BA325" s="175"/>
      <c r="BB325" s="145"/>
      <c r="BC325" s="145"/>
      <c r="BD325" s="145"/>
    </row>
    <row r="326" spans="1:56" x14ac:dyDescent="0.2">
      <c r="A326" s="514"/>
      <c r="B326" s="515"/>
      <c r="D326" s="488">
        <v>348</v>
      </c>
      <c r="F326" s="216" t="s">
        <v>541</v>
      </c>
      <c r="H326" s="144">
        <v>15</v>
      </c>
      <c r="J326" s="389">
        <v>161416.6788358952</v>
      </c>
      <c r="K326" s="146"/>
      <c r="L326" s="549">
        <f t="shared" si="281"/>
        <v>104162.18285280318</v>
      </c>
      <c r="M326" s="146"/>
      <c r="N326" s="549">
        <f t="shared" si="282"/>
        <v>33154.985832892875</v>
      </c>
      <c r="O326" s="146"/>
      <c r="P326" s="549">
        <f t="shared" si="283"/>
        <v>3664.1586095748212</v>
      </c>
      <c r="Q326" s="146"/>
      <c r="R326" s="549">
        <f t="shared" si="284"/>
        <v>9733.4257338044808</v>
      </c>
      <c r="S326" s="146"/>
      <c r="T326" s="549">
        <f t="shared" si="285"/>
        <v>2356.6835110040702</v>
      </c>
      <c r="U326" s="146"/>
      <c r="V326" s="549">
        <f t="shared" si="286"/>
        <v>2614.950197141502</v>
      </c>
      <c r="W326" s="146"/>
      <c r="X326" s="549">
        <f t="shared" si="287"/>
        <v>5730.2920986742793</v>
      </c>
      <c r="Y326" s="212"/>
      <c r="Z326" s="175"/>
      <c r="AC326" s="216" t="s">
        <v>541</v>
      </c>
      <c r="AE326" s="239">
        <f t="shared" si="297"/>
        <v>15</v>
      </c>
      <c r="AG326" s="263">
        <f t="shared" si="298"/>
        <v>161416.6788358952</v>
      </c>
      <c r="AI326" s="509">
        <f t="shared" si="288"/>
        <v>47698.628596007031</v>
      </c>
      <c r="AK326" s="509">
        <f t="shared" si="289"/>
        <v>24599.901854590429</v>
      </c>
      <c r="AM326" s="509">
        <f t="shared" si="290"/>
        <v>7715.7172483557915</v>
      </c>
      <c r="AO326" s="509">
        <f t="shared" si="291"/>
        <v>29426.260551783693</v>
      </c>
      <c r="AQ326" s="509">
        <f t="shared" si="292"/>
        <v>7973.9839344932234</v>
      </c>
      <c r="AS326" s="509">
        <f t="shared" si="293"/>
        <v>28522.327150302681</v>
      </c>
      <c r="AU326" s="509">
        <f t="shared" si="294"/>
        <v>7344.4588870332318</v>
      </c>
      <c r="AW326" s="509">
        <f t="shared" si="295"/>
        <v>2372.8251788876596</v>
      </c>
      <c r="AY326" s="509">
        <f t="shared" si="296"/>
        <v>5730.2920986742793</v>
      </c>
      <c r="BA326" s="175"/>
      <c r="BB326" s="145"/>
      <c r="BC326" s="145"/>
      <c r="BD326" s="145"/>
    </row>
    <row r="327" spans="1:56" x14ac:dyDescent="0.2">
      <c r="A327" s="514"/>
      <c r="B327" s="515"/>
      <c r="F327" s="216"/>
      <c r="J327" s="313"/>
      <c r="K327" s="146"/>
      <c r="L327" s="386"/>
      <c r="M327" s="146"/>
      <c r="N327" s="386"/>
      <c r="O327" s="146"/>
      <c r="P327" s="386"/>
      <c r="Q327" s="146"/>
      <c r="R327" s="386"/>
      <c r="S327" s="146"/>
      <c r="T327" s="386"/>
      <c r="U327" s="146"/>
      <c r="V327" s="386"/>
      <c r="W327" s="146"/>
      <c r="X327" s="386"/>
      <c r="Z327" s="175"/>
      <c r="AC327" s="216"/>
      <c r="AE327" s="239"/>
      <c r="AG327" s="387"/>
      <c r="AH327" s="146"/>
      <c r="AI327" s="386"/>
      <c r="AJ327" s="146"/>
      <c r="AK327" s="386"/>
      <c r="AL327" s="146"/>
      <c r="AM327" s="386"/>
      <c r="AN327" s="146"/>
      <c r="AO327" s="386"/>
      <c r="AP327" s="146"/>
      <c r="AQ327" s="386"/>
      <c r="AR327" s="146"/>
      <c r="AS327" s="386"/>
      <c r="AT327" s="146"/>
      <c r="AU327" s="386"/>
      <c r="AV327" s="146"/>
      <c r="AW327" s="386"/>
      <c r="AX327" s="146"/>
      <c r="AY327" s="386"/>
      <c r="BA327" s="175"/>
      <c r="BB327" s="145"/>
      <c r="BC327" s="145"/>
      <c r="BD327" s="145"/>
    </row>
    <row r="328" spans="1:56" x14ac:dyDescent="0.2">
      <c r="A328" s="514"/>
      <c r="B328" s="515"/>
      <c r="F328" s="529" t="s">
        <v>686</v>
      </c>
      <c r="J328" s="312"/>
      <c r="L328" s="312"/>
      <c r="M328" s="529"/>
      <c r="N328" s="312"/>
      <c r="O328" s="529"/>
      <c r="P328" s="312"/>
      <c r="Q328" s="529"/>
      <c r="R328" s="312"/>
      <c r="S328" s="529"/>
      <c r="T328" s="312"/>
      <c r="U328" s="529"/>
      <c r="V328" s="312"/>
      <c r="W328" s="529"/>
      <c r="X328" s="312"/>
      <c r="Z328" s="175"/>
      <c r="AC328" s="529" t="s">
        <v>257</v>
      </c>
      <c r="AD328" s="140"/>
      <c r="AE328" s="144"/>
      <c r="AG328" s="312"/>
      <c r="AH328" s="146"/>
      <c r="AI328" s="386"/>
      <c r="AJ328" s="146"/>
      <c r="AK328" s="386"/>
      <c r="AL328" s="146"/>
      <c r="AM328" s="386"/>
      <c r="AN328" s="146"/>
      <c r="AO328" s="386"/>
      <c r="AP328" s="146"/>
      <c r="AQ328" s="386"/>
      <c r="AR328" s="146"/>
      <c r="AS328" s="386"/>
      <c r="AT328" s="146"/>
      <c r="AU328" s="386"/>
      <c r="AV328" s="146"/>
      <c r="AW328" s="386"/>
      <c r="AX328" s="146"/>
      <c r="AY328" s="386"/>
      <c r="BA328" s="175"/>
      <c r="BB328" s="145"/>
      <c r="BC328" s="145"/>
      <c r="BD328" s="145"/>
    </row>
    <row r="329" spans="1:56" x14ac:dyDescent="0.2">
      <c r="A329" s="514"/>
      <c r="B329" s="515"/>
      <c r="F329" s="529" t="s">
        <v>687</v>
      </c>
      <c r="J329" s="312">
        <f>SUM(J278:J328)</f>
        <v>424701959.00324911</v>
      </c>
      <c r="L329" s="312">
        <f>SUM(L278:L328)</f>
        <v>218823879.68019387</v>
      </c>
      <c r="M329" s="529"/>
      <c r="N329" s="312">
        <f>SUM(N278:N328)</f>
        <v>110396949.53529862</v>
      </c>
      <c r="O329" s="529"/>
      <c r="P329" s="312">
        <f>SUM(P278:P328)</f>
        <v>14434037.698322222</v>
      </c>
      <c r="Q329" s="529"/>
      <c r="R329" s="312">
        <f>SUM(R278:R328)</f>
        <v>36476988.972749673</v>
      </c>
      <c r="S329" s="529"/>
      <c r="T329" s="312">
        <f>SUM(T278:T328)</f>
        <v>8857830.9746550173</v>
      </c>
      <c r="U329" s="529"/>
      <c r="V329" s="312">
        <f>SUM(V278:V328)</f>
        <v>12318871.464657569</v>
      </c>
      <c r="W329" s="529"/>
      <c r="X329" s="312">
        <f>SUM(X278:X328)</f>
        <v>23393400.677372292</v>
      </c>
      <c r="Z329" s="175"/>
      <c r="AC329" s="529" t="s">
        <v>258</v>
      </c>
      <c r="AD329" s="140"/>
      <c r="AE329" s="144"/>
      <c r="AG329" s="312">
        <f>SUM(AG278:AG328)</f>
        <v>424701959.00324911</v>
      </c>
      <c r="AI329" s="312">
        <f>SUM(AI278:AI328)</f>
        <v>182893243.28466165</v>
      </c>
      <c r="AK329" s="312">
        <f>SUM(AK278:AK328)</f>
        <v>98338001.413933575</v>
      </c>
      <c r="AM329" s="312">
        <f>SUM(AM278:AM328)</f>
        <v>46282414.836027019</v>
      </c>
      <c r="AO329" s="312">
        <f>SUM(AO278:AO328)</f>
        <v>43436841.27399344</v>
      </c>
      <c r="AQ329" s="312">
        <f>SUM(AQ278:AQ328)</f>
        <v>9494877.9516224004</v>
      </c>
      <c r="AS329" s="312">
        <f>SUM(AS278:AS328)</f>
        <v>7768567.4129503723</v>
      </c>
      <c r="AU329" s="312">
        <f>SUM(AU278:AU328)</f>
        <v>1207839.9684199519</v>
      </c>
      <c r="AW329" s="312">
        <f>SUM(AW278:AW328)</f>
        <v>12105327.723201986</v>
      </c>
      <c r="AY329" s="312">
        <f>SUM(AY278:AY328)</f>
        <v>23170378.411612384</v>
      </c>
      <c r="BA329" s="175"/>
      <c r="BB329" s="145"/>
      <c r="BC329" s="145"/>
      <c r="BD329" s="145"/>
    </row>
    <row r="330" spans="1:56" x14ac:dyDescent="0.2">
      <c r="A330" s="514"/>
      <c r="B330" s="515"/>
      <c r="F330" s="529"/>
      <c r="J330" s="256"/>
      <c r="K330" s="146"/>
      <c r="L330" s="386"/>
      <c r="M330" s="387"/>
      <c r="N330" s="386"/>
      <c r="O330" s="387"/>
      <c r="P330" s="386"/>
      <c r="Q330" s="387"/>
      <c r="R330" s="386"/>
      <c r="S330" s="387"/>
      <c r="T330" s="386"/>
      <c r="U330" s="387"/>
      <c r="V330" s="386"/>
      <c r="W330" s="387"/>
      <c r="X330" s="386"/>
      <c r="Z330" s="175"/>
      <c r="AE330" s="239"/>
      <c r="AG330" s="387"/>
      <c r="AH330" s="146"/>
      <c r="AI330" s="386"/>
      <c r="AJ330" s="386"/>
      <c r="AK330" s="386"/>
      <c r="AL330" s="386"/>
      <c r="AM330" s="386"/>
      <c r="AN330" s="386"/>
      <c r="AO330" s="386"/>
      <c r="AP330" s="386"/>
      <c r="AQ330" s="386"/>
      <c r="AR330" s="386"/>
      <c r="AS330" s="386"/>
      <c r="AT330" s="386"/>
      <c r="AU330" s="386"/>
      <c r="AV330" s="386"/>
      <c r="AW330" s="386"/>
      <c r="AX330" s="386"/>
      <c r="AY330" s="386"/>
      <c r="BA330" s="175"/>
      <c r="BB330" s="145"/>
      <c r="BC330" s="145"/>
      <c r="BD330" s="145"/>
    </row>
    <row r="331" spans="1:56" x14ac:dyDescent="0.2">
      <c r="A331" s="514"/>
      <c r="B331" s="515"/>
      <c r="F331" s="393" t="s">
        <v>259</v>
      </c>
      <c r="J331" s="256"/>
      <c r="K331" s="146"/>
      <c r="L331" s="386"/>
      <c r="M331" s="387"/>
      <c r="N331" s="386"/>
      <c r="O331" s="387"/>
      <c r="P331" s="386"/>
      <c r="Q331" s="387"/>
      <c r="R331" s="386"/>
      <c r="S331" s="387"/>
      <c r="T331" s="386"/>
      <c r="U331" s="387"/>
      <c r="V331" s="386"/>
      <c r="W331" s="387"/>
      <c r="X331" s="386"/>
      <c r="Z331" s="175"/>
      <c r="AC331" s="393" t="s">
        <v>259</v>
      </c>
      <c r="AE331" s="239"/>
      <c r="AG331" s="387"/>
      <c r="AH331" s="146"/>
      <c r="AI331" s="386"/>
      <c r="AJ331" s="386"/>
      <c r="AK331" s="386"/>
      <c r="AL331" s="386"/>
      <c r="AM331" s="386"/>
      <c r="AN331" s="386"/>
      <c r="AO331" s="386"/>
      <c r="AP331" s="386"/>
      <c r="AQ331" s="386"/>
      <c r="AR331" s="386"/>
      <c r="AS331" s="386"/>
      <c r="AT331" s="386"/>
      <c r="AU331" s="386"/>
      <c r="AV331" s="386"/>
      <c r="AW331" s="386"/>
      <c r="AX331" s="386"/>
      <c r="AY331" s="386"/>
      <c r="BA331" s="175"/>
      <c r="BB331" s="145"/>
      <c r="BC331" s="145"/>
      <c r="BD331" s="145"/>
    </row>
    <row r="332" spans="1:56" x14ac:dyDescent="0.2">
      <c r="A332" s="514"/>
      <c r="B332" s="515"/>
      <c r="F332" s="394" t="s">
        <v>260</v>
      </c>
      <c r="H332" s="144">
        <v>17</v>
      </c>
      <c r="J332" s="312"/>
      <c r="K332" s="146"/>
      <c r="L332" s="260">
        <f t="shared" ref="L332:L346" si="299">(VLOOKUP($H332,Factors,L$382))*$J332</f>
        <v>0</v>
      </c>
      <c r="M332" s="212"/>
      <c r="N332" s="260">
        <f t="shared" ref="N332:N346" si="300">(VLOOKUP($H332,Factors,N$382))*$J332</f>
        <v>0</v>
      </c>
      <c r="O332" s="212"/>
      <c r="P332" s="260">
        <f t="shared" ref="P332:P346" si="301">(VLOOKUP($H332,Factors,P$382))*$J332</f>
        <v>0</v>
      </c>
      <c r="Q332" s="212"/>
      <c r="R332" s="260">
        <f t="shared" ref="R332:R346" si="302">(VLOOKUP($H332,Factors,R$382))*$J332</f>
        <v>0</v>
      </c>
      <c r="S332" s="212"/>
      <c r="T332" s="260">
        <f t="shared" ref="T332:T346" si="303">(VLOOKUP($H332,Factors,T$382))*$J332</f>
        <v>0</v>
      </c>
      <c r="U332" s="212"/>
      <c r="V332" s="260">
        <f t="shared" ref="V332:V346" si="304">(VLOOKUP($H332,Factors,V$382))*$J332</f>
        <v>0</v>
      </c>
      <c r="W332" s="212"/>
      <c r="X332" s="260">
        <f t="shared" ref="X332:X346" si="305">(VLOOKUP($H332,Factors,X$382))*$J332</f>
        <v>0</v>
      </c>
      <c r="Y332" s="212"/>
      <c r="Z332" s="175"/>
      <c r="AC332" s="394" t="s">
        <v>260</v>
      </c>
      <c r="AE332" s="239">
        <f t="shared" ref="AE332:AE349" si="306">+H332</f>
        <v>17</v>
      </c>
      <c r="AG332" s="145">
        <f t="shared" ref="AG332:AG349" si="307">+J332</f>
        <v>0</v>
      </c>
      <c r="AI332" s="262">
        <f t="shared" ref="AI332:AI346" si="308">(VLOOKUP($AE332,func,AI$382))*$AG332</f>
        <v>0</v>
      </c>
      <c r="AJ332" s="262"/>
      <c r="AK332" s="262">
        <f t="shared" ref="AK332:AK346" si="309">(VLOOKUP($AE332,func,AK$382))*$AG332</f>
        <v>0</v>
      </c>
      <c r="AL332" s="262"/>
      <c r="AM332" s="262">
        <f t="shared" ref="AM332:AM346" si="310">(VLOOKUP($AE332,func,AM$382))*$AG332</f>
        <v>0</v>
      </c>
      <c r="AN332" s="262"/>
      <c r="AO332" s="262">
        <f t="shared" ref="AO332:AO346" si="311">(VLOOKUP($AE332,func,AO$382))*$AG332</f>
        <v>0</v>
      </c>
      <c r="AP332" s="262"/>
      <c r="AQ332" s="262">
        <f t="shared" ref="AQ332:AQ346" si="312">(VLOOKUP($AE332,func,AQ$382))*$AG332</f>
        <v>0</v>
      </c>
      <c r="AR332" s="262"/>
      <c r="AS332" s="262">
        <f t="shared" ref="AS332:AS346" si="313">(VLOOKUP($AE332,func,AS$382))*$AG332</f>
        <v>0</v>
      </c>
      <c r="AT332" s="262"/>
      <c r="AU332" s="262">
        <f t="shared" ref="AU332:AU346" si="314">(VLOOKUP($AE332,func,AU$382))*$AG332</f>
        <v>0</v>
      </c>
      <c r="AV332" s="262"/>
      <c r="AW332" s="262">
        <f t="shared" ref="AW332:AW346" si="315">(VLOOKUP($AE332,func,AW$382))*$AG332</f>
        <v>0</v>
      </c>
      <c r="AX332" s="262"/>
      <c r="AY332" s="262">
        <f t="shared" ref="AY332:AY346" si="316">(VLOOKUP($AE332,func,AY$382))*$AG332</f>
        <v>0</v>
      </c>
      <c r="BA332" s="175"/>
      <c r="BB332" s="145"/>
      <c r="BC332" s="145"/>
      <c r="BD332" s="145"/>
    </row>
    <row r="333" spans="1:56" x14ac:dyDescent="0.2">
      <c r="A333" s="514"/>
      <c r="B333" s="515"/>
      <c r="F333" s="394" t="s">
        <v>261</v>
      </c>
      <c r="H333" s="144">
        <v>2</v>
      </c>
      <c r="J333" s="312">
        <v>303046.56538461539</v>
      </c>
      <c r="K333" s="146"/>
      <c r="L333" s="260">
        <f t="shared" si="299"/>
        <v>151220.23612692309</v>
      </c>
      <c r="M333" s="212"/>
      <c r="N333" s="260">
        <f t="shared" si="300"/>
        <v>93853.521299615371</v>
      </c>
      <c r="O333" s="212"/>
      <c r="P333" s="260">
        <f t="shared" si="301"/>
        <v>13364.353533461539</v>
      </c>
      <c r="Q333" s="212"/>
      <c r="R333" s="260">
        <f t="shared" si="302"/>
        <v>33395.731505384618</v>
      </c>
      <c r="S333" s="212"/>
      <c r="T333" s="260">
        <f t="shared" si="303"/>
        <v>10152.059940384615</v>
      </c>
      <c r="U333" s="212"/>
      <c r="V333" s="260">
        <f t="shared" si="304"/>
        <v>484.87450461538464</v>
      </c>
      <c r="W333" s="212"/>
      <c r="X333" s="260">
        <f t="shared" si="305"/>
        <v>575.78847423076922</v>
      </c>
      <c r="Y333" s="212"/>
      <c r="Z333" s="175"/>
      <c r="AC333" s="394" t="s">
        <v>261</v>
      </c>
      <c r="AE333" s="239">
        <f t="shared" si="306"/>
        <v>2</v>
      </c>
      <c r="AG333" s="145">
        <f t="shared" si="307"/>
        <v>303046.56538461539</v>
      </c>
      <c r="AI333" s="262">
        <f t="shared" si="308"/>
        <v>182615.86030076921</v>
      </c>
      <c r="AJ333" s="262"/>
      <c r="AK333" s="262">
        <f t="shared" si="309"/>
        <v>119370.04210499999</v>
      </c>
      <c r="AL333" s="262"/>
      <c r="AM333" s="262">
        <f t="shared" si="310"/>
        <v>0</v>
      </c>
      <c r="AN333" s="262"/>
      <c r="AO333" s="262">
        <f t="shared" si="311"/>
        <v>0</v>
      </c>
      <c r="AP333" s="262"/>
      <c r="AQ333" s="262">
        <f t="shared" si="312"/>
        <v>0</v>
      </c>
      <c r="AR333" s="262"/>
      <c r="AS333" s="262">
        <f t="shared" si="313"/>
        <v>0</v>
      </c>
      <c r="AT333" s="262"/>
      <c r="AU333" s="262">
        <f t="shared" si="314"/>
        <v>0</v>
      </c>
      <c r="AV333" s="262"/>
      <c r="AW333" s="262">
        <f t="shared" si="315"/>
        <v>484.87450461538464</v>
      </c>
      <c r="AX333" s="262"/>
      <c r="AY333" s="262">
        <f t="shared" si="316"/>
        <v>575.78847423076922</v>
      </c>
      <c r="BA333" s="175"/>
      <c r="BB333" s="145"/>
      <c r="BC333" s="145"/>
      <c r="BD333" s="145"/>
    </row>
    <row r="334" spans="1:56" x14ac:dyDescent="0.2">
      <c r="A334" s="514"/>
      <c r="B334" s="515"/>
      <c r="F334" s="394" t="s">
        <v>262</v>
      </c>
      <c r="H334" s="144">
        <v>3</v>
      </c>
      <c r="J334" s="312">
        <v>3429981.814609</v>
      </c>
      <c r="K334" s="146"/>
      <c r="L334" s="260">
        <f t="shared" si="299"/>
        <v>1567158.6910948521</v>
      </c>
      <c r="M334" s="212"/>
      <c r="N334" s="260">
        <f t="shared" si="300"/>
        <v>972056.84626019059</v>
      </c>
      <c r="O334" s="212"/>
      <c r="P334" s="260">
        <f t="shared" si="301"/>
        <v>138228.26712874271</v>
      </c>
      <c r="Q334" s="212"/>
      <c r="R334" s="260">
        <f t="shared" si="302"/>
        <v>346085.16509404813</v>
      </c>
      <c r="S334" s="212"/>
      <c r="T334" s="260">
        <f t="shared" si="303"/>
        <v>104957.4435270354</v>
      </c>
      <c r="U334" s="212"/>
      <c r="V334" s="260">
        <f t="shared" si="304"/>
        <v>135484.28167705549</v>
      </c>
      <c r="W334" s="212"/>
      <c r="X334" s="260">
        <f t="shared" si="305"/>
        <v>166011.11982707563</v>
      </c>
      <c r="Y334" s="212"/>
      <c r="Z334" s="175"/>
      <c r="AC334" s="394" t="s">
        <v>262</v>
      </c>
      <c r="AE334" s="239">
        <f t="shared" si="306"/>
        <v>3</v>
      </c>
      <c r="AG334" s="145">
        <f t="shared" si="307"/>
        <v>3429981.814609</v>
      </c>
      <c r="AI334" s="262">
        <f t="shared" si="308"/>
        <v>1902610.9125636122</v>
      </c>
      <c r="AJ334" s="262"/>
      <c r="AK334" s="262">
        <f t="shared" si="309"/>
        <v>1236851.4423480053</v>
      </c>
      <c r="AL334" s="262"/>
      <c r="AM334" s="262">
        <f t="shared" si="310"/>
        <v>0</v>
      </c>
      <c r="AN334" s="262"/>
      <c r="AO334" s="262">
        <f t="shared" si="311"/>
        <v>0</v>
      </c>
      <c r="AP334" s="262"/>
      <c r="AQ334" s="262">
        <f t="shared" si="312"/>
        <v>0</v>
      </c>
      <c r="AR334" s="262"/>
      <c r="AS334" s="262">
        <f t="shared" si="313"/>
        <v>0</v>
      </c>
      <c r="AT334" s="262"/>
      <c r="AU334" s="262">
        <f t="shared" si="314"/>
        <v>0</v>
      </c>
      <c r="AV334" s="262"/>
      <c r="AW334" s="262">
        <f t="shared" si="315"/>
        <v>130682.3071366029</v>
      </c>
      <c r="AX334" s="262"/>
      <c r="AY334" s="262">
        <f t="shared" si="316"/>
        <v>159837.15256077942</v>
      </c>
      <c r="BA334" s="175"/>
      <c r="BB334" s="145"/>
      <c r="BC334" s="145"/>
      <c r="BD334" s="145"/>
    </row>
    <row r="335" spans="1:56" x14ac:dyDescent="0.2">
      <c r="A335" s="514"/>
      <c r="B335" s="515"/>
      <c r="F335" s="394" t="s">
        <v>263</v>
      </c>
      <c r="H335" s="144">
        <v>5</v>
      </c>
      <c r="J335" s="312">
        <v>1034854.4490384615</v>
      </c>
      <c r="K335" s="146"/>
      <c r="L335" s="260">
        <f t="shared" si="299"/>
        <v>430188.99446528847</v>
      </c>
      <c r="M335" s="212"/>
      <c r="N335" s="260">
        <f t="shared" si="300"/>
        <v>263060.00094557693</v>
      </c>
      <c r="O335" s="212"/>
      <c r="P335" s="260">
        <f t="shared" si="301"/>
        <v>33425.79870394231</v>
      </c>
      <c r="Q335" s="212"/>
      <c r="R335" s="260">
        <f t="shared" si="302"/>
        <v>79476.821686153853</v>
      </c>
      <c r="S335" s="212"/>
      <c r="T335" s="260">
        <f t="shared" si="303"/>
        <v>22456.341544134615</v>
      </c>
      <c r="U335" s="212"/>
      <c r="V335" s="260">
        <f t="shared" si="304"/>
        <v>92929.929523653831</v>
      </c>
      <c r="W335" s="212"/>
      <c r="X335" s="260">
        <f t="shared" si="305"/>
        <v>113316.56216971154</v>
      </c>
      <c r="Y335" s="212"/>
      <c r="Z335" s="175"/>
      <c r="AC335" s="394" t="s">
        <v>263</v>
      </c>
      <c r="AE335" s="239">
        <f t="shared" si="306"/>
        <v>5</v>
      </c>
      <c r="AG335" s="145">
        <f t="shared" si="307"/>
        <v>1034854.4490384615</v>
      </c>
      <c r="AI335" s="262">
        <f t="shared" si="308"/>
        <v>330325.54013307689</v>
      </c>
      <c r="AJ335" s="262"/>
      <c r="AK335" s="262">
        <f t="shared" si="309"/>
        <v>0</v>
      </c>
      <c r="AL335" s="262"/>
      <c r="AM335" s="262">
        <f t="shared" si="310"/>
        <v>498282.41721201921</v>
      </c>
      <c r="AN335" s="262"/>
      <c r="AO335" s="262">
        <f t="shared" si="311"/>
        <v>0</v>
      </c>
      <c r="AP335" s="262"/>
      <c r="AQ335" s="262">
        <f t="shared" si="312"/>
        <v>0</v>
      </c>
      <c r="AR335" s="262"/>
      <c r="AS335" s="262">
        <f t="shared" si="313"/>
        <v>0</v>
      </c>
      <c r="AT335" s="262"/>
      <c r="AU335" s="262">
        <f t="shared" si="314"/>
        <v>0</v>
      </c>
      <c r="AV335" s="262"/>
      <c r="AW335" s="262">
        <f t="shared" si="315"/>
        <v>92929.929523653831</v>
      </c>
      <c r="AX335" s="262"/>
      <c r="AY335" s="262">
        <f t="shared" si="316"/>
        <v>113316.56216971154</v>
      </c>
      <c r="BA335" s="175"/>
      <c r="BB335" s="145"/>
      <c r="BC335" s="145"/>
      <c r="BD335" s="145"/>
    </row>
    <row r="336" spans="1:56" x14ac:dyDescent="0.2">
      <c r="A336" s="514"/>
      <c r="B336" s="515"/>
      <c r="F336" s="394" t="s">
        <v>171</v>
      </c>
      <c r="H336" s="144">
        <v>4</v>
      </c>
      <c r="J336" s="312">
        <v>877859.87396153843</v>
      </c>
      <c r="K336" s="146"/>
      <c r="L336" s="260">
        <f t="shared" si="299"/>
        <v>407326.9815181538</v>
      </c>
      <c r="M336" s="212"/>
      <c r="N336" s="260">
        <f t="shared" si="300"/>
        <v>249312.20420507688</v>
      </c>
      <c r="O336" s="212"/>
      <c r="P336" s="260">
        <f t="shared" si="301"/>
        <v>31602.955462615388</v>
      </c>
      <c r="Q336" s="212"/>
      <c r="R336" s="260">
        <f t="shared" si="302"/>
        <v>75495.949160692297</v>
      </c>
      <c r="S336" s="212"/>
      <c r="T336" s="260">
        <f t="shared" si="303"/>
        <v>0</v>
      </c>
      <c r="U336" s="212"/>
      <c r="V336" s="260">
        <f t="shared" si="304"/>
        <v>51354.802626749995</v>
      </c>
      <c r="W336" s="212"/>
      <c r="X336" s="260">
        <f t="shared" si="305"/>
        <v>62766.980988250005</v>
      </c>
      <c r="Y336" s="212"/>
      <c r="Z336" s="175"/>
      <c r="AC336" s="394" t="s">
        <v>171</v>
      </c>
      <c r="AE336" s="239">
        <f t="shared" si="306"/>
        <v>4</v>
      </c>
      <c r="AG336" s="145">
        <f t="shared" si="307"/>
        <v>877859.87396153843</v>
      </c>
      <c r="AI336" s="262">
        <f t="shared" si="308"/>
        <v>304354.01830246538</v>
      </c>
      <c r="AJ336" s="262"/>
      <c r="AK336" s="262">
        <f t="shared" si="309"/>
        <v>0</v>
      </c>
      <c r="AL336" s="262"/>
      <c r="AM336" s="262">
        <f t="shared" si="310"/>
        <v>459384.07204407302</v>
      </c>
      <c r="AN336" s="262"/>
      <c r="AO336" s="262">
        <f t="shared" si="311"/>
        <v>0</v>
      </c>
      <c r="AP336" s="262"/>
      <c r="AQ336" s="262">
        <f t="shared" si="312"/>
        <v>0</v>
      </c>
      <c r="AR336" s="262"/>
      <c r="AS336" s="262">
        <f t="shared" si="313"/>
        <v>0</v>
      </c>
      <c r="AT336" s="262"/>
      <c r="AU336" s="262">
        <f t="shared" si="314"/>
        <v>0</v>
      </c>
      <c r="AV336" s="262"/>
      <c r="AW336" s="262">
        <f t="shared" si="315"/>
        <v>51354.802626749995</v>
      </c>
      <c r="AX336" s="262"/>
      <c r="AY336" s="262">
        <f t="shared" si="316"/>
        <v>62766.980988250005</v>
      </c>
      <c r="BA336" s="175"/>
      <c r="BB336" s="145"/>
      <c r="BC336" s="145"/>
      <c r="BD336" s="145"/>
    </row>
    <row r="337" spans="1:56" x14ac:dyDescent="0.2">
      <c r="A337" s="514"/>
      <c r="B337" s="515"/>
      <c r="F337" s="394" t="s">
        <v>861</v>
      </c>
      <c r="H337" s="144">
        <v>6</v>
      </c>
      <c r="J337" s="312">
        <v>291990.62482692313</v>
      </c>
      <c r="K337" s="146"/>
      <c r="L337" s="260">
        <f t="shared" si="299"/>
        <v>139221.12991747694</v>
      </c>
      <c r="M337" s="212"/>
      <c r="N337" s="260">
        <f t="shared" si="300"/>
        <v>86049.637136494246</v>
      </c>
      <c r="O337" s="212"/>
      <c r="P337" s="260">
        <f t="shared" si="301"/>
        <v>11913.217492938464</v>
      </c>
      <c r="Q337" s="212"/>
      <c r="R337" s="260">
        <f t="shared" si="302"/>
        <v>29461.85404503654</v>
      </c>
      <c r="S337" s="212"/>
      <c r="T337" s="260">
        <f t="shared" si="303"/>
        <v>6949.3768708807711</v>
      </c>
      <c r="U337" s="212"/>
      <c r="V337" s="260">
        <f t="shared" si="304"/>
        <v>8292.5337450846182</v>
      </c>
      <c r="W337" s="212"/>
      <c r="X337" s="260">
        <f t="shared" si="305"/>
        <v>10102.87561901154</v>
      </c>
      <c r="Y337" s="212"/>
      <c r="Z337" s="175"/>
      <c r="AC337" s="394" t="s">
        <v>861</v>
      </c>
      <c r="AE337" s="239">
        <f t="shared" si="306"/>
        <v>6</v>
      </c>
      <c r="AG337" s="145">
        <f t="shared" si="307"/>
        <v>291990.62482692313</v>
      </c>
      <c r="AI337" s="262">
        <f t="shared" si="308"/>
        <v>151645.75147036227</v>
      </c>
      <c r="AJ337" s="262"/>
      <c r="AK337" s="262">
        <f t="shared" si="309"/>
        <v>81728.175889055798</v>
      </c>
      <c r="AL337" s="262"/>
      <c r="AM337" s="262">
        <f t="shared" si="310"/>
        <v>40216.616253411681</v>
      </c>
      <c r="AN337" s="262"/>
      <c r="AO337" s="262">
        <f t="shared" si="311"/>
        <v>0</v>
      </c>
      <c r="AP337" s="262"/>
      <c r="AQ337" s="262">
        <f t="shared" si="312"/>
        <v>0</v>
      </c>
      <c r="AR337" s="262"/>
      <c r="AS337" s="262">
        <f t="shared" si="313"/>
        <v>0</v>
      </c>
      <c r="AT337" s="262"/>
      <c r="AU337" s="262">
        <f t="shared" si="314"/>
        <v>0</v>
      </c>
      <c r="AV337" s="262"/>
      <c r="AW337" s="262">
        <f t="shared" si="315"/>
        <v>8291.7161713351015</v>
      </c>
      <c r="AX337" s="262"/>
      <c r="AY337" s="262">
        <f t="shared" si="316"/>
        <v>10108.365042758285</v>
      </c>
      <c r="BA337" s="175"/>
      <c r="BB337" s="145"/>
      <c r="BC337" s="145"/>
      <c r="BD337" s="145"/>
    </row>
    <row r="338" spans="1:56" x14ac:dyDescent="0.2">
      <c r="A338" s="514"/>
      <c r="B338" s="515"/>
      <c r="F338" s="394" t="s">
        <v>36</v>
      </c>
      <c r="H338" s="144">
        <v>9</v>
      </c>
      <c r="J338" s="312">
        <v>165783.11024679511</v>
      </c>
      <c r="K338" s="146"/>
      <c r="L338" s="260">
        <f t="shared" si="299"/>
        <v>137102.63217409956</v>
      </c>
      <c r="M338" s="212"/>
      <c r="N338" s="260">
        <f t="shared" si="300"/>
        <v>21750.74406437952</v>
      </c>
      <c r="O338" s="212"/>
      <c r="P338" s="260">
        <f t="shared" si="301"/>
        <v>679.71075201186</v>
      </c>
      <c r="Q338" s="212"/>
      <c r="R338" s="260">
        <f t="shared" si="302"/>
        <v>3929.059712849044</v>
      </c>
      <c r="S338" s="212"/>
      <c r="T338" s="260">
        <f t="shared" si="303"/>
        <v>397.87946459230824</v>
      </c>
      <c r="U338" s="212"/>
      <c r="V338" s="260">
        <f t="shared" si="304"/>
        <v>1923.0840788628232</v>
      </c>
      <c r="W338" s="212"/>
      <c r="X338" s="260">
        <f t="shared" si="305"/>
        <v>0</v>
      </c>
      <c r="Y338" s="212"/>
      <c r="Z338" s="175"/>
      <c r="AC338" s="394" t="s">
        <v>36</v>
      </c>
      <c r="AE338" s="239">
        <f t="shared" si="306"/>
        <v>9</v>
      </c>
      <c r="AG338" s="145">
        <f t="shared" si="307"/>
        <v>165783.11024679511</v>
      </c>
      <c r="AI338" s="262">
        <f t="shared" si="308"/>
        <v>0</v>
      </c>
      <c r="AJ338" s="262"/>
      <c r="AK338" s="262">
        <f t="shared" si="309"/>
        <v>0</v>
      </c>
      <c r="AL338" s="262"/>
      <c r="AM338" s="262">
        <f t="shared" si="310"/>
        <v>0</v>
      </c>
      <c r="AN338" s="262"/>
      <c r="AO338" s="262">
        <f t="shared" si="311"/>
        <v>163860.02616793229</v>
      </c>
      <c r="AP338" s="262"/>
      <c r="AQ338" s="262">
        <f t="shared" si="312"/>
        <v>0</v>
      </c>
      <c r="AR338" s="262"/>
      <c r="AS338" s="262">
        <f t="shared" si="313"/>
        <v>0</v>
      </c>
      <c r="AT338" s="262"/>
      <c r="AU338" s="262">
        <f t="shared" si="314"/>
        <v>0</v>
      </c>
      <c r="AV338" s="262"/>
      <c r="AW338" s="262">
        <f t="shared" si="315"/>
        <v>1923.0840788628232</v>
      </c>
      <c r="AX338" s="262"/>
      <c r="AY338" s="262">
        <f t="shared" si="316"/>
        <v>0</v>
      </c>
      <c r="BA338" s="175"/>
      <c r="BB338" s="145"/>
      <c r="BC338" s="145"/>
      <c r="BD338" s="145"/>
    </row>
    <row r="339" spans="1:56" x14ac:dyDescent="0.2">
      <c r="A339" s="514"/>
      <c r="B339" s="515"/>
      <c r="F339" s="394" t="s">
        <v>37</v>
      </c>
      <c r="H339" s="144">
        <v>10</v>
      </c>
      <c r="J339" s="312">
        <v>49089.860553846156</v>
      </c>
      <c r="K339" s="146"/>
      <c r="L339" s="260">
        <f t="shared" si="299"/>
        <v>40450.045096369235</v>
      </c>
      <c r="M339" s="212"/>
      <c r="N339" s="260">
        <f t="shared" si="300"/>
        <v>5556.9722146953845</v>
      </c>
      <c r="O339" s="212"/>
      <c r="P339" s="260">
        <f t="shared" si="301"/>
        <v>58.907832664615384</v>
      </c>
      <c r="Q339" s="212"/>
      <c r="R339" s="260">
        <f t="shared" si="302"/>
        <v>687.2580477538462</v>
      </c>
      <c r="S339" s="212"/>
      <c r="T339" s="260">
        <f t="shared" si="303"/>
        <v>29.453916332307692</v>
      </c>
      <c r="U339" s="212"/>
      <c r="V339" s="260">
        <f t="shared" si="304"/>
        <v>2307.2234460307695</v>
      </c>
      <c r="W339" s="212"/>
      <c r="X339" s="260">
        <f t="shared" si="305"/>
        <v>0</v>
      </c>
      <c r="Y339" s="212"/>
      <c r="Z339" s="175"/>
      <c r="AC339" s="394" t="s">
        <v>37</v>
      </c>
      <c r="AE339" s="239">
        <f t="shared" si="306"/>
        <v>10</v>
      </c>
      <c r="AG339" s="145">
        <f t="shared" si="307"/>
        <v>49089.860553846156</v>
      </c>
      <c r="AI339" s="262">
        <f t="shared" si="308"/>
        <v>0</v>
      </c>
      <c r="AJ339" s="262"/>
      <c r="AK339" s="262">
        <f t="shared" si="309"/>
        <v>0</v>
      </c>
      <c r="AL339" s="262"/>
      <c r="AM339" s="262">
        <f t="shared" si="310"/>
        <v>0</v>
      </c>
      <c r="AN339" s="262"/>
      <c r="AO339" s="262">
        <f t="shared" si="311"/>
        <v>0</v>
      </c>
      <c r="AP339" s="262"/>
      <c r="AQ339" s="262">
        <f t="shared" si="312"/>
        <v>46782.637107815382</v>
      </c>
      <c r="AR339" s="262"/>
      <c r="AS339" s="262">
        <f t="shared" si="313"/>
        <v>0</v>
      </c>
      <c r="AT339" s="262"/>
      <c r="AU339" s="262">
        <f t="shared" si="314"/>
        <v>0</v>
      </c>
      <c r="AV339" s="262"/>
      <c r="AW339" s="262">
        <f t="shared" si="315"/>
        <v>2307.2234460307695</v>
      </c>
      <c r="AX339" s="262"/>
      <c r="AY339" s="262">
        <f t="shared" si="316"/>
        <v>0</v>
      </c>
      <c r="BA339" s="175"/>
      <c r="BB339" s="145"/>
      <c r="BC339" s="145"/>
      <c r="BD339" s="145"/>
    </row>
    <row r="340" spans="1:56" x14ac:dyDescent="0.2">
      <c r="A340" s="514"/>
      <c r="B340" s="515"/>
      <c r="F340" s="394" t="s">
        <v>38</v>
      </c>
      <c r="H340" s="144">
        <v>8</v>
      </c>
      <c r="J340" s="312">
        <v>81474.576184615391</v>
      </c>
      <c r="K340" s="146"/>
      <c r="L340" s="260">
        <f t="shared" si="299"/>
        <v>0</v>
      </c>
      <c r="M340" s="212"/>
      <c r="N340" s="260">
        <f t="shared" si="300"/>
        <v>0</v>
      </c>
      <c r="O340" s="212"/>
      <c r="P340" s="260">
        <f t="shared" si="301"/>
        <v>0</v>
      </c>
      <c r="Q340" s="212"/>
      <c r="R340" s="260">
        <f t="shared" si="302"/>
        <v>0</v>
      </c>
      <c r="S340" s="212"/>
      <c r="T340" s="260">
        <f t="shared" si="303"/>
        <v>0</v>
      </c>
      <c r="U340" s="212"/>
      <c r="V340" s="260">
        <f t="shared" si="304"/>
        <v>0</v>
      </c>
      <c r="W340" s="212"/>
      <c r="X340" s="260">
        <f t="shared" si="305"/>
        <v>81474.576184615391</v>
      </c>
      <c r="Y340" s="212"/>
      <c r="Z340" s="175"/>
      <c r="AC340" s="394" t="s">
        <v>38</v>
      </c>
      <c r="AE340" s="239">
        <f t="shared" si="306"/>
        <v>8</v>
      </c>
      <c r="AG340" s="145">
        <f t="shared" si="307"/>
        <v>81474.576184615391</v>
      </c>
      <c r="AI340" s="262">
        <f t="shared" si="308"/>
        <v>0</v>
      </c>
      <c r="AJ340" s="262"/>
      <c r="AK340" s="262">
        <f t="shared" si="309"/>
        <v>0</v>
      </c>
      <c r="AL340" s="262"/>
      <c r="AM340" s="262">
        <f t="shared" si="310"/>
        <v>0</v>
      </c>
      <c r="AN340" s="262"/>
      <c r="AO340" s="262">
        <f t="shared" si="311"/>
        <v>0</v>
      </c>
      <c r="AP340" s="262"/>
      <c r="AQ340" s="262">
        <f t="shared" si="312"/>
        <v>0</v>
      </c>
      <c r="AR340" s="262"/>
      <c r="AS340" s="262">
        <f t="shared" si="313"/>
        <v>0</v>
      </c>
      <c r="AT340" s="262"/>
      <c r="AU340" s="262">
        <f t="shared" si="314"/>
        <v>0</v>
      </c>
      <c r="AV340" s="262"/>
      <c r="AW340" s="262">
        <f t="shared" si="315"/>
        <v>0</v>
      </c>
      <c r="AX340" s="262"/>
      <c r="AY340" s="262">
        <f t="shared" si="316"/>
        <v>81474.576184615391</v>
      </c>
      <c r="BA340" s="175"/>
      <c r="BB340" s="145"/>
      <c r="BC340" s="145"/>
      <c r="BD340" s="145"/>
    </row>
    <row r="341" spans="1:56" x14ac:dyDescent="0.2">
      <c r="A341" s="514"/>
      <c r="B341" s="515"/>
      <c r="F341" s="394" t="s">
        <v>39</v>
      </c>
      <c r="H341" s="144">
        <v>15</v>
      </c>
      <c r="J341" s="312">
        <v>617186.62882692309</v>
      </c>
      <c r="K341" s="146"/>
      <c r="L341" s="260">
        <f t="shared" si="299"/>
        <v>398270.53158201347</v>
      </c>
      <c r="M341" s="212"/>
      <c r="N341" s="260">
        <f t="shared" si="300"/>
        <v>126770.13356105</v>
      </c>
      <c r="O341" s="212"/>
      <c r="P341" s="260">
        <f t="shared" si="301"/>
        <v>14010.136474371155</v>
      </c>
      <c r="Q341" s="212"/>
      <c r="R341" s="260">
        <f t="shared" si="302"/>
        <v>37216.353718263461</v>
      </c>
      <c r="S341" s="212"/>
      <c r="T341" s="260">
        <f t="shared" si="303"/>
        <v>9010.9247808730779</v>
      </c>
      <c r="U341" s="212"/>
      <c r="V341" s="260">
        <f t="shared" si="304"/>
        <v>9998.4233869961536</v>
      </c>
      <c r="W341" s="212"/>
      <c r="X341" s="260">
        <f t="shared" si="305"/>
        <v>21910.125323355769</v>
      </c>
      <c r="Y341" s="212"/>
      <c r="Z341" s="175"/>
      <c r="AC341" s="394" t="s">
        <v>39</v>
      </c>
      <c r="AE341" s="239">
        <f t="shared" si="306"/>
        <v>15</v>
      </c>
      <c r="AG341" s="145">
        <f t="shared" si="307"/>
        <v>617186.62882692309</v>
      </c>
      <c r="AI341" s="262">
        <f t="shared" si="308"/>
        <v>182378.64881835575</v>
      </c>
      <c r="AJ341" s="262"/>
      <c r="AK341" s="262">
        <f t="shared" si="309"/>
        <v>94059.242233223078</v>
      </c>
      <c r="AL341" s="262"/>
      <c r="AM341" s="262">
        <f t="shared" si="310"/>
        <v>29501.520857926924</v>
      </c>
      <c r="AN341" s="262"/>
      <c r="AO341" s="262">
        <f t="shared" si="311"/>
        <v>112513.12243514808</v>
      </c>
      <c r="AP341" s="262"/>
      <c r="AQ341" s="262">
        <f t="shared" si="312"/>
        <v>30489.019464050001</v>
      </c>
      <c r="AR341" s="262"/>
      <c r="AS341" s="262">
        <f t="shared" si="313"/>
        <v>109056.87731371731</v>
      </c>
      <c r="AT341" s="262"/>
      <c r="AU341" s="262">
        <f t="shared" si="314"/>
        <v>28081.991611624999</v>
      </c>
      <c r="AV341" s="262"/>
      <c r="AW341" s="262">
        <f t="shared" si="315"/>
        <v>9072.6434437557691</v>
      </c>
      <c r="AX341" s="262"/>
      <c r="AY341" s="262">
        <f t="shared" si="316"/>
        <v>21910.125323355769</v>
      </c>
      <c r="BA341" s="175"/>
      <c r="BB341" s="145"/>
      <c r="BC341" s="145"/>
      <c r="BD341" s="145"/>
    </row>
    <row r="342" spans="1:56" x14ac:dyDescent="0.2">
      <c r="A342" s="551"/>
      <c r="B342" s="552"/>
      <c r="F342" s="644" t="s">
        <v>40</v>
      </c>
      <c r="H342" s="144" t="s">
        <v>45</v>
      </c>
      <c r="J342" s="638">
        <f>3946000+'WKP SMR-5'!J44</f>
        <v>0</v>
      </c>
      <c r="K342" s="146"/>
      <c r="L342" s="260">
        <f t="shared" ca="1" si="299"/>
        <v>0</v>
      </c>
      <c r="M342" s="212"/>
      <c r="N342" s="260">
        <f t="shared" ca="1" si="300"/>
        <v>0</v>
      </c>
      <c r="O342" s="212"/>
      <c r="P342" s="260">
        <f t="shared" ca="1" si="301"/>
        <v>0</v>
      </c>
      <c r="Q342" s="212"/>
      <c r="R342" s="260">
        <f t="shared" ca="1" si="302"/>
        <v>0</v>
      </c>
      <c r="S342" s="212"/>
      <c r="T342" s="260">
        <f t="shared" ca="1" si="303"/>
        <v>0</v>
      </c>
      <c r="U342" s="212"/>
      <c r="V342" s="260">
        <f t="shared" ca="1" si="304"/>
        <v>0</v>
      </c>
      <c r="W342" s="212"/>
      <c r="X342" s="260">
        <f t="shared" ca="1" si="305"/>
        <v>0</v>
      </c>
      <c r="Y342" s="212"/>
      <c r="Z342" s="175"/>
      <c r="AC342" s="394" t="s">
        <v>40</v>
      </c>
      <c r="AE342" s="239" t="str">
        <f t="shared" si="306"/>
        <v>15A</v>
      </c>
      <c r="AG342" s="145">
        <f t="shared" si="307"/>
        <v>0</v>
      </c>
      <c r="AI342" s="262">
        <f t="shared" ca="1" si="308"/>
        <v>0</v>
      </c>
      <c r="AJ342" s="262"/>
      <c r="AK342" s="262">
        <f t="shared" ca="1" si="309"/>
        <v>0</v>
      </c>
      <c r="AL342" s="262"/>
      <c r="AM342" s="262">
        <f t="shared" ca="1" si="310"/>
        <v>0</v>
      </c>
      <c r="AN342" s="262"/>
      <c r="AO342" s="262">
        <f t="shared" ca="1" si="311"/>
        <v>0</v>
      </c>
      <c r="AP342" s="262"/>
      <c r="AQ342" s="262">
        <f t="shared" ca="1" si="312"/>
        <v>0</v>
      </c>
      <c r="AR342" s="262"/>
      <c r="AS342" s="262">
        <f t="shared" ca="1" si="313"/>
        <v>0</v>
      </c>
      <c r="AT342" s="262"/>
      <c r="AU342" s="262">
        <f t="shared" ca="1" si="314"/>
        <v>0</v>
      </c>
      <c r="AV342" s="262"/>
      <c r="AW342" s="262">
        <f t="shared" ca="1" si="315"/>
        <v>0</v>
      </c>
      <c r="AX342" s="262"/>
      <c r="AY342" s="262">
        <f t="shared" ca="1" si="316"/>
        <v>0</v>
      </c>
      <c r="BA342" s="175"/>
      <c r="BB342" s="145"/>
      <c r="BC342" s="145"/>
      <c r="BD342" s="145"/>
    </row>
    <row r="343" spans="1:56" x14ac:dyDescent="0.2">
      <c r="A343" s="551"/>
      <c r="B343" s="552"/>
      <c r="F343" s="394" t="s">
        <v>672</v>
      </c>
      <c r="H343" s="144">
        <v>17</v>
      </c>
      <c r="J343" s="312">
        <v>727080.97500000009</v>
      </c>
      <c r="K343" s="146"/>
      <c r="L343" s="260">
        <f t="shared" si="299"/>
        <v>374228.57783249998</v>
      </c>
      <c r="M343" s="212"/>
      <c r="N343" s="260">
        <f t="shared" si="300"/>
        <v>189041.05350000004</v>
      </c>
      <c r="O343" s="212"/>
      <c r="P343" s="260">
        <f t="shared" si="301"/>
        <v>24720.753150000004</v>
      </c>
      <c r="Q343" s="212"/>
      <c r="R343" s="260">
        <f t="shared" si="302"/>
        <v>62456.255752500008</v>
      </c>
      <c r="S343" s="212"/>
      <c r="T343" s="260">
        <f t="shared" si="303"/>
        <v>15195.992377500001</v>
      </c>
      <c r="U343" s="212"/>
      <c r="V343" s="260">
        <f t="shared" si="304"/>
        <v>21230.764470000002</v>
      </c>
      <c r="W343" s="212"/>
      <c r="X343" s="260">
        <f t="shared" si="305"/>
        <v>40207.577917500006</v>
      </c>
      <c r="Y343" s="212"/>
      <c r="Z343" s="175"/>
      <c r="AC343" s="394" t="s">
        <v>672</v>
      </c>
      <c r="AE343" s="239">
        <f t="shared" ref="AE343" si="317">+H343</f>
        <v>17</v>
      </c>
      <c r="AG343" s="145">
        <f t="shared" si="307"/>
        <v>727080.97500000009</v>
      </c>
      <c r="AI343" s="262">
        <f t="shared" si="308"/>
        <v>313299.19212750002</v>
      </c>
      <c r="AJ343" s="262"/>
      <c r="AK343" s="262">
        <f t="shared" si="309"/>
        <v>168246.53761500001</v>
      </c>
      <c r="AL343" s="262"/>
      <c r="AM343" s="262">
        <f t="shared" si="310"/>
        <v>79688.074860000008</v>
      </c>
      <c r="AN343" s="262"/>
      <c r="AO343" s="262">
        <f t="shared" si="311"/>
        <v>73653.302767500005</v>
      </c>
      <c r="AP343" s="262"/>
      <c r="AQ343" s="262">
        <f t="shared" si="312"/>
        <v>16141.197645000002</v>
      </c>
      <c r="AR343" s="262"/>
      <c r="AS343" s="262">
        <f t="shared" si="313"/>
        <v>13305.581842500002</v>
      </c>
      <c r="AT343" s="262"/>
      <c r="AU343" s="262">
        <f t="shared" si="314"/>
        <v>2108.5348275000001</v>
      </c>
      <c r="AV343" s="262"/>
      <c r="AW343" s="262">
        <f t="shared" si="315"/>
        <v>20867.223982500003</v>
      </c>
      <c r="AX343" s="262"/>
      <c r="AY343" s="262">
        <f t="shared" si="316"/>
        <v>39771.329332500005</v>
      </c>
      <c r="BA343" s="175"/>
      <c r="BB343" s="145"/>
      <c r="BC343" s="145"/>
      <c r="BD343" s="145"/>
    </row>
    <row r="344" spans="1:56" x14ac:dyDescent="0.2">
      <c r="A344" s="514"/>
      <c r="B344" s="515"/>
      <c r="F344" s="394" t="s">
        <v>174</v>
      </c>
      <c r="H344" s="144">
        <v>17</v>
      </c>
      <c r="J344" s="638">
        <f>-57007043.56+'WKP SMR-5'!J43</f>
        <v>-60929290.560000002</v>
      </c>
      <c r="K344" s="146"/>
      <c r="L344" s="260">
        <f t="shared" si="299"/>
        <v>-31360305.851231996</v>
      </c>
      <c r="M344" s="212"/>
      <c r="N344" s="260">
        <f t="shared" si="300"/>
        <v>-15841615.545600001</v>
      </c>
      <c r="O344" s="212"/>
      <c r="P344" s="260">
        <f t="shared" si="301"/>
        <v>-2071595.8790400003</v>
      </c>
      <c r="Q344" s="212"/>
      <c r="R344" s="260">
        <f t="shared" si="302"/>
        <v>-5233826.0591040002</v>
      </c>
      <c r="S344" s="212"/>
      <c r="T344" s="260">
        <f t="shared" si="303"/>
        <v>-1273422.172704</v>
      </c>
      <c r="U344" s="212"/>
      <c r="V344" s="260">
        <f t="shared" si="304"/>
        <v>-1779135.2843520001</v>
      </c>
      <c r="W344" s="212"/>
      <c r="X344" s="260">
        <f t="shared" si="305"/>
        <v>-3369389.7679680004</v>
      </c>
      <c r="Y344" s="212"/>
      <c r="Z344" s="175"/>
      <c r="AC344" s="394" t="s">
        <v>174</v>
      </c>
      <c r="AE344" s="239">
        <f t="shared" si="306"/>
        <v>17</v>
      </c>
      <c r="AG344" s="145">
        <f t="shared" si="307"/>
        <v>-60929290.560000002</v>
      </c>
      <c r="AI344" s="262">
        <f t="shared" si="308"/>
        <v>-26254431.302304</v>
      </c>
      <c r="AJ344" s="262"/>
      <c r="AK344" s="262">
        <f t="shared" si="309"/>
        <v>-14099037.835584</v>
      </c>
      <c r="AL344" s="262"/>
      <c r="AM344" s="262">
        <f t="shared" si="310"/>
        <v>-6677850.2453760002</v>
      </c>
      <c r="AN344" s="262"/>
      <c r="AO344" s="262">
        <f t="shared" si="311"/>
        <v>-6172137.1337280003</v>
      </c>
      <c r="AP344" s="262"/>
      <c r="AQ344" s="262">
        <f t="shared" si="312"/>
        <v>-1352630.250432</v>
      </c>
      <c r="AR344" s="262"/>
      <c r="AS344" s="262">
        <f t="shared" si="313"/>
        <v>-1115006.017248</v>
      </c>
      <c r="AT344" s="262"/>
      <c r="AU344" s="262">
        <f t="shared" si="314"/>
        <v>-176694.94262399999</v>
      </c>
      <c r="AV344" s="262"/>
      <c r="AW344" s="262">
        <f t="shared" si="315"/>
        <v>-1748670.639072</v>
      </c>
      <c r="AX344" s="262"/>
      <c r="AY344" s="262">
        <f t="shared" si="316"/>
        <v>-3332832.1936320001</v>
      </c>
      <c r="BA344" s="175"/>
      <c r="BB344" s="145"/>
      <c r="BC344" s="145"/>
      <c r="BD344" s="145"/>
    </row>
    <row r="345" spans="1:56" x14ac:dyDescent="0.2">
      <c r="A345" s="514"/>
      <c r="B345" s="515"/>
      <c r="F345" s="394" t="s">
        <v>175</v>
      </c>
      <c r="H345" s="144">
        <v>17</v>
      </c>
      <c r="J345" s="312">
        <v>-55276</v>
      </c>
      <c r="K345" s="146"/>
      <c r="L345" s="260">
        <f t="shared" si="299"/>
        <v>-28450.557199999996</v>
      </c>
      <c r="M345" s="212"/>
      <c r="N345" s="260">
        <f t="shared" si="300"/>
        <v>-14371.76</v>
      </c>
      <c r="O345" s="212"/>
      <c r="P345" s="260">
        <f t="shared" si="301"/>
        <v>-1879.3840000000002</v>
      </c>
      <c r="Q345" s="212"/>
      <c r="R345" s="260">
        <f t="shared" si="302"/>
        <v>-4748.2084000000004</v>
      </c>
      <c r="S345" s="212"/>
      <c r="T345" s="260">
        <f t="shared" si="303"/>
        <v>-1155.2683999999999</v>
      </c>
      <c r="U345" s="212"/>
      <c r="V345" s="260">
        <f t="shared" si="304"/>
        <v>-1614.0591999999999</v>
      </c>
      <c r="W345" s="212"/>
      <c r="X345" s="260">
        <f t="shared" si="305"/>
        <v>-3056.7628</v>
      </c>
      <c r="Y345" s="212"/>
      <c r="Z345" s="175"/>
      <c r="AC345" s="394" t="s">
        <v>175</v>
      </c>
      <c r="AE345" s="239">
        <f t="shared" si="306"/>
        <v>17</v>
      </c>
      <c r="AG345" s="145">
        <f t="shared" si="307"/>
        <v>-55276</v>
      </c>
      <c r="AI345" s="262">
        <f t="shared" si="308"/>
        <v>-23818.428400000001</v>
      </c>
      <c r="AJ345" s="262"/>
      <c r="AK345" s="262">
        <f t="shared" si="309"/>
        <v>-12790.866399999999</v>
      </c>
      <c r="AL345" s="262"/>
      <c r="AM345" s="262">
        <f t="shared" si="310"/>
        <v>-6058.2496000000001</v>
      </c>
      <c r="AN345" s="262"/>
      <c r="AO345" s="262">
        <f t="shared" si="311"/>
        <v>-5599.4588000000003</v>
      </c>
      <c r="AP345" s="262"/>
      <c r="AQ345" s="262">
        <f t="shared" si="312"/>
        <v>-1227.1272000000001</v>
      </c>
      <c r="AR345" s="262"/>
      <c r="AS345" s="262">
        <f t="shared" si="313"/>
        <v>-1011.5508</v>
      </c>
      <c r="AT345" s="262"/>
      <c r="AU345" s="262">
        <f t="shared" si="314"/>
        <v>-160.3004</v>
      </c>
      <c r="AV345" s="262"/>
      <c r="AW345" s="262">
        <f t="shared" si="315"/>
        <v>-1586.4212</v>
      </c>
      <c r="AX345" s="262"/>
      <c r="AY345" s="262">
        <f t="shared" si="316"/>
        <v>-3023.5971999999997</v>
      </c>
      <c r="BA345" s="175"/>
      <c r="BB345" s="145"/>
      <c r="BC345" s="145"/>
      <c r="BD345" s="145"/>
    </row>
    <row r="346" spans="1:56" x14ac:dyDescent="0.2">
      <c r="A346" s="514"/>
      <c r="B346" s="515"/>
      <c r="F346" s="394" t="s">
        <v>673</v>
      </c>
      <c r="H346" s="144">
        <v>5</v>
      </c>
      <c r="J346" s="312">
        <v>4644233</v>
      </c>
      <c r="K346" s="146"/>
      <c r="L346" s="260">
        <f t="shared" si="299"/>
        <v>1930607.6581000001</v>
      </c>
      <c r="M346" s="212"/>
      <c r="N346" s="260">
        <f t="shared" si="300"/>
        <v>1180564.0285999998</v>
      </c>
      <c r="O346" s="212"/>
      <c r="P346" s="260">
        <f t="shared" si="301"/>
        <v>150008.72590000002</v>
      </c>
      <c r="Q346" s="212"/>
      <c r="R346" s="260">
        <f t="shared" si="302"/>
        <v>356677.09440000006</v>
      </c>
      <c r="S346" s="212"/>
      <c r="T346" s="260">
        <f t="shared" si="303"/>
        <v>100779.8561</v>
      </c>
      <c r="U346" s="212"/>
      <c r="V346" s="260">
        <f t="shared" si="304"/>
        <v>417052.12339999998</v>
      </c>
      <c r="W346" s="212"/>
      <c r="X346" s="260">
        <f t="shared" si="305"/>
        <v>508543.5135</v>
      </c>
      <c r="Y346" s="212"/>
      <c r="Z346" s="175"/>
      <c r="AC346" s="394" t="s">
        <v>673</v>
      </c>
      <c r="AE346" s="239">
        <f t="shared" si="306"/>
        <v>5</v>
      </c>
      <c r="AG346" s="145">
        <f t="shared" si="307"/>
        <v>4644233</v>
      </c>
      <c r="AI346" s="262">
        <f t="shared" si="308"/>
        <v>1482439.1735999999</v>
      </c>
      <c r="AJ346" s="262"/>
      <c r="AK346" s="262">
        <f t="shared" si="309"/>
        <v>0</v>
      </c>
      <c r="AL346" s="262"/>
      <c r="AM346" s="262">
        <f t="shared" si="310"/>
        <v>2236198.1894999999</v>
      </c>
      <c r="AN346" s="262"/>
      <c r="AO346" s="262">
        <f t="shared" si="311"/>
        <v>0</v>
      </c>
      <c r="AP346" s="262"/>
      <c r="AQ346" s="262">
        <f t="shared" si="312"/>
        <v>0</v>
      </c>
      <c r="AR346" s="262"/>
      <c r="AS346" s="262">
        <f t="shared" si="313"/>
        <v>0</v>
      </c>
      <c r="AT346" s="262"/>
      <c r="AU346" s="262">
        <f t="shared" si="314"/>
        <v>0</v>
      </c>
      <c r="AV346" s="262"/>
      <c r="AW346" s="262">
        <f t="shared" si="315"/>
        <v>417052.12339999998</v>
      </c>
      <c r="AX346" s="262"/>
      <c r="AY346" s="262">
        <f t="shared" si="316"/>
        <v>508543.5135</v>
      </c>
      <c r="BA346" s="175"/>
      <c r="BB346" s="145"/>
      <c r="BC346" s="145"/>
      <c r="BD346" s="145"/>
    </row>
    <row r="347" spans="1:56" x14ac:dyDescent="0.2">
      <c r="A347" s="514"/>
      <c r="B347" s="515"/>
      <c r="F347" s="394" t="s">
        <v>176</v>
      </c>
      <c r="J347" s="312"/>
      <c r="K347" s="146"/>
      <c r="L347" s="260"/>
      <c r="M347" s="212"/>
      <c r="N347" s="260"/>
      <c r="O347" s="212"/>
      <c r="P347" s="260"/>
      <c r="Q347" s="212"/>
      <c r="R347" s="260"/>
      <c r="S347" s="212"/>
      <c r="T347" s="260"/>
      <c r="U347" s="212"/>
      <c r="V347" s="260"/>
      <c r="W347" s="212"/>
      <c r="X347" s="260"/>
      <c r="Y347" s="212"/>
      <c r="Z347" s="175"/>
      <c r="AC347" s="394" t="s">
        <v>176</v>
      </c>
      <c r="AE347" s="239"/>
      <c r="AG347" s="145"/>
      <c r="AI347" s="262"/>
      <c r="AJ347" s="262"/>
      <c r="AK347" s="262"/>
      <c r="AL347" s="262"/>
      <c r="AM347" s="262"/>
      <c r="AN347" s="262"/>
      <c r="AO347" s="262"/>
      <c r="AP347" s="262"/>
      <c r="AQ347" s="262"/>
      <c r="AR347" s="262"/>
      <c r="AS347" s="262"/>
      <c r="AT347" s="262"/>
      <c r="AU347" s="262"/>
      <c r="AV347" s="262"/>
      <c r="AW347" s="262"/>
      <c r="AX347" s="262"/>
      <c r="AY347" s="262"/>
      <c r="BA347" s="175"/>
      <c r="BB347" s="145"/>
      <c r="BC347" s="145"/>
      <c r="BD347" s="145"/>
    </row>
    <row r="348" spans="1:56" x14ac:dyDescent="0.2">
      <c r="A348" s="514"/>
      <c r="B348" s="515"/>
      <c r="F348" s="394" t="s">
        <v>822</v>
      </c>
      <c r="H348" s="144">
        <v>2</v>
      </c>
      <c r="J348" s="313">
        <v>1536404</v>
      </c>
      <c r="K348" s="146"/>
      <c r="L348" s="260">
        <f>(VLOOKUP($H348,Factors,L$382))*$J348</f>
        <v>766665.59600000002</v>
      </c>
      <c r="M348" s="212"/>
      <c r="N348" s="260">
        <f>(VLOOKUP($H348,Factors,N$382))*$J348</f>
        <v>475824.31879999995</v>
      </c>
      <c r="O348" s="212"/>
      <c r="P348" s="260">
        <f>(VLOOKUP($H348,Factors,P$382))*$J348</f>
        <v>67755.416400000002</v>
      </c>
      <c r="Q348" s="212"/>
      <c r="R348" s="260">
        <f>(VLOOKUP($H348,Factors,R$382))*$J348</f>
        <v>169311.72080000001</v>
      </c>
      <c r="S348" s="212"/>
      <c r="T348" s="260">
        <f>(VLOOKUP($H348,Factors,T$382))*$J348</f>
        <v>51469.534</v>
      </c>
      <c r="U348" s="212"/>
      <c r="V348" s="260">
        <f>(VLOOKUP($H348,Factors,V$382))*$J348</f>
        <v>2458.2464</v>
      </c>
      <c r="W348" s="212"/>
      <c r="X348" s="260">
        <f>(VLOOKUP($H348,Factors,X$382))*$J348</f>
        <v>2919.1676000000002</v>
      </c>
      <c r="Y348" s="212"/>
      <c r="Z348" s="175"/>
      <c r="AC348" s="394" t="s">
        <v>177</v>
      </c>
      <c r="AE348" s="239">
        <f t="shared" si="306"/>
        <v>2</v>
      </c>
      <c r="AG348" s="145">
        <f t="shared" si="307"/>
        <v>1536404</v>
      </c>
      <c r="AI348" s="262">
        <f>(VLOOKUP($AE348,func,AI$382))*$AG348</f>
        <v>925837.05039999983</v>
      </c>
      <c r="AJ348" s="262"/>
      <c r="AK348" s="262">
        <f>(VLOOKUP($AE348,func,AK$382))*$AG348</f>
        <v>605189.53559999994</v>
      </c>
      <c r="AL348" s="262"/>
      <c r="AM348" s="262">
        <f>(VLOOKUP($AE348,func,AM$382))*$AG348</f>
        <v>0</v>
      </c>
      <c r="AN348" s="262"/>
      <c r="AO348" s="262">
        <f>(VLOOKUP($AE348,func,AO$382))*$AG348</f>
        <v>0</v>
      </c>
      <c r="AP348" s="262"/>
      <c r="AQ348" s="262">
        <f>(VLOOKUP($AE348,func,AQ$382))*$AG348</f>
        <v>0</v>
      </c>
      <c r="AR348" s="262"/>
      <c r="AS348" s="262">
        <f>(VLOOKUP($AE348,func,AS$382))*$AG348</f>
        <v>0</v>
      </c>
      <c r="AT348" s="262"/>
      <c r="AU348" s="262">
        <f>(VLOOKUP($AE348,func,AU$382))*$AG348</f>
        <v>0</v>
      </c>
      <c r="AV348" s="262"/>
      <c r="AW348" s="262">
        <f>(VLOOKUP($AE348,func,AW$382))*$AG348</f>
        <v>2458.2464</v>
      </c>
      <c r="AX348" s="262"/>
      <c r="AY348" s="262">
        <f>(VLOOKUP($AE348,func,AY$382))*$AG348</f>
        <v>2919.1676000000002</v>
      </c>
      <c r="BA348" s="175"/>
      <c r="BB348" s="145"/>
      <c r="BC348" s="145"/>
      <c r="BD348" s="145"/>
    </row>
    <row r="349" spans="1:56" x14ac:dyDescent="0.2">
      <c r="A349" s="551"/>
      <c r="B349" s="552"/>
      <c r="F349" s="394" t="s">
        <v>178</v>
      </c>
      <c r="H349" s="144">
        <v>17</v>
      </c>
      <c r="J349" s="389">
        <v>650080.54458333319</v>
      </c>
      <c r="K349" s="146"/>
      <c r="L349" s="549">
        <f>(VLOOKUP($H349,Factors,L$382))*$J349</f>
        <v>334596.45629704156</v>
      </c>
      <c r="M349" s="212"/>
      <c r="N349" s="549">
        <f>(VLOOKUP($H349,Factors,N$382))*$J349</f>
        <v>169020.94159166663</v>
      </c>
      <c r="O349" s="212"/>
      <c r="P349" s="549">
        <f>(VLOOKUP($H349,Factors,P$382))*$J349</f>
        <v>22102.738515833331</v>
      </c>
      <c r="Q349" s="212"/>
      <c r="R349" s="549">
        <f>(VLOOKUP($H349,Factors,R$382))*$J349</f>
        <v>55841.918779708321</v>
      </c>
      <c r="S349" s="212"/>
      <c r="T349" s="549">
        <f>(VLOOKUP($H349,Factors,T$382))*$J349</f>
        <v>13586.683381791663</v>
      </c>
      <c r="U349" s="212"/>
      <c r="V349" s="549">
        <f>(VLOOKUP($H349,Factors,V$382))*$J349</f>
        <v>18982.351901833328</v>
      </c>
      <c r="W349" s="212"/>
      <c r="X349" s="549">
        <f>(VLOOKUP($H349,Factors,X$382))*$J349</f>
        <v>35949.454115458328</v>
      </c>
      <c r="Y349" s="212"/>
      <c r="Z349" s="175"/>
      <c r="AC349" s="394" t="s">
        <v>178</v>
      </c>
      <c r="AE349" s="239">
        <f t="shared" si="306"/>
        <v>17</v>
      </c>
      <c r="AG349" s="263">
        <f t="shared" si="307"/>
        <v>650080.54458333319</v>
      </c>
      <c r="AI349" s="509">
        <f>(VLOOKUP($AE349,func,AI$382))*$AG349</f>
        <v>280119.7066609583</v>
      </c>
      <c r="AK349" s="509">
        <f>(VLOOKUP($AE349,func,AK$382))*$AG349</f>
        <v>150428.63801658331</v>
      </c>
      <c r="AM349" s="509">
        <f>(VLOOKUP($AE349,func,AM$382))*$AG349</f>
        <v>71248.827686333316</v>
      </c>
      <c r="AO349" s="509">
        <f>(VLOOKUP($AE349,func,AO$382))*$AG349</f>
        <v>65853.159166291647</v>
      </c>
      <c r="AQ349" s="509">
        <f>(VLOOKUP($AE349,func,AQ$382))*$AG349</f>
        <v>14431.788089749998</v>
      </c>
      <c r="AS349" s="509">
        <f>(VLOOKUP($AE349,func,AS$382))*$AG349</f>
        <v>11896.473965874997</v>
      </c>
      <c r="AU349" s="509">
        <f>(VLOOKUP($AE349,func,AU$382))*$AG349</f>
        <v>1885.233579291666</v>
      </c>
      <c r="AW349" s="509">
        <f>(VLOOKUP($AE349,func,AW$382))*$AG349</f>
        <v>18657.311629541662</v>
      </c>
      <c r="AY349" s="509">
        <f>(VLOOKUP($AE349,func,AY$382))*$AG349</f>
        <v>35559.405788708325</v>
      </c>
      <c r="BA349" s="175"/>
      <c r="BB349" s="145"/>
      <c r="BC349" s="145"/>
      <c r="BD349" s="145"/>
    </row>
    <row r="350" spans="1:56" x14ac:dyDescent="0.2">
      <c r="A350" s="514"/>
      <c r="B350" s="515"/>
      <c r="F350" s="529"/>
      <c r="J350" s="256"/>
      <c r="L350" s="256"/>
      <c r="M350" s="529"/>
      <c r="N350" s="256"/>
      <c r="O350" s="529"/>
      <c r="P350" s="256"/>
      <c r="Q350" s="529"/>
      <c r="R350" s="256"/>
      <c r="S350" s="529"/>
      <c r="T350" s="256"/>
      <c r="U350" s="529"/>
      <c r="V350" s="256"/>
      <c r="W350" s="529"/>
      <c r="X350" s="256"/>
      <c r="Z350" s="175"/>
      <c r="AE350" s="239"/>
      <c r="AG350" s="387"/>
      <c r="AI350" s="387"/>
      <c r="AK350" s="387"/>
      <c r="AM350" s="387"/>
      <c r="AO350" s="387"/>
      <c r="AQ350" s="387"/>
      <c r="AS350" s="387"/>
      <c r="AU350" s="387"/>
      <c r="AW350" s="387"/>
      <c r="AY350" s="387"/>
      <c r="BA350" s="175"/>
      <c r="BB350" s="145"/>
      <c r="BC350" s="145"/>
      <c r="BD350" s="145"/>
    </row>
    <row r="351" spans="1:56" x14ac:dyDescent="0.2">
      <c r="A351" s="514"/>
      <c r="B351" s="515"/>
      <c r="F351" s="529" t="s">
        <v>457</v>
      </c>
      <c r="J351" s="256">
        <f>SUM(J332:J350)</f>
        <v>-46575500.536783949</v>
      </c>
      <c r="L351" s="256">
        <f ca="1">SUM(L332:L350)</f>
        <v>-24711718.878227275</v>
      </c>
      <c r="M351" s="529"/>
      <c r="N351" s="256">
        <f ca="1">SUM(N332:N350)</f>
        <v>-12023126.903421255</v>
      </c>
      <c r="O351" s="529"/>
      <c r="P351" s="256">
        <f ca="1">SUM(P332:P350)</f>
        <v>-1565604.281693419</v>
      </c>
      <c r="Q351" s="529"/>
      <c r="R351" s="256">
        <f ca="1">SUM(R332:R350)</f>
        <v>-3988539.0848016096</v>
      </c>
      <c r="S351" s="529"/>
      <c r="T351" s="256">
        <f ca="1">SUM(T332:T350)</f>
        <v>-939591.89520047512</v>
      </c>
      <c r="U351" s="529"/>
      <c r="V351" s="256">
        <f ca="1">SUM(V332:V350)</f>
        <v>-1018250.7043911179</v>
      </c>
      <c r="W351" s="529"/>
      <c r="X351" s="256">
        <f ca="1">SUM(X332:X350)</f>
        <v>-2328668.7890487919</v>
      </c>
      <c r="Z351" s="175"/>
      <c r="AC351" s="529" t="s">
        <v>457</v>
      </c>
      <c r="AD351" s="140"/>
      <c r="AE351" s="144"/>
      <c r="AG351" s="256">
        <f>SUM(AG332:AG350)</f>
        <v>-46575500.536783949</v>
      </c>
      <c r="AI351" s="256">
        <f ca="1">SUM(AI332:AI350)</f>
        <v>-20222623.876326896</v>
      </c>
      <c r="AK351" s="256">
        <f ca="1">SUM(AK332:AK350)</f>
        <v>-11655955.088177133</v>
      </c>
      <c r="AM351" s="256">
        <f ca="1">SUM(AM332:AM350)</f>
        <v>-3269388.7765622367</v>
      </c>
      <c r="AO351" s="256">
        <f ca="1">SUM(AO332:AO350)</f>
        <v>-5761856.981991129</v>
      </c>
      <c r="AQ351" s="256">
        <f ca="1">SUM(AQ332:AQ350)</f>
        <v>-1246012.7353253844</v>
      </c>
      <c r="AS351" s="256">
        <f ca="1">SUM(AS332:AS350)</f>
        <v>-981758.63492590771</v>
      </c>
      <c r="AU351" s="256">
        <f ca="1">SUM(AU332:AU350)</f>
        <v>-144779.48300558332</v>
      </c>
      <c r="AW351" s="256">
        <f ca="1">SUM(AW332:AW350)</f>
        <v>-994175.57392835186</v>
      </c>
      <c r="AY351" s="256">
        <f ca="1">SUM(AY332:AY350)</f>
        <v>-2299072.823867091</v>
      </c>
      <c r="BA351" s="175"/>
      <c r="BB351" s="145"/>
      <c r="BC351" s="145"/>
      <c r="BD351" s="145"/>
    </row>
    <row r="352" spans="1:56" x14ac:dyDescent="0.2">
      <c r="A352" s="514"/>
      <c r="B352" s="515"/>
      <c r="F352" s="529"/>
      <c r="J352" s="256"/>
      <c r="L352" s="256"/>
      <c r="M352" s="529"/>
      <c r="N352" s="256"/>
      <c r="O352" s="529"/>
      <c r="P352" s="256"/>
      <c r="Q352" s="529"/>
      <c r="R352" s="256"/>
      <c r="S352" s="529"/>
      <c r="T352" s="256"/>
      <c r="U352" s="529"/>
      <c r="V352" s="256"/>
      <c r="W352" s="529"/>
      <c r="X352" s="256"/>
      <c r="Z352" s="175"/>
      <c r="AD352" s="140"/>
      <c r="AE352" s="144"/>
      <c r="AG352" s="256"/>
      <c r="AI352" s="256"/>
      <c r="AK352" s="256"/>
      <c r="AM352" s="256"/>
      <c r="AO352" s="256"/>
      <c r="AQ352" s="256"/>
      <c r="AS352" s="256"/>
      <c r="AU352" s="256"/>
      <c r="AW352" s="256"/>
      <c r="AY352" s="256"/>
      <c r="BA352" s="175"/>
      <c r="BB352" s="145"/>
      <c r="BC352" s="145"/>
      <c r="BD352" s="145"/>
    </row>
    <row r="353" spans="1:56" ht="13.5" thickBot="1" x14ac:dyDescent="0.25">
      <c r="A353" s="514"/>
      <c r="B353" s="515"/>
      <c r="F353" s="529" t="s">
        <v>320</v>
      </c>
      <c r="J353" s="395">
        <f>J329+J351</f>
        <v>378126458.46646518</v>
      </c>
      <c r="L353" s="395">
        <f ca="1">L329+L351</f>
        <v>194112160.80196661</v>
      </c>
      <c r="M353" s="529"/>
      <c r="N353" s="395">
        <f ca="1">N329+N351</f>
        <v>98373822.631877363</v>
      </c>
      <c r="O353" s="529"/>
      <c r="P353" s="395">
        <f ca="1">P329+P351</f>
        <v>12868433.416628802</v>
      </c>
      <c r="Q353" s="529"/>
      <c r="R353" s="395">
        <f ca="1">R329+R351</f>
        <v>32488449.887948062</v>
      </c>
      <c r="S353" s="529"/>
      <c r="T353" s="395">
        <f ca="1">T329+T351</f>
        <v>7918239.0794545421</v>
      </c>
      <c r="U353" s="529"/>
      <c r="V353" s="395">
        <f ca="1">V329+V351</f>
        <v>11300620.760266451</v>
      </c>
      <c r="W353" s="529"/>
      <c r="X353" s="395">
        <f ca="1">X329+X351</f>
        <v>21064731.888323501</v>
      </c>
      <c r="Z353" s="175"/>
      <c r="AC353" s="529" t="s">
        <v>320</v>
      </c>
      <c r="AD353" s="140"/>
      <c r="AE353" s="144"/>
      <c r="AG353" s="395">
        <f>AG329+AG351</f>
        <v>378126458.46646518</v>
      </c>
      <c r="AI353" s="395">
        <f ca="1">AI329+AI351</f>
        <v>162670619.40833476</v>
      </c>
      <c r="AK353" s="395">
        <f ca="1">AK329+AK351</f>
        <v>86682046.325756446</v>
      </c>
      <c r="AM353" s="395">
        <f ca="1">AM329+AM351</f>
        <v>43013026.059464782</v>
      </c>
      <c r="AO353" s="395">
        <f ca="1">AO329+AO351</f>
        <v>37674984.292002313</v>
      </c>
      <c r="AQ353" s="395">
        <f ca="1">AQ329+AQ351</f>
        <v>8248865.2162970155</v>
      </c>
      <c r="AS353" s="395">
        <f ca="1">AS329+AS351</f>
        <v>6786808.7780244648</v>
      </c>
      <c r="AU353" s="395">
        <f ca="1">AU329+AU351</f>
        <v>1063060.4854143686</v>
      </c>
      <c r="AW353" s="395">
        <f ca="1">AW329+AW351</f>
        <v>11111152.149273634</v>
      </c>
      <c r="AY353" s="395">
        <f ca="1">AY329+AY351</f>
        <v>20871305.587745294</v>
      </c>
      <c r="BA353" s="175"/>
      <c r="BB353" s="145"/>
      <c r="BC353" s="145"/>
      <c r="BD353" s="145"/>
    </row>
    <row r="354" spans="1:56" ht="13.5" thickTop="1" x14ac:dyDescent="0.2">
      <c r="A354" s="514"/>
      <c r="B354" s="515"/>
      <c r="C354" s="478"/>
      <c r="D354" s="489"/>
      <c r="E354" s="478"/>
      <c r="F354" s="385"/>
      <c r="G354" s="257"/>
      <c r="H354" s="562"/>
      <c r="J354" s="386"/>
      <c r="K354" s="146"/>
      <c r="L354" s="386"/>
      <c r="M354" s="387"/>
      <c r="N354" s="386"/>
      <c r="O354" s="387"/>
      <c r="P354" s="386"/>
      <c r="Q354" s="387"/>
      <c r="R354" s="386"/>
      <c r="S354" s="387"/>
      <c r="T354" s="386"/>
      <c r="U354" s="387"/>
      <c r="V354" s="386"/>
      <c r="W354" s="387"/>
      <c r="X354" s="386"/>
      <c r="Z354" s="175"/>
      <c r="AC354" s="385"/>
      <c r="AE354" s="239"/>
      <c r="AG354" s="387"/>
      <c r="AH354" s="146"/>
      <c r="AI354" s="386"/>
      <c r="AJ354" s="386"/>
      <c r="AK354" s="386"/>
      <c r="AL354" s="386"/>
      <c r="AM354" s="386"/>
      <c r="AN354" s="386"/>
      <c r="AO354" s="386"/>
      <c r="AP354" s="386"/>
      <c r="AQ354" s="386"/>
      <c r="AR354" s="386"/>
      <c r="AS354" s="386"/>
      <c r="AT354" s="386"/>
      <c r="AU354" s="386"/>
      <c r="AV354" s="386"/>
      <c r="AW354" s="386"/>
      <c r="AX354" s="386"/>
      <c r="AY354" s="386"/>
      <c r="BA354" s="175"/>
    </row>
    <row r="355" spans="1:56" x14ac:dyDescent="0.2">
      <c r="A355" s="514"/>
      <c r="B355" s="515"/>
      <c r="C355" s="478"/>
      <c r="D355" s="489"/>
      <c r="E355" s="478"/>
      <c r="F355" s="385"/>
      <c r="G355" s="257"/>
      <c r="H355" s="562"/>
      <c r="J355" s="386"/>
      <c r="K355" s="146"/>
      <c r="L355" s="386"/>
      <c r="M355" s="387"/>
      <c r="N355" s="386"/>
      <c r="O355" s="387"/>
      <c r="P355" s="386"/>
      <c r="Q355" s="387"/>
      <c r="R355" s="386"/>
      <c r="S355" s="387"/>
      <c r="T355" s="386"/>
      <c r="U355" s="387"/>
      <c r="V355" s="386"/>
      <c r="W355" s="387"/>
      <c r="X355" s="386"/>
      <c r="Z355" s="175"/>
      <c r="AC355" s="385"/>
      <c r="AE355" s="239"/>
      <c r="AG355" s="387"/>
      <c r="AH355" s="146"/>
      <c r="AI355" s="386"/>
      <c r="AJ355" s="386"/>
      <c r="AK355" s="386"/>
      <c r="AL355" s="386"/>
      <c r="AM355" s="386"/>
      <c r="AN355" s="386"/>
      <c r="AO355" s="386"/>
      <c r="AP355" s="386"/>
      <c r="AQ355" s="386"/>
      <c r="AR355" s="386"/>
      <c r="AS355" s="386"/>
      <c r="AT355" s="386"/>
      <c r="AU355" s="386"/>
      <c r="AV355" s="386"/>
      <c r="AW355" s="386"/>
      <c r="AX355" s="386"/>
      <c r="AY355" s="386"/>
      <c r="BA355" s="175"/>
    </row>
    <row r="356" spans="1:56" x14ac:dyDescent="0.2">
      <c r="A356" s="146"/>
      <c r="B356" s="146"/>
      <c r="C356" s="478"/>
      <c r="D356" s="489"/>
      <c r="E356" s="478"/>
      <c r="F356" s="257"/>
      <c r="G356" s="257"/>
      <c r="H356" s="562"/>
      <c r="J356" s="560"/>
      <c r="K356" s="560"/>
      <c r="L356" s="560"/>
      <c r="M356" s="560"/>
      <c r="N356" s="560"/>
      <c r="O356" s="560"/>
      <c r="P356" s="560"/>
      <c r="Q356" s="560"/>
      <c r="R356" s="560"/>
      <c r="S356" s="560"/>
      <c r="T356" s="560"/>
      <c r="U356" s="560"/>
      <c r="V356" s="560"/>
      <c r="W356" s="560"/>
      <c r="X356" s="560"/>
      <c r="Z356" s="175"/>
      <c r="AC356" s="257"/>
      <c r="AG356" s="560"/>
      <c r="AH356" s="560"/>
      <c r="AI356" s="560"/>
      <c r="AJ356" s="560"/>
      <c r="AK356" s="560"/>
      <c r="AL356" s="560"/>
      <c r="AM356" s="560"/>
      <c r="AN356" s="560"/>
      <c r="AO356" s="560"/>
      <c r="AP356" s="560"/>
      <c r="AQ356" s="560"/>
      <c r="AR356" s="560"/>
      <c r="AS356" s="560"/>
      <c r="AT356" s="560"/>
      <c r="AU356" s="560"/>
      <c r="AV356" s="560"/>
      <c r="AW356" s="560"/>
      <c r="AX356" s="560"/>
      <c r="AY356" s="560"/>
      <c r="BA356" s="175"/>
    </row>
    <row r="357" spans="1:56" x14ac:dyDescent="0.2">
      <c r="AA357" s="175"/>
      <c r="AC357" s="140"/>
      <c r="AG357" s="146"/>
      <c r="AH357" s="146"/>
      <c r="AI357" s="146"/>
      <c r="AJ357" s="146"/>
      <c r="AK357" s="146"/>
      <c r="AL357" s="146"/>
      <c r="AM357" s="146"/>
      <c r="AN357" s="146"/>
      <c r="AO357" s="146"/>
      <c r="AP357" s="146"/>
      <c r="AQ357" s="146"/>
      <c r="AR357" s="146"/>
      <c r="AS357" s="146"/>
      <c r="AT357" s="146"/>
      <c r="AU357" s="146"/>
      <c r="AV357" s="146"/>
      <c r="AW357" s="146"/>
      <c r="AX357" s="146"/>
      <c r="AY357" s="146"/>
    </row>
    <row r="358" spans="1:56" x14ac:dyDescent="0.2">
      <c r="AA358" s="175"/>
      <c r="AQ358" s="437">
        <f ca="1">+AS368+AU368</f>
        <v>0.22669999999999998</v>
      </c>
      <c r="AS358" s="437">
        <f ca="1">+AS374+AU374</f>
        <v>2.06E-2</v>
      </c>
    </row>
    <row r="359" spans="1:56" x14ac:dyDescent="0.2">
      <c r="AA359" s="175"/>
    </row>
    <row r="360" spans="1:56" x14ac:dyDescent="0.2">
      <c r="AA360" s="175"/>
    </row>
    <row r="361" spans="1:56" x14ac:dyDescent="0.2">
      <c r="F361" s="218" t="s">
        <v>311</v>
      </c>
      <c r="J361" s="145">
        <f>+J82+J83+J84</f>
        <v>899123.91010348836</v>
      </c>
      <c r="L361" s="145">
        <f>+L82+L83+L84</f>
        <v>676762.29358736239</v>
      </c>
      <c r="M361" s="529"/>
      <c r="N361" s="145">
        <f>+N82+N83+N84</f>
        <v>145947.13712766199</v>
      </c>
      <c r="O361" s="529"/>
      <c r="P361" s="145">
        <f>+P82+P83+P84</f>
        <v>9697.3660544942013</v>
      </c>
      <c r="Q361" s="529"/>
      <c r="R361" s="145">
        <f>+R82+R83+R84</f>
        <v>33274.549707662991</v>
      </c>
      <c r="S361" s="529"/>
      <c r="T361" s="145">
        <f>+T82+T83+T84</f>
        <v>2872.0128225190215</v>
      </c>
      <c r="U361" s="529"/>
      <c r="V361" s="145">
        <f>+V82+V83+V84</f>
        <v>18326.277810028321</v>
      </c>
      <c r="W361" s="529"/>
      <c r="X361" s="145">
        <f>+X82+X83+X84</f>
        <v>12244.272993759363</v>
      </c>
      <c r="Z361" s="175">
        <f>SUM(L361:X361)-J361</f>
        <v>0</v>
      </c>
      <c r="AA361" s="175"/>
      <c r="AC361" s="218" t="s">
        <v>311</v>
      </c>
      <c r="AD361" s="140"/>
      <c r="AE361" s="144"/>
      <c r="AG361" s="145">
        <f>+AG82+AG83+AG84</f>
        <v>899123.91010348836</v>
      </c>
      <c r="AI361" s="145">
        <f>+AI82+AI83+AI84</f>
        <v>71284.397713667902</v>
      </c>
      <c r="AK361" s="145">
        <f>+AK82+AK83+AK84</f>
        <v>13582.344743077378</v>
      </c>
      <c r="AM361" s="145">
        <f>+AM82+AM83+AM84</f>
        <v>76196.770711164179</v>
      </c>
      <c r="AO361" s="145">
        <f>+AO82+AO83+AO84</f>
        <v>707113.83964242262</v>
      </c>
      <c r="AQ361" s="145">
        <f>+AQ82+AQ83+AQ84</f>
        <v>394.33623935925687</v>
      </c>
      <c r="AS361" s="145">
        <f>+AS82+AS83+AS84</f>
        <v>0</v>
      </c>
      <c r="AU361" s="145">
        <f>+AU82+AU83+AU84</f>
        <v>0</v>
      </c>
      <c r="AW361" s="145">
        <f>+AW82+AW83+AW84</f>
        <v>18326.277810028321</v>
      </c>
      <c r="AY361" s="145">
        <f>+AY82+AY83+AY84</f>
        <v>12244.272993759363</v>
      </c>
      <c r="BA361" s="175">
        <f>SUM(AI361:AY361)-AG361</f>
        <v>18.329749990603887</v>
      </c>
    </row>
    <row r="362" spans="1:56" x14ac:dyDescent="0.2">
      <c r="F362" s="218" t="s">
        <v>308</v>
      </c>
      <c r="L362" s="437">
        <f>ROUND(L361/$J361,4)</f>
        <v>0.75270000000000004</v>
      </c>
      <c r="M362" s="437"/>
      <c r="N362" s="437">
        <f>ROUND(N361/$J361,4)</f>
        <v>0.1623</v>
      </c>
      <c r="O362" s="437"/>
      <c r="P362" s="437">
        <f t="shared" ref="P362:X362" si="318">ROUND(P361/$J361,4)</f>
        <v>1.0800000000000001E-2</v>
      </c>
      <c r="Q362" s="437"/>
      <c r="R362" s="437">
        <f t="shared" si="318"/>
        <v>3.6999999999999998E-2</v>
      </c>
      <c r="S362" s="437"/>
      <c r="T362" s="437">
        <f t="shared" si="318"/>
        <v>3.2000000000000002E-3</v>
      </c>
      <c r="U362" s="437"/>
      <c r="V362" s="437">
        <f t="shared" si="318"/>
        <v>2.0400000000000001E-2</v>
      </c>
      <c r="W362" s="437"/>
      <c r="X362" s="437">
        <f t="shared" si="318"/>
        <v>1.3599999999999999E-2</v>
      </c>
      <c r="Z362" s="437">
        <f>SUM(L362:X362)</f>
        <v>1</v>
      </c>
      <c r="AA362" s="175"/>
      <c r="AC362" s="218" t="s">
        <v>308</v>
      </c>
      <c r="AD362" s="140"/>
      <c r="AE362" s="144"/>
      <c r="AG362" s="145"/>
      <c r="AI362" s="437">
        <f>ROUND(AI361/$J361,4)+0.0001</f>
        <v>7.9399999999999998E-2</v>
      </c>
      <c r="AJ362" s="437"/>
      <c r="AK362" s="437">
        <f>ROUND(AK361/$J361,4)</f>
        <v>1.5100000000000001E-2</v>
      </c>
      <c r="AL362" s="437"/>
      <c r="AM362" s="437">
        <f>ROUND(AM361/$J361,4)</f>
        <v>8.4699999999999998E-2</v>
      </c>
      <c r="AN362" s="437"/>
      <c r="AO362" s="437">
        <f>ROUND(AO361/$J361,4)</f>
        <v>0.78639999999999999</v>
      </c>
      <c r="AP362" s="437"/>
      <c r="AQ362" s="437">
        <f>ROUND(AQ361/$J361,4)</f>
        <v>4.0000000000000002E-4</v>
      </c>
      <c r="AR362" s="437"/>
      <c r="AS362" s="437">
        <f>ROUND(AS361/$J361,4)</f>
        <v>0</v>
      </c>
      <c r="AT362" s="437"/>
      <c r="AU362" s="437">
        <f>ROUND(AU361/$J361,4)</f>
        <v>0</v>
      </c>
      <c r="AV362" s="437"/>
      <c r="AW362" s="437">
        <f>ROUND(AW361/$J361,4)</f>
        <v>2.0400000000000001E-2</v>
      </c>
      <c r="AX362" s="437"/>
      <c r="AY362" s="437">
        <f>ROUND(AY361/$J361,4)</f>
        <v>1.3599999999999999E-2</v>
      </c>
      <c r="BA362" s="437">
        <f>SUM(AI362:AY362)</f>
        <v>0.99999999999999989</v>
      </c>
    </row>
    <row r="363" spans="1:56" x14ac:dyDescent="0.2">
      <c r="F363" s="218" t="s">
        <v>312</v>
      </c>
      <c r="J363" s="145">
        <f>+J102+J103+J104+J105+J106+J110</f>
        <v>1010022.8284044156</v>
      </c>
      <c r="L363" s="145">
        <f>+L102+L103+L104+L105+L106+L110</f>
        <v>522902.72571281897</v>
      </c>
      <c r="M363" s="529"/>
      <c r="N363" s="145">
        <f>+N102+N103+N104+N105+N106+N110</f>
        <v>171537.84014225594</v>
      </c>
      <c r="O363" s="529"/>
      <c r="P363" s="145">
        <f>+P102+P103+P104+P105+P106+P110</f>
        <v>17150.600741739072</v>
      </c>
      <c r="Q363" s="529"/>
      <c r="R363" s="145">
        <f>+R102+R103+R104+R105+R106+R110</f>
        <v>45715.748835569706</v>
      </c>
      <c r="S363" s="529"/>
      <c r="T363" s="145">
        <f>+T102+T103+T104+T105+T106+T110</f>
        <v>3167.682286800894</v>
      </c>
      <c r="U363" s="529"/>
      <c r="V363" s="145">
        <f>+V102+V103+V104+V105+V106+V110</f>
        <v>41190.129619253072</v>
      </c>
      <c r="W363" s="529"/>
      <c r="X363" s="145">
        <f>+X102+X103+X104+X105+X106+X110</f>
        <v>208358.10106597791</v>
      </c>
      <c r="Z363" s="175">
        <f>SUM(L363:X363)-J363</f>
        <v>0</v>
      </c>
      <c r="AA363" s="175"/>
      <c r="AC363" s="218" t="s">
        <v>312</v>
      </c>
      <c r="AD363" s="140"/>
      <c r="AE363" s="144"/>
      <c r="AG363" s="145">
        <f>+AG102+AG103+AG104+AG105+AG106+AG110</f>
        <v>1010022.8284044156</v>
      </c>
      <c r="AI363" s="145">
        <f>+AI102+AI103+AI104+AI105+AI106+AI110</f>
        <v>174663.12437924446</v>
      </c>
      <c r="AK363" s="145">
        <f>+AK102+AK103+AK104+AK105+AK106+AK110</f>
        <v>33141.340239375364</v>
      </c>
      <c r="AM363" s="145">
        <f>+AM102+AM103+AM104+AM105+AM106+AM110</f>
        <v>187019.11273185769</v>
      </c>
      <c r="AO363" s="145">
        <f>+AO102+AO103+AO104+AO105+AO106+AO110</f>
        <v>39106.465092273596</v>
      </c>
      <c r="AQ363" s="145">
        <f>+AQ102+AQ103+AQ104+AQ105+AQ106+AQ110</f>
        <v>326589.28043195221</v>
      </c>
      <c r="AS363" s="145">
        <f>+AS102+AS103+AS104+AS105+AS106+AS110</f>
        <v>0</v>
      </c>
      <c r="AU363" s="145">
        <f>+AU102+AU103+AU104+AU105+AU106+AU110</f>
        <v>0</v>
      </c>
      <c r="AW363" s="145">
        <f>+AW102+AW103+AW104+AW105+AW106+AW110</f>
        <v>41190.129619253072</v>
      </c>
      <c r="AY363" s="145">
        <f>+AY102+AY103+AY104+AY105+AY106+AY110</f>
        <v>208358.10106597791</v>
      </c>
      <c r="BA363" s="175">
        <f>SUM(AI363:AY363)-AG363</f>
        <v>44.725155518739484</v>
      </c>
    </row>
    <row r="364" spans="1:56" x14ac:dyDescent="0.2">
      <c r="F364" s="218" t="s">
        <v>309</v>
      </c>
      <c r="J364" s="437"/>
      <c r="K364" s="437"/>
      <c r="L364" s="437">
        <f>ROUND(L363/$J363,4)</f>
        <v>0.51770000000000005</v>
      </c>
      <c r="M364" s="437"/>
      <c r="N364" s="437">
        <f>ROUND(N363/$J363,4)</f>
        <v>0.16980000000000001</v>
      </c>
      <c r="O364" s="437"/>
      <c r="P364" s="437">
        <f>ROUND(P363/$J363,4)</f>
        <v>1.7000000000000001E-2</v>
      </c>
      <c r="Q364" s="437"/>
      <c r="R364" s="437">
        <f>ROUND(R363/$J363,4)</f>
        <v>4.53E-2</v>
      </c>
      <c r="S364" s="437"/>
      <c r="T364" s="437">
        <f>ROUND(T363/$J363,4)</f>
        <v>3.0999999999999999E-3</v>
      </c>
      <c r="U364" s="437"/>
      <c r="V364" s="437">
        <f>ROUND(V363/$J363,4)</f>
        <v>4.0800000000000003E-2</v>
      </c>
      <c r="W364" s="437"/>
      <c r="X364" s="437">
        <f>ROUND(X363/$J363,4)</f>
        <v>0.20630000000000001</v>
      </c>
      <c r="Z364" s="437">
        <f>SUM(L364:X364)</f>
        <v>1</v>
      </c>
      <c r="AA364" s="175"/>
      <c r="AC364" s="218" t="s">
        <v>309</v>
      </c>
      <c r="AD364" s="140"/>
      <c r="AE364" s="144"/>
      <c r="AG364" s="437"/>
      <c r="AH364" s="437"/>
      <c r="AI364" s="437">
        <f>ROUND(AI363/$J363,4)</f>
        <v>0.1729</v>
      </c>
      <c r="AJ364" s="437"/>
      <c r="AK364" s="437">
        <f>ROUND(AK363/$J363,4)</f>
        <v>3.2800000000000003E-2</v>
      </c>
      <c r="AL364" s="437"/>
      <c r="AM364" s="437">
        <f>ROUND(AM363/$J363,4)</f>
        <v>0.1852</v>
      </c>
      <c r="AN364" s="437"/>
      <c r="AO364" s="437">
        <f>ROUND(AO363/$J363,4)</f>
        <v>3.8699999999999998E-2</v>
      </c>
      <c r="AP364" s="437"/>
      <c r="AQ364" s="437">
        <f>ROUND(AQ363/$J363,4)</f>
        <v>0.32329999999999998</v>
      </c>
      <c r="AR364" s="437"/>
      <c r="AS364" s="437">
        <f>ROUND(AS363/$J363,4)</f>
        <v>0</v>
      </c>
      <c r="AT364" s="437"/>
      <c r="AU364" s="437">
        <f>ROUND(AU363/$J363,4)</f>
        <v>0</v>
      </c>
      <c r="AV364" s="437"/>
      <c r="AW364" s="437">
        <f>ROUND(AW363/$J363,4)</f>
        <v>4.0800000000000003E-2</v>
      </c>
      <c r="AX364" s="437"/>
      <c r="AY364" s="437">
        <f>ROUND(AY363/$J363,4)</f>
        <v>0.20630000000000001</v>
      </c>
      <c r="BA364" s="437">
        <f>SUM(AI364:AY364)</f>
        <v>1</v>
      </c>
    </row>
    <row r="365" spans="1:56" x14ac:dyDescent="0.2">
      <c r="F365" s="218" t="s">
        <v>313</v>
      </c>
      <c r="J365" s="145">
        <f>+J29-J14-J15-J19+J40-J32+J75-J47-J48+J114+J132</f>
        <v>10869738.849249566</v>
      </c>
      <c r="L365" s="145">
        <f>+L29-L14-L15-L19+L40-L32+L75-L47-L48+L114+L132</f>
        <v>7014191.328505557</v>
      </c>
      <c r="M365" s="529"/>
      <c r="N365" s="145">
        <f>+N29-N14-N15-N19+N40-N32+N75-N47-N48+N114+N132</f>
        <v>2232920.5028573629</v>
      </c>
      <c r="O365" s="529"/>
      <c r="P365" s="145">
        <f>+P29-P14-P15-P19+P40-P32+P75-P47-P48+P114+P132</f>
        <v>246831.37592780212</v>
      </c>
      <c r="Q365" s="529"/>
      <c r="R365" s="145">
        <f>+R29-R14-R15-R19+R40-R32+R75-R47-R48+R114+R132</f>
        <v>655122.02183200419</v>
      </c>
      <c r="S365" s="529"/>
      <c r="T365" s="145">
        <f>+T29-T14-T15-T19+T40-T32+T75-T47-T48+T114+T132</f>
        <v>158550.06388654764</v>
      </c>
      <c r="U365" s="529"/>
      <c r="V365" s="145">
        <f>+V29-V14-V15-V19+V40-V32+V75-V47-V48+V114+V132</f>
        <v>176206.13586777166</v>
      </c>
      <c r="W365" s="529"/>
      <c r="X365" s="145">
        <f>+X29-X14-X15-X19+X40-X32+X75-X47-X48+X114+X132</f>
        <v>385917.42037252028</v>
      </c>
      <c r="Z365" s="175">
        <f>SUM(L365:X365)-J365</f>
        <v>0</v>
      </c>
      <c r="AA365" s="175"/>
      <c r="AC365" s="218" t="s">
        <v>313</v>
      </c>
      <c r="AD365" s="140"/>
      <c r="AE365" s="144"/>
      <c r="AG365" s="145">
        <f>+AG29-AG14-AG15-AG19+AG40-AG32+AG75-AG47-AG48+AG114+AG132</f>
        <v>10869738.849249566</v>
      </c>
      <c r="AI365" s="145">
        <f>+AI29-AI14-AI15-AI19+AI40-AI32+AI75-AI47-AI48+AI114+AI132</f>
        <v>3213203.7583815265</v>
      </c>
      <c r="AK365" s="145">
        <f>+AK29-AK14-AK15-AK19+AK40-AK32+AK75-AK47-AK48+AK114+AK132</f>
        <v>1656183.7290491494</v>
      </c>
      <c r="AM365" s="145">
        <f>+AM29-AM14-AM15-AM19+AM40-AM32+AM75-AM47-AM48+AM114+AM132</f>
        <v>519759.55210132373</v>
      </c>
      <c r="AO365" s="145">
        <f>+AO29-AO14-AO15-AO19+AO40-AO32+AO75-AO47-AO48+AO114+AO132</f>
        <v>1981867.7407337723</v>
      </c>
      <c r="AQ365" s="145">
        <f>+AQ29-AQ14-AQ15-AQ19+AQ40-AQ32+AQ75-AQ47-AQ48+AQ114+AQ132</f>
        <v>537333.08672870765</v>
      </c>
      <c r="AS365" s="145">
        <f>+AS29-AS14-AS15-AS19+AS40-AS32+AS75-AS47-AS48+AS114+AS132</f>
        <v>1921203.2732634093</v>
      </c>
      <c r="AU365" s="145">
        <f>+AU29-AU14-AU15-AU19+AU40-AU32+AU75-AU47-AU48+AU114+AU132</f>
        <v>494773.77685800003</v>
      </c>
      <c r="AW365" s="145">
        <f>+AW29-AW14-AW15-AW19+AW40-AW32+AW75-AW47-AW48+AW114+AW132</f>
        <v>159558.74541451182</v>
      </c>
      <c r="AY365" s="145">
        <f>+AY29-AY14-AY15-AY19+AY40-AY32+AY75-AY47-AY48+AY114+AY132</f>
        <v>385918.24162467162</v>
      </c>
      <c r="BA365" s="175">
        <f>SUM(AI365:AY365)-AG365</f>
        <v>63.054905507713556</v>
      </c>
      <c r="BB365" s="145"/>
    </row>
    <row r="366" spans="1:56" x14ac:dyDescent="0.2">
      <c r="F366" s="218" t="s">
        <v>310</v>
      </c>
      <c r="L366" s="437">
        <f>ROUND(L365/$J365,4)</f>
        <v>0.64529999999999998</v>
      </c>
      <c r="M366" s="437"/>
      <c r="N366" s="437">
        <f>ROUND(N365/$J365,4)</f>
        <v>0.2054</v>
      </c>
      <c r="O366" s="437"/>
      <c r="P366" s="437">
        <f>ROUND(P365/$J365,4)</f>
        <v>2.2700000000000001E-2</v>
      </c>
      <c r="Q366" s="437"/>
      <c r="R366" s="437">
        <f>ROUND(R365/$J365,4)</f>
        <v>6.0299999999999999E-2</v>
      </c>
      <c r="S366" s="437"/>
      <c r="T366" s="437">
        <f>ROUND(T365/$J365,4)</f>
        <v>1.46E-2</v>
      </c>
      <c r="U366" s="437"/>
      <c r="V366" s="437">
        <f>ROUND(V365/$J365,4)</f>
        <v>1.6199999999999999E-2</v>
      </c>
      <c r="W366" s="437"/>
      <c r="X366" s="437">
        <f>ROUND(X365/$J365,4)</f>
        <v>3.5499999999999997E-2</v>
      </c>
      <c r="Z366" s="437">
        <f>SUM(L366:X366)</f>
        <v>1</v>
      </c>
      <c r="AA366" s="175"/>
      <c r="AC366" s="218" t="s">
        <v>310</v>
      </c>
      <c r="AD366" s="140"/>
      <c r="AE366" s="144"/>
      <c r="AG366" s="145"/>
      <c r="AI366" s="437">
        <f>ROUND(AI365/$J365,4)-0.0001</f>
        <v>0.29549999999999998</v>
      </c>
      <c r="AJ366" s="437"/>
      <c r="AK366" s="437">
        <f>ROUND(AK365/$J365,4)</f>
        <v>0.15240000000000001</v>
      </c>
      <c r="AL366" s="437"/>
      <c r="AM366" s="437">
        <f>ROUND(AM365/$J365,4)</f>
        <v>4.7800000000000002E-2</v>
      </c>
      <c r="AN366" s="437"/>
      <c r="AO366" s="437">
        <f>ROUND(AO365/$J365,4)</f>
        <v>0.18229999999999999</v>
      </c>
      <c r="AP366" s="437"/>
      <c r="AQ366" s="437">
        <f>ROUND(AQ365/$J365,4)</f>
        <v>4.9399999999999999E-2</v>
      </c>
      <c r="AR366" s="437"/>
      <c r="AS366" s="437">
        <f>ROUND(AS365/$J365,4)</f>
        <v>0.1767</v>
      </c>
      <c r="AT366" s="437"/>
      <c r="AU366" s="437">
        <f>ROUND(AU365/$J365,4)</f>
        <v>4.5499999999999999E-2</v>
      </c>
      <c r="AV366" s="437"/>
      <c r="AW366" s="437">
        <f>ROUND(AW365/$J365,4)</f>
        <v>1.47E-2</v>
      </c>
      <c r="AX366" s="437"/>
      <c r="AY366" s="437">
        <f>ROUND(AY365/$J365,4)</f>
        <v>3.5499999999999997E-2</v>
      </c>
      <c r="BA366" s="437">
        <f>SUM(AI366:AY366)</f>
        <v>0.99979999999999991</v>
      </c>
    </row>
    <row r="367" spans="1:56" x14ac:dyDescent="0.2">
      <c r="F367" s="218" t="s">
        <v>75</v>
      </c>
      <c r="J367" s="145">
        <f>+J173</f>
        <v>34128726.783648305</v>
      </c>
      <c r="L367" s="145">
        <f ca="1">+L173</f>
        <v>21631736.44898038</v>
      </c>
      <c r="M367" s="529"/>
      <c r="N367" s="145">
        <f ca="1">+N173</f>
        <v>7337506.2368435133</v>
      </c>
      <c r="O367" s="529"/>
      <c r="P367" s="145">
        <f ca="1">+P173</f>
        <v>876950.29374847759</v>
      </c>
      <c r="Q367" s="529"/>
      <c r="R367" s="145">
        <f ca="1">+R173</f>
        <v>2279558.9790832563</v>
      </c>
      <c r="S367" s="529"/>
      <c r="T367" s="145">
        <f ca="1">+T173</f>
        <v>598663.29311694123</v>
      </c>
      <c r="U367" s="529"/>
      <c r="V367" s="145">
        <f ca="1">+V173</f>
        <v>475611.48486029147</v>
      </c>
      <c r="W367" s="529"/>
      <c r="X367" s="145">
        <f ca="1">+X173</f>
        <v>928700.04701544438</v>
      </c>
      <c r="Z367" s="175">
        <f ca="1">SUM(L367:X367)-J367</f>
        <v>0</v>
      </c>
      <c r="AA367" s="175"/>
      <c r="AC367" s="218" t="s">
        <v>75</v>
      </c>
      <c r="AD367" s="140"/>
      <c r="AE367" s="144"/>
      <c r="AG367" s="145">
        <f>+AG173</f>
        <v>34128726.783648305</v>
      </c>
      <c r="AI367" s="145">
        <f ca="1">+AI173</f>
        <v>13695594.558637273</v>
      </c>
      <c r="AK367" s="145">
        <f ca="1">+AK173</f>
        <v>3973010.7067148136</v>
      </c>
      <c r="AM367" s="145">
        <f ca="1">+AM173</f>
        <v>1206264.994245579</v>
      </c>
      <c r="AO367" s="145">
        <f ca="1">+AO173</f>
        <v>4884337.5137374578</v>
      </c>
      <c r="AQ367" s="145">
        <f ca="1">+AQ173</f>
        <v>1264855.0295487614</v>
      </c>
      <c r="AS367" s="145">
        <f ca="1">+AS173</f>
        <v>6764642.2733112294</v>
      </c>
      <c r="AU367" s="145">
        <f ca="1">+AU173</f>
        <v>968532.25297401974</v>
      </c>
      <c r="AW367" s="145">
        <f ca="1">+AW173</f>
        <v>440497.10643615434</v>
      </c>
      <c r="AY367" s="145">
        <f ca="1">+AY173</f>
        <v>928645.8691915957</v>
      </c>
      <c r="BA367" s="175">
        <f ca="1">SUM(AI367:AY367)-AG367</f>
        <v>-2346.4788514226675</v>
      </c>
    </row>
    <row r="368" spans="1:56" x14ac:dyDescent="0.2">
      <c r="F368" s="218" t="s">
        <v>76</v>
      </c>
      <c r="L368" s="437">
        <f ca="1">+ROUND(L367/$J$367,4)-0</f>
        <v>0.63380000000000003</v>
      </c>
      <c r="M368" s="529"/>
      <c r="N368" s="437">
        <f ca="1">+ROUND(N367/$J$367,4)</f>
        <v>0.215</v>
      </c>
      <c r="O368" s="529"/>
      <c r="P368" s="437">
        <f ca="1">+ROUND(P367/$J$367,4)</f>
        <v>2.5700000000000001E-2</v>
      </c>
      <c r="Q368" s="529"/>
      <c r="R368" s="437">
        <f ca="1">+ROUND(R367/$J$367,4)</f>
        <v>6.6799999999999998E-2</v>
      </c>
      <c r="S368" s="529"/>
      <c r="T368" s="437">
        <f ca="1">+ROUND(T367/$J$367,4)</f>
        <v>1.7500000000000002E-2</v>
      </c>
      <c r="U368" s="529"/>
      <c r="V368" s="437">
        <f ca="1">+ROUND(V367/$J$367,4)</f>
        <v>1.3899999999999999E-2</v>
      </c>
      <c r="W368" s="529"/>
      <c r="X368" s="437">
        <f ca="1">+ROUND(X367/$J$367,4)</f>
        <v>2.7199999999999998E-2</v>
      </c>
      <c r="Z368" s="437">
        <f ca="1">SUM(L368:X368)</f>
        <v>0.99990000000000001</v>
      </c>
      <c r="AA368" s="175"/>
      <c r="AC368" s="218" t="s">
        <v>76</v>
      </c>
      <c r="AD368" s="140"/>
      <c r="AE368" s="144"/>
      <c r="AG368" s="145"/>
      <c r="AI368" s="437">
        <f ca="1">+ROUND(AI367/$AG$367,4)-0.0002</f>
        <v>0.40110000000000001</v>
      </c>
      <c r="AK368" s="437">
        <f ca="1">+ROUND(AK367/$AG$367,4)</f>
        <v>0.1164</v>
      </c>
      <c r="AM368" s="437">
        <f ca="1">+ROUND(AM367/$AG$367,4)</f>
        <v>3.5299999999999998E-2</v>
      </c>
      <c r="AO368" s="437">
        <f ca="1">+ROUND(AO367/$AG$367,4)</f>
        <v>0.1431</v>
      </c>
      <c r="AQ368" s="437">
        <f ca="1">+ROUND(AQ367/$AG$367,4)</f>
        <v>3.7100000000000001E-2</v>
      </c>
      <c r="AS368" s="437">
        <f ca="1">+ROUND(AS367/$AG$367,4)</f>
        <v>0.19819999999999999</v>
      </c>
      <c r="AU368" s="437">
        <f ca="1">+ROUND(AU367/$AG$367,4)+0.0001</f>
        <v>2.8500000000000001E-2</v>
      </c>
      <c r="AW368" s="437">
        <f ca="1">+ROUND(AW367/$AG$367,4)</f>
        <v>1.29E-2</v>
      </c>
      <c r="AY368" s="437">
        <f ca="1">+ROUND(AY367/$AG$367,4)</f>
        <v>2.7199999999999998E-2</v>
      </c>
      <c r="BA368" s="437">
        <f ca="1">SUM(AI368:AY368)</f>
        <v>0.99980000000000002</v>
      </c>
    </row>
    <row r="369" spans="6:53" x14ac:dyDescent="0.2">
      <c r="F369" s="218" t="s">
        <v>314</v>
      </c>
      <c r="J369" s="212">
        <f>+J24+J45+J46+J67+J68+J79+J80+J100+J117+J119+J137+J82+J83+J84+J101+J102+J103+J104+J105+J106+J36</f>
        <v>6880212.6971408213</v>
      </c>
      <c r="L369" s="212">
        <f>+L24+L45+L46+L67+L68+L79+L80+L100+L117+L119+L137+L82+L83+L84+L101+L102+L103+L104+L105+L106+L36</f>
        <v>4287692.5719324257</v>
      </c>
      <c r="M369" s="529"/>
      <c r="N369" s="212">
        <f>+N24+N45+N46+N67+N68+N79+N80+N100+N117+N119+N137+N82+N83+N84+N101+N102+N103+N104+N105+N106+N36</f>
        <v>1492599.1858497006</v>
      </c>
      <c r="O369" s="529"/>
      <c r="P369" s="212">
        <f>+P24+P45+P46+P67+P68+P79+P80+P100+P117+P119+P137+P82+P83+P84+P101+P102+P103+P104+P105+P106+P36</f>
        <v>171026.84373847186</v>
      </c>
      <c r="Q369" s="529"/>
      <c r="R369" s="212">
        <f>+R24+R45+R46+R67+R68+R79+R80+R100+R117+R119+R137+R82+R83+R84+R101+R102+R103+R104+R105+R106+R36</f>
        <v>456650.44071268721</v>
      </c>
      <c r="S369" s="529"/>
      <c r="T369" s="212">
        <f>+T24+T45+T46+T67+T68+T79+T80+T100+T117+T119+T137+T82+T83+T84+T101+T102+T103+T104+T105+T106+T36</f>
        <v>112008.51683589946</v>
      </c>
      <c r="U369" s="529"/>
      <c r="V369" s="212">
        <f>+V24+V45+V46+V67+V68+V79+V80+V100+V117+V119+V137+V82+V83+V84+V101+V102+V103+V104+V105+V106+V36</f>
        <v>97210.606901037856</v>
      </c>
      <c r="W369" s="529"/>
      <c r="X369" s="212">
        <f>+X24+X45+X46+X67+X68+X79+X80+X100+X117+X119+X137+X82+X83+X84+X101+X102+X103+X104+X105+X106+X36</f>
        <v>263024.53117059974</v>
      </c>
      <c r="Z369" s="212">
        <f>+Z24+Z45+Z46+Z67+Z68+Z79+Z80+Z100+Z117+Z119+Z137+Z82+Z83+Z84+Z101+Z102+Z103+Z104+Z105+Z106+Z36</f>
        <v>0</v>
      </c>
      <c r="AA369" s="175"/>
      <c r="AC369" s="218" t="s">
        <v>314</v>
      </c>
      <c r="AD369" s="140"/>
      <c r="AE369" s="144"/>
      <c r="AG369" s="212">
        <f>+AG24+AG45+AG46+AG67+AG68+AG79+AG80+AG100+AG117+AG119+AG137+AG82+AG83+AG84+AG101+AG102+AG103+AG104+AG105+AG106+AG36</f>
        <v>6880212.6971408213</v>
      </c>
      <c r="AI369" s="212">
        <f>+AI24+AI45+AI46+AI67+AI68+AI79+AI80+AI100+AI117+AI119+AI137+AI82+AI83+AI84+AI101+AI102+AI103+AI104+AI105+AI106+AI36</f>
        <v>2144760.7659864924</v>
      </c>
      <c r="AK369" s="212">
        <f>+AK24+AK45+AK46+AK67+AK68+AK79+AK80+AK100+AK117+AK119+AK137+AK82+AK83+AK84+AK101+AK102+AK103+AK104+AK105+AK106+AK36</f>
        <v>1254598.472054353</v>
      </c>
      <c r="AM369" s="212">
        <f>+AM24+AM45+AM46+AM67+AM68+AM79+AM80+AM100+AM117+AM119+AM137+AM82+AM83+AM84+AM101+AM102+AM103+AM104+AM105+AM106+AM36</f>
        <v>315540.68018540379</v>
      </c>
      <c r="AO369" s="212">
        <f>+AO24+AO45+AO46+AO67+AO68+AO79+AO80+AO100+AO117+AO119+AO137+AO82+AO83+AO84+AO101+AO102+AO103+AO104+AO105+AO106+AO36</f>
        <v>1767500.6866589871</v>
      </c>
      <c r="AQ369" s="212">
        <f>+AQ24+AQ45+AQ46+AQ67+AQ68+AQ79+AQ80+AQ100+AQ117+AQ119+AQ137+AQ82+AQ83+AQ84+AQ101+AQ102+AQ103+AQ104+AQ105+AQ106+AQ36</f>
        <v>378048.34898786619</v>
      </c>
      <c r="AS369" s="212">
        <f>+AS24+AS45+AS46+AS67+AS68+AS79+AS80+AS100+AS117+AS119+AS137+AS82+AS83+AS84+AS101+AS102+AS103+AS104+AS105+AS106+AS36</f>
        <v>641419.2576537854</v>
      </c>
      <c r="AU369" s="212">
        <f>+AU24+AU45+AU46+AU67+AU68+AU79+AU80+AU100+AU117+AU119+AU137+AU82+AU83+AU84+AU101+AU102+AU103+AU104+AU105+AU106+AU36</f>
        <v>23901.736373505704</v>
      </c>
      <c r="AW369" s="212">
        <f>+AW24+AW45+AW46+AW67+AW68+AW79+AW80+AW100+AW117+AW119+AW137+AW82+AW83+AW84+AW101+AW102+AW103+AW104+AW105+AW106+AW36</f>
        <v>91353.189145721044</v>
      </c>
      <c r="AY369" s="212">
        <f>+AY24+AY45+AY46+AY67+AY68+AY79+AY80+AY100+AY117+AY119+AY137+AY82+AY83+AY84+AY101+AY102+AY103+AY104+AY105+AY106+AY36</f>
        <v>263025.35242275108</v>
      </c>
      <c r="BA369" s="175">
        <f>SUM(AI369:AY369)-AG369</f>
        <v>-64.207671955227852</v>
      </c>
    </row>
    <row r="370" spans="6:53" x14ac:dyDescent="0.2">
      <c r="F370" s="218" t="s">
        <v>315</v>
      </c>
      <c r="L370" s="437">
        <f>ROUND(L369/$J369,4)</f>
        <v>0.62319999999999998</v>
      </c>
      <c r="M370" s="437"/>
      <c r="N370" s="437">
        <f>ROUND(N369/$J369,4)</f>
        <v>0.21690000000000001</v>
      </c>
      <c r="O370" s="437"/>
      <c r="P370" s="437">
        <f>ROUND(P369/$J369,4)</f>
        <v>2.4899999999999999E-2</v>
      </c>
      <c r="Q370" s="437"/>
      <c r="R370" s="437">
        <f>ROUND(R369/$J369,4)</f>
        <v>6.6400000000000001E-2</v>
      </c>
      <c r="S370" s="437"/>
      <c r="T370" s="437">
        <f>ROUND(T369/$J369,4)</f>
        <v>1.6299999999999999E-2</v>
      </c>
      <c r="U370" s="437"/>
      <c r="V370" s="437">
        <f>ROUND(V369/$J369,4)</f>
        <v>1.41E-2</v>
      </c>
      <c r="W370" s="437"/>
      <c r="X370" s="437">
        <f>ROUND(X369/$J369,4)</f>
        <v>3.8199999999999998E-2</v>
      </c>
      <c r="Z370" s="437">
        <f>SUM(L370:X370)</f>
        <v>1</v>
      </c>
      <c r="AA370" s="175"/>
      <c r="AC370" s="218" t="s">
        <v>315</v>
      </c>
      <c r="AD370" s="140"/>
      <c r="AE370" s="144"/>
      <c r="AG370" s="145"/>
      <c r="AI370" s="437">
        <f>ROUND(AI369/$J369,4)</f>
        <v>0.31169999999999998</v>
      </c>
      <c r="AJ370" s="437"/>
      <c r="AK370" s="437">
        <f>ROUND(AK369/$J369,4)</f>
        <v>0.18229999999999999</v>
      </c>
      <c r="AL370" s="437"/>
      <c r="AM370" s="437">
        <f>ROUND(AM369/$J369,4)</f>
        <v>4.5900000000000003E-2</v>
      </c>
      <c r="AN370" s="437"/>
      <c r="AO370" s="437">
        <f>ROUND(AO369/$J369,4)</f>
        <v>0.25690000000000002</v>
      </c>
      <c r="AP370" s="437"/>
      <c r="AQ370" s="437">
        <f>ROUND(AQ369/$J369,4)</f>
        <v>5.4899999999999997E-2</v>
      </c>
      <c r="AR370" s="437"/>
      <c r="AS370" s="437">
        <f>ROUND(AS369/$J369,4)</f>
        <v>9.3200000000000005E-2</v>
      </c>
      <c r="AT370" s="437"/>
      <c r="AU370" s="437">
        <f>ROUND(AU369/$J369,4)</f>
        <v>3.5000000000000001E-3</v>
      </c>
      <c r="AV370" s="437"/>
      <c r="AW370" s="437">
        <f>ROUND(AW369/$J369,4)</f>
        <v>1.3299999999999999E-2</v>
      </c>
      <c r="AX370" s="437"/>
      <c r="AY370" s="437">
        <f>ROUND(AY369/$J369,4)</f>
        <v>3.8199999999999998E-2</v>
      </c>
      <c r="BA370" s="437">
        <f>SUM(AI370:AY370)</f>
        <v>0.99990000000000001</v>
      </c>
    </row>
    <row r="371" spans="6:53" x14ac:dyDescent="0.2">
      <c r="F371" s="218" t="s">
        <v>316</v>
      </c>
      <c r="J371" s="145">
        <f>+SUM(J281:J326)+SUM(J333:J341)</f>
        <v>431011553.10505271</v>
      </c>
      <c r="L371" s="145">
        <f>+SUM(L281:L326)+SUM(L333:L341)</f>
        <v>221816019.62224755</v>
      </c>
      <c r="M371" s="529"/>
      <c r="N371" s="145">
        <f>+SUM(N281:N326)+SUM(N333:N341)</f>
        <v>112074524.5105101</v>
      </c>
      <c r="O371" s="529"/>
      <c r="P371" s="145">
        <f>+SUM(P281:P326)+SUM(P333:P341)</f>
        <v>14658904.150040776</v>
      </c>
      <c r="Q371" s="529"/>
      <c r="R371" s="145">
        <f>+SUM(R281:R326)+SUM(R333:R341)</f>
        <v>37036207.420502722</v>
      </c>
      <c r="S371" s="529"/>
      <c r="T371" s="145">
        <f>+SUM(T281:T326)+SUM(T333:T341)</f>
        <v>9000463.4806010183</v>
      </c>
      <c r="U371" s="529"/>
      <c r="V371" s="145">
        <f>+SUM(V281:V326)+SUM(V333:V341)</f>
        <v>12605829.754313206</v>
      </c>
      <c r="W371" s="529"/>
      <c r="X371" s="145">
        <f>+SUM(X281:X326)+SUM(X333:X341)</f>
        <v>23819604.166837383</v>
      </c>
      <c r="Z371" s="175">
        <f>SUM(L371:X371)-J371</f>
        <v>0</v>
      </c>
      <c r="AA371" s="175"/>
      <c r="AC371" s="218" t="s">
        <v>316</v>
      </c>
      <c r="AD371" s="140"/>
      <c r="AE371" s="144"/>
      <c r="AG371" s="145">
        <f>+SUM(AG281:AG326)+SUM(AG333:AG341)</f>
        <v>431011553.10505271</v>
      </c>
      <c r="AI371" s="145">
        <f>+SUM(AI281:AI326)+SUM(AI333:AI341)</f>
        <v>185713766.94740209</v>
      </c>
      <c r="AK371" s="145">
        <f>+SUM(AK281:AK326)+SUM(AK333:AK341)</f>
        <v>99744667.091325581</v>
      </c>
      <c r="AM371" s="145">
        <f>+SUM(AM281:AM326)+SUM(AM333:AM341)</f>
        <v>47250432.057553962</v>
      </c>
      <c r="AO371" s="145">
        <f>+SUM(AO281:AO326)+SUM(AO333:AO341)</f>
        <v>43658342.906991221</v>
      </c>
      <c r="AQ371" s="145">
        <f>+SUM(AQ281:AQ326)+SUM(AQ333:AQ341)</f>
        <v>9560124.458673656</v>
      </c>
      <c r="AS371" s="145">
        <f>+SUM(AS281:AS326)+SUM(AS333:AS341)</f>
        <v>7867711.6670106146</v>
      </c>
      <c r="AU371" s="145">
        <f>+SUM(AU281:AU326)+SUM(AU333:AU341)</f>
        <v>1234351.1071662721</v>
      </c>
      <c r="AW371" s="145">
        <f>+SUM(AW281:AW326)+SUM(AW333:AW341)</f>
        <v>12386828.277501093</v>
      </c>
      <c r="AY371" s="145">
        <f>+SUM(AY281:AY326)+SUM(AY333:AY341)</f>
        <v>23590738.427276026</v>
      </c>
      <c r="BA371" s="175">
        <f>SUM(AI371:AY371)-AG371</f>
        <v>-4590.1641522049904</v>
      </c>
    </row>
    <row r="372" spans="6:53" x14ac:dyDescent="0.2">
      <c r="F372" s="218" t="s">
        <v>317</v>
      </c>
      <c r="L372" s="437">
        <f>ROUND(L371/$J371,4)</f>
        <v>0.51459999999999995</v>
      </c>
      <c r="M372" s="437"/>
      <c r="N372" s="437">
        <f>ROUND(N371/$J371,4)</f>
        <v>0.26</v>
      </c>
      <c r="O372" s="437"/>
      <c r="P372" s="437">
        <f>ROUND(P371/$J371,4)</f>
        <v>3.4000000000000002E-2</v>
      </c>
      <c r="Q372" s="437"/>
      <c r="R372" s="437">
        <f>ROUND(R371/$J371,4)</f>
        <v>8.5900000000000004E-2</v>
      </c>
      <c r="S372" s="437"/>
      <c r="T372" s="437">
        <f>ROUND(T371/$J371,4)</f>
        <v>2.0899999999999998E-2</v>
      </c>
      <c r="U372" s="437"/>
      <c r="V372" s="437">
        <f>ROUND(V371/$J371,4)</f>
        <v>2.92E-2</v>
      </c>
      <c r="W372" s="437"/>
      <c r="X372" s="437">
        <f>ROUND(X371/$J371,4)</f>
        <v>5.5300000000000002E-2</v>
      </c>
      <c r="Z372" s="437">
        <f>SUM(L372:X372)</f>
        <v>0.99990000000000001</v>
      </c>
      <c r="AA372" s="175"/>
      <c r="AC372" s="218" t="s">
        <v>317</v>
      </c>
      <c r="AD372" s="140"/>
      <c r="AE372" s="144"/>
      <c r="AG372" s="145"/>
      <c r="AI372" s="437">
        <f>ROUND(AI371/$J371,4)</f>
        <v>0.43090000000000001</v>
      </c>
      <c r="AJ372" s="437"/>
      <c r="AK372" s="437">
        <f>ROUND(AK371/$J371,4)</f>
        <v>0.23139999999999999</v>
      </c>
      <c r="AL372" s="437"/>
      <c r="AM372" s="437">
        <f>ROUND(AM371/$J371,4)</f>
        <v>0.1096</v>
      </c>
      <c r="AN372" s="437"/>
      <c r="AO372" s="437">
        <f>ROUND(AO371/$J371,4)</f>
        <v>0.1013</v>
      </c>
      <c r="AP372" s="437"/>
      <c r="AQ372" s="437">
        <f>ROUND(AQ371/$J371,4)</f>
        <v>2.2200000000000001E-2</v>
      </c>
      <c r="AR372" s="437"/>
      <c r="AS372" s="437">
        <f>ROUND(AS371/$J371,4)</f>
        <v>1.83E-2</v>
      </c>
      <c r="AT372" s="437"/>
      <c r="AU372" s="437">
        <f>ROUND(AU371/$J371,4)</f>
        <v>2.8999999999999998E-3</v>
      </c>
      <c r="AV372" s="437"/>
      <c r="AW372" s="437">
        <f>ROUND(AW371/$J371,4)</f>
        <v>2.87E-2</v>
      </c>
      <c r="AX372" s="437"/>
      <c r="AY372" s="437">
        <f>ROUND(AY371/$J371,4)</f>
        <v>5.4699999999999999E-2</v>
      </c>
      <c r="BA372" s="437">
        <f>SUM(AI372:AY372)</f>
        <v>0.99999999999999989</v>
      </c>
    </row>
    <row r="373" spans="6:53" x14ac:dyDescent="0.2">
      <c r="F373" s="218" t="s">
        <v>319</v>
      </c>
      <c r="J373" s="145">
        <f>+J353</f>
        <v>378126458.46646518</v>
      </c>
      <c r="L373" s="145">
        <f ca="1">+L353</f>
        <v>194112160.80196661</v>
      </c>
      <c r="M373" s="529"/>
      <c r="N373" s="145">
        <f ca="1">+N353</f>
        <v>98373822.631877363</v>
      </c>
      <c r="O373" s="529"/>
      <c r="P373" s="145">
        <f ca="1">+P353</f>
        <v>12868433.416628802</v>
      </c>
      <c r="Q373" s="529"/>
      <c r="R373" s="145">
        <f ca="1">+R353</f>
        <v>32488449.887948062</v>
      </c>
      <c r="S373" s="529"/>
      <c r="T373" s="145">
        <f ca="1">+T353</f>
        <v>7918239.0794545421</v>
      </c>
      <c r="U373" s="529"/>
      <c r="V373" s="145">
        <f ca="1">+V353</f>
        <v>11300620.760266451</v>
      </c>
      <c r="W373" s="529"/>
      <c r="X373" s="145">
        <f ca="1">+X353</f>
        <v>21064731.888323501</v>
      </c>
      <c r="Z373" s="175">
        <f ca="1">SUM(L373:X373)-J373</f>
        <v>0</v>
      </c>
      <c r="AA373" s="175"/>
      <c r="AC373" s="218" t="s">
        <v>319</v>
      </c>
      <c r="AD373" s="140"/>
      <c r="AE373" s="144"/>
      <c r="AG373" s="145">
        <f>+AG353</f>
        <v>378126458.46646518</v>
      </c>
      <c r="AI373" s="145">
        <f t="shared" ref="AI373" ca="1" si="319">+AI353</f>
        <v>162670619.40833476</v>
      </c>
      <c r="AK373" s="145">
        <f t="shared" ref="AK373" ca="1" si="320">+AK353</f>
        <v>86682046.325756446</v>
      </c>
      <c r="AM373" s="145">
        <f t="shared" ref="AM373" ca="1" si="321">+AM353</f>
        <v>43013026.059464782</v>
      </c>
      <c r="AO373" s="145">
        <f t="shared" ref="AO373" ca="1" si="322">+AO353</f>
        <v>37674984.292002313</v>
      </c>
      <c r="AQ373" s="145">
        <f t="shared" ref="AQ373" ca="1" si="323">+AQ353</f>
        <v>8248865.2162970155</v>
      </c>
      <c r="AS373" s="145">
        <f t="shared" ref="AS373" ca="1" si="324">+AS353</f>
        <v>6786808.7780244648</v>
      </c>
      <c r="AU373" s="145">
        <f t="shared" ref="AU373" ca="1" si="325">+AU353</f>
        <v>1063060.4854143686</v>
      </c>
      <c r="AW373" s="145">
        <f t="shared" ref="AW373" ca="1" si="326">+AW353</f>
        <v>11111152.149273634</v>
      </c>
      <c r="AY373" s="145">
        <f t="shared" ref="AY373" ca="1" si="327">+AY353</f>
        <v>20871305.587745294</v>
      </c>
      <c r="BA373" s="175">
        <f ca="1">SUM(AI373:AY373)-AG373</f>
        <v>-4590.1641520857811</v>
      </c>
    </row>
    <row r="374" spans="6:53" x14ac:dyDescent="0.2">
      <c r="F374" s="218" t="s">
        <v>318</v>
      </c>
      <c r="L374" s="437">
        <f ca="1">ROUND(L373/$J373,4)+0</f>
        <v>0.51339999999999997</v>
      </c>
      <c r="M374" s="437"/>
      <c r="N374" s="437">
        <f ca="1">ROUND(N373/$J373,4)</f>
        <v>0.26019999999999999</v>
      </c>
      <c r="O374" s="437"/>
      <c r="P374" s="437">
        <f ca="1">ROUND(P373/$J373,4)</f>
        <v>3.4000000000000002E-2</v>
      </c>
      <c r="Q374" s="437"/>
      <c r="R374" s="437">
        <f ca="1">ROUND(R373/$J373,4)</f>
        <v>8.5900000000000004E-2</v>
      </c>
      <c r="S374" s="437"/>
      <c r="T374" s="437">
        <f ca="1">ROUND(T373/$J373,4)</f>
        <v>2.0899999999999998E-2</v>
      </c>
      <c r="U374" s="437"/>
      <c r="V374" s="437">
        <f ca="1">ROUND(V373/$J373,4)</f>
        <v>2.9899999999999999E-2</v>
      </c>
      <c r="W374" s="437"/>
      <c r="X374" s="437">
        <f ca="1">ROUND(X373/$J373,4)</f>
        <v>5.57E-2</v>
      </c>
      <c r="Z374" s="437">
        <f ca="1">SUM(L374:X374)</f>
        <v>1</v>
      </c>
      <c r="AA374" s="175"/>
      <c r="AC374" s="218" t="s">
        <v>318</v>
      </c>
      <c r="AD374" s="140"/>
      <c r="AE374" s="144"/>
      <c r="AG374" s="145"/>
      <c r="AI374" s="437">
        <f ca="1">ROUND(AI373/$J373,4)-0.0001</f>
        <v>0.43010000000000004</v>
      </c>
      <c r="AJ374" s="437"/>
      <c r="AK374" s="437">
        <f ca="1">ROUND(AK373/$J373,4)</f>
        <v>0.22919999999999999</v>
      </c>
      <c r="AL374" s="437"/>
      <c r="AM374" s="437">
        <f ca="1">ROUND(AM373/$J373,4)</f>
        <v>0.1138</v>
      </c>
      <c r="AN374" s="437"/>
      <c r="AO374" s="437">
        <f ca="1">ROUND(AO373/$J373,4)</f>
        <v>9.9599999999999994E-2</v>
      </c>
      <c r="AP374" s="437"/>
      <c r="AQ374" s="437">
        <f ca="1">ROUND(AQ373/$J373,4)</f>
        <v>2.18E-2</v>
      </c>
      <c r="AR374" s="437"/>
      <c r="AS374" s="437">
        <f ca="1">ROUND(AS373/$J373,4)-0.0001</f>
        <v>1.78E-2</v>
      </c>
      <c r="AT374" s="437"/>
      <c r="AU374" s="437">
        <f ca="1">ROUND(AU373/$J373,4)</f>
        <v>2.8E-3</v>
      </c>
      <c r="AV374" s="437"/>
      <c r="AW374" s="437">
        <f ca="1">ROUND(AW373/$J373,4)</f>
        <v>2.9399999999999999E-2</v>
      </c>
      <c r="AX374" s="437"/>
      <c r="AY374" s="437">
        <f ca="1">ROUND(AY373/$J373,4)</f>
        <v>5.5199999999999999E-2</v>
      </c>
      <c r="BA374" s="437">
        <f ca="1">SUM(AI374:AY374)</f>
        <v>0.99970000000000014</v>
      </c>
    </row>
    <row r="375" spans="6:53" x14ac:dyDescent="0.2">
      <c r="F375" s="218" t="s">
        <v>226</v>
      </c>
      <c r="J375" s="145">
        <f>+J29+J40+J75+J114+J132+SUM(J137:J149)+SUM(J151:J166)+J236+J243+J246+J247+J250+J256+J259+J248</f>
        <v>86008112.651500165</v>
      </c>
      <c r="L375" s="145">
        <f ca="1">+L29+L40+L75+L114+L132+SUM(L137:L149)+SUM(L151:L166)+L236+L243+L246+L247+L250+L256+L259+L248</f>
        <v>48979580.543606848</v>
      </c>
      <c r="M375" s="529"/>
      <c r="N375" s="145">
        <f ca="1">+N29+N40+N75+N114+N132+SUM(N137:N149)+SUM(N151:N166)+N236+N243+N246+N247+N250+N256+N259+N248</f>
        <v>20600558.629510872</v>
      </c>
      <c r="O375" s="529"/>
      <c r="P375" s="145">
        <f ca="1">+P29+P40+P75+P114+P132+SUM(P137:P149)+SUM(P151:P166)+P236+P243+P246+P247+P250+P256+P259+P248</f>
        <v>2589814.2890978451</v>
      </c>
      <c r="Q375" s="529"/>
      <c r="R375" s="145">
        <f ca="1">+R29+R40+R75+R114+R132+SUM(R137:R149)+SUM(R151:R166)+R236+R243+R246+R247+R250+R256+R259+R248</f>
        <v>6625891.5900025703</v>
      </c>
      <c r="S375" s="529"/>
      <c r="T375" s="145">
        <f ca="1">+T29+T40+T75+T114+T132+SUM(T137:T149)+SUM(T151:T166)+T236+T243+T246+T247+T250+T256+T259+T248</f>
        <v>1660319.4967910266</v>
      </c>
      <c r="U375" s="529"/>
      <c r="V375" s="145">
        <f ca="1">+V29+V40+V75+V114+V132+SUM(V137:V149)+SUM(V151:V166)+V236+V243+V246+V247+V250+V256+V259+V248</f>
        <v>1952912.0248005255</v>
      </c>
      <c r="W375" s="529"/>
      <c r="X375" s="145">
        <f ca="1">+X29+X40+X75+X114+X132+SUM(X137:X149)+SUM(X151:X166)+X236+X243+X246+X247+X250+X256+X259+X248</f>
        <v>3599036.0776904779</v>
      </c>
      <c r="Z375" s="175">
        <f ca="1">SUM(L375:X375)-J375</f>
        <v>0</v>
      </c>
      <c r="AA375" s="175"/>
      <c r="AC375" s="218" t="s">
        <v>226</v>
      </c>
      <c r="AD375" s="140"/>
      <c r="AE375" s="144"/>
      <c r="AG375" s="145">
        <f>+AG29+AG40+AG75+AG114+AG132+SUM(AG137:AG149)+SUM(AG151:AG166)+AG236+AG243+AG246+AG247+AG250+AG256+AG259+AG248</f>
        <v>86008112.651500165</v>
      </c>
      <c r="AI375" s="145">
        <f ca="1">+AI29+AI40+AI75+AI114+AI132+SUM(AI137:AI149)+SUM(AI151:AI166)+AI236+AI243+AI246+AI247+AI250+AI256+AI259+AI248</f>
        <v>35390515.541080855</v>
      </c>
      <c r="AK375" s="145">
        <f ca="1">+AK29+AK40+AK75+AK114+AK132+SUM(AK137:AK149)+SUM(AK151:AK166)+AK236+AK243+AK246+AK247+AK250+AK256+AK259+AK248</f>
        <v>15648099.437074386</v>
      </c>
      <c r="AM375" s="145">
        <f ca="1">+AM29+AM40+AM75+AM114+AM132+SUM(AM137:AM149)+SUM(AM151:AM166)+AM236+AM243+AM246+AM247+AM250+AM256+AM259+AM248</f>
        <v>6663054.048165557</v>
      </c>
      <c r="AO375" s="145">
        <f ca="1">+AO29+AO40+AO75+AO114+AO132+SUM(AO137:AO149)+SUM(AO151:AO166)+AO236+AO243+AO246+AO247+AO250+AO256+AO259+AO248</f>
        <v>10408564.430804286</v>
      </c>
      <c r="AQ375" s="145">
        <f ca="1">+AQ29+AQ40+AQ75+AQ114+AQ132+SUM(AQ137:AQ149)+SUM(AQ151:AQ166)+AQ236+AQ243+AQ246+AQ247+AQ250+AQ256+AQ259+AQ248</f>
        <v>3054754.77535279</v>
      </c>
      <c r="AS375" s="145">
        <f ca="1">+AS29+AS40+AS75+AS114+AS132+SUM(AS137:AS149)+SUM(AS151:AS166)+AS236+AS243+AS246+AS247+AS250+AS256+AS259+AS248</f>
        <v>8192955.9328118982</v>
      </c>
      <c r="AU375" s="145">
        <f ca="1">+AU29+AU40+AU75+AU114+AU132+SUM(AU137:AU149)+SUM(AU151:AU166)+AU236+AU243+AU246+AU247+AU250+AU256+AU259+AU248</f>
        <v>1168242.864356922</v>
      </c>
      <c r="AW375" s="145">
        <f ca="1">+AW29+AW40+AW75+AW114+AW132+SUM(AW137:AW149)+SUM(AW151:AW166)+AW236+AW243+AW246+AW247+AW250+AW256+AW259+AW248</f>
        <v>1891970.8794903411</v>
      </c>
      <c r="AY375" s="145">
        <f ca="1">+AY29+AY40+AY75+AY114+AY132+SUM(AY137:AY149)+SUM(AY151:AY166)+AY236+AY243+AY246+AY247+AY250+AY256+AY259+AY248</f>
        <v>3575613.257103174</v>
      </c>
      <c r="BA375" s="175">
        <f ca="1">SUM(AI375:AY375)-AG375</f>
        <v>-14341.485259950161</v>
      </c>
    </row>
    <row r="376" spans="6:53" x14ac:dyDescent="0.2">
      <c r="F376" s="218" t="s">
        <v>227</v>
      </c>
      <c r="L376" s="437">
        <f ca="1">ROUND(L375/$J375,4)+0</f>
        <v>0.56950000000000001</v>
      </c>
      <c r="M376" s="437"/>
      <c r="N376" s="437">
        <f ca="1">ROUND(N375/$J375,4)</f>
        <v>0.23949999999999999</v>
      </c>
      <c r="O376" s="437"/>
      <c r="P376" s="437">
        <f ca="1">ROUND(P375/$J375,4)</f>
        <v>3.0099999999999998E-2</v>
      </c>
      <c r="Q376" s="437"/>
      <c r="R376" s="437">
        <f ca="1">ROUND(R375/$J375,4)</f>
        <v>7.6999999999999999E-2</v>
      </c>
      <c r="S376" s="437"/>
      <c r="T376" s="437">
        <f ca="1">ROUND(T375/$J375,4)</f>
        <v>1.9300000000000001E-2</v>
      </c>
      <c r="U376" s="437"/>
      <c r="V376" s="437">
        <f ca="1">ROUND(V375/$J375,4)</f>
        <v>2.2700000000000001E-2</v>
      </c>
      <c r="W376" s="437"/>
      <c r="X376" s="437">
        <f ca="1">ROUND(X375/$J375,4)</f>
        <v>4.1799999999999997E-2</v>
      </c>
      <c r="Z376" s="437">
        <f ca="1">SUM(L376:X376)</f>
        <v>0.9998999999999999</v>
      </c>
      <c r="AA376" s="175"/>
      <c r="AC376" s="218" t="s">
        <v>227</v>
      </c>
      <c r="AD376" s="140"/>
      <c r="AE376" s="144"/>
      <c r="AG376" s="145"/>
      <c r="AI376" s="437">
        <f ca="1">ROUND(AI375/$J375,4)+0.0001</f>
        <v>0.41159999999999997</v>
      </c>
      <c r="AJ376" s="437"/>
      <c r="AK376" s="437">
        <f ca="1">ROUND(AK375/$J375,4)</f>
        <v>0.18190000000000001</v>
      </c>
      <c r="AL376" s="437"/>
      <c r="AM376" s="437">
        <f ca="1">ROUND(AM375/$J375,4)</f>
        <v>7.7499999999999999E-2</v>
      </c>
      <c r="AN376" s="437"/>
      <c r="AO376" s="437">
        <f ca="1">ROUND(AO375/$J375,4)</f>
        <v>0.121</v>
      </c>
      <c r="AP376" s="437"/>
      <c r="AQ376" s="437">
        <f ca="1">ROUND(AQ375/$J375,4)</f>
        <v>3.5499999999999997E-2</v>
      </c>
      <c r="AR376" s="437"/>
      <c r="AS376" s="437">
        <f ca="1">ROUND(AS375/$J375,4)</f>
        <v>9.5299999999999996E-2</v>
      </c>
      <c r="AT376" s="437"/>
      <c r="AU376" s="437">
        <f ca="1">ROUND(AU375/$J375,4)</f>
        <v>1.3599999999999999E-2</v>
      </c>
      <c r="AV376" s="437"/>
      <c r="AW376" s="437">
        <f ca="1">ROUND(AW375/$J375,4)</f>
        <v>2.1999999999999999E-2</v>
      </c>
      <c r="AX376" s="437"/>
      <c r="AY376" s="437">
        <f ca="1">ROUND(AY375/$J375,4)</f>
        <v>4.1599999999999998E-2</v>
      </c>
      <c r="BA376" s="437">
        <f ca="1">SUM(AI376:AY376)</f>
        <v>0.99999999999999978</v>
      </c>
    </row>
    <row r="377" spans="6:53" x14ac:dyDescent="0.2">
      <c r="F377" s="218"/>
      <c r="L377" s="437"/>
      <c r="M377" s="437"/>
      <c r="N377" s="437"/>
      <c r="O377" s="437"/>
      <c r="P377" s="437"/>
      <c r="Q377" s="437"/>
      <c r="R377" s="437"/>
      <c r="S377" s="437"/>
      <c r="T377" s="437"/>
      <c r="U377" s="437"/>
      <c r="V377" s="437"/>
      <c r="W377" s="437"/>
      <c r="X377" s="437"/>
      <c r="Z377" s="437"/>
      <c r="AA377" s="175"/>
    </row>
    <row r="378" spans="6:53" x14ac:dyDescent="0.2">
      <c r="F378" s="218"/>
      <c r="L378" s="437"/>
      <c r="M378" s="437"/>
      <c r="N378" s="437"/>
      <c r="O378" s="437"/>
      <c r="P378" s="437"/>
      <c r="Q378" s="437"/>
      <c r="R378" s="437"/>
      <c r="S378" s="437"/>
      <c r="T378" s="437"/>
      <c r="U378" s="437"/>
      <c r="V378" s="437"/>
      <c r="W378" s="437"/>
      <c r="X378" s="437"/>
      <c r="Z378" s="437"/>
      <c r="AA378" s="175"/>
    </row>
    <row r="379" spans="6:53" x14ac:dyDescent="0.2">
      <c r="F379" s="218"/>
      <c r="L379" s="437"/>
      <c r="M379" s="437"/>
      <c r="N379" s="437"/>
      <c r="O379" s="437"/>
      <c r="P379" s="437"/>
      <c r="Q379" s="437"/>
      <c r="R379" s="437"/>
      <c r="S379" s="437"/>
      <c r="T379" s="437"/>
      <c r="U379" s="437"/>
      <c r="V379" s="437"/>
      <c r="W379" s="437"/>
      <c r="X379" s="437"/>
      <c r="Z379" s="437"/>
      <c r="AA379" s="175"/>
    </row>
    <row r="380" spans="6:53" x14ac:dyDescent="0.2">
      <c r="AB380" s="142"/>
      <c r="AC380" s="142"/>
      <c r="AD380" s="142"/>
      <c r="AE380" s="142"/>
      <c r="AF380" s="142"/>
      <c r="AG380" s="142"/>
      <c r="AH380" s="142"/>
      <c r="AI380" s="142"/>
      <c r="AJ380" s="142"/>
      <c r="AK380" s="142"/>
      <c r="AL380" s="142"/>
      <c r="AM380" s="142"/>
      <c r="AN380" s="142"/>
      <c r="AO380" s="142"/>
    </row>
    <row r="381" spans="6:53" x14ac:dyDescent="0.2">
      <c r="L381" s="563" t="s">
        <v>366</v>
      </c>
      <c r="AB381" s="142"/>
      <c r="AC381" s="142"/>
      <c r="AD381" s="142"/>
      <c r="AE381" s="142"/>
      <c r="AF381" s="142"/>
      <c r="AG381" s="142"/>
      <c r="AH381" s="142"/>
      <c r="AI381" s="142"/>
      <c r="AJ381" s="142"/>
      <c r="AK381" s="142"/>
      <c r="AL381" s="142"/>
      <c r="AM381" s="142"/>
      <c r="AN381" s="142"/>
      <c r="AO381" s="142"/>
    </row>
    <row r="382" spans="6:53" x14ac:dyDescent="0.2">
      <c r="K382" s="142"/>
      <c r="L382" s="147">
        <v>2</v>
      </c>
      <c r="M382" s="142"/>
      <c r="N382" s="142">
        <v>4</v>
      </c>
      <c r="O382" s="142"/>
      <c r="P382" s="142">
        <v>6</v>
      </c>
      <c r="Q382" s="142"/>
      <c r="R382" s="142">
        <v>8</v>
      </c>
      <c r="S382" s="142"/>
      <c r="T382" s="142">
        <v>10</v>
      </c>
      <c r="U382" s="142"/>
      <c r="V382" s="142">
        <v>12</v>
      </c>
      <c r="W382" s="142"/>
      <c r="X382" s="142">
        <v>14</v>
      </c>
      <c r="Y382" s="142"/>
      <c r="Z382" s="142">
        <v>20</v>
      </c>
      <c r="AI382" s="529">
        <v>2</v>
      </c>
      <c r="AK382" s="529">
        <v>4</v>
      </c>
      <c r="AM382" s="529">
        <v>6</v>
      </c>
      <c r="AO382" s="529">
        <v>8</v>
      </c>
      <c r="AQ382" s="529">
        <v>10</v>
      </c>
      <c r="AS382" s="529">
        <v>12</v>
      </c>
      <c r="AU382" s="529">
        <v>14</v>
      </c>
      <c r="AW382" s="529">
        <v>16</v>
      </c>
      <c r="AY382" s="529">
        <v>18</v>
      </c>
    </row>
    <row r="383" spans="6:53" x14ac:dyDescent="0.2">
      <c r="L383" s="544" t="s">
        <v>385</v>
      </c>
      <c r="M383" s="142"/>
      <c r="N383" s="528" t="s">
        <v>386</v>
      </c>
      <c r="O383" s="142"/>
      <c r="P383" s="528" t="s">
        <v>387</v>
      </c>
      <c r="Q383" s="142"/>
      <c r="R383" s="528" t="s">
        <v>370</v>
      </c>
      <c r="S383" s="142"/>
      <c r="T383" s="528" t="s">
        <v>505</v>
      </c>
      <c r="U383" s="534"/>
      <c r="V383" s="528" t="s">
        <v>184</v>
      </c>
      <c r="W383" s="142"/>
      <c r="X383" s="528" t="s">
        <v>185</v>
      </c>
      <c r="Y383" s="142"/>
      <c r="Z383" s="528" t="s">
        <v>507</v>
      </c>
      <c r="AI383" s="142"/>
      <c r="AJ383" s="142"/>
      <c r="AK383" s="142"/>
      <c r="AL383" s="142"/>
      <c r="AM383" s="142"/>
      <c r="AN383" s="142"/>
      <c r="AO383" s="142"/>
      <c r="AP383" s="142"/>
      <c r="AQ383" s="142"/>
      <c r="AR383" s="142"/>
      <c r="AS383" s="142" t="s">
        <v>353</v>
      </c>
      <c r="AT383" s="142"/>
      <c r="AU383" s="142" t="s">
        <v>600</v>
      </c>
      <c r="AV383" s="142"/>
      <c r="AW383" s="142" t="s">
        <v>733</v>
      </c>
      <c r="AX383" s="142"/>
      <c r="AY383" s="142" t="s">
        <v>185</v>
      </c>
    </row>
    <row r="384" spans="6:53" x14ac:dyDescent="0.2">
      <c r="L384" s="147"/>
      <c r="M384" s="529"/>
      <c r="N384" s="529"/>
      <c r="O384" s="529"/>
      <c r="P384" s="529"/>
      <c r="Q384" s="529"/>
      <c r="R384" s="529"/>
      <c r="S384" s="529"/>
      <c r="T384" s="529"/>
      <c r="U384" s="529"/>
      <c r="V384" s="529"/>
      <c r="W384" s="529"/>
      <c r="X384" s="529"/>
      <c r="AI384" s="142" t="s">
        <v>350</v>
      </c>
      <c r="AJ384" s="142"/>
      <c r="AK384" s="142" t="s">
        <v>351</v>
      </c>
      <c r="AL384" s="142"/>
      <c r="AM384" s="142" t="s">
        <v>352</v>
      </c>
      <c r="AN384" s="142"/>
      <c r="AO384" s="142" t="s">
        <v>564</v>
      </c>
      <c r="AP384" s="142"/>
      <c r="AQ384" s="142" t="s">
        <v>508</v>
      </c>
      <c r="AR384" s="142"/>
      <c r="AS384" s="142" t="s">
        <v>354</v>
      </c>
      <c r="AT384" s="142"/>
      <c r="AU384" s="142" t="s">
        <v>601</v>
      </c>
      <c r="AV384" s="142"/>
      <c r="AW384" s="142" t="s">
        <v>395</v>
      </c>
      <c r="AX384" s="142"/>
      <c r="AY384" s="142" t="s">
        <v>395</v>
      </c>
    </row>
    <row r="385" spans="11:53" x14ac:dyDescent="0.2">
      <c r="L385" s="147"/>
      <c r="M385" s="529"/>
      <c r="O385" s="529"/>
      <c r="Q385" s="529"/>
      <c r="S385" s="529"/>
      <c r="U385" s="529"/>
      <c r="W385" s="529"/>
      <c r="Z385" s="145"/>
    </row>
    <row r="386" spans="11:53" x14ac:dyDescent="0.2">
      <c r="K386" s="529">
        <v>1</v>
      </c>
      <c r="L386" s="564">
        <f>'F 1-2'!K16</f>
        <v>0.48659999999999998</v>
      </c>
      <c r="M386" s="564"/>
      <c r="N386" s="564">
        <f>'F 1-2'!K17</f>
        <v>0.309</v>
      </c>
      <c r="O386" s="564"/>
      <c r="P386" s="564">
        <f>'F 1-2'!K18</f>
        <v>4.7300000000000002E-2</v>
      </c>
      <c r="Q386" s="564"/>
      <c r="R386" s="564">
        <f>'F 1-2'!K19</f>
        <v>0.1154</v>
      </c>
      <c r="S386" s="564"/>
      <c r="T386" s="564">
        <f>'F 1-2'!K20</f>
        <v>3.5900000000000001E-2</v>
      </c>
      <c r="U386" s="564"/>
      <c r="V386" s="564">
        <f>'F 1-2'!K21</f>
        <v>2.5999999999999999E-3</v>
      </c>
      <c r="W386" s="564"/>
      <c r="X386" s="564">
        <f>'F 1-2'!K22</f>
        <v>3.2000000000000002E-3</v>
      </c>
      <c r="Y386" s="154"/>
      <c r="Z386" s="154">
        <f t="shared" ref="Z386:Z395" si="328">SUM(L386:Y386)</f>
        <v>1</v>
      </c>
      <c r="AA386" s="529" t="str">
        <f>IF(Z386=1,"ok","&lt;&lt;&lt;&lt;??")</f>
        <v>ok</v>
      </c>
      <c r="AH386" s="529">
        <v>1</v>
      </c>
      <c r="AI386" s="565">
        <f>1-AW386-AY386</f>
        <v>0.99419999999999997</v>
      </c>
      <c r="AJ386" s="565"/>
      <c r="AK386" s="565">
        <v>0</v>
      </c>
      <c r="AL386" s="565"/>
      <c r="AM386" s="565">
        <v>0</v>
      </c>
      <c r="AN386" s="565"/>
      <c r="AO386" s="565">
        <v>0</v>
      </c>
      <c r="AP386" s="565"/>
      <c r="AQ386" s="565">
        <v>0</v>
      </c>
      <c r="AR386" s="565"/>
      <c r="AS386" s="565">
        <v>0</v>
      </c>
      <c r="AT386" s="565"/>
      <c r="AU386" s="565"/>
      <c r="AV386" s="565"/>
      <c r="AW386" s="565">
        <f>+'F 1-2'!K21</f>
        <v>2.5999999999999999E-3</v>
      </c>
      <c r="AX386" s="565"/>
      <c r="AY386" s="565">
        <f>+'F 1-2'!K22</f>
        <v>3.2000000000000002E-3</v>
      </c>
      <c r="AZ386" s="565"/>
      <c r="BA386" s="565">
        <f>SUM(AI386:AY386)</f>
        <v>1</v>
      </c>
    </row>
    <row r="387" spans="11:53" x14ac:dyDescent="0.2">
      <c r="K387" s="529">
        <v>2</v>
      </c>
      <c r="L387" s="564">
        <f>'F 1-2'!M39</f>
        <v>0.499</v>
      </c>
      <c r="M387" s="564"/>
      <c r="N387" s="564">
        <f>'F 1-2'!M40</f>
        <v>0.30969999999999998</v>
      </c>
      <c r="O387" s="564"/>
      <c r="P387" s="564">
        <f>'F 1-2'!M41</f>
        <v>4.41E-2</v>
      </c>
      <c r="Q387" s="564"/>
      <c r="R387" s="564">
        <f>'F 1-2'!M42</f>
        <v>0.11020000000000001</v>
      </c>
      <c r="S387" s="564"/>
      <c r="T387" s="564">
        <f>'F 1-2'!M43</f>
        <v>3.3500000000000002E-2</v>
      </c>
      <c r="U387" s="564"/>
      <c r="V387" s="564">
        <f>'F 1-2'!M44</f>
        <v>1.6000000000000001E-3</v>
      </c>
      <c r="W387" s="564"/>
      <c r="X387" s="564">
        <f>'F 1-2'!M45</f>
        <v>1.9E-3</v>
      </c>
      <c r="Y387" s="154"/>
      <c r="Z387" s="154">
        <f t="shared" si="328"/>
        <v>1</v>
      </c>
      <c r="AA387" s="529" t="str">
        <f t="shared" ref="AA387:AA406" si="329">IF(Z387=1,"ok","&lt;&lt;&lt;&lt;??")</f>
        <v>ok</v>
      </c>
      <c r="AH387" s="529">
        <v>2</v>
      </c>
      <c r="AI387" s="565">
        <f>+'F 2 B'!H33-'COS 1'!AW387-AY387</f>
        <v>0.60259999999999991</v>
      </c>
      <c r="AJ387" s="565"/>
      <c r="AK387" s="565">
        <f>+'F 2 B'!H35</f>
        <v>0.39389999999999997</v>
      </c>
      <c r="AL387" s="565"/>
      <c r="AM387" s="565">
        <v>0</v>
      </c>
      <c r="AN387" s="565"/>
      <c r="AO387" s="565">
        <v>0</v>
      </c>
      <c r="AP387" s="565"/>
      <c r="AQ387" s="565">
        <v>0</v>
      </c>
      <c r="AR387" s="565"/>
      <c r="AS387" s="565">
        <v>0</v>
      </c>
      <c r="AT387" s="565"/>
      <c r="AU387" s="565"/>
      <c r="AV387" s="565"/>
      <c r="AW387" s="565">
        <f>+'F 1-2'!G44</f>
        <v>1.6000000000000001E-3</v>
      </c>
      <c r="AX387" s="565"/>
      <c r="AY387" s="565">
        <f>+'F 1-2'!M45</f>
        <v>1.9E-3</v>
      </c>
      <c r="AZ387" s="565"/>
      <c r="BA387" s="565">
        <f>SUM(AI387:AY387)</f>
        <v>1</v>
      </c>
    </row>
    <row r="388" spans="11:53" x14ac:dyDescent="0.2">
      <c r="K388" s="529">
        <v>3</v>
      </c>
      <c r="L388" s="564">
        <f>'F 3-4'!P19</f>
        <v>0.45689999999999997</v>
      </c>
      <c r="M388" s="564"/>
      <c r="N388" s="564">
        <f>'F 3-4'!P20</f>
        <v>0.28339999999999999</v>
      </c>
      <c r="O388" s="564"/>
      <c r="P388" s="564">
        <f>'F 3-4'!P21</f>
        <v>4.0300000000000002E-2</v>
      </c>
      <c r="Q388" s="564"/>
      <c r="R388" s="564">
        <f>'F 3-4'!P22</f>
        <v>0.1009</v>
      </c>
      <c r="S388" s="564"/>
      <c r="T388" s="564">
        <f>'F 3-4'!P23</f>
        <v>3.0600000000000002E-2</v>
      </c>
      <c r="U388" s="564"/>
      <c r="V388" s="564">
        <f>'F 3-4'!P24</f>
        <v>3.95E-2</v>
      </c>
      <c r="W388" s="564"/>
      <c r="X388" s="564">
        <f>'F 3-4'!P25</f>
        <v>4.8400000000000006E-2</v>
      </c>
      <c r="Y388" s="154"/>
      <c r="Z388" s="154">
        <f t="shared" si="328"/>
        <v>0.99999999999999989</v>
      </c>
      <c r="AA388" s="529" t="str">
        <f t="shared" si="329"/>
        <v>ok</v>
      </c>
      <c r="AH388" s="529">
        <v>3</v>
      </c>
      <c r="AI388" s="565">
        <f>+'F 3-4'!F17</f>
        <v>0.55469999999999997</v>
      </c>
      <c r="AJ388" s="565"/>
      <c r="AK388" s="565">
        <f>+'F 3-4'!J17</f>
        <v>0.36059999999999998</v>
      </c>
      <c r="AL388" s="565"/>
      <c r="AM388" s="565">
        <v>0</v>
      </c>
      <c r="AN388" s="565"/>
      <c r="AO388" s="565">
        <v>0</v>
      </c>
      <c r="AP388" s="565"/>
      <c r="AQ388" s="565">
        <v>0</v>
      </c>
      <c r="AR388" s="565"/>
      <c r="AS388" s="565">
        <v>0</v>
      </c>
      <c r="AT388" s="565"/>
      <c r="AU388" s="565"/>
      <c r="AV388" s="565"/>
      <c r="AW388" s="565">
        <f>+'F 3-4'!N24</f>
        <v>3.8100000000000002E-2</v>
      </c>
      <c r="AX388" s="565"/>
      <c r="AY388" s="565">
        <f>+'F 3-4'!N25</f>
        <v>4.6600000000000003E-2</v>
      </c>
      <c r="AZ388" s="565"/>
      <c r="BA388" s="565">
        <f t="shared" ref="BA388:BA406" si="330">SUM(AI388:AY388)</f>
        <v>1</v>
      </c>
    </row>
    <row r="389" spans="11:53" x14ac:dyDescent="0.2">
      <c r="K389" s="529">
        <v>4</v>
      </c>
      <c r="L389" s="564">
        <f>'F 3-4'!R49</f>
        <v>0.46399999999999997</v>
      </c>
      <c r="M389" s="564"/>
      <c r="N389" s="564">
        <f>'F 3-4'!R50</f>
        <v>0.28399999999999997</v>
      </c>
      <c r="O389" s="564"/>
      <c r="P389" s="564">
        <f>'F 3-4'!R51</f>
        <v>3.6000000000000004E-2</v>
      </c>
      <c r="Q389" s="564"/>
      <c r="R389" s="564">
        <f>'F 3-4'!R52</f>
        <v>8.5999999999999993E-2</v>
      </c>
      <c r="S389" s="564"/>
      <c r="T389" s="564">
        <f>'F 3-4'!R53</f>
        <v>0</v>
      </c>
      <c r="U389" s="564"/>
      <c r="V389" s="564">
        <f>'F 3-4'!R54</f>
        <v>5.8499999999999996E-2</v>
      </c>
      <c r="W389" s="564"/>
      <c r="X389" s="564">
        <f>'F 3-4'!R55</f>
        <v>7.1500000000000008E-2</v>
      </c>
      <c r="Y389" s="154"/>
      <c r="Z389" s="154">
        <f t="shared" si="328"/>
        <v>1</v>
      </c>
      <c r="AA389" s="529" t="str">
        <f t="shared" si="329"/>
        <v>ok</v>
      </c>
      <c r="AH389" s="529">
        <v>4</v>
      </c>
      <c r="AI389" s="565">
        <f>+'F 3-4'!H47-'F 3-4'!H54-'F 3-4'!H55</f>
        <v>0.34670000000000001</v>
      </c>
      <c r="AJ389" s="565"/>
      <c r="AK389" s="565">
        <v>0</v>
      </c>
      <c r="AL389" s="565"/>
      <c r="AM389" s="565">
        <f>+'F 3-4'!L47</f>
        <v>0.52329999999999999</v>
      </c>
      <c r="AN389" s="565"/>
      <c r="AO389" s="565">
        <v>0</v>
      </c>
      <c r="AP389" s="565"/>
      <c r="AQ389" s="565">
        <v>0</v>
      </c>
      <c r="AR389" s="565"/>
      <c r="AS389" s="565">
        <v>0</v>
      </c>
      <c r="AT389" s="565"/>
      <c r="AU389" s="565"/>
      <c r="AV389" s="565"/>
      <c r="AW389" s="565">
        <f>+'F 3-4'!R54</f>
        <v>5.8499999999999996E-2</v>
      </c>
      <c r="AX389" s="565"/>
      <c r="AY389" s="565">
        <f>+'F 3-4'!R55</f>
        <v>7.1500000000000008E-2</v>
      </c>
      <c r="AZ389" s="565"/>
      <c r="BA389" s="565">
        <f t="shared" si="330"/>
        <v>1</v>
      </c>
    </row>
    <row r="390" spans="11:53" x14ac:dyDescent="0.2">
      <c r="K390" s="529">
        <v>5</v>
      </c>
      <c r="L390" s="564">
        <f>'F 5'!R18</f>
        <v>0.41570000000000001</v>
      </c>
      <c r="M390" s="564"/>
      <c r="N390" s="564">
        <f>'F 5'!R19</f>
        <v>0.25419999999999998</v>
      </c>
      <c r="O390" s="564"/>
      <c r="P390" s="564">
        <f>'F 5'!R20</f>
        <v>3.2300000000000002E-2</v>
      </c>
      <c r="Q390" s="564"/>
      <c r="R390" s="564">
        <f>'F 5'!R21</f>
        <v>7.6800000000000007E-2</v>
      </c>
      <c r="S390" s="564"/>
      <c r="T390" s="564">
        <f>'F 5'!R22</f>
        <v>2.1700000000000001E-2</v>
      </c>
      <c r="U390" s="564"/>
      <c r="V390" s="564">
        <f>'F 5'!R23</f>
        <v>8.9799999999999991E-2</v>
      </c>
      <c r="W390" s="564"/>
      <c r="X390" s="564">
        <f>'F 5'!R24</f>
        <v>0.1095</v>
      </c>
      <c r="Y390" s="154"/>
      <c r="Z390" s="154">
        <f t="shared" si="328"/>
        <v>1</v>
      </c>
      <c r="AA390" s="529" t="str">
        <f t="shared" si="329"/>
        <v>ok</v>
      </c>
      <c r="AH390" s="529">
        <v>5</v>
      </c>
      <c r="AI390" s="565">
        <f>+'F 5'!H16-'F 5'!H23-'F 5'!H24</f>
        <v>0.31919999999999998</v>
      </c>
      <c r="AJ390" s="565"/>
      <c r="AK390" s="565">
        <v>0</v>
      </c>
      <c r="AL390" s="565"/>
      <c r="AM390" s="565">
        <f>+'F 5'!L16</f>
        <v>0.48149999999999998</v>
      </c>
      <c r="AN390" s="565"/>
      <c r="AO390" s="565">
        <v>0</v>
      </c>
      <c r="AP390" s="565"/>
      <c r="AQ390" s="565">
        <v>0</v>
      </c>
      <c r="AR390" s="565"/>
      <c r="AS390" s="565">
        <v>0</v>
      </c>
      <c r="AT390" s="565"/>
      <c r="AU390" s="565"/>
      <c r="AV390" s="565"/>
      <c r="AW390" s="565">
        <f>+'F 5'!R23</f>
        <v>8.9799999999999991E-2</v>
      </c>
      <c r="AX390" s="565"/>
      <c r="AY390" s="565">
        <f>+'F 5'!R24</f>
        <v>0.1095</v>
      </c>
      <c r="AZ390" s="565"/>
      <c r="BA390" s="565">
        <f t="shared" si="330"/>
        <v>1</v>
      </c>
    </row>
    <row r="391" spans="11:53" x14ac:dyDescent="0.2">
      <c r="K391" s="529">
        <v>6</v>
      </c>
      <c r="L391" s="564">
        <f>'F6-7'!P18</f>
        <v>0.4768</v>
      </c>
      <c r="M391" s="564"/>
      <c r="N391" s="564">
        <f>'F6-7'!P19</f>
        <v>0.29470000000000002</v>
      </c>
      <c r="O391" s="564"/>
      <c r="P391" s="564">
        <f>'F6-7'!P20</f>
        <v>4.0800000000000003E-2</v>
      </c>
      <c r="Q391" s="564"/>
      <c r="R391" s="564">
        <f>'F6-7'!P21</f>
        <v>0.10089999999999999</v>
      </c>
      <c r="S391" s="564"/>
      <c r="T391" s="564">
        <f>'F6-7'!P22</f>
        <v>2.3800000000000002E-2</v>
      </c>
      <c r="U391" s="564"/>
      <c r="V391" s="564">
        <f>'F6-7'!P23</f>
        <v>2.8400000000000002E-2</v>
      </c>
      <c r="W391" s="564"/>
      <c r="X391" s="564">
        <f>'F6-7'!P24</f>
        <v>3.4599999999999999E-2</v>
      </c>
      <c r="Y391" s="154"/>
      <c r="Z391" s="154">
        <f t="shared" si="328"/>
        <v>1</v>
      </c>
      <c r="AA391" s="529" t="str">
        <f t="shared" si="329"/>
        <v>ok</v>
      </c>
      <c r="AH391" s="529">
        <v>6</v>
      </c>
      <c r="AI391" s="565">
        <f>+'F6-7'!Y18</f>
        <v>0.51935144</v>
      </c>
      <c r="AJ391" s="565"/>
      <c r="AK391" s="565">
        <f>+'F6-7'!Y19</f>
        <v>0.27990000000000004</v>
      </c>
      <c r="AL391" s="565"/>
      <c r="AM391" s="565">
        <f>+'F6-7'!Y20</f>
        <v>0.13773256</v>
      </c>
      <c r="AN391" s="565"/>
      <c r="AO391" s="565"/>
      <c r="AP391" s="565"/>
      <c r="AQ391" s="565"/>
      <c r="AR391" s="565"/>
      <c r="AS391" s="565"/>
      <c r="AT391" s="565"/>
      <c r="AU391" s="565"/>
      <c r="AV391" s="565"/>
      <c r="AW391" s="565">
        <f>+'F6-7'!Y21</f>
        <v>2.8397199999999997E-2</v>
      </c>
      <c r="AX391" s="565"/>
      <c r="AY391" s="565">
        <f>+'F6-7'!Y22</f>
        <v>3.4618799999999998E-2</v>
      </c>
      <c r="AZ391" s="565"/>
      <c r="BA391" s="565">
        <f t="shared" si="330"/>
        <v>1</v>
      </c>
    </row>
    <row r="392" spans="11:53" x14ac:dyDescent="0.2">
      <c r="K392" s="529">
        <v>7</v>
      </c>
      <c r="L392" s="564">
        <f>'F6-7'!N61</f>
        <v>0.46249999999999997</v>
      </c>
      <c r="M392" s="564"/>
      <c r="N392" s="564">
        <f>'F6-7'!N62</f>
        <v>0.28389999999999999</v>
      </c>
      <c r="O392" s="564"/>
      <c r="P392" s="564">
        <f>'F6-7'!N63</f>
        <v>3.6900000000000002E-2</v>
      </c>
      <c r="Q392" s="564"/>
      <c r="R392" s="564">
        <f>'F6-7'!N64</f>
        <v>8.8999999999999996E-2</v>
      </c>
      <c r="S392" s="564"/>
      <c r="T392" s="564">
        <f>'F6-7'!N65</f>
        <v>6.3E-3</v>
      </c>
      <c r="U392" s="564"/>
      <c r="V392" s="564">
        <f>'F6-7'!N66</f>
        <v>5.4599999999999996E-2</v>
      </c>
      <c r="W392" s="564"/>
      <c r="X392" s="564">
        <f>'F6-7'!N67</f>
        <v>6.6799999999999998E-2</v>
      </c>
      <c r="Y392" s="154"/>
      <c r="Z392" s="154">
        <f t="shared" si="328"/>
        <v>0.99999999999999989</v>
      </c>
      <c r="AA392" s="529" t="str">
        <f t="shared" si="329"/>
        <v>ok</v>
      </c>
      <c r="AH392" s="529">
        <v>7</v>
      </c>
      <c r="AI392" s="565">
        <f>+'F6-7'!Y60</f>
        <v>0.38889999999999997</v>
      </c>
      <c r="AJ392" s="565"/>
      <c r="AK392" s="565">
        <f>+'F6-7'!Y61</f>
        <v>7.4099999999999999E-2</v>
      </c>
      <c r="AL392" s="565"/>
      <c r="AM392" s="565">
        <f>+'F6-7'!Y62</f>
        <v>0.41570000000000001</v>
      </c>
      <c r="AN392" s="565"/>
      <c r="AO392" s="565"/>
      <c r="AP392" s="565"/>
      <c r="AQ392" s="565"/>
      <c r="AR392" s="565"/>
      <c r="AS392" s="565"/>
      <c r="AT392" s="565"/>
      <c r="AU392" s="565"/>
      <c r="AV392" s="565"/>
      <c r="AW392" s="565">
        <f>+'F6-7'!Y63</f>
        <v>5.4599999999999996E-2</v>
      </c>
      <c r="AX392" s="565"/>
      <c r="AY392" s="565">
        <f>+'F6-7'!Y64</f>
        <v>6.6799999999999998E-2</v>
      </c>
      <c r="AZ392" s="565"/>
      <c r="BA392" s="565">
        <f t="shared" si="330"/>
        <v>1.0001</v>
      </c>
    </row>
    <row r="393" spans="11:53" x14ac:dyDescent="0.2">
      <c r="K393" s="529">
        <v>8</v>
      </c>
      <c r="L393" s="564">
        <v>0</v>
      </c>
      <c r="M393" s="564"/>
      <c r="N393" s="564">
        <v>0</v>
      </c>
      <c r="O393" s="564"/>
      <c r="P393" s="564">
        <v>0</v>
      </c>
      <c r="Q393" s="564"/>
      <c r="R393" s="564">
        <v>0</v>
      </c>
      <c r="S393" s="564"/>
      <c r="T393" s="564">
        <v>0</v>
      </c>
      <c r="U393" s="564"/>
      <c r="V393" s="564">
        <v>0</v>
      </c>
      <c r="W393" s="564"/>
      <c r="X393" s="564">
        <v>1</v>
      </c>
      <c r="Y393" s="154"/>
      <c r="Z393" s="154">
        <f t="shared" si="328"/>
        <v>1</v>
      </c>
      <c r="AA393" s="529" t="str">
        <f t="shared" si="329"/>
        <v>ok</v>
      </c>
      <c r="AH393" s="529">
        <v>8</v>
      </c>
      <c r="AI393" s="565">
        <v>0</v>
      </c>
      <c r="AJ393" s="565"/>
      <c r="AK393" s="565">
        <v>0</v>
      </c>
      <c r="AL393" s="565"/>
      <c r="AM393" s="565">
        <v>0</v>
      </c>
      <c r="AN393" s="565"/>
      <c r="AO393" s="565">
        <v>0</v>
      </c>
      <c r="AP393" s="565"/>
      <c r="AQ393" s="565">
        <v>0</v>
      </c>
      <c r="AR393" s="565"/>
      <c r="AS393" s="565">
        <v>0</v>
      </c>
      <c r="AT393" s="565"/>
      <c r="AU393" s="565"/>
      <c r="AV393" s="565"/>
      <c r="AW393" s="565">
        <v>0</v>
      </c>
      <c r="AX393" s="565"/>
      <c r="AY393" s="565">
        <v>1</v>
      </c>
      <c r="AZ393" s="565"/>
      <c r="BA393" s="565">
        <f t="shared" si="330"/>
        <v>1</v>
      </c>
    </row>
    <row r="394" spans="11:53" x14ac:dyDescent="0.2">
      <c r="K394" s="529">
        <v>9</v>
      </c>
      <c r="L394" s="564">
        <f>'F8-10'!F29</f>
        <v>0.82699999999999996</v>
      </c>
      <c r="M394" s="564"/>
      <c r="N394" s="564">
        <f>'F8-10'!F30</f>
        <v>0.13120000000000001</v>
      </c>
      <c r="O394" s="564"/>
      <c r="P394" s="564">
        <f>'F8-10'!F31</f>
        <v>4.1000000000000003E-3</v>
      </c>
      <c r="Q394" s="564"/>
      <c r="R394" s="564">
        <f>'F8-10'!F32</f>
        <v>2.3699999999999999E-2</v>
      </c>
      <c r="S394" s="564"/>
      <c r="T394" s="564">
        <f>'F8-10'!F33</f>
        <v>2.3999999999999998E-3</v>
      </c>
      <c r="U394" s="564"/>
      <c r="V394" s="564">
        <f>'F8-10'!F34</f>
        <v>1.1599999999999999E-2</v>
      </c>
      <c r="W394" s="564"/>
      <c r="X394" s="564">
        <v>0</v>
      </c>
      <c r="Y394" s="154"/>
      <c r="Z394" s="154">
        <f t="shared" si="328"/>
        <v>1</v>
      </c>
      <c r="AA394" s="529" t="str">
        <f t="shared" si="329"/>
        <v>ok</v>
      </c>
      <c r="AH394" s="529">
        <v>9</v>
      </c>
      <c r="AI394" s="565">
        <v>0</v>
      </c>
      <c r="AJ394" s="565"/>
      <c r="AK394" s="565">
        <v>0</v>
      </c>
      <c r="AL394" s="565"/>
      <c r="AM394" s="565">
        <v>0</v>
      </c>
      <c r="AN394" s="565"/>
      <c r="AO394" s="565">
        <f>1-AW394</f>
        <v>0.98839999999999995</v>
      </c>
      <c r="AP394" s="565"/>
      <c r="AQ394" s="565">
        <v>0</v>
      </c>
      <c r="AR394" s="565"/>
      <c r="AS394" s="565"/>
      <c r="AT394" s="565"/>
      <c r="AU394" s="565"/>
      <c r="AV394" s="565"/>
      <c r="AW394" s="565">
        <f>+'F8-10'!F34</f>
        <v>1.1599999999999999E-2</v>
      </c>
      <c r="AX394" s="565"/>
      <c r="AY394" s="565">
        <v>0</v>
      </c>
      <c r="AZ394" s="565"/>
      <c r="BA394" s="565">
        <f t="shared" si="330"/>
        <v>1</v>
      </c>
    </row>
    <row r="395" spans="11:53" x14ac:dyDescent="0.2">
      <c r="K395" s="529">
        <v>10</v>
      </c>
      <c r="L395" s="564">
        <f>'F8-10'!F52</f>
        <v>0.82400000000000007</v>
      </c>
      <c r="M395" s="564"/>
      <c r="N395" s="564">
        <f>'F8-10'!F53</f>
        <v>0.1132</v>
      </c>
      <c r="O395" s="564"/>
      <c r="P395" s="564">
        <f>'F8-10'!F54</f>
        <v>1.1999999999999999E-3</v>
      </c>
      <c r="Q395" s="564"/>
      <c r="R395" s="564">
        <f>'F8-10'!F55</f>
        <v>1.4E-2</v>
      </c>
      <c r="S395" s="564"/>
      <c r="T395" s="564">
        <f>'F8-10'!F56</f>
        <v>5.9999999999999995E-4</v>
      </c>
      <c r="U395" s="564"/>
      <c r="V395" s="564">
        <f>'F8-10'!F57</f>
        <v>4.7E-2</v>
      </c>
      <c r="W395" s="564"/>
      <c r="X395" s="564">
        <v>0</v>
      </c>
      <c r="Y395" s="154"/>
      <c r="Z395" s="154">
        <f t="shared" si="328"/>
        <v>1</v>
      </c>
      <c r="AA395" s="529" t="str">
        <f t="shared" si="329"/>
        <v>ok</v>
      </c>
      <c r="AH395" s="529">
        <v>10</v>
      </c>
      <c r="AI395" s="565">
        <v>0</v>
      </c>
      <c r="AJ395" s="565"/>
      <c r="AK395" s="565">
        <v>0</v>
      </c>
      <c r="AL395" s="565"/>
      <c r="AM395" s="565">
        <v>0</v>
      </c>
      <c r="AN395" s="565"/>
      <c r="AO395" s="565">
        <v>0</v>
      </c>
      <c r="AP395" s="565"/>
      <c r="AQ395" s="565">
        <f>1-AW395</f>
        <v>0.95299999999999996</v>
      </c>
      <c r="AR395" s="565"/>
      <c r="AS395" s="565">
        <v>0</v>
      </c>
      <c r="AT395" s="565"/>
      <c r="AU395" s="565"/>
      <c r="AV395" s="565"/>
      <c r="AW395" s="565">
        <f>+'F8-10'!F57</f>
        <v>4.7E-2</v>
      </c>
      <c r="AX395" s="565"/>
      <c r="AY395" s="565">
        <v>0</v>
      </c>
      <c r="AZ395" s="565"/>
      <c r="BA395" s="565">
        <f t="shared" si="330"/>
        <v>1</v>
      </c>
    </row>
    <row r="396" spans="11:53" x14ac:dyDescent="0.2">
      <c r="K396" s="529">
        <v>11</v>
      </c>
      <c r="L396" s="565">
        <f>+L362</f>
        <v>0.75270000000000004</v>
      </c>
      <c r="M396" s="565"/>
      <c r="N396" s="565">
        <f>+N362</f>
        <v>0.1623</v>
      </c>
      <c r="O396" s="565"/>
      <c r="P396" s="565">
        <f>+P362</f>
        <v>1.0800000000000001E-2</v>
      </c>
      <c r="Q396" s="565"/>
      <c r="R396" s="565">
        <f>+R362</f>
        <v>3.6999999999999998E-2</v>
      </c>
      <c r="S396" s="565"/>
      <c r="T396" s="565">
        <f>+T362</f>
        <v>3.2000000000000002E-3</v>
      </c>
      <c r="U396" s="565"/>
      <c r="V396" s="565">
        <f>+V362</f>
        <v>2.0400000000000001E-2</v>
      </c>
      <c r="W396" s="565"/>
      <c r="X396" s="565">
        <f>+X362</f>
        <v>1.3599999999999999E-2</v>
      </c>
      <c r="Y396" s="270"/>
      <c r="Z396" s="154">
        <f t="shared" ref="Z396:Z406" si="331">SUM(L396:Y396)</f>
        <v>1</v>
      </c>
      <c r="AA396" s="529" t="str">
        <f t="shared" si="329"/>
        <v>ok</v>
      </c>
      <c r="AH396" s="529">
        <v>11</v>
      </c>
      <c r="AI396" s="565">
        <f>+AI362</f>
        <v>7.9399999999999998E-2</v>
      </c>
      <c r="AJ396" s="565">
        <f t="shared" ref="AJ396:AW396" si="332">+AJ362</f>
        <v>0</v>
      </c>
      <c r="AK396" s="565">
        <f t="shared" si="332"/>
        <v>1.5100000000000001E-2</v>
      </c>
      <c r="AL396" s="565">
        <f t="shared" si="332"/>
        <v>0</v>
      </c>
      <c r="AM396" s="565">
        <f t="shared" si="332"/>
        <v>8.4699999999999998E-2</v>
      </c>
      <c r="AN396" s="565">
        <f t="shared" si="332"/>
        <v>0</v>
      </c>
      <c r="AO396" s="565">
        <f t="shared" si="332"/>
        <v>0.78639999999999999</v>
      </c>
      <c r="AP396" s="565">
        <f t="shared" si="332"/>
        <v>0</v>
      </c>
      <c r="AQ396" s="565">
        <f t="shared" si="332"/>
        <v>4.0000000000000002E-4</v>
      </c>
      <c r="AR396" s="565">
        <f t="shared" si="332"/>
        <v>0</v>
      </c>
      <c r="AS396" s="565">
        <f t="shared" si="332"/>
        <v>0</v>
      </c>
      <c r="AT396" s="565"/>
      <c r="AU396" s="565"/>
      <c r="AV396" s="565">
        <f t="shared" si="332"/>
        <v>0</v>
      </c>
      <c r="AW396" s="565">
        <f t="shared" si="332"/>
        <v>2.0400000000000001E-2</v>
      </c>
      <c r="AX396" s="565">
        <f>+AX362</f>
        <v>0</v>
      </c>
      <c r="AY396" s="565">
        <f>+'F11-12'!F24</f>
        <v>1.3599999999999999E-2</v>
      </c>
      <c r="AZ396" s="565"/>
      <c r="BA396" s="565">
        <f t="shared" si="330"/>
        <v>0.99999999999999989</v>
      </c>
    </row>
    <row r="397" spans="11:53" x14ac:dyDescent="0.2">
      <c r="K397" s="529">
        <v>12</v>
      </c>
      <c r="L397" s="565">
        <f>+L364</f>
        <v>0.51770000000000005</v>
      </c>
      <c r="M397" s="565"/>
      <c r="N397" s="565">
        <f>+N364</f>
        <v>0.16980000000000001</v>
      </c>
      <c r="O397" s="565"/>
      <c r="P397" s="565">
        <f>+P364</f>
        <v>1.7000000000000001E-2</v>
      </c>
      <c r="Q397" s="565"/>
      <c r="R397" s="565">
        <f>+R364</f>
        <v>4.53E-2</v>
      </c>
      <c r="S397" s="565"/>
      <c r="T397" s="565">
        <f>+T364</f>
        <v>3.0999999999999999E-3</v>
      </c>
      <c r="U397" s="565"/>
      <c r="V397" s="565">
        <f>+V364</f>
        <v>4.0800000000000003E-2</v>
      </c>
      <c r="W397" s="565"/>
      <c r="X397" s="565">
        <f>+X364</f>
        <v>0.20630000000000001</v>
      </c>
      <c r="Y397" s="270"/>
      <c r="Z397" s="154">
        <f t="shared" si="331"/>
        <v>1</v>
      </c>
      <c r="AA397" s="529" t="str">
        <f t="shared" si="329"/>
        <v>ok</v>
      </c>
      <c r="AH397" s="529">
        <v>12</v>
      </c>
      <c r="AI397" s="565">
        <f>+AI364</f>
        <v>0.1729</v>
      </c>
      <c r="AJ397" s="565">
        <f t="shared" ref="AJ397:AW397" si="333">+AJ364</f>
        <v>0</v>
      </c>
      <c r="AK397" s="565">
        <f t="shared" si="333"/>
        <v>3.2800000000000003E-2</v>
      </c>
      <c r="AL397" s="565">
        <f t="shared" si="333"/>
        <v>0</v>
      </c>
      <c r="AM397" s="565">
        <f t="shared" si="333"/>
        <v>0.1852</v>
      </c>
      <c r="AN397" s="565">
        <f t="shared" si="333"/>
        <v>0</v>
      </c>
      <c r="AO397" s="565">
        <f t="shared" si="333"/>
        <v>3.8699999999999998E-2</v>
      </c>
      <c r="AP397" s="565">
        <f t="shared" si="333"/>
        <v>0</v>
      </c>
      <c r="AQ397" s="565">
        <f t="shared" si="333"/>
        <v>0.32329999999999998</v>
      </c>
      <c r="AR397" s="565">
        <f t="shared" si="333"/>
        <v>0</v>
      </c>
      <c r="AS397" s="565">
        <f t="shared" si="333"/>
        <v>0</v>
      </c>
      <c r="AT397" s="565"/>
      <c r="AU397" s="565"/>
      <c r="AV397" s="565">
        <f t="shared" si="333"/>
        <v>0</v>
      </c>
      <c r="AW397" s="565">
        <f t="shared" si="333"/>
        <v>4.0800000000000003E-2</v>
      </c>
      <c r="AX397" s="565">
        <f>+AX364</f>
        <v>0</v>
      </c>
      <c r="AY397" s="565">
        <f>+'F11-12'!F69</f>
        <v>0.20630000000000001</v>
      </c>
      <c r="AZ397" s="565"/>
      <c r="BA397" s="565">
        <f t="shared" si="330"/>
        <v>1</v>
      </c>
    </row>
    <row r="398" spans="11:53" x14ac:dyDescent="0.2">
      <c r="K398" s="529">
        <v>13</v>
      </c>
      <c r="L398" s="564">
        <f>+'F13-14'!F15</f>
        <v>0.89959999999999996</v>
      </c>
      <c r="M398" s="564"/>
      <c r="N398" s="564">
        <f>+'F13-14'!F16</f>
        <v>7.17E-2</v>
      </c>
      <c r="O398" s="564"/>
      <c r="P398" s="564">
        <f>+'F13-14'!F17</f>
        <v>4.0000000000000002E-4</v>
      </c>
      <c r="Q398" s="564"/>
      <c r="R398" s="564">
        <f>+'F13-14'!F18</f>
        <v>6.1999999999999998E-3</v>
      </c>
      <c r="S398" s="564"/>
      <c r="T398" s="564">
        <f>+'F13-14'!F19</f>
        <v>2.0000000000000001E-4</v>
      </c>
      <c r="U398" s="564"/>
      <c r="V398" s="564">
        <f>+'F13-14'!F20</f>
        <v>2.1600000000000001E-2</v>
      </c>
      <c r="W398" s="564"/>
      <c r="X398" s="564">
        <f>+'F13-14'!F21</f>
        <v>2.9999999999999997E-4</v>
      </c>
      <c r="Y398" s="154"/>
      <c r="Z398" s="154">
        <f t="shared" si="331"/>
        <v>0.99999999999999978</v>
      </c>
      <c r="AA398" s="529" t="str">
        <f t="shared" si="329"/>
        <v>ok</v>
      </c>
      <c r="AH398" s="529">
        <v>13</v>
      </c>
      <c r="AI398" s="565">
        <v>0</v>
      </c>
      <c r="AJ398" s="565"/>
      <c r="AK398" s="565">
        <v>0</v>
      </c>
      <c r="AL398" s="565"/>
      <c r="AM398" s="565">
        <v>0</v>
      </c>
      <c r="AN398" s="565">
        <v>0</v>
      </c>
      <c r="AO398" s="565">
        <v>0</v>
      </c>
      <c r="AP398" s="565"/>
      <c r="AQ398" s="565">
        <v>0</v>
      </c>
      <c r="AR398" s="565"/>
      <c r="AS398" s="565">
        <f>1-AW398-AY398</f>
        <v>0.97810000000000008</v>
      </c>
      <c r="AT398" s="565"/>
      <c r="AU398" s="565"/>
      <c r="AV398" s="565"/>
      <c r="AW398" s="565">
        <f>+'F13-14'!F20</f>
        <v>2.1600000000000001E-2</v>
      </c>
      <c r="AX398" s="565"/>
      <c r="AY398" s="565">
        <f>+'F13-14'!F21</f>
        <v>2.9999999999999997E-4</v>
      </c>
      <c r="AZ398" s="565"/>
      <c r="BA398" s="565">
        <f t="shared" si="330"/>
        <v>1</v>
      </c>
    </row>
    <row r="399" spans="11:53" x14ac:dyDescent="0.2">
      <c r="K399" s="529">
        <v>14</v>
      </c>
      <c r="L399" s="564">
        <f>+'F13-14'!F35</f>
        <v>0.90790000000000004</v>
      </c>
      <c r="M399" s="564"/>
      <c r="N399" s="564">
        <f>+'F13-14'!F36</f>
        <v>7.2400000000000006E-2</v>
      </c>
      <c r="O399" s="564"/>
      <c r="P399" s="564">
        <f>+'F13-14'!F37</f>
        <v>4.0000000000000002E-4</v>
      </c>
      <c r="Q399" s="564"/>
      <c r="R399" s="564">
        <f>+'F13-14'!F38</f>
        <v>6.1999999999999998E-3</v>
      </c>
      <c r="S399" s="564"/>
      <c r="T399" s="564">
        <f>+'F13-14'!F39</f>
        <v>2.0000000000000001E-4</v>
      </c>
      <c r="U399" s="564"/>
      <c r="V399" s="564">
        <f>+'F13-14'!F40</f>
        <v>1.29E-2</v>
      </c>
      <c r="W399" s="564"/>
      <c r="X399" s="564">
        <v>0</v>
      </c>
      <c r="Y399" s="270"/>
      <c r="Z399" s="154">
        <f t="shared" si="331"/>
        <v>1</v>
      </c>
      <c r="AA399" s="529" t="str">
        <f t="shared" si="329"/>
        <v>ok</v>
      </c>
      <c r="AH399" s="529">
        <v>14</v>
      </c>
      <c r="AI399" s="565">
        <v>0</v>
      </c>
      <c r="AJ399" s="565"/>
      <c r="AK399" s="565">
        <v>0</v>
      </c>
      <c r="AL399" s="565"/>
      <c r="AM399" s="565">
        <v>0</v>
      </c>
      <c r="AN399" s="565">
        <v>0</v>
      </c>
      <c r="AO399" s="565">
        <v>0</v>
      </c>
      <c r="AP399" s="565"/>
      <c r="AQ399" s="565">
        <v>0</v>
      </c>
      <c r="AR399" s="565"/>
      <c r="AS399" s="565">
        <v>1</v>
      </c>
      <c r="AT399" s="565"/>
      <c r="AU399" s="565"/>
      <c r="AV399" s="565"/>
      <c r="AW399" s="565">
        <v>0</v>
      </c>
      <c r="AX399" s="565"/>
      <c r="AY399" s="565">
        <v>0</v>
      </c>
      <c r="AZ399" s="565"/>
      <c r="BA399" s="565">
        <f t="shared" si="330"/>
        <v>1</v>
      </c>
    </row>
    <row r="400" spans="11:53" x14ac:dyDescent="0.2">
      <c r="K400" s="529">
        <v>15</v>
      </c>
      <c r="L400" s="565">
        <f>+L366-0</f>
        <v>0.64529999999999998</v>
      </c>
      <c r="M400" s="565">
        <f t="shared" ref="M400:X400" si="334">+M366</f>
        <v>0</v>
      </c>
      <c r="N400" s="565">
        <f t="shared" si="334"/>
        <v>0.2054</v>
      </c>
      <c r="O400" s="565">
        <f t="shared" si="334"/>
        <v>0</v>
      </c>
      <c r="P400" s="565">
        <f t="shared" si="334"/>
        <v>2.2700000000000001E-2</v>
      </c>
      <c r="Q400" s="565">
        <f t="shared" si="334"/>
        <v>0</v>
      </c>
      <c r="R400" s="565">
        <f t="shared" si="334"/>
        <v>6.0299999999999999E-2</v>
      </c>
      <c r="S400" s="565">
        <f t="shared" si="334"/>
        <v>0</v>
      </c>
      <c r="T400" s="565">
        <f t="shared" si="334"/>
        <v>1.46E-2</v>
      </c>
      <c r="U400" s="565">
        <f t="shared" si="334"/>
        <v>0</v>
      </c>
      <c r="V400" s="565">
        <f t="shared" si="334"/>
        <v>1.6199999999999999E-2</v>
      </c>
      <c r="W400" s="565">
        <f t="shared" si="334"/>
        <v>0</v>
      </c>
      <c r="X400" s="565">
        <f t="shared" si="334"/>
        <v>3.5499999999999997E-2</v>
      </c>
      <c r="Y400" s="270"/>
      <c r="Z400" s="154">
        <f t="shared" si="331"/>
        <v>1</v>
      </c>
      <c r="AA400" s="529" t="str">
        <f t="shared" si="329"/>
        <v>ok</v>
      </c>
      <c r="AH400" s="529">
        <v>15</v>
      </c>
      <c r="AI400" s="565">
        <f>+AI366</f>
        <v>0.29549999999999998</v>
      </c>
      <c r="AJ400" s="565">
        <f t="shared" ref="AJ400:AW400" si="335">+AJ366</f>
        <v>0</v>
      </c>
      <c r="AK400" s="565">
        <f t="shared" si="335"/>
        <v>0.15240000000000001</v>
      </c>
      <c r="AL400" s="565">
        <f t="shared" si="335"/>
        <v>0</v>
      </c>
      <c r="AM400" s="565">
        <f t="shared" si="335"/>
        <v>4.7800000000000002E-2</v>
      </c>
      <c r="AN400" s="565">
        <f t="shared" si="335"/>
        <v>0</v>
      </c>
      <c r="AO400" s="565">
        <f t="shared" si="335"/>
        <v>0.18229999999999999</v>
      </c>
      <c r="AP400" s="565">
        <f t="shared" si="335"/>
        <v>0</v>
      </c>
      <c r="AQ400" s="565">
        <f t="shared" si="335"/>
        <v>4.9399999999999999E-2</v>
      </c>
      <c r="AR400" s="565">
        <f t="shared" si="335"/>
        <v>0</v>
      </c>
      <c r="AS400" s="565">
        <f t="shared" si="335"/>
        <v>0.1767</v>
      </c>
      <c r="AT400" s="565">
        <f>+AT366</f>
        <v>0</v>
      </c>
      <c r="AU400" s="565">
        <f>+AU366</f>
        <v>4.5499999999999999E-2</v>
      </c>
      <c r="AV400" s="565">
        <f t="shared" si="335"/>
        <v>0</v>
      </c>
      <c r="AW400" s="565">
        <f t="shared" si="335"/>
        <v>1.47E-2</v>
      </c>
      <c r="AX400" s="565">
        <f>+AX366</f>
        <v>0</v>
      </c>
      <c r="AY400" s="565">
        <f>+AY366</f>
        <v>3.5499999999999997E-2</v>
      </c>
      <c r="AZ400" s="565"/>
      <c r="BA400" s="565">
        <f t="shared" si="330"/>
        <v>0.99979999999999991</v>
      </c>
    </row>
    <row r="401" spans="10:53" x14ac:dyDescent="0.2">
      <c r="K401" s="529" t="s">
        <v>45</v>
      </c>
      <c r="L401" s="565">
        <f ca="1">+L368+0.0001</f>
        <v>0.63390000000000002</v>
      </c>
      <c r="M401" s="565"/>
      <c r="N401" s="565">
        <f ca="1">+N368</f>
        <v>0.215</v>
      </c>
      <c r="O401" s="565"/>
      <c r="P401" s="565">
        <f ca="1">+P368</f>
        <v>2.5700000000000001E-2</v>
      </c>
      <c r="Q401" s="565"/>
      <c r="R401" s="565">
        <f ca="1">+R368</f>
        <v>6.6799999999999998E-2</v>
      </c>
      <c r="S401" s="565"/>
      <c r="T401" s="565">
        <f ca="1">+T368</f>
        <v>1.7500000000000002E-2</v>
      </c>
      <c r="U401" s="565"/>
      <c r="V401" s="565">
        <f ca="1">+V368</f>
        <v>1.3899999999999999E-2</v>
      </c>
      <c r="W401" s="565"/>
      <c r="X401" s="565">
        <f ca="1">+X368</f>
        <v>2.7199999999999998E-2</v>
      </c>
      <c r="Y401" s="270"/>
      <c r="Z401" s="154">
        <f ca="1">SUM(L401:Y401)</f>
        <v>1</v>
      </c>
      <c r="AA401" s="529" t="str">
        <f t="shared" ca="1" si="329"/>
        <v>ok</v>
      </c>
      <c r="AH401" s="529" t="s">
        <v>45</v>
      </c>
      <c r="AI401" s="565">
        <f ca="1">+AI368</f>
        <v>0.40110000000000001</v>
      </c>
      <c r="AJ401" s="565"/>
      <c r="AK401" s="565">
        <f ca="1">+AK368</f>
        <v>0.1164</v>
      </c>
      <c r="AL401" s="565"/>
      <c r="AM401" s="565">
        <f ca="1">+AM368</f>
        <v>3.5299999999999998E-2</v>
      </c>
      <c r="AN401" s="565"/>
      <c r="AO401" s="565">
        <f ca="1">+AO368</f>
        <v>0.1431</v>
      </c>
      <c r="AP401" s="565"/>
      <c r="AQ401" s="565">
        <f ca="1">+AQ368</f>
        <v>3.7100000000000001E-2</v>
      </c>
      <c r="AR401" s="565"/>
      <c r="AS401" s="565">
        <f ca="1">+AS368</f>
        <v>0.19819999999999999</v>
      </c>
      <c r="AT401" s="565"/>
      <c r="AU401" s="565">
        <f ca="1">+AU368</f>
        <v>2.8500000000000001E-2</v>
      </c>
      <c r="AV401" s="565"/>
      <c r="AW401" s="565">
        <f ca="1">+AW368</f>
        <v>1.29E-2</v>
      </c>
      <c r="AX401" s="565"/>
      <c r="AY401" s="565">
        <f ca="1">+AY368</f>
        <v>2.7199999999999998E-2</v>
      </c>
      <c r="AZ401" s="565"/>
      <c r="BA401" s="565">
        <f t="shared" ca="1" si="330"/>
        <v>0.99980000000000002</v>
      </c>
    </row>
    <row r="402" spans="10:53" x14ac:dyDescent="0.2">
      <c r="K402" s="529">
        <v>16</v>
      </c>
      <c r="L402" s="565">
        <f t="shared" ref="L402:X402" si="336">+L370</f>
        <v>0.62319999999999998</v>
      </c>
      <c r="M402" s="565">
        <f t="shared" si="336"/>
        <v>0</v>
      </c>
      <c r="N402" s="565">
        <f t="shared" si="336"/>
        <v>0.21690000000000001</v>
      </c>
      <c r="O402" s="565">
        <f t="shared" si="336"/>
        <v>0</v>
      </c>
      <c r="P402" s="565">
        <f t="shared" si="336"/>
        <v>2.4899999999999999E-2</v>
      </c>
      <c r="Q402" s="565">
        <f t="shared" si="336"/>
        <v>0</v>
      </c>
      <c r="R402" s="565">
        <f t="shared" si="336"/>
        <v>6.6400000000000001E-2</v>
      </c>
      <c r="S402" s="565">
        <f t="shared" si="336"/>
        <v>0</v>
      </c>
      <c r="T402" s="565">
        <f t="shared" si="336"/>
        <v>1.6299999999999999E-2</v>
      </c>
      <c r="U402" s="565">
        <f t="shared" si="336"/>
        <v>0</v>
      </c>
      <c r="V402" s="565">
        <f t="shared" si="336"/>
        <v>1.41E-2</v>
      </c>
      <c r="W402" s="565">
        <f t="shared" si="336"/>
        <v>0</v>
      </c>
      <c r="X402" s="565">
        <f t="shared" si="336"/>
        <v>3.8199999999999998E-2</v>
      </c>
      <c r="Y402" s="270"/>
      <c r="Z402" s="154">
        <f t="shared" si="331"/>
        <v>1</v>
      </c>
      <c r="AA402" s="529" t="str">
        <f t="shared" si="329"/>
        <v>ok</v>
      </c>
      <c r="AH402" s="529">
        <v>16</v>
      </c>
      <c r="AI402" s="565">
        <f>+AI370</f>
        <v>0.31169999999999998</v>
      </c>
      <c r="AJ402" s="565">
        <f t="shared" ref="AJ402:AW402" si="337">+AJ370</f>
        <v>0</v>
      </c>
      <c r="AK402" s="565">
        <f t="shared" si="337"/>
        <v>0.18229999999999999</v>
      </c>
      <c r="AL402" s="565">
        <f t="shared" si="337"/>
        <v>0</v>
      </c>
      <c r="AM402" s="565">
        <f t="shared" si="337"/>
        <v>4.5900000000000003E-2</v>
      </c>
      <c r="AN402" s="565">
        <f t="shared" si="337"/>
        <v>0</v>
      </c>
      <c r="AO402" s="565">
        <f t="shared" si="337"/>
        <v>0.25690000000000002</v>
      </c>
      <c r="AP402" s="565">
        <f t="shared" si="337"/>
        <v>0</v>
      </c>
      <c r="AQ402" s="565">
        <f t="shared" si="337"/>
        <v>5.4899999999999997E-2</v>
      </c>
      <c r="AR402" s="565">
        <f t="shared" si="337"/>
        <v>0</v>
      </c>
      <c r="AS402" s="565">
        <f t="shared" si="337"/>
        <v>9.3200000000000005E-2</v>
      </c>
      <c r="AT402" s="565">
        <f>+AT370</f>
        <v>0</v>
      </c>
      <c r="AU402" s="565">
        <f>+AU370</f>
        <v>3.5000000000000001E-3</v>
      </c>
      <c r="AV402" s="565">
        <f t="shared" si="337"/>
        <v>0</v>
      </c>
      <c r="AW402" s="565">
        <f t="shared" si="337"/>
        <v>1.3299999999999999E-2</v>
      </c>
      <c r="AX402" s="565">
        <f>+AX370</f>
        <v>0</v>
      </c>
      <c r="AY402" s="565">
        <f>+AY370</f>
        <v>3.8199999999999998E-2</v>
      </c>
      <c r="AZ402" s="565"/>
      <c r="BA402" s="565">
        <f t="shared" si="330"/>
        <v>0.99990000000000001</v>
      </c>
    </row>
    <row r="403" spans="10:53" x14ac:dyDescent="0.2">
      <c r="K403" s="529">
        <v>17</v>
      </c>
      <c r="L403" s="565">
        <f>+L372+0.0001</f>
        <v>0.51469999999999994</v>
      </c>
      <c r="M403" s="565">
        <f t="shared" ref="M403:X403" si="338">+M372</f>
        <v>0</v>
      </c>
      <c r="N403" s="565">
        <f t="shared" si="338"/>
        <v>0.26</v>
      </c>
      <c r="O403" s="565">
        <f t="shared" si="338"/>
        <v>0</v>
      </c>
      <c r="P403" s="565">
        <f t="shared" si="338"/>
        <v>3.4000000000000002E-2</v>
      </c>
      <c r="Q403" s="565">
        <f t="shared" si="338"/>
        <v>0</v>
      </c>
      <c r="R403" s="565">
        <f t="shared" si="338"/>
        <v>8.5900000000000004E-2</v>
      </c>
      <c r="S403" s="565">
        <f t="shared" si="338"/>
        <v>0</v>
      </c>
      <c r="T403" s="565">
        <f t="shared" si="338"/>
        <v>2.0899999999999998E-2</v>
      </c>
      <c r="U403" s="565">
        <f t="shared" si="338"/>
        <v>0</v>
      </c>
      <c r="V403" s="565">
        <f t="shared" si="338"/>
        <v>2.92E-2</v>
      </c>
      <c r="W403" s="565">
        <f t="shared" si="338"/>
        <v>0</v>
      </c>
      <c r="X403" s="565">
        <f t="shared" si="338"/>
        <v>5.5300000000000002E-2</v>
      </c>
      <c r="Y403" s="270"/>
      <c r="Z403" s="154">
        <f t="shared" si="331"/>
        <v>1</v>
      </c>
      <c r="AA403" s="529" t="str">
        <f t="shared" si="329"/>
        <v>ok</v>
      </c>
      <c r="AH403" s="529">
        <v>17</v>
      </c>
      <c r="AI403" s="565">
        <f>+AI372</f>
        <v>0.43090000000000001</v>
      </c>
      <c r="AJ403" s="565">
        <f t="shared" ref="AJ403:AW403" si="339">+AJ372</f>
        <v>0</v>
      </c>
      <c r="AK403" s="565">
        <f t="shared" si="339"/>
        <v>0.23139999999999999</v>
      </c>
      <c r="AL403" s="565">
        <f t="shared" si="339"/>
        <v>0</v>
      </c>
      <c r="AM403" s="565">
        <f t="shared" si="339"/>
        <v>0.1096</v>
      </c>
      <c r="AN403" s="565">
        <f t="shared" si="339"/>
        <v>0</v>
      </c>
      <c r="AO403" s="565">
        <f t="shared" si="339"/>
        <v>0.1013</v>
      </c>
      <c r="AP403" s="565">
        <f t="shared" si="339"/>
        <v>0</v>
      </c>
      <c r="AQ403" s="565">
        <f t="shared" si="339"/>
        <v>2.2200000000000001E-2</v>
      </c>
      <c r="AR403" s="565">
        <f t="shared" si="339"/>
        <v>0</v>
      </c>
      <c r="AS403" s="565">
        <f t="shared" si="339"/>
        <v>1.83E-2</v>
      </c>
      <c r="AT403" s="565">
        <f>+AT372</f>
        <v>0</v>
      </c>
      <c r="AU403" s="565">
        <f>+AU372</f>
        <v>2.8999999999999998E-3</v>
      </c>
      <c r="AV403" s="565">
        <f t="shared" si="339"/>
        <v>0</v>
      </c>
      <c r="AW403" s="565">
        <f t="shared" si="339"/>
        <v>2.87E-2</v>
      </c>
      <c r="AX403" s="565">
        <f>+AX372</f>
        <v>0</v>
      </c>
      <c r="AY403" s="565">
        <f>+AY372</f>
        <v>5.4699999999999999E-2</v>
      </c>
      <c r="AZ403" s="565"/>
      <c r="BA403" s="565">
        <f t="shared" si="330"/>
        <v>0.99999999999999989</v>
      </c>
    </row>
    <row r="404" spans="10:53" x14ac:dyDescent="0.2">
      <c r="K404" s="529">
        <v>18</v>
      </c>
      <c r="L404" s="564">
        <f ca="1">+L374</f>
        <v>0.51339999999999997</v>
      </c>
      <c r="M404" s="564"/>
      <c r="N404" s="564">
        <f ca="1">+N374</f>
        <v>0.26019999999999999</v>
      </c>
      <c r="O404" s="564"/>
      <c r="P404" s="564">
        <f ca="1">+P374</f>
        <v>3.4000000000000002E-2</v>
      </c>
      <c r="Q404" s="564"/>
      <c r="R404" s="564">
        <f ca="1">+R374</f>
        <v>8.5900000000000004E-2</v>
      </c>
      <c r="S404" s="564"/>
      <c r="T404" s="564">
        <f ca="1">+T374</f>
        <v>2.0899999999999998E-2</v>
      </c>
      <c r="U404" s="564"/>
      <c r="V404" s="564">
        <f ca="1">+V374</f>
        <v>2.9899999999999999E-2</v>
      </c>
      <c r="W404" s="564"/>
      <c r="X404" s="564">
        <f ca="1">+X374</f>
        <v>5.57E-2</v>
      </c>
      <c r="Y404" s="270"/>
      <c r="Z404" s="154">
        <f t="shared" ca="1" si="331"/>
        <v>1</v>
      </c>
      <c r="AA404" s="529" t="str">
        <f t="shared" ca="1" si="329"/>
        <v>ok</v>
      </c>
      <c r="AH404" s="529">
        <v>18</v>
      </c>
      <c r="AI404" s="565">
        <f ca="1">+AI374</f>
        <v>0.43010000000000004</v>
      </c>
      <c r="AJ404" s="565">
        <f t="shared" ref="AJ404:AW404" si="340">+AJ374</f>
        <v>0</v>
      </c>
      <c r="AK404" s="565">
        <f t="shared" ca="1" si="340"/>
        <v>0.22919999999999999</v>
      </c>
      <c r="AL404" s="565">
        <f t="shared" si="340"/>
        <v>0</v>
      </c>
      <c r="AM404" s="565">
        <f t="shared" ca="1" si="340"/>
        <v>0.1138</v>
      </c>
      <c r="AN404" s="565">
        <f t="shared" si="340"/>
        <v>0</v>
      </c>
      <c r="AO404" s="565">
        <f t="shared" ca="1" si="340"/>
        <v>9.9599999999999994E-2</v>
      </c>
      <c r="AP404" s="565">
        <f t="shared" si="340"/>
        <v>0</v>
      </c>
      <c r="AQ404" s="565">
        <f t="shared" ca="1" si="340"/>
        <v>2.18E-2</v>
      </c>
      <c r="AR404" s="565">
        <f t="shared" si="340"/>
        <v>0</v>
      </c>
      <c r="AS404" s="565">
        <f t="shared" ca="1" si="340"/>
        <v>1.78E-2</v>
      </c>
      <c r="AT404" s="565">
        <f>+AT374</f>
        <v>0</v>
      </c>
      <c r="AU404" s="565">
        <f ca="1">+AU374</f>
        <v>2.8E-3</v>
      </c>
      <c r="AV404" s="565">
        <f t="shared" si="340"/>
        <v>0</v>
      </c>
      <c r="AW404" s="565">
        <f t="shared" ca="1" si="340"/>
        <v>2.9399999999999999E-2</v>
      </c>
      <c r="AX404" s="565">
        <f>+AX374</f>
        <v>0</v>
      </c>
      <c r="AY404" s="565">
        <f ca="1">+AY374</f>
        <v>5.5199999999999999E-2</v>
      </c>
      <c r="AZ404" s="565"/>
      <c r="BA404" s="565">
        <f t="shared" ca="1" si="330"/>
        <v>0.99970000000000014</v>
      </c>
    </row>
    <row r="405" spans="10:53" x14ac:dyDescent="0.2">
      <c r="K405" s="529">
        <v>19</v>
      </c>
      <c r="L405" s="564">
        <f ca="1">+L376+0.0001</f>
        <v>0.5696</v>
      </c>
      <c r="M405" s="564"/>
      <c r="N405" s="564">
        <f ca="1">+N376</f>
        <v>0.23949999999999999</v>
      </c>
      <c r="O405" s="564"/>
      <c r="P405" s="564">
        <f ca="1">+P376</f>
        <v>3.0099999999999998E-2</v>
      </c>
      <c r="Q405" s="564"/>
      <c r="R405" s="564">
        <f ca="1">+R376</f>
        <v>7.6999999999999999E-2</v>
      </c>
      <c r="S405" s="564"/>
      <c r="T405" s="564">
        <f ca="1">+T376</f>
        <v>1.9300000000000001E-2</v>
      </c>
      <c r="U405" s="564"/>
      <c r="V405" s="564">
        <f ca="1">+V376</f>
        <v>2.2700000000000001E-2</v>
      </c>
      <c r="W405" s="564"/>
      <c r="X405" s="564">
        <f ca="1">+X376</f>
        <v>4.1799999999999997E-2</v>
      </c>
      <c r="Y405" s="270"/>
      <c r="Z405" s="154">
        <f t="shared" ca="1" si="331"/>
        <v>0.99999999999999989</v>
      </c>
      <c r="AA405" s="529" t="str">
        <f t="shared" ca="1" si="329"/>
        <v>ok</v>
      </c>
      <c r="AH405" s="529">
        <v>19</v>
      </c>
      <c r="AI405" s="565">
        <f ca="1">+AI376</f>
        <v>0.41159999999999997</v>
      </c>
      <c r="AJ405" s="565">
        <f t="shared" ref="AJ405:AW405" si="341">+AJ376</f>
        <v>0</v>
      </c>
      <c r="AK405" s="565">
        <f t="shared" ca="1" si="341"/>
        <v>0.18190000000000001</v>
      </c>
      <c r="AL405" s="565">
        <f t="shared" si="341"/>
        <v>0</v>
      </c>
      <c r="AM405" s="565">
        <f t="shared" ca="1" si="341"/>
        <v>7.7499999999999999E-2</v>
      </c>
      <c r="AN405" s="565">
        <f t="shared" si="341"/>
        <v>0</v>
      </c>
      <c r="AO405" s="565">
        <f t="shared" ca="1" si="341"/>
        <v>0.121</v>
      </c>
      <c r="AP405" s="565">
        <f t="shared" si="341"/>
        <v>0</v>
      </c>
      <c r="AQ405" s="565">
        <f t="shared" ca="1" si="341"/>
        <v>3.5499999999999997E-2</v>
      </c>
      <c r="AR405" s="565">
        <f t="shared" si="341"/>
        <v>0</v>
      </c>
      <c r="AS405" s="565">
        <f t="shared" ca="1" si="341"/>
        <v>9.5299999999999996E-2</v>
      </c>
      <c r="AT405" s="565">
        <f>+AT376</f>
        <v>0</v>
      </c>
      <c r="AU405" s="565">
        <f ca="1">+AU376</f>
        <v>1.3599999999999999E-2</v>
      </c>
      <c r="AV405" s="565">
        <f t="shared" si="341"/>
        <v>0</v>
      </c>
      <c r="AW405" s="565">
        <f t="shared" ca="1" si="341"/>
        <v>2.1999999999999999E-2</v>
      </c>
      <c r="AX405" s="565">
        <f>+AX376</f>
        <v>0</v>
      </c>
      <c r="AY405" s="565">
        <f ca="1">+AY376</f>
        <v>4.1599999999999998E-2</v>
      </c>
      <c r="AZ405" s="565"/>
      <c r="BA405" s="565">
        <f t="shared" ca="1" si="330"/>
        <v>0.99999999999999978</v>
      </c>
    </row>
    <row r="406" spans="10:53" x14ac:dyDescent="0.2">
      <c r="K406" s="529">
        <v>20</v>
      </c>
      <c r="L406" s="564">
        <f>+'F 15-20'!F155</f>
        <v>0.82050000000000001</v>
      </c>
      <c r="M406" s="564"/>
      <c r="N406" s="564">
        <f>+'F 15-20'!F156</f>
        <v>0.15609999999999999</v>
      </c>
      <c r="O406" s="564"/>
      <c r="P406" s="564">
        <f>+'F 15-20'!F157</f>
        <v>0</v>
      </c>
      <c r="Q406" s="564"/>
      <c r="R406" s="564">
        <f>+'F 15-20'!F158</f>
        <v>0</v>
      </c>
      <c r="S406" s="564"/>
      <c r="T406" s="564">
        <f>+'F 15-20'!F159</f>
        <v>0</v>
      </c>
      <c r="U406" s="564"/>
      <c r="V406" s="564">
        <f>+'F 15-20'!F160</f>
        <v>2.3400000000000001E-2</v>
      </c>
      <c r="W406" s="564"/>
      <c r="X406" s="564">
        <v>0</v>
      </c>
      <c r="Y406" s="154"/>
      <c r="Z406" s="154">
        <f t="shared" si="331"/>
        <v>1</v>
      </c>
      <c r="AA406" s="529" t="str">
        <f t="shared" si="329"/>
        <v>ok</v>
      </c>
      <c r="AH406" s="529">
        <v>20</v>
      </c>
      <c r="AI406" s="565"/>
      <c r="AJ406" s="565"/>
      <c r="AK406" s="565"/>
      <c r="AL406" s="565"/>
      <c r="AM406" s="565"/>
      <c r="AN406" s="565"/>
      <c r="AO406" s="565"/>
      <c r="AP406" s="565"/>
      <c r="AQ406" s="565"/>
      <c r="AR406" s="565"/>
      <c r="AS406" s="565">
        <v>0</v>
      </c>
      <c r="AT406" s="565"/>
      <c r="AU406" s="565">
        <v>1</v>
      </c>
      <c r="AV406" s="565"/>
      <c r="AW406" s="565"/>
      <c r="AX406" s="565"/>
      <c r="AY406" s="565"/>
      <c r="AZ406" s="565"/>
      <c r="BA406" s="565">
        <f t="shared" si="330"/>
        <v>1</v>
      </c>
    </row>
    <row r="407" spans="10:53" x14ac:dyDescent="0.2">
      <c r="L407" s="155"/>
      <c r="M407" s="154"/>
      <c r="N407" s="154"/>
      <c r="O407" s="154"/>
      <c r="P407" s="154"/>
      <c r="Q407" s="154"/>
      <c r="R407" s="154"/>
      <c r="S407" s="154"/>
      <c r="T407" s="154"/>
      <c r="U407" s="154"/>
      <c r="V407" s="154"/>
      <c r="W407" s="154"/>
      <c r="X407" s="154"/>
      <c r="Y407" s="154"/>
      <c r="Z407" s="154"/>
    </row>
    <row r="408" spans="10:53" x14ac:dyDescent="0.2">
      <c r="L408" s="155"/>
      <c r="M408" s="154"/>
      <c r="N408" s="154"/>
      <c r="O408" s="154"/>
      <c r="P408" s="154"/>
      <c r="Q408" s="154"/>
      <c r="R408" s="154"/>
      <c r="S408" s="154"/>
      <c r="T408" s="154"/>
      <c r="U408" s="154"/>
      <c r="V408" s="154"/>
      <c r="W408" s="154"/>
      <c r="X408" s="154"/>
      <c r="Y408" s="154"/>
      <c r="Z408" s="154"/>
    </row>
    <row r="409" spans="10:53" x14ac:dyDescent="0.2">
      <c r="L409" s="155"/>
      <c r="M409" s="154"/>
      <c r="N409" s="154"/>
      <c r="O409" s="154"/>
      <c r="P409" s="154"/>
      <c r="Q409" s="154"/>
      <c r="R409" s="154"/>
      <c r="S409" s="154"/>
      <c r="T409" s="154"/>
      <c r="U409" s="154"/>
      <c r="V409" s="154"/>
      <c r="W409" s="154"/>
      <c r="X409" s="154"/>
      <c r="Y409" s="154"/>
      <c r="Z409" s="154"/>
    </row>
    <row r="410" spans="10:53" x14ac:dyDescent="0.2">
      <c r="L410" s="155" t="s">
        <v>490</v>
      </c>
      <c r="M410" s="154"/>
      <c r="N410" s="154"/>
      <c r="O410" s="154"/>
      <c r="P410" s="154"/>
      <c r="Q410" s="154"/>
      <c r="R410" s="154"/>
      <c r="S410" s="154"/>
      <c r="T410" s="154"/>
      <c r="U410" s="154"/>
      <c r="V410" s="154"/>
      <c r="W410" s="154"/>
      <c r="X410" s="154"/>
      <c r="Y410" s="154"/>
      <c r="Z410" s="154"/>
    </row>
    <row r="411" spans="10:53" x14ac:dyDescent="0.2">
      <c r="J411" s="529">
        <v>2</v>
      </c>
      <c r="L411" s="155" t="str">
        <f>IF(AND('F 1-2'!E47=1,'F 1-2'!G47='F 1-2'!G37,'F 1-2'!I47=1,'F 1-2'!K47='F 1-2'!K37),"OK","&lt;&lt;&lt;&lt;??")</f>
        <v>OK</v>
      </c>
      <c r="M411" s="154"/>
      <c r="N411" s="154" t="str">
        <f>IF('F 2 B'!J23=1,"ok","&lt;&lt;&lt;&lt;??")</f>
        <v>ok</v>
      </c>
      <c r="O411" s="154"/>
      <c r="P411" s="154"/>
      <c r="Q411" s="154"/>
      <c r="R411" s="154"/>
      <c r="S411" s="154"/>
      <c r="T411" s="154"/>
      <c r="U411" s="154"/>
      <c r="V411" s="154"/>
      <c r="W411" s="154"/>
      <c r="X411" s="154"/>
      <c r="Y411" s="154"/>
      <c r="Z411" s="154"/>
    </row>
    <row r="412" spans="10:53" x14ac:dyDescent="0.2">
      <c r="J412" s="529">
        <v>3</v>
      </c>
      <c r="L412" s="155" t="str">
        <f>IF(AND('F 3-4'!D27=1,'F 3-4'!F27='F 3-4'!F17,'F 3-4'!H27=1,'F 3-4'!J27='F 3-4'!J17,'F 3-4'!L27=1,'F 3-4'!N27='F 3-4'!N17),"OK","&lt;&lt;&lt;&lt;??")</f>
        <v>OK</v>
      </c>
      <c r="M412" s="154"/>
      <c r="N412" s="154" t="str">
        <f>IF('F 3B 4B'!I23=1,"OK","&lt;&lt;&lt;&lt;??")</f>
        <v>OK</v>
      </c>
      <c r="O412" s="154"/>
      <c r="P412" s="154"/>
      <c r="Q412" s="154"/>
      <c r="R412" s="154"/>
      <c r="S412" s="154"/>
      <c r="T412" s="154"/>
      <c r="U412" s="154"/>
      <c r="V412" s="154"/>
      <c r="W412" s="154"/>
      <c r="X412" s="154"/>
      <c r="Y412" s="154"/>
      <c r="Z412" s="154"/>
    </row>
    <row r="413" spans="10:53" x14ac:dyDescent="0.2">
      <c r="J413" s="529">
        <v>4</v>
      </c>
      <c r="L413" s="155" t="str">
        <f>IF(AND('F 3-4'!F57=1,'F 3-4'!H57='F 3-4'!H47,'F 3-4'!J57=1,'F 3-4'!L57='F 3-4'!L47,'F 3-4'!N57=1,'F 3-4'!P57='F 3-4'!P47),"OK","&lt;&lt;&lt;&lt;??")</f>
        <v>OK</v>
      </c>
      <c r="M413" s="154"/>
      <c r="N413" s="154" t="str">
        <f>IF(AND('F 3B 4B'!K68=1,'F 3B 4B'!I52=1),"OK","&lt;&lt;&lt;&lt;??")</f>
        <v>OK</v>
      </c>
      <c r="O413" s="154"/>
      <c r="P413" s="154"/>
      <c r="Q413" s="154"/>
      <c r="R413" s="154"/>
      <c r="S413" s="154"/>
      <c r="T413" s="154"/>
      <c r="U413" s="154"/>
      <c r="V413" s="154"/>
      <c r="W413" s="154"/>
      <c r="X413" s="154"/>
      <c r="Y413" s="154"/>
      <c r="Z413" s="154"/>
    </row>
    <row r="414" spans="10:53" x14ac:dyDescent="0.2">
      <c r="J414" s="529">
        <v>5</v>
      </c>
      <c r="L414" s="155" t="str">
        <f>IF(AND('F 5'!F26=1,'F 5'!H26='F 5'!H16,'F 5'!J26=1,'F 5'!L26='F 5'!L16,'F 5'!N26=1,'F 5'!P26='F 5'!P16),"OK","&lt;&lt;&lt;&lt;??")</f>
        <v>OK</v>
      </c>
      <c r="M414" s="154"/>
      <c r="N414" s="154" t="str">
        <f>IF(AND('F 5B'!F29=100,'F 5B'!J44=1),"OK","&lt;&lt;&lt;&lt;?")</f>
        <v>OK</v>
      </c>
      <c r="O414" s="154"/>
      <c r="P414" s="154"/>
      <c r="Q414" s="154"/>
      <c r="R414" s="154"/>
      <c r="S414" s="154"/>
      <c r="T414" s="154"/>
      <c r="U414" s="154"/>
      <c r="V414" s="154"/>
      <c r="W414" s="154"/>
      <c r="X414" s="154"/>
      <c r="Y414" s="154"/>
      <c r="Z414" s="154"/>
    </row>
    <row r="415" spans="10:53" x14ac:dyDescent="0.2">
      <c r="J415" s="529">
        <v>6</v>
      </c>
      <c r="L415" s="155" t="str">
        <f>IF(AND('F6-7'!D26=1,'F6-7'!F26='F6-7'!F16,'F6-7'!H26=1,'F6-7'!J26='F6-7'!J16,'F6-7'!L26=1,'F6-7'!N26='F6-7'!N16),"OK","&lt;&lt;&lt;&lt;??")</f>
        <v>OK</v>
      </c>
      <c r="M415" s="154"/>
      <c r="N415" s="154"/>
      <c r="O415" s="154"/>
      <c r="P415" s="154"/>
      <c r="Q415" s="154"/>
      <c r="R415" s="154"/>
      <c r="S415" s="154"/>
      <c r="T415" s="154"/>
      <c r="U415" s="154"/>
      <c r="V415" s="154"/>
      <c r="W415" s="154"/>
      <c r="X415" s="154"/>
      <c r="Y415" s="154"/>
      <c r="Z415" s="154"/>
    </row>
    <row r="416" spans="10:53" x14ac:dyDescent="0.2">
      <c r="J416" s="529">
        <v>7</v>
      </c>
      <c r="L416" s="155" t="str">
        <f>IF(AND('F6-7'!F69=1,'F6-7'!H69='F6-7'!H59,'F6-7'!J69=1,'F6-7'!L69='F6-7'!L59),"OK","&lt;&lt;&lt;&lt;??")</f>
        <v>OK</v>
      </c>
      <c r="M416" s="154"/>
      <c r="N416" s="154"/>
      <c r="O416" s="154"/>
      <c r="P416" s="154"/>
      <c r="Q416" s="154"/>
      <c r="R416" s="154"/>
      <c r="S416" s="154"/>
      <c r="T416" s="154"/>
      <c r="U416" s="154"/>
      <c r="V416" s="154"/>
      <c r="W416" s="154"/>
      <c r="X416" s="154"/>
      <c r="Y416" s="154"/>
      <c r="Z416" s="154"/>
    </row>
    <row r="417" spans="10:41" x14ac:dyDescent="0.2">
      <c r="J417" s="155" t="s">
        <v>491</v>
      </c>
      <c r="K417" s="152"/>
      <c r="L417" s="155" t="str">
        <f ca="1">IF(AND('SCH-A'!F32=1,'SCH-A'!J32=1,'SCH-A'!N32=1),"ok","&lt;&lt;&lt;&lt;??")</f>
        <v>ok</v>
      </c>
      <c r="M417" s="152"/>
      <c r="N417" s="152"/>
      <c r="O417" s="152"/>
      <c r="P417" s="152"/>
      <c r="Q417" s="152"/>
      <c r="R417" s="152"/>
      <c r="S417" s="152"/>
      <c r="T417" s="152"/>
      <c r="U417" s="152"/>
      <c r="V417" s="152"/>
      <c r="W417" s="152"/>
      <c r="X417" s="152"/>
      <c r="Y417" s="152"/>
      <c r="Z417" s="152"/>
    </row>
    <row r="418" spans="10:41" x14ac:dyDescent="0.2">
      <c r="AA418" s="155"/>
      <c r="AB418" s="152"/>
      <c r="AC418" s="152"/>
      <c r="AD418" s="152"/>
      <c r="AE418" s="152"/>
      <c r="AF418" s="152"/>
      <c r="AG418" s="152"/>
      <c r="AH418" s="152"/>
      <c r="AI418" s="152"/>
      <c r="AJ418" s="152"/>
      <c r="AK418" s="152"/>
      <c r="AL418" s="152"/>
      <c r="AM418" s="152"/>
      <c r="AN418" s="152"/>
      <c r="AO418" s="152"/>
    </row>
    <row r="419" spans="10:41" x14ac:dyDescent="0.2">
      <c r="AA419" s="147"/>
    </row>
    <row r="420" spans="10:41" x14ac:dyDescent="0.2">
      <c r="AA420" s="147"/>
    </row>
    <row r="421" spans="10:41" x14ac:dyDescent="0.2">
      <c r="AA421" s="147"/>
    </row>
    <row r="422" spans="10:41" x14ac:dyDescent="0.2">
      <c r="AA422" s="147"/>
    </row>
    <row r="423" spans="10:41" x14ac:dyDescent="0.2">
      <c r="AA423" s="147"/>
    </row>
    <row r="424" spans="10:41" x14ac:dyDescent="0.2">
      <c r="AA424" s="147"/>
    </row>
    <row r="425" spans="10:41" x14ac:dyDescent="0.2">
      <c r="AA425" s="147"/>
    </row>
    <row r="426" spans="10:41" x14ac:dyDescent="0.2">
      <c r="AA426" s="147"/>
    </row>
    <row r="427" spans="10:41" x14ac:dyDescent="0.2">
      <c r="AA427" s="147"/>
    </row>
    <row r="428" spans="10:41" x14ac:dyDescent="0.2">
      <c r="AA428" s="147"/>
    </row>
    <row r="429" spans="10:41" x14ac:dyDescent="0.2">
      <c r="AA429" s="147"/>
    </row>
    <row r="430" spans="10:41" x14ac:dyDescent="0.2">
      <c r="AA430" s="147"/>
    </row>
    <row r="431" spans="10:41" x14ac:dyDescent="0.2">
      <c r="AA431" s="147"/>
    </row>
    <row r="432" spans="10:41" x14ac:dyDescent="0.2">
      <c r="AA432" s="147"/>
    </row>
    <row r="433" spans="27:27" x14ac:dyDescent="0.2">
      <c r="AA433" s="147"/>
    </row>
    <row r="434" spans="27:27" x14ac:dyDescent="0.2">
      <c r="AA434" s="147"/>
    </row>
    <row r="435" spans="27:27" x14ac:dyDescent="0.2">
      <c r="AA435" s="147"/>
    </row>
    <row r="436" spans="27:27" x14ac:dyDescent="0.2">
      <c r="AA436" s="147"/>
    </row>
    <row r="437" spans="27:27" x14ac:dyDescent="0.2">
      <c r="AA437" s="147"/>
    </row>
    <row r="438" spans="27:27" x14ac:dyDescent="0.2">
      <c r="AA438" s="147"/>
    </row>
    <row r="439" spans="27:27" x14ac:dyDescent="0.2">
      <c r="AA439" s="145"/>
    </row>
    <row r="440" spans="27:27" x14ac:dyDescent="0.2">
      <c r="AA440" s="145"/>
    </row>
    <row r="441" spans="27:27" x14ac:dyDescent="0.2">
      <c r="AA441" s="145"/>
    </row>
    <row r="442" spans="27:27" x14ac:dyDescent="0.2">
      <c r="AA442" s="145"/>
    </row>
    <row r="443" spans="27:27" x14ac:dyDescent="0.2">
      <c r="AA443" s="145"/>
    </row>
    <row r="444" spans="27:27" x14ac:dyDescent="0.2">
      <c r="AA444" s="145"/>
    </row>
    <row r="445" spans="27:27" x14ac:dyDescent="0.2">
      <c r="AA445" s="145"/>
    </row>
    <row r="446" spans="27:27" x14ac:dyDescent="0.2">
      <c r="AA446" s="145"/>
    </row>
    <row r="447" spans="27:27" x14ac:dyDescent="0.2">
      <c r="AA447" s="145"/>
    </row>
    <row r="448" spans="27:27" x14ac:dyDescent="0.2">
      <c r="AA448" s="145"/>
    </row>
    <row r="449" spans="27:27" x14ac:dyDescent="0.2">
      <c r="AA449" s="145"/>
    </row>
    <row r="450" spans="27:27" x14ac:dyDescent="0.2">
      <c r="AA450" s="145"/>
    </row>
    <row r="451" spans="27:27" x14ac:dyDescent="0.2">
      <c r="AA451" s="145"/>
    </row>
    <row r="452" spans="27:27" x14ac:dyDescent="0.2">
      <c r="AA452" s="145"/>
    </row>
    <row r="453" spans="27:27" x14ac:dyDescent="0.2">
      <c r="AA453" s="145"/>
    </row>
    <row r="454" spans="27:27" x14ac:dyDescent="0.2">
      <c r="AA454" s="145"/>
    </row>
    <row r="455" spans="27:27" x14ac:dyDescent="0.2">
      <c r="AA455" s="145"/>
    </row>
    <row r="456" spans="27:27" x14ac:dyDescent="0.2">
      <c r="AA456" s="145"/>
    </row>
    <row r="457" spans="27:27" x14ac:dyDescent="0.2">
      <c r="AA457" s="145"/>
    </row>
    <row r="458" spans="27:27" x14ac:dyDescent="0.2">
      <c r="AA458" s="145"/>
    </row>
    <row r="459" spans="27:27" x14ac:dyDescent="0.2">
      <c r="AA459" s="145"/>
    </row>
    <row r="460" spans="27:27" x14ac:dyDescent="0.2">
      <c r="AA460" s="145"/>
    </row>
    <row r="461" spans="27:27" x14ac:dyDescent="0.2">
      <c r="AA461" s="145"/>
    </row>
    <row r="462" spans="27:27" x14ac:dyDescent="0.2">
      <c r="AA462" s="145"/>
    </row>
    <row r="463" spans="27:27" x14ac:dyDescent="0.2">
      <c r="AA463" s="145"/>
    </row>
    <row r="464" spans="27:27" x14ac:dyDescent="0.2">
      <c r="AA464" s="145"/>
    </row>
    <row r="465" spans="27:27" x14ac:dyDescent="0.2">
      <c r="AA465" s="145"/>
    </row>
    <row r="466" spans="27:27" x14ac:dyDescent="0.2">
      <c r="AA466" s="145"/>
    </row>
    <row r="467" spans="27:27" x14ac:dyDescent="0.2">
      <c r="AA467" s="145"/>
    </row>
    <row r="468" spans="27:27" x14ac:dyDescent="0.2">
      <c r="AA468" s="145"/>
    </row>
    <row r="469" spans="27:27" x14ac:dyDescent="0.2">
      <c r="AA469" s="145"/>
    </row>
    <row r="470" spans="27:27" x14ac:dyDescent="0.2">
      <c r="AA470" s="145"/>
    </row>
    <row r="471" spans="27:27" x14ac:dyDescent="0.2">
      <c r="AA471" s="145"/>
    </row>
    <row r="472" spans="27:27" x14ac:dyDescent="0.2">
      <c r="AA472" s="145"/>
    </row>
    <row r="473" spans="27:27" x14ac:dyDescent="0.2">
      <c r="AA473" s="145"/>
    </row>
    <row r="474" spans="27:27" x14ac:dyDescent="0.2">
      <c r="AA474" s="145"/>
    </row>
    <row r="475" spans="27:27" x14ac:dyDescent="0.2">
      <c r="AA475" s="145"/>
    </row>
    <row r="476" spans="27:27" x14ac:dyDescent="0.2">
      <c r="AA476" s="145"/>
    </row>
    <row r="477" spans="27:27" x14ac:dyDescent="0.2">
      <c r="AA477" s="145"/>
    </row>
    <row r="478" spans="27:27" x14ac:dyDescent="0.2">
      <c r="AA478" s="145"/>
    </row>
    <row r="479" spans="27:27" x14ac:dyDescent="0.2">
      <c r="AA479" s="145"/>
    </row>
    <row r="480" spans="27:27" x14ac:dyDescent="0.2">
      <c r="AA480" s="145"/>
    </row>
    <row r="481" spans="27:27" x14ac:dyDescent="0.2">
      <c r="AA481" s="145"/>
    </row>
    <row r="482" spans="27:27" x14ac:dyDescent="0.2">
      <c r="AA482" s="145"/>
    </row>
    <row r="483" spans="27:27" x14ac:dyDescent="0.2">
      <c r="AA483" s="145"/>
    </row>
    <row r="484" spans="27:27" x14ac:dyDescent="0.2">
      <c r="AA484" s="145"/>
    </row>
    <row r="485" spans="27:27" x14ac:dyDescent="0.2">
      <c r="AA485" s="145"/>
    </row>
    <row r="486" spans="27:27" x14ac:dyDescent="0.2">
      <c r="AA486" s="145"/>
    </row>
    <row r="487" spans="27:27" x14ac:dyDescent="0.2">
      <c r="AA487" s="145"/>
    </row>
    <row r="488" spans="27:27" x14ac:dyDescent="0.2">
      <c r="AA488" s="145"/>
    </row>
    <row r="489" spans="27:27" x14ac:dyDescent="0.2">
      <c r="AA489" s="145"/>
    </row>
    <row r="490" spans="27:27" x14ac:dyDescent="0.2">
      <c r="AA490" s="145"/>
    </row>
    <row r="491" spans="27:27" x14ac:dyDescent="0.2">
      <c r="AA491" s="145"/>
    </row>
    <row r="492" spans="27:27" x14ac:dyDescent="0.2">
      <c r="AA492" s="145"/>
    </row>
    <row r="493" spans="27:27" x14ac:dyDescent="0.2">
      <c r="AA493" s="145"/>
    </row>
    <row r="494" spans="27:27" x14ac:dyDescent="0.2">
      <c r="AA494" s="145"/>
    </row>
    <row r="495" spans="27:27" x14ac:dyDescent="0.2">
      <c r="AA495" s="145"/>
    </row>
    <row r="496" spans="27:27" x14ac:dyDescent="0.2">
      <c r="AA496" s="145"/>
    </row>
    <row r="497" spans="27:27" x14ac:dyDescent="0.2">
      <c r="AA497" s="145"/>
    </row>
    <row r="498" spans="27:27" x14ac:dyDescent="0.2">
      <c r="AA498" s="145"/>
    </row>
    <row r="499" spans="27:27" x14ac:dyDescent="0.2">
      <c r="AA499" s="145"/>
    </row>
    <row r="500" spans="27:27" x14ac:dyDescent="0.2">
      <c r="AA500" s="145"/>
    </row>
    <row r="501" spans="27:27" x14ac:dyDescent="0.2">
      <c r="AA501" s="145"/>
    </row>
    <row r="502" spans="27:27" x14ac:dyDescent="0.2">
      <c r="AA502" s="145"/>
    </row>
    <row r="503" spans="27:27" x14ac:dyDescent="0.2">
      <c r="AA503" s="145"/>
    </row>
    <row r="504" spans="27:27" x14ac:dyDescent="0.2">
      <c r="AA504" s="145"/>
    </row>
    <row r="505" spans="27:27" x14ac:dyDescent="0.2">
      <c r="AA505" s="145"/>
    </row>
    <row r="506" spans="27:27" x14ac:dyDescent="0.2">
      <c r="AA506" s="145"/>
    </row>
    <row r="507" spans="27:27" x14ac:dyDescent="0.2">
      <c r="AA507" s="145"/>
    </row>
    <row r="508" spans="27:27" x14ac:dyDescent="0.2">
      <c r="AA508" s="145"/>
    </row>
    <row r="509" spans="27:27" x14ac:dyDescent="0.2">
      <c r="AA509" s="145"/>
    </row>
    <row r="510" spans="27:27" x14ac:dyDescent="0.2">
      <c r="AA510" s="145"/>
    </row>
    <row r="511" spans="27:27" x14ac:dyDescent="0.2">
      <c r="AA511" s="145"/>
    </row>
    <row r="512" spans="27:27" x14ac:dyDescent="0.2">
      <c r="AA512" s="145"/>
    </row>
    <row r="513" spans="27:27" x14ac:dyDescent="0.2">
      <c r="AA513" s="145"/>
    </row>
    <row r="514" spans="27:27" x14ac:dyDescent="0.2">
      <c r="AA514" s="145"/>
    </row>
    <row r="515" spans="27:27" x14ac:dyDescent="0.2">
      <c r="AA515" s="145"/>
    </row>
    <row r="516" spans="27:27" x14ac:dyDescent="0.2">
      <c r="AA516" s="145"/>
    </row>
    <row r="517" spans="27:27" x14ac:dyDescent="0.2">
      <c r="AA517" s="145"/>
    </row>
    <row r="518" spans="27:27" x14ac:dyDescent="0.2">
      <c r="AA518" s="145"/>
    </row>
    <row r="519" spans="27:27" x14ac:dyDescent="0.2">
      <c r="AA519" s="145"/>
    </row>
    <row r="520" spans="27:27" x14ac:dyDescent="0.2">
      <c r="AA520" s="145"/>
    </row>
    <row r="521" spans="27:27" x14ac:dyDescent="0.2">
      <c r="AA521" s="145"/>
    </row>
    <row r="522" spans="27:27" x14ac:dyDescent="0.2">
      <c r="AA522" s="145"/>
    </row>
    <row r="523" spans="27:27" x14ac:dyDescent="0.2">
      <c r="AA523" s="145"/>
    </row>
    <row r="524" spans="27:27" x14ac:dyDescent="0.2">
      <c r="AA524" s="145"/>
    </row>
    <row r="525" spans="27:27" x14ac:dyDescent="0.2">
      <c r="AA525" s="145"/>
    </row>
    <row r="526" spans="27:27" x14ac:dyDescent="0.2">
      <c r="AA526" s="145"/>
    </row>
    <row r="527" spans="27:27" x14ac:dyDescent="0.2">
      <c r="AA527" s="145"/>
    </row>
    <row r="528" spans="27:27" x14ac:dyDescent="0.2">
      <c r="AA528" s="145"/>
    </row>
    <row r="529" spans="27:27" x14ac:dyDescent="0.2">
      <c r="AA529" s="145"/>
    </row>
    <row r="530" spans="27:27" x14ac:dyDescent="0.2">
      <c r="AA530" s="145"/>
    </row>
    <row r="531" spans="27:27" x14ac:dyDescent="0.2">
      <c r="AA531" s="145"/>
    </row>
    <row r="532" spans="27:27" x14ac:dyDescent="0.2">
      <c r="AA532" s="145"/>
    </row>
    <row r="533" spans="27:27" x14ac:dyDescent="0.2">
      <c r="AA533" s="145"/>
    </row>
    <row r="534" spans="27:27" x14ac:dyDescent="0.2">
      <c r="AA534" s="145"/>
    </row>
    <row r="535" spans="27:27" x14ac:dyDescent="0.2">
      <c r="AA535" s="145"/>
    </row>
    <row r="536" spans="27:27" x14ac:dyDescent="0.2">
      <c r="AA536" s="145"/>
    </row>
    <row r="537" spans="27:27" x14ac:dyDescent="0.2">
      <c r="AA537" s="145"/>
    </row>
    <row r="538" spans="27:27" x14ac:dyDescent="0.2">
      <c r="AA538" s="145"/>
    </row>
    <row r="539" spans="27:27" x14ac:dyDescent="0.2">
      <c r="AA539" s="145"/>
    </row>
    <row r="540" spans="27:27" x14ac:dyDescent="0.2">
      <c r="AA540" s="145"/>
    </row>
    <row r="541" spans="27:27" x14ac:dyDescent="0.2">
      <c r="AA541" s="145"/>
    </row>
    <row r="542" spans="27:27" x14ac:dyDescent="0.2">
      <c r="AA542" s="145"/>
    </row>
    <row r="543" spans="27:27" x14ac:dyDescent="0.2">
      <c r="AA543" s="145"/>
    </row>
    <row r="544" spans="27:27" x14ac:dyDescent="0.2">
      <c r="AA544" s="145"/>
    </row>
    <row r="545" spans="27:27" x14ac:dyDescent="0.2">
      <c r="AA545" s="145"/>
    </row>
    <row r="546" spans="27:27" x14ac:dyDescent="0.2">
      <c r="AA546" s="145"/>
    </row>
    <row r="547" spans="27:27" x14ac:dyDescent="0.2">
      <c r="AA547" s="145"/>
    </row>
    <row r="548" spans="27:27" x14ac:dyDescent="0.2">
      <c r="AA548" s="145"/>
    </row>
    <row r="549" spans="27:27" x14ac:dyDescent="0.2">
      <c r="AA549" s="145"/>
    </row>
    <row r="550" spans="27:27" x14ac:dyDescent="0.2">
      <c r="AA550" s="145"/>
    </row>
    <row r="551" spans="27:27" x14ac:dyDescent="0.2">
      <c r="AA551" s="145"/>
    </row>
    <row r="552" spans="27:27" x14ac:dyDescent="0.2">
      <c r="AA552" s="145"/>
    </row>
    <row r="553" spans="27:27" x14ac:dyDescent="0.2">
      <c r="AA553" s="145"/>
    </row>
    <row r="554" spans="27:27" x14ac:dyDescent="0.2">
      <c r="AA554" s="145"/>
    </row>
    <row r="555" spans="27:27" x14ac:dyDescent="0.2">
      <c r="AA555" s="145"/>
    </row>
    <row r="556" spans="27:27" x14ac:dyDescent="0.2">
      <c r="AA556" s="145"/>
    </row>
    <row r="557" spans="27:27" x14ac:dyDescent="0.2">
      <c r="AA557" s="145"/>
    </row>
    <row r="558" spans="27:27" x14ac:dyDescent="0.2">
      <c r="AA558" s="145"/>
    </row>
    <row r="559" spans="27:27" x14ac:dyDescent="0.2">
      <c r="AA559" s="145"/>
    </row>
    <row r="560" spans="27:27" x14ac:dyDescent="0.2">
      <c r="AA560" s="145"/>
    </row>
    <row r="561" spans="27:27" x14ac:dyDescent="0.2">
      <c r="AA561" s="145"/>
    </row>
    <row r="562" spans="27:27" x14ac:dyDescent="0.2">
      <c r="AA562" s="145"/>
    </row>
    <row r="563" spans="27:27" x14ac:dyDescent="0.2">
      <c r="AA563" s="145"/>
    </row>
    <row r="564" spans="27:27" x14ac:dyDescent="0.2">
      <c r="AA564" s="145"/>
    </row>
    <row r="565" spans="27:27" x14ac:dyDescent="0.2">
      <c r="AA565" s="145"/>
    </row>
    <row r="566" spans="27:27" x14ac:dyDescent="0.2">
      <c r="AA566" s="145"/>
    </row>
    <row r="567" spans="27:27" x14ac:dyDescent="0.2">
      <c r="AA567" s="145"/>
    </row>
    <row r="568" spans="27:27" x14ac:dyDescent="0.2">
      <c r="AA568" s="145"/>
    </row>
    <row r="569" spans="27:27" x14ac:dyDescent="0.2">
      <c r="AA569" s="145"/>
    </row>
    <row r="570" spans="27:27" x14ac:dyDescent="0.2">
      <c r="AA570" s="145"/>
    </row>
    <row r="571" spans="27:27" x14ac:dyDescent="0.2">
      <c r="AA571" s="145"/>
    </row>
    <row r="572" spans="27:27" x14ac:dyDescent="0.2">
      <c r="AA572" s="145"/>
    </row>
    <row r="573" spans="27:27" x14ac:dyDescent="0.2">
      <c r="AA573" s="145"/>
    </row>
    <row r="574" spans="27:27" x14ac:dyDescent="0.2">
      <c r="AA574" s="145"/>
    </row>
    <row r="575" spans="27:27" x14ac:dyDescent="0.2">
      <c r="AA575" s="145"/>
    </row>
    <row r="576" spans="27:27" x14ac:dyDescent="0.2">
      <c r="AA576" s="145"/>
    </row>
    <row r="577" spans="27:27" x14ac:dyDescent="0.2">
      <c r="AA577" s="145"/>
    </row>
    <row r="578" spans="27:27" x14ac:dyDescent="0.2">
      <c r="AA578" s="145"/>
    </row>
    <row r="579" spans="27:27" x14ac:dyDescent="0.2">
      <c r="AA579" s="145"/>
    </row>
    <row r="580" spans="27:27" x14ac:dyDescent="0.2">
      <c r="AA580" s="145"/>
    </row>
    <row r="581" spans="27:27" x14ac:dyDescent="0.2">
      <c r="AA581" s="145"/>
    </row>
    <row r="582" spans="27:27" x14ac:dyDescent="0.2">
      <c r="AA582" s="145"/>
    </row>
    <row r="583" spans="27:27" x14ac:dyDescent="0.2">
      <c r="AA583" s="145"/>
    </row>
    <row r="584" spans="27:27" x14ac:dyDescent="0.2">
      <c r="AA584" s="145"/>
    </row>
    <row r="585" spans="27:27" x14ac:dyDescent="0.2">
      <c r="AA585" s="145"/>
    </row>
    <row r="586" spans="27:27" x14ac:dyDescent="0.2">
      <c r="AA586" s="145"/>
    </row>
    <row r="587" spans="27:27" x14ac:dyDescent="0.2">
      <c r="AA587" s="145"/>
    </row>
    <row r="588" spans="27:27" x14ac:dyDescent="0.2">
      <c r="AA588" s="145"/>
    </row>
    <row r="589" spans="27:27" x14ac:dyDescent="0.2">
      <c r="AA589" s="145"/>
    </row>
    <row r="590" spans="27:27" x14ac:dyDescent="0.2">
      <c r="AA590" s="145"/>
    </row>
    <row r="591" spans="27:27" x14ac:dyDescent="0.2">
      <c r="AA591" s="145"/>
    </row>
    <row r="592" spans="27:27" x14ac:dyDescent="0.2">
      <c r="AA592" s="145"/>
    </row>
    <row r="593" spans="27:27" x14ac:dyDescent="0.2">
      <c r="AA593" s="145"/>
    </row>
    <row r="594" spans="27:27" x14ac:dyDescent="0.2">
      <c r="AA594" s="145"/>
    </row>
    <row r="595" spans="27:27" x14ac:dyDescent="0.2">
      <c r="AA595" s="145"/>
    </row>
    <row r="596" spans="27:27" x14ac:dyDescent="0.2">
      <c r="AA596" s="145"/>
    </row>
    <row r="597" spans="27:27" x14ac:dyDescent="0.2">
      <c r="AA597" s="145"/>
    </row>
    <row r="598" spans="27:27" x14ac:dyDescent="0.2">
      <c r="AA598" s="145"/>
    </row>
    <row r="599" spans="27:27" x14ac:dyDescent="0.2">
      <c r="AA599" s="145"/>
    </row>
    <row r="600" spans="27:27" x14ac:dyDescent="0.2">
      <c r="AA600" s="145"/>
    </row>
    <row r="601" spans="27:27" x14ac:dyDescent="0.2">
      <c r="AA601" s="145"/>
    </row>
    <row r="602" spans="27:27" x14ac:dyDescent="0.2">
      <c r="AA602" s="145"/>
    </row>
    <row r="603" spans="27:27" x14ac:dyDescent="0.2">
      <c r="AA603" s="145"/>
    </row>
    <row r="604" spans="27:27" x14ac:dyDescent="0.2">
      <c r="AA604" s="145"/>
    </row>
    <row r="605" spans="27:27" x14ac:dyDescent="0.2">
      <c r="AA605" s="145"/>
    </row>
    <row r="606" spans="27:27" x14ac:dyDescent="0.2">
      <c r="AA606" s="145"/>
    </row>
    <row r="607" spans="27:27" x14ac:dyDescent="0.2">
      <c r="AA607" s="145"/>
    </row>
    <row r="608" spans="27:27" x14ac:dyDescent="0.2">
      <c r="AA608" s="145"/>
    </row>
    <row r="609" spans="27:27" x14ac:dyDescent="0.2">
      <c r="AA609" s="145"/>
    </row>
    <row r="610" spans="27:27" x14ac:dyDescent="0.2">
      <c r="AA610" s="145"/>
    </row>
    <row r="611" spans="27:27" x14ac:dyDescent="0.2">
      <c r="AA611" s="145"/>
    </row>
    <row r="612" spans="27:27" x14ac:dyDescent="0.2">
      <c r="AA612" s="145"/>
    </row>
    <row r="613" spans="27:27" x14ac:dyDescent="0.2">
      <c r="AA613" s="145"/>
    </row>
    <row r="614" spans="27:27" x14ac:dyDescent="0.2">
      <c r="AA614" s="145"/>
    </row>
    <row r="615" spans="27:27" x14ac:dyDescent="0.2">
      <c r="AA615" s="145"/>
    </row>
    <row r="616" spans="27:27" x14ac:dyDescent="0.2">
      <c r="AA616" s="145"/>
    </row>
    <row r="617" spans="27:27" x14ac:dyDescent="0.2">
      <c r="AA617" s="145"/>
    </row>
    <row r="618" spans="27:27" x14ac:dyDescent="0.2">
      <c r="AA618" s="145"/>
    </row>
    <row r="619" spans="27:27" x14ac:dyDescent="0.2">
      <c r="AA619" s="145"/>
    </row>
    <row r="620" spans="27:27" x14ac:dyDescent="0.2">
      <c r="AA620" s="145"/>
    </row>
    <row r="621" spans="27:27" x14ac:dyDescent="0.2">
      <c r="AA621" s="145"/>
    </row>
    <row r="622" spans="27:27" x14ac:dyDescent="0.2">
      <c r="AA622" s="145"/>
    </row>
    <row r="623" spans="27:27" x14ac:dyDescent="0.2">
      <c r="AA623" s="145"/>
    </row>
    <row r="624" spans="27:27" x14ac:dyDescent="0.2">
      <c r="AA624" s="145"/>
    </row>
    <row r="625" spans="27:27" x14ac:dyDescent="0.2">
      <c r="AA625" s="145"/>
    </row>
    <row r="626" spans="27:27" x14ac:dyDescent="0.2">
      <c r="AA626" s="145"/>
    </row>
    <row r="627" spans="27:27" x14ac:dyDescent="0.2">
      <c r="AA627" s="145"/>
    </row>
    <row r="628" spans="27:27" x14ac:dyDescent="0.2">
      <c r="AA628" s="145"/>
    </row>
    <row r="629" spans="27:27" x14ac:dyDescent="0.2">
      <c r="AA629" s="145"/>
    </row>
    <row r="630" spans="27:27" x14ac:dyDescent="0.2">
      <c r="AA630" s="145"/>
    </row>
    <row r="631" spans="27:27" x14ac:dyDescent="0.2">
      <c r="AA631" s="145"/>
    </row>
    <row r="632" spans="27:27" x14ac:dyDescent="0.2">
      <c r="AA632" s="145"/>
    </row>
    <row r="633" spans="27:27" x14ac:dyDescent="0.2">
      <c r="AA633" s="145"/>
    </row>
    <row r="634" spans="27:27" x14ac:dyDescent="0.2">
      <c r="AA634" s="145"/>
    </row>
    <row r="635" spans="27:27" x14ac:dyDescent="0.2">
      <c r="AA635" s="145"/>
    </row>
    <row r="636" spans="27:27" x14ac:dyDescent="0.2">
      <c r="AA636" s="145"/>
    </row>
    <row r="637" spans="27:27" x14ac:dyDescent="0.2">
      <c r="AA637" s="145"/>
    </row>
    <row r="638" spans="27:27" x14ac:dyDescent="0.2">
      <c r="AA638" s="145"/>
    </row>
    <row r="639" spans="27:27" x14ac:dyDescent="0.2">
      <c r="AA639" s="145"/>
    </row>
    <row r="640" spans="27:27" x14ac:dyDescent="0.2">
      <c r="AA640" s="145"/>
    </row>
    <row r="641" spans="27:27" x14ac:dyDescent="0.2">
      <c r="AA641" s="145"/>
    </row>
    <row r="642" spans="27:27" x14ac:dyDescent="0.2">
      <c r="AA642" s="145"/>
    </row>
    <row r="643" spans="27:27" x14ac:dyDescent="0.2">
      <c r="AA643" s="145"/>
    </row>
    <row r="644" spans="27:27" x14ac:dyDescent="0.2">
      <c r="AA644" s="145"/>
    </row>
    <row r="645" spans="27:27" x14ac:dyDescent="0.2">
      <c r="AA645" s="145"/>
    </row>
    <row r="646" spans="27:27" x14ac:dyDescent="0.2">
      <c r="AA646" s="145"/>
    </row>
    <row r="647" spans="27:27" x14ac:dyDescent="0.2">
      <c r="AA647" s="145"/>
    </row>
    <row r="648" spans="27:27" x14ac:dyDescent="0.2">
      <c r="AA648" s="145"/>
    </row>
    <row r="649" spans="27:27" x14ac:dyDescent="0.2">
      <c r="AA649" s="145"/>
    </row>
    <row r="650" spans="27:27" x14ac:dyDescent="0.2">
      <c r="AA650" s="145"/>
    </row>
    <row r="651" spans="27:27" x14ac:dyDescent="0.2">
      <c r="AA651" s="145"/>
    </row>
    <row r="652" spans="27:27" x14ac:dyDescent="0.2">
      <c r="AA652" s="145"/>
    </row>
    <row r="653" spans="27:27" x14ac:dyDescent="0.2">
      <c r="AA653" s="145"/>
    </row>
    <row r="654" spans="27:27" x14ac:dyDescent="0.2">
      <c r="AA654" s="145"/>
    </row>
    <row r="655" spans="27:27" x14ac:dyDescent="0.2">
      <c r="AA655" s="145"/>
    </row>
    <row r="656" spans="27:27" x14ac:dyDescent="0.2">
      <c r="AA656" s="145"/>
    </row>
    <row r="657" spans="27:27" x14ac:dyDescent="0.2">
      <c r="AA657" s="145"/>
    </row>
    <row r="658" spans="27:27" x14ac:dyDescent="0.2">
      <c r="AA658" s="145"/>
    </row>
    <row r="659" spans="27:27" x14ac:dyDescent="0.2">
      <c r="AA659" s="145"/>
    </row>
    <row r="660" spans="27:27" x14ac:dyDescent="0.2">
      <c r="AA660" s="145"/>
    </row>
    <row r="661" spans="27:27" x14ac:dyDescent="0.2">
      <c r="AA661" s="145"/>
    </row>
    <row r="662" spans="27:27" x14ac:dyDescent="0.2">
      <c r="AA662" s="145"/>
    </row>
    <row r="663" spans="27:27" x14ac:dyDescent="0.2">
      <c r="AA663" s="145"/>
    </row>
    <row r="664" spans="27:27" x14ac:dyDescent="0.2">
      <c r="AA664" s="145"/>
    </row>
    <row r="665" spans="27:27" x14ac:dyDescent="0.2">
      <c r="AA665" s="145"/>
    </row>
    <row r="666" spans="27:27" x14ac:dyDescent="0.2">
      <c r="AA666" s="145"/>
    </row>
    <row r="667" spans="27:27" x14ac:dyDescent="0.2">
      <c r="AA667" s="145"/>
    </row>
    <row r="668" spans="27:27" x14ac:dyDescent="0.2">
      <c r="AA668" s="145"/>
    </row>
    <row r="669" spans="27:27" x14ac:dyDescent="0.2">
      <c r="AA669" s="145"/>
    </row>
    <row r="670" spans="27:27" x14ac:dyDescent="0.2">
      <c r="AA670" s="145"/>
    </row>
    <row r="671" spans="27:27" x14ac:dyDescent="0.2">
      <c r="AA671" s="145"/>
    </row>
    <row r="672" spans="27:27" x14ac:dyDescent="0.2">
      <c r="AA672" s="145"/>
    </row>
    <row r="673" spans="27:27" x14ac:dyDescent="0.2">
      <c r="AA673" s="145"/>
    </row>
    <row r="674" spans="27:27" x14ac:dyDescent="0.2">
      <c r="AA674" s="145"/>
    </row>
    <row r="675" spans="27:27" x14ac:dyDescent="0.2">
      <c r="AA675" s="145"/>
    </row>
    <row r="676" spans="27:27" x14ac:dyDescent="0.2">
      <c r="AA676" s="145"/>
    </row>
    <row r="677" spans="27:27" x14ac:dyDescent="0.2">
      <c r="AA677" s="145"/>
    </row>
    <row r="678" spans="27:27" x14ac:dyDescent="0.2">
      <c r="AA678" s="145"/>
    </row>
    <row r="679" spans="27:27" x14ac:dyDescent="0.2">
      <c r="AA679" s="145"/>
    </row>
    <row r="680" spans="27:27" x14ac:dyDescent="0.2">
      <c r="AA680" s="145"/>
    </row>
    <row r="681" spans="27:27" x14ac:dyDescent="0.2">
      <c r="AA681" s="145"/>
    </row>
    <row r="682" spans="27:27" x14ac:dyDescent="0.2">
      <c r="AA682" s="145"/>
    </row>
    <row r="683" spans="27:27" x14ac:dyDescent="0.2">
      <c r="AA683" s="145"/>
    </row>
    <row r="684" spans="27:27" x14ac:dyDescent="0.2">
      <c r="AA684" s="145"/>
    </row>
    <row r="685" spans="27:27" x14ac:dyDescent="0.2">
      <c r="AA685" s="145"/>
    </row>
    <row r="686" spans="27:27" x14ac:dyDescent="0.2">
      <c r="AA686" s="145"/>
    </row>
    <row r="687" spans="27:27" x14ac:dyDescent="0.2">
      <c r="AA687" s="145"/>
    </row>
    <row r="688" spans="27:27" x14ac:dyDescent="0.2">
      <c r="AA688" s="145"/>
    </row>
    <row r="689" spans="27:27" x14ac:dyDescent="0.2">
      <c r="AA689" s="145"/>
    </row>
    <row r="690" spans="27:27" x14ac:dyDescent="0.2">
      <c r="AA690" s="145"/>
    </row>
    <row r="691" spans="27:27" x14ac:dyDescent="0.2">
      <c r="AA691" s="145"/>
    </row>
    <row r="692" spans="27:27" x14ac:dyDescent="0.2">
      <c r="AA692" s="145"/>
    </row>
    <row r="693" spans="27:27" x14ac:dyDescent="0.2">
      <c r="AA693" s="145"/>
    </row>
    <row r="694" spans="27:27" x14ac:dyDescent="0.2">
      <c r="AA694" s="145"/>
    </row>
    <row r="695" spans="27:27" x14ac:dyDescent="0.2">
      <c r="AA695" s="145"/>
    </row>
    <row r="696" spans="27:27" x14ac:dyDescent="0.2">
      <c r="AA696" s="145"/>
    </row>
    <row r="697" spans="27:27" x14ac:dyDescent="0.2">
      <c r="AA697" s="145"/>
    </row>
    <row r="698" spans="27:27" x14ac:dyDescent="0.2">
      <c r="AA698" s="145"/>
    </row>
    <row r="699" spans="27:27" x14ac:dyDescent="0.2">
      <c r="AA699" s="145"/>
    </row>
    <row r="700" spans="27:27" x14ac:dyDescent="0.2">
      <c r="AA700" s="145"/>
    </row>
    <row r="701" spans="27:27" x14ac:dyDescent="0.2">
      <c r="AA701" s="145"/>
    </row>
    <row r="702" spans="27:27" x14ac:dyDescent="0.2">
      <c r="AA702" s="145"/>
    </row>
    <row r="703" spans="27:27" x14ac:dyDescent="0.2">
      <c r="AA703" s="145"/>
    </row>
    <row r="704" spans="27:27" x14ac:dyDescent="0.2">
      <c r="AA704" s="145"/>
    </row>
    <row r="705" spans="27:27" x14ac:dyDescent="0.2">
      <c r="AA705" s="145"/>
    </row>
    <row r="706" spans="27:27" x14ac:dyDescent="0.2">
      <c r="AA706" s="145"/>
    </row>
    <row r="707" spans="27:27" x14ac:dyDescent="0.2">
      <c r="AA707" s="145"/>
    </row>
    <row r="708" spans="27:27" x14ac:dyDescent="0.2">
      <c r="AA708" s="145"/>
    </row>
    <row r="709" spans="27:27" x14ac:dyDescent="0.2">
      <c r="AA709" s="145"/>
    </row>
    <row r="710" spans="27:27" x14ac:dyDescent="0.2">
      <c r="AA710" s="145"/>
    </row>
    <row r="711" spans="27:27" x14ac:dyDescent="0.2">
      <c r="AA711" s="145"/>
    </row>
    <row r="712" spans="27:27" x14ac:dyDescent="0.2">
      <c r="AA712" s="145"/>
    </row>
    <row r="713" spans="27:27" x14ac:dyDescent="0.2">
      <c r="AA713" s="145"/>
    </row>
    <row r="714" spans="27:27" x14ac:dyDescent="0.2">
      <c r="AA714" s="145"/>
    </row>
    <row r="715" spans="27:27" x14ac:dyDescent="0.2">
      <c r="AA715" s="145"/>
    </row>
    <row r="716" spans="27:27" x14ac:dyDescent="0.2">
      <c r="AA716" s="145"/>
    </row>
    <row r="717" spans="27:27" x14ac:dyDescent="0.2">
      <c r="AA717" s="145"/>
    </row>
    <row r="718" spans="27:27" x14ac:dyDescent="0.2">
      <c r="AA718" s="145"/>
    </row>
    <row r="719" spans="27:27" x14ac:dyDescent="0.2">
      <c r="AA719" s="145"/>
    </row>
    <row r="720" spans="27:27" x14ac:dyDescent="0.2">
      <c r="AA720" s="145"/>
    </row>
    <row r="721" spans="27:27" x14ac:dyDescent="0.2">
      <c r="AA721" s="145"/>
    </row>
    <row r="722" spans="27:27" x14ac:dyDescent="0.2">
      <c r="AA722" s="145"/>
    </row>
    <row r="723" spans="27:27" x14ac:dyDescent="0.2">
      <c r="AA723" s="145"/>
    </row>
    <row r="724" spans="27:27" x14ac:dyDescent="0.2">
      <c r="AA724" s="145"/>
    </row>
    <row r="725" spans="27:27" x14ac:dyDescent="0.2">
      <c r="AA725" s="145"/>
    </row>
    <row r="726" spans="27:27" x14ac:dyDescent="0.2">
      <c r="AA726" s="145"/>
    </row>
    <row r="727" spans="27:27" x14ac:dyDescent="0.2">
      <c r="AA727" s="145"/>
    </row>
    <row r="728" spans="27:27" x14ac:dyDescent="0.2">
      <c r="AA728" s="145"/>
    </row>
    <row r="729" spans="27:27" x14ac:dyDescent="0.2">
      <c r="AA729" s="145"/>
    </row>
    <row r="730" spans="27:27" x14ac:dyDescent="0.2">
      <c r="AA730" s="145"/>
    </row>
    <row r="731" spans="27:27" x14ac:dyDescent="0.2">
      <c r="AA731" s="145"/>
    </row>
    <row r="732" spans="27:27" x14ac:dyDescent="0.2">
      <c r="AA732" s="145"/>
    </row>
    <row r="733" spans="27:27" x14ac:dyDescent="0.2">
      <c r="AA733" s="145"/>
    </row>
    <row r="734" spans="27:27" x14ac:dyDescent="0.2">
      <c r="AA734" s="145"/>
    </row>
    <row r="735" spans="27:27" x14ac:dyDescent="0.2">
      <c r="AA735" s="145"/>
    </row>
    <row r="736" spans="27:27" x14ac:dyDescent="0.2">
      <c r="AA736" s="145"/>
    </row>
    <row r="737" spans="27:27" x14ac:dyDescent="0.2">
      <c r="AA737" s="145"/>
    </row>
    <row r="738" spans="27:27" x14ac:dyDescent="0.2">
      <c r="AA738" s="145"/>
    </row>
    <row r="739" spans="27:27" x14ac:dyDescent="0.2">
      <c r="AA739" s="145"/>
    </row>
    <row r="740" spans="27:27" x14ac:dyDescent="0.2">
      <c r="AA740" s="145"/>
    </row>
    <row r="741" spans="27:27" x14ac:dyDescent="0.2">
      <c r="AA741" s="145"/>
    </row>
    <row r="742" spans="27:27" x14ac:dyDescent="0.2">
      <c r="AA742" s="145"/>
    </row>
    <row r="743" spans="27:27" x14ac:dyDescent="0.2">
      <c r="AA743" s="145"/>
    </row>
    <row r="744" spans="27:27" x14ac:dyDescent="0.2">
      <c r="AA744" s="145"/>
    </row>
    <row r="745" spans="27:27" x14ac:dyDescent="0.2">
      <c r="AA745" s="145"/>
    </row>
    <row r="746" spans="27:27" x14ac:dyDescent="0.2">
      <c r="AA746" s="145"/>
    </row>
    <row r="747" spans="27:27" x14ac:dyDescent="0.2">
      <c r="AA747" s="145"/>
    </row>
    <row r="748" spans="27:27" x14ac:dyDescent="0.2">
      <c r="AA748" s="145"/>
    </row>
    <row r="749" spans="27:27" x14ac:dyDescent="0.2">
      <c r="AA749" s="145"/>
    </row>
    <row r="750" spans="27:27" x14ac:dyDescent="0.2">
      <c r="AA750" s="145"/>
    </row>
    <row r="751" spans="27:27" x14ac:dyDescent="0.2">
      <c r="AA751" s="145"/>
    </row>
    <row r="752" spans="27:27" x14ac:dyDescent="0.2">
      <c r="AA752" s="145"/>
    </row>
    <row r="753" spans="27:27" x14ac:dyDescent="0.2">
      <c r="AA753" s="145"/>
    </row>
    <row r="754" spans="27:27" x14ac:dyDescent="0.2">
      <c r="AA754" s="145"/>
    </row>
    <row r="755" spans="27:27" x14ac:dyDescent="0.2">
      <c r="AA755" s="145"/>
    </row>
    <row r="756" spans="27:27" x14ac:dyDescent="0.2">
      <c r="AA756" s="145"/>
    </row>
    <row r="757" spans="27:27" x14ac:dyDescent="0.2">
      <c r="AA757" s="145"/>
    </row>
    <row r="758" spans="27:27" x14ac:dyDescent="0.2">
      <c r="AA758" s="145"/>
    </row>
    <row r="759" spans="27:27" x14ac:dyDescent="0.2">
      <c r="AA759" s="145"/>
    </row>
    <row r="760" spans="27:27" x14ac:dyDescent="0.2">
      <c r="AA760" s="145"/>
    </row>
    <row r="761" spans="27:27" x14ac:dyDescent="0.2">
      <c r="AA761" s="145"/>
    </row>
    <row r="762" spans="27:27" x14ac:dyDescent="0.2">
      <c r="AA762" s="145"/>
    </row>
    <row r="763" spans="27:27" x14ac:dyDescent="0.2">
      <c r="AA763" s="145"/>
    </row>
    <row r="764" spans="27:27" x14ac:dyDescent="0.2">
      <c r="AA764" s="145"/>
    </row>
    <row r="765" spans="27:27" x14ac:dyDescent="0.2">
      <c r="AA765" s="145"/>
    </row>
    <row r="766" spans="27:27" x14ac:dyDescent="0.2">
      <c r="AA766" s="145"/>
    </row>
    <row r="767" spans="27:27" x14ac:dyDescent="0.2">
      <c r="AA767" s="145"/>
    </row>
    <row r="768" spans="27:27" x14ac:dyDescent="0.2">
      <c r="AA768" s="145"/>
    </row>
    <row r="769" spans="27:27" x14ac:dyDescent="0.2">
      <c r="AA769" s="145"/>
    </row>
    <row r="770" spans="27:27" x14ac:dyDescent="0.2">
      <c r="AA770" s="145"/>
    </row>
    <row r="771" spans="27:27" x14ac:dyDescent="0.2">
      <c r="AA771" s="145"/>
    </row>
    <row r="772" spans="27:27" x14ac:dyDescent="0.2">
      <c r="AA772" s="145"/>
    </row>
    <row r="773" spans="27:27" x14ac:dyDescent="0.2">
      <c r="AA773" s="145"/>
    </row>
    <row r="774" spans="27:27" x14ac:dyDescent="0.2">
      <c r="AA774" s="145"/>
    </row>
    <row r="775" spans="27:27" x14ac:dyDescent="0.2">
      <c r="AA775" s="145"/>
    </row>
    <row r="776" spans="27:27" x14ac:dyDescent="0.2">
      <c r="AA776" s="145"/>
    </row>
    <row r="777" spans="27:27" x14ac:dyDescent="0.2">
      <c r="AA777" s="145"/>
    </row>
    <row r="778" spans="27:27" x14ac:dyDescent="0.2">
      <c r="AA778" s="145"/>
    </row>
    <row r="779" spans="27:27" x14ac:dyDescent="0.2">
      <c r="AA779" s="145"/>
    </row>
    <row r="780" spans="27:27" x14ac:dyDescent="0.2">
      <c r="AA780" s="145"/>
    </row>
    <row r="781" spans="27:27" x14ac:dyDescent="0.2">
      <c r="AA781" s="145"/>
    </row>
    <row r="782" spans="27:27" x14ac:dyDescent="0.2">
      <c r="AA782" s="145"/>
    </row>
    <row r="783" spans="27:27" x14ac:dyDescent="0.2">
      <c r="AA783" s="145"/>
    </row>
    <row r="784" spans="27:27" x14ac:dyDescent="0.2">
      <c r="AA784" s="145"/>
    </row>
    <row r="785" spans="27:27" x14ac:dyDescent="0.2">
      <c r="AA785" s="145"/>
    </row>
    <row r="786" spans="27:27" x14ac:dyDescent="0.2">
      <c r="AA786" s="145"/>
    </row>
    <row r="787" spans="27:27" x14ac:dyDescent="0.2">
      <c r="AA787" s="145"/>
    </row>
    <row r="788" spans="27:27" x14ac:dyDescent="0.2">
      <c r="AA788" s="145"/>
    </row>
    <row r="789" spans="27:27" x14ac:dyDescent="0.2">
      <c r="AA789" s="145"/>
    </row>
    <row r="790" spans="27:27" x14ac:dyDescent="0.2">
      <c r="AA790" s="145"/>
    </row>
    <row r="791" spans="27:27" x14ac:dyDescent="0.2">
      <c r="AA791" s="145"/>
    </row>
    <row r="792" spans="27:27" x14ac:dyDescent="0.2">
      <c r="AA792" s="145"/>
    </row>
    <row r="793" spans="27:27" x14ac:dyDescent="0.2">
      <c r="AA793" s="145"/>
    </row>
    <row r="794" spans="27:27" x14ac:dyDescent="0.2">
      <c r="AA794" s="145"/>
    </row>
    <row r="795" spans="27:27" x14ac:dyDescent="0.2">
      <c r="AA795" s="145"/>
    </row>
    <row r="796" spans="27:27" x14ac:dyDescent="0.2">
      <c r="AA796" s="145"/>
    </row>
    <row r="797" spans="27:27" x14ac:dyDescent="0.2">
      <c r="AA797" s="145"/>
    </row>
    <row r="798" spans="27:27" x14ac:dyDescent="0.2">
      <c r="AA798" s="145"/>
    </row>
    <row r="799" spans="27:27" x14ac:dyDescent="0.2">
      <c r="AA799" s="145"/>
    </row>
    <row r="800" spans="27:27" x14ac:dyDescent="0.2">
      <c r="AA800" s="145"/>
    </row>
    <row r="801" spans="27:27" x14ac:dyDescent="0.2">
      <c r="AA801" s="145"/>
    </row>
    <row r="802" spans="27:27" x14ac:dyDescent="0.2">
      <c r="AA802" s="145"/>
    </row>
    <row r="803" spans="27:27" x14ac:dyDescent="0.2">
      <c r="AA803" s="145"/>
    </row>
    <row r="804" spans="27:27" x14ac:dyDescent="0.2">
      <c r="AA804" s="145"/>
    </row>
    <row r="805" spans="27:27" x14ac:dyDescent="0.2">
      <c r="AA805" s="145"/>
    </row>
    <row r="806" spans="27:27" x14ac:dyDescent="0.2">
      <c r="AA806" s="145"/>
    </row>
    <row r="807" spans="27:27" x14ac:dyDescent="0.2">
      <c r="AA807" s="145"/>
    </row>
    <row r="808" spans="27:27" x14ac:dyDescent="0.2">
      <c r="AA808" s="145"/>
    </row>
    <row r="809" spans="27:27" x14ac:dyDescent="0.2">
      <c r="AA809" s="145"/>
    </row>
    <row r="810" spans="27:27" x14ac:dyDescent="0.2">
      <c r="AA810" s="145"/>
    </row>
    <row r="811" spans="27:27" x14ac:dyDescent="0.2">
      <c r="AA811" s="145"/>
    </row>
    <row r="812" spans="27:27" x14ac:dyDescent="0.2">
      <c r="AA812" s="145"/>
    </row>
    <row r="813" spans="27:27" x14ac:dyDescent="0.2">
      <c r="AA813" s="145"/>
    </row>
    <row r="814" spans="27:27" x14ac:dyDescent="0.2">
      <c r="AA814" s="145"/>
    </row>
    <row r="815" spans="27:27" x14ac:dyDescent="0.2">
      <c r="AA815" s="145"/>
    </row>
    <row r="816" spans="27:27" x14ac:dyDescent="0.2">
      <c r="AA816" s="145"/>
    </row>
    <row r="817" spans="27:27" x14ac:dyDescent="0.2">
      <c r="AA817" s="145"/>
    </row>
    <row r="818" spans="27:27" x14ac:dyDescent="0.2">
      <c r="AA818" s="145"/>
    </row>
    <row r="819" spans="27:27" x14ac:dyDescent="0.2">
      <c r="AA819" s="145"/>
    </row>
    <row r="820" spans="27:27" x14ac:dyDescent="0.2">
      <c r="AA820" s="145"/>
    </row>
    <row r="821" spans="27:27" x14ac:dyDescent="0.2">
      <c r="AA821" s="145"/>
    </row>
    <row r="822" spans="27:27" x14ac:dyDescent="0.2">
      <c r="AA822" s="145"/>
    </row>
    <row r="823" spans="27:27" x14ac:dyDescent="0.2">
      <c r="AA823" s="145"/>
    </row>
    <row r="824" spans="27:27" x14ac:dyDescent="0.2">
      <c r="AA824" s="145"/>
    </row>
    <row r="825" spans="27:27" x14ac:dyDescent="0.2">
      <c r="AA825" s="145"/>
    </row>
    <row r="826" spans="27:27" x14ac:dyDescent="0.2">
      <c r="AA826" s="145"/>
    </row>
    <row r="827" spans="27:27" x14ac:dyDescent="0.2">
      <c r="AA827" s="175"/>
    </row>
    <row r="828" spans="27:27" x14ac:dyDescent="0.2">
      <c r="AA828" s="175"/>
    </row>
    <row r="829" spans="27:27" x14ac:dyDescent="0.2">
      <c r="AA829" s="175"/>
    </row>
    <row r="830" spans="27:27" x14ac:dyDescent="0.2">
      <c r="AA830" s="175"/>
    </row>
    <row r="831" spans="27:27" x14ac:dyDescent="0.2">
      <c r="AA831" s="175"/>
    </row>
    <row r="832" spans="27:27" x14ac:dyDescent="0.2">
      <c r="AA832" s="175"/>
    </row>
    <row r="833" spans="27:27" x14ac:dyDescent="0.2">
      <c r="AA833" s="175"/>
    </row>
    <row r="834" spans="27:27" x14ac:dyDescent="0.2">
      <c r="AA834" s="175"/>
    </row>
    <row r="835" spans="27:27" x14ac:dyDescent="0.2">
      <c r="AA835" s="175"/>
    </row>
    <row r="836" spans="27:27" x14ac:dyDescent="0.2">
      <c r="AA836" s="175"/>
    </row>
    <row r="837" spans="27:27" x14ac:dyDescent="0.2">
      <c r="AA837" s="175"/>
    </row>
    <row r="838" spans="27:27" x14ac:dyDescent="0.2">
      <c r="AA838" s="175"/>
    </row>
    <row r="839" spans="27:27" x14ac:dyDescent="0.2">
      <c r="AA839" s="175"/>
    </row>
    <row r="840" spans="27:27" x14ac:dyDescent="0.2">
      <c r="AA840" s="175"/>
    </row>
    <row r="841" spans="27:27" x14ac:dyDescent="0.2">
      <c r="AA841" s="175"/>
    </row>
    <row r="842" spans="27:27" x14ac:dyDescent="0.2">
      <c r="AA842" s="175"/>
    </row>
    <row r="843" spans="27:27" x14ac:dyDescent="0.2">
      <c r="AA843" s="175"/>
    </row>
    <row r="844" spans="27:27" x14ac:dyDescent="0.2">
      <c r="AA844" s="175"/>
    </row>
    <row r="845" spans="27:27" x14ac:dyDescent="0.2">
      <c r="AA845" s="175"/>
    </row>
    <row r="846" spans="27:27" x14ac:dyDescent="0.2">
      <c r="AA846" s="175"/>
    </row>
    <row r="847" spans="27:27" x14ac:dyDescent="0.2">
      <c r="AA847" s="175"/>
    </row>
    <row r="848" spans="27:27" x14ac:dyDescent="0.2">
      <c r="AA848" s="175"/>
    </row>
    <row r="849" spans="27:27" x14ac:dyDescent="0.2">
      <c r="AA849" s="175"/>
    </row>
    <row r="850" spans="27:27" x14ac:dyDescent="0.2">
      <c r="AA850" s="175"/>
    </row>
    <row r="851" spans="27:27" x14ac:dyDescent="0.2">
      <c r="AA851" s="175"/>
    </row>
    <row r="852" spans="27:27" x14ac:dyDescent="0.2">
      <c r="AA852" s="175"/>
    </row>
    <row r="853" spans="27:27" x14ac:dyDescent="0.2">
      <c r="AA853" s="175"/>
    </row>
    <row r="854" spans="27:27" x14ac:dyDescent="0.2">
      <c r="AA854" s="175"/>
    </row>
    <row r="855" spans="27:27" x14ac:dyDescent="0.2">
      <c r="AA855" s="175"/>
    </row>
    <row r="856" spans="27:27" x14ac:dyDescent="0.2">
      <c r="AA856" s="175"/>
    </row>
    <row r="857" spans="27:27" x14ac:dyDescent="0.2">
      <c r="AA857" s="175"/>
    </row>
    <row r="858" spans="27:27" x14ac:dyDescent="0.2">
      <c r="AA858" s="175"/>
    </row>
    <row r="859" spans="27:27" x14ac:dyDescent="0.2">
      <c r="AA859" s="175"/>
    </row>
    <row r="860" spans="27:27" x14ac:dyDescent="0.2">
      <c r="AA860" s="175"/>
    </row>
    <row r="861" spans="27:27" x14ac:dyDescent="0.2">
      <c r="AA861" s="175"/>
    </row>
    <row r="862" spans="27:27" x14ac:dyDescent="0.2">
      <c r="AA862" s="175"/>
    </row>
    <row r="863" spans="27:27" x14ac:dyDescent="0.2">
      <c r="AA863" s="175"/>
    </row>
    <row r="864" spans="27:27" x14ac:dyDescent="0.2">
      <c r="AA864" s="175"/>
    </row>
    <row r="865" spans="27:27" x14ac:dyDescent="0.2">
      <c r="AA865" s="175"/>
    </row>
    <row r="866" spans="27:27" x14ac:dyDescent="0.2">
      <c r="AA866" s="175"/>
    </row>
    <row r="867" spans="27:27" x14ac:dyDescent="0.2">
      <c r="AA867" s="175"/>
    </row>
    <row r="868" spans="27:27" x14ac:dyDescent="0.2">
      <c r="AA868" s="175"/>
    </row>
    <row r="869" spans="27:27" x14ac:dyDescent="0.2">
      <c r="AA869" s="175"/>
    </row>
    <row r="870" spans="27:27" x14ac:dyDescent="0.2">
      <c r="AA870" s="175"/>
    </row>
    <row r="871" spans="27:27" x14ac:dyDescent="0.2">
      <c r="AA871" s="175"/>
    </row>
    <row r="872" spans="27:27" x14ac:dyDescent="0.2">
      <c r="AA872" s="175"/>
    </row>
    <row r="873" spans="27:27" x14ac:dyDescent="0.2">
      <c r="AA873" s="175"/>
    </row>
    <row r="874" spans="27:27" x14ac:dyDescent="0.2">
      <c r="AA874" s="175"/>
    </row>
    <row r="875" spans="27:27" x14ac:dyDescent="0.2">
      <c r="AA875" s="175"/>
    </row>
    <row r="876" spans="27:27" x14ac:dyDescent="0.2">
      <c r="AA876" s="175"/>
    </row>
    <row r="877" spans="27:27" x14ac:dyDescent="0.2">
      <c r="AA877" s="175"/>
    </row>
    <row r="878" spans="27:27" x14ac:dyDescent="0.2">
      <c r="AA878" s="175"/>
    </row>
    <row r="879" spans="27:27" x14ac:dyDescent="0.2">
      <c r="AA879" s="175"/>
    </row>
    <row r="880" spans="27:27" x14ac:dyDescent="0.2">
      <c r="AA880" s="175"/>
    </row>
    <row r="881" spans="27:27" x14ac:dyDescent="0.2">
      <c r="AA881" s="175"/>
    </row>
    <row r="882" spans="27:27" x14ac:dyDescent="0.2">
      <c r="AA882" s="175"/>
    </row>
    <row r="883" spans="27:27" x14ac:dyDescent="0.2">
      <c r="AA883" s="175"/>
    </row>
    <row r="884" spans="27:27" x14ac:dyDescent="0.2">
      <c r="AA884" s="175"/>
    </row>
    <row r="885" spans="27:27" x14ac:dyDescent="0.2">
      <c r="AA885" s="175"/>
    </row>
    <row r="886" spans="27:27" x14ac:dyDescent="0.2">
      <c r="AA886" s="175"/>
    </row>
    <row r="887" spans="27:27" x14ac:dyDescent="0.2">
      <c r="AA887" s="175"/>
    </row>
    <row r="888" spans="27:27" x14ac:dyDescent="0.2">
      <c r="AA888" s="175"/>
    </row>
    <row r="889" spans="27:27" x14ac:dyDescent="0.2">
      <c r="AA889" s="175"/>
    </row>
  </sheetData>
  <mergeCells count="5">
    <mergeCell ref="AC2:AU2"/>
    <mergeCell ref="V6:X6"/>
    <mergeCell ref="F1:X1"/>
    <mergeCell ref="F3:X3"/>
    <mergeCell ref="F2:X2"/>
  </mergeCells>
  <phoneticPr fontId="12" type="noConversion"/>
  <printOptions horizontalCentered="1"/>
  <pageMargins left="0.5" right="0.5" top="1" bottom="0.5" header="0.5" footer="0.5"/>
  <headerFooter alignWithMargins="0"/>
  <rowBreaks count="11" manualBreakCount="11">
    <brk id="34" min="5" max="23" man="1"/>
    <brk id="74" min="5" max="23" man="1"/>
    <brk id="97" min="5" max="23" man="1"/>
    <brk id="134" min="5" max="23" man="1"/>
    <brk id="173" min="5" max="23" man="1"/>
    <brk id="217" min="5" max="23" man="1"/>
    <brk id="221" min="28" max="50" man="1"/>
    <brk id="276" min="5" max="23" man="1"/>
    <brk id="276" min="28" max="50" man="1"/>
    <brk id="319" min="5" max="23" man="1"/>
    <brk id="330" min="28" max="50"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B1599"/>
  <sheetViews>
    <sheetView workbookViewId="0">
      <selection activeCell="K40" sqref="K40"/>
    </sheetView>
  </sheetViews>
  <sheetFormatPr defaultColWidth="9.6640625" defaultRowHeight="15" x14ac:dyDescent="0.2"/>
  <cols>
    <col min="1" max="1" width="9.6640625" style="38" bestFit="1"/>
    <col min="2" max="3" width="7.6640625" style="38" customWidth="1"/>
    <col min="4" max="4" width="2" style="38" customWidth="1"/>
    <col min="5" max="5" width="8.6640625" style="38" customWidth="1"/>
    <col min="6" max="6" width="1.88671875" style="38" customWidth="1"/>
    <col min="7" max="7" width="8.6640625" style="38" customWidth="1"/>
    <col min="8" max="8" width="2" style="38" customWidth="1"/>
    <col min="9" max="9" width="8.6640625" style="38" customWidth="1"/>
    <col min="10" max="10" width="2" style="38" customWidth="1"/>
    <col min="11" max="11" width="8.6640625" style="38" customWidth="1"/>
    <col min="12" max="12" width="2" style="38" customWidth="1"/>
    <col min="13" max="13" width="8.6640625" style="38" customWidth="1"/>
    <col min="14" max="14" width="4.6640625" style="38" customWidth="1"/>
    <col min="15" max="15" width="10.5546875" style="38" customWidth="1"/>
    <col min="16" max="16" width="10.6640625" style="38" customWidth="1"/>
    <col min="17" max="17" width="9.6640625" style="38"/>
    <col min="18" max="18" width="10.44140625" style="38" bestFit="1" customWidth="1"/>
    <col min="19" max="19" width="7.5546875" style="38" bestFit="1" customWidth="1"/>
    <col min="20" max="20" width="7.6640625" style="38" customWidth="1"/>
    <col min="21" max="21" width="10.6640625" style="38" customWidth="1"/>
    <col min="22" max="22" width="7.6640625" style="38" customWidth="1"/>
    <col min="23" max="23" width="8.6640625" style="38" customWidth="1"/>
    <col min="24" max="24" width="2.6640625" style="38" customWidth="1"/>
    <col min="25" max="25" width="9.6640625" style="38"/>
    <col min="26" max="26" width="2.6640625" style="38" customWidth="1"/>
    <col min="27" max="27" width="7.6640625" style="38" customWidth="1"/>
    <col min="28" max="16384" width="9.6640625" style="38"/>
  </cols>
  <sheetData>
    <row r="1" spans="1:28" x14ac:dyDescent="0.2">
      <c r="B1" s="37" t="s">
        <v>77</v>
      </c>
      <c r="C1" s="37"/>
      <c r="D1" s="37"/>
      <c r="E1" s="37"/>
      <c r="F1" s="37"/>
      <c r="G1" s="37"/>
      <c r="H1" s="37"/>
      <c r="I1" s="37"/>
      <c r="J1" s="37"/>
      <c r="K1" s="37"/>
      <c r="L1" s="37"/>
      <c r="M1" s="37"/>
    </row>
    <row r="2" spans="1:28" x14ac:dyDescent="0.2">
      <c r="B2" s="37"/>
      <c r="C2" s="37"/>
      <c r="D2" s="37"/>
      <c r="E2" s="37"/>
      <c r="F2" s="37"/>
      <c r="G2" s="37"/>
      <c r="H2" s="37"/>
      <c r="I2" s="37"/>
      <c r="J2" s="37"/>
      <c r="K2" s="37"/>
      <c r="L2" s="37"/>
      <c r="M2" s="37"/>
    </row>
    <row r="3" spans="1:28" ht="13.35" customHeight="1" x14ac:dyDescent="0.2">
      <c r="B3" s="37"/>
      <c r="C3" s="37"/>
      <c r="D3" s="37"/>
      <c r="E3" s="37"/>
      <c r="F3" s="37"/>
      <c r="G3" s="37"/>
      <c r="H3" s="37"/>
      <c r="I3" s="37"/>
      <c r="J3" s="37"/>
      <c r="K3" s="37"/>
      <c r="L3" s="37"/>
      <c r="M3" s="37"/>
    </row>
    <row r="4" spans="1:28" ht="13.35" customHeight="1" x14ac:dyDescent="0.2">
      <c r="B4" s="1" t="s">
        <v>373</v>
      </c>
      <c r="C4" s="1"/>
      <c r="D4" s="1"/>
      <c r="E4" s="1"/>
      <c r="F4" s="1"/>
      <c r="G4" s="1"/>
      <c r="H4" s="1"/>
      <c r="I4" s="1"/>
      <c r="J4" s="1"/>
      <c r="K4" s="1"/>
      <c r="L4" s="1"/>
      <c r="M4" s="1"/>
      <c r="N4" s="2"/>
      <c r="O4" s="2"/>
      <c r="P4" s="2"/>
      <c r="Q4" s="2"/>
      <c r="R4" s="2"/>
      <c r="S4" s="2"/>
      <c r="T4" s="2"/>
      <c r="U4" s="2"/>
      <c r="V4" s="2"/>
      <c r="W4" s="2"/>
      <c r="X4" s="2"/>
      <c r="Y4" s="2"/>
      <c r="Z4" s="2"/>
      <c r="AA4" s="2"/>
      <c r="AB4" s="2"/>
    </row>
    <row r="5" spans="1:28" ht="13.35" customHeight="1" x14ac:dyDescent="0.2">
      <c r="B5" s="2"/>
      <c r="C5" s="2"/>
      <c r="D5" s="2"/>
      <c r="E5" s="2"/>
      <c r="F5" s="2"/>
      <c r="G5" s="2"/>
      <c r="H5" s="2"/>
      <c r="I5" s="2"/>
      <c r="J5" s="2"/>
      <c r="K5" s="2"/>
      <c r="L5" s="2"/>
      <c r="M5" s="2"/>
      <c r="N5" s="2"/>
      <c r="O5" s="2"/>
      <c r="P5" s="2"/>
      <c r="Q5" s="2"/>
      <c r="R5" s="2"/>
      <c r="S5" s="2"/>
      <c r="T5" s="2"/>
      <c r="U5" s="2"/>
      <c r="V5" s="2"/>
      <c r="W5" s="2"/>
      <c r="X5" s="2"/>
      <c r="Y5" s="2"/>
      <c r="Z5" s="2"/>
      <c r="AA5" s="2"/>
      <c r="AB5" s="2"/>
    </row>
    <row r="6" spans="1:28" ht="13.35" customHeight="1" x14ac:dyDescent="0.2">
      <c r="B6" s="2"/>
      <c r="C6" s="2"/>
      <c r="D6" s="2"/>
      <c r="E6" s="2"/>
      <c r="F6" s="2"/>
      <c r="G6" s="2"/>
      <c r="H6" s="2"/>
      <c r="I6" s="2"/>
      <c r="J6" s="2"/>
      <c r="K6" s="2"/>
      <c r="L6" s="2"/>
      <c r="M6" s="2"/>
      <c r="N6" s="2"/>
      <c r="O6" s="2"/>
      <c r="P6" s="2"/>
      <c r="Q6" s="2"/>
      <c r="R6" s="2"/>
      <c r="S6" s="2"/>
      <c r="T6" s="2"/>
      <c r="U6" s="2"/>
      <c r="V6" s="2"/>
      <c r="W6" s="2"/>
      <c r="X6" s="2"/>
      <c r="Y6" s="2"/>
      <c r="Z6" s="2"/>
      <c r="AA6" s="2"/>
      <c r="AB6" s="2"/>
    </row>
    <row r="7" spans="1:28" ht="13.35" customHeight="1" x14ac:dyDescent="0.2">
      <c r="B7" s="2" t="s">
        <v>374</v>
      </c>
      <c r="C7" s="2"/>
      <c r="D7" s="2"/>
      <c r="E7" s="2"/>
      <c r="F7" s="2"/>
      <c r="G7" s="2"/>
      <c r="H7" s="2"/>
      <c r="I7" s="2"/>
      <c r="J7" s="2"/>
      <c r="K7" s="2"/>
      <c r="L7" s="2"/>
      <c r="M7" s="2"/>
      <c r="N7" s="2"/>
      <c r="O7" s="2"/>
      <c r="P7" s="12" t="s">
        <v>835</v>
      </c>
      <c r="Q7" s="2"/>
      <c r="R7" s="2"/>
      <c r="S7" s="2"/>
      <c r="T7" s="2"/>
      <c r="U7" s="2"/>
      <c r="V7" s="2"/>
      <c r="W7" s="2"/>
      <c r="X7" s="2"/>
      <c r="Y7" s="2"/>
      <c r="Z7" s="2"/>
      <c r="AA7" s="2"/>
      <c r="AB7" s="2"/>
    </row>
    <row r="8" spans="1:28" ht="13.35" customHeight="1" x14ac:dyDescent="0.2">
      <c r="B8" s="2"/>
      <c r="C8" s="2"/>
      <c r="D8" s="2"/>
      <c r="E8" s="2"/>
      <c r="F8" s="2"/>
      <c r="G8" s="2"/>
      <c r="H8" s="2"/>
      <c r="I8" s="2"/>
      <c r="J8" s="2"/>
      <c r="K8" s="2"/>
      <c r="L8" s="2"/>
      <c r="M8" s="2"/>
      <c r="N8" s="2"/>
      <c r="O8" s="2"/>
      <c r="P8" s="12" t="s">
        <v>837</v>
      </c>
      <c r="Q8" s="2"/>
      <c r="R8" s="2"/>
      <c r="S8" s="2"/>
      <c r="T8" s="2"/>
      <c r="U8" s="2"/>
      <c r="V8" s="2"/>
      <c r="W8" s="2"/>
      <c r="X8" s="2"/>
      <c r="Y8" s="2"/>
      <c r="Z8" s="2"/>
      <c r="AA8" s="2"/>
      <c r="AB8" s="2"/>
    </row>
    <row r="9" spans="1:28" ht="25.35" customHeight="1" x14ac:dyDescent="0.2">
      <c r="B9" s="656" t="s">
        <v>375</v>
      </c>
      <c r="C9" s="656"/>
      <c r="D9" s="656"/>
      <c r="E9" s="656"/>
      <c r="F9" s="656"/>
      <c r="G9" s="656"/>
      <c r="H9" s="656"/>
      <c r="I9" s="656"/>
      <c r="J9" s="656"/>
      <c r="K9" s="656"/>
      <c r="L9" s="656"/>
      <c r="M9" s="656"/>
      <c r="N9" s="2"/>
      <c r="O9" s="2"/>
      <c r="P9" s="2"/>
      <c r="Q9" s="2"/>
      <c r="R9" s="2"/>
      <c r="S9" s="2"/>
      <c r="T9" s="2"/>
      <c r="U9" s="2"/>
      <c r="V9" s="2"/>
      <c r="W9" s="2"/>
      <c r="X9" s="2"/>
      <c r="Y9" s="2"/>
      <c r="Z9" s="2"/>
      <c r="AA9" s="2"/>
      <c r="AB9" s="2"/>
    </row>
    <row r="10" spans="1:28" ht="10.7" customHeigh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3.35" customHeight="1" x14ac:dyDescent="0.2">
      <c r="B11" s="2"/>
      <c r="C11" s="2"/>
      <c r="D11" s="2"/>
      <c r="E11" s="2"/>
      <c r="F11" s="1" t="s">
        <v>376</v>
      </c>
      <c r="G11" s="37"/>
      <c r="H11" s="1"/>
      <c r="I11" s="2"/>
      <c r="J11" s="2"/>
      <c r="K11" s="2"/>
      <c r="L11" s="2"/>
      <c r="M11" s="2"/>
      <c r="N11" s="2"/>
      <c r="O11" s="2"/>
      <c r="P11" s="2"/>
      <c r="Q11" s="2"/>
      <c r="R11" s="2"/>
      <c r="S11" s="2"/>
      <c r="T11" s="2"/>
      <c r="U11" s="2"/>
      <c r="V11" s="2"/>
      <c r="W11" s="2"/>
      <c r="X11" s="2"/>
      <c r="Y11" s="2"/>
      <c r="Z11" s="2"/>
      <c r="AA11" s="2"/>
      <c r="AB11" s="2"/>
    </row>
    <row r="12" spans="1:28" ht="13.35" customHeight="1" x14ac:dyDescent="0.2">
      <c r="B12" s="1" t="s">
        <v>377</v>
      </c>
      <c r="C12" s="1"/>
      <c r="D12" s="2"/>
      <c r="E12" s="2"/>
      <c r="F12" s="1" t="s">
        <v>378</v>
      </c>
      <c r="G12" s="37"/>
      <c r="H12" s="1"/>
      <c r="I12" s="2"/>
      <c r="J12" s="1" t="s">
        <v>379</v>
      </c>
      <c r="K12" s="37"/>
      <c r="L12" s="1"/>
      <c r="M12" s="2"/>
      <c r="N12" s="2"/>
      <c r="O12" s="2"/>
      <c r="P12" s="467"/>
      <c r="Q12" s="2"/>
      <c r="R12" s="2"/>
      <c r="S12" s="2"/>
      <c r="T12" s="2"/>
      <c r="U12" s="2"/>
      <c r="V12" s="2"/>
      <c r="W12" s="2"/>
      <c r="X12" s="2"/>
      <c r="Y12" s="2"/>
      <c r="Z12" s="2"/>
      <c r="AA12" s="2"/>
      <c r="AB12" s="2"/>
    </row>
    <row r="13" spans="1:28" ht="13.35" customHeight="1" x14ac:dyDescent="0.2">
      <c r="B13" s="1" t="s">
        <v>380</v>
      </c>
      <c r="C13" s="1"/>
      <c r="D13" s="2"/>
      <c r="E13" s="2"/>
      <c r="F13" s="1" t="s">
        <v>467</v>
      </c>
      <c r="G13" s="37"/>
      <c r="H13" s="1"/>
      <c r="I13" s="2"/>
      <c r="J13" s="1" t="s">
        <v>381</v>
      </c>
      <c r="K13" s="37"/>
      <c r="L13" s="1"/>
      <c r="M13" s="2"/>
      <c r="N13" s="2"/>
      <c r="O13" s="2"/>
      <c r="P13" s="467"/>
      <c r="Q13"/>
      <c r="R13"/>
      <c r="S13"/>
      <c r="T13"/>
      <c r="U13"/>
      <c r="V13"/>
      <c r="W13"/>
      <c r="X13"/>
      <c r="Y13" s="2"/>
      <c r="Z13" s="2"/>
      <c r="AA13" s="2"/>
      <c r="AB13" s="2"/>
    </row>
    <row r="14" spans="1:28" ht="13.35" customHeight="1" x14ac:dyDescent="0.2">
      <c r="B14" s="3" t="s">
        <v>382</v>
      </c>
      <c r="C14" s="3"/>
      <c r="D14" s="2"/>
      <c r="E14" s="2"/>
      <c r="F14" s="3" t="s">
        <v>383</v>
      </c>
      <c r="G14" s="134"/>
      <c r="H14" s="3"/>
      <c r="I14" s="2"/>
      <c r="J14" s="3" t="s">
        <v>384</v>
      </c>
      <c r="K14" s="134"/>
      <c r="L14" s="3"/>
      <c r="M14" s="2"/>
      <c r="N14" s="2"/>
      <c r="O14" s="2"/>
      <c r="P14" s="467"/>
      <c r="Q14" s="445"/>
      <c r="R14" s="444"/>
      <c r="S14" s="445"/>
      <c r="T14"/>
      <c r="U14"/>
      <c r="V14"/>
      <c r="W14"/>
      <c r="X14"/>
      <c r="Y14" s="2"/>
      <c r="Z14" s="2"/>
      <c r="AA14" s="2"/>
      <c r="AB14" s="2"/>
    </row>
    <row r="15" spans="1:28" ht="12.75" customHeight="1" x14ac:dyDescent="0.2">
      <c r="B15" s="2"/>
      <c r="C15" s="2"/>
      <c r="D15" s="2"/>
      <c r="E15" s="2"/>
      <c r="F15" s="2"/>
      <c r="G15" s="2"/>
      <c r="H15" s="2"/>
      <c r="I15" s="2"/>
      <c r="J15" s="2"/>
      <c r="K15" s="2"/>
      <c r="L15" s="2"/>
      <c r="M15" s="2"/>
      <c r="N15" s="2"/>
      <c r="O15" s="468"/>
      <c r="P15" s="467"/>
      <c r="Q15" s="443"/>
      <c r="R15" s="444"/>
      <c r="S15" s="446"/>
      <c r="T15" s="145"/>
      <c r="U15" s="145"/>
      <c r="V15" s="145"/>
      <c r="W15" s="145"/>
      <c r="X15"/>
      <c r="Y15" s="2"/>
      <c r="Z15" s="2"/>
      <c r="AA15" s="2"/>
      <c r="AB15" s="2"/>
    </row>
    <row r="16" spans="1:28" ht="13.35" customHeight="1" x14ac:dyDescent="0.2">
      <c r="A16" s="269"/>
      <c r="B16" s="2" t="s">
        <v>385</v>
      </c>
      <c r="C16" s="2"/>
      <c r="D16" s="2"/>
      <c r="E16" s="2"/>
      <c r="F16" s="2"/>
      <c r="G16" s="329">
        <f>16598+P16</f>
        <v>16960.219178082192</v>
      </c>
      <c r="I16" s="2"/>
      <c r="J16" s="2"/>
      <c r="K16" s="5">
        <f>ROUND(G16/G$24,4)+0.0001</f>
        <v>0.48659999999999998</v>
      </c>
      <c r="L16" s="2"/>
      <c r="M16" s="2"/>
      <c r="N16" s="2"/>
      <c r="O16" s="468"/>
      <c r="P16" s="640">
        <f>132210/365</f>
        <v>362.21917808219177</v>
      </c>
      <c r="Q16" s="443"/>
      <c r="R16" s="444"/>
      <c r="S16" s="446"/>
      <c r="T16" s="145"/>
      <c r="U16" s="145"/>
      <c r="V16" s="145"/>
      <c r="W16" s="145"/>
      <c r="X16"/>
      <c r="Y16" s="2"/>
      <c r="Z16" s="2"/>
      <c r="AA16" s="2"/>
      <c r="AB16" s="2"/>
    </row>
    <row r="17" spans="1:28" ht="13.35" customHeight="1" x14ac:dyDescent="0.2">
      <c r="A17" s="269"/>
      <c r="B17" s="2" t="s">
        <v>386</v>
      </c>
      <c r="C17" s="2"/>
      <c r="D17" s="2"/>
      <c r="E17" s="2"/>
      <c r="F17" s="2"/>
      <c r="G17" s="329">
        <f>10430+P17</f>
        <v>10770.994520547945</v>
      </c>
      <c r="I17" s="2"/>
      <c r="J17" s="2"/>
      <c r="K17" s="5">
        <f t="shared" ref="K17:K22" si="0">ROUND(G17/G$24,4)</f>
        <v>0.309</v>
      </c>
      <c r="L17" s="2"/>
      <c r="M17" s="2"/>
      <c r="N17" s="2"/>
      <c r="O17" s="468"/>
      <c r="P17" s="640">
        <f>124463/365</f>
        <v>340.99452054794523</v>
      </c>
      <c r="Q17" s="443"/>
      <c r="R17" s="444"/>
      <c r="S17" s="446"/>
      <c r="T17" s="145"/>
      <c r="U17"/>
      <c r="V17"/>
      <c r="W17" s="145"/>
      <c r="X17"/>
      <c r="Y17" s="2"/>
      <c r="Z17" s="2"/>
      <c r="AA17" s="2"/>
      <c r="AB17" s="2"/>
    </row>
    <row r="18" spans="1:28" ht="13.35" customHeight="1" x14ac:dyDescent="0.2">
      <c r="A18" s="269"/>
      <c r="B18" s="2" t="s">
        <v>387</v>
      </c>
      <c r="C18" s="2"/>
      <c r="D18" s="2"/>
      <c r="E18" s="2"/>
      <c r="F18" s="2"/>
      <c r="G18" s="329">
        <f>1444+P18</f>
        <v>1650.3479452054794</v>
      </c>
      <c r="I18" s="2"/>
      <c r="J18" s="2"/>
      <c r="K18" s="5">
        <f t="shared" si="0"/>
        <v>4.7300000000000002E-2</v>
      </c>
      <c r="L18" s="2"/>
      <c r="M18" s="2"/>
      <c r="N18" s="2"/>
      <c r="O18" s="468"/>
      <c r="P18" s="640">
        <f>75317/365</f>
        <v>206.34794520547945</v>
      </c>
      <c r="Q18" s="443"/>
      <c r="R18" s="444"/>
      <c r="S18" s="446"/>
      <c r="T18" s="145"/>
      <c r="U18"/>
      <c r="V18"/>
      <c r="W18" s="145"/>
      <c r="X18"/>
      <c r="Y18" s="2"/>
      <c r="Z18" s="2"/>
      <c r="AA18" s="2"/>
      <c r="AB18" s="2"/>
    </row>
    <row r="19" spans="1:28" ht="13.35" customHeight="1" x14ac:dyDescent="0.2">
      <c r="A19" s="269"/>
      <c r="B19" s="2" t="s">
        <v>389</v>
      </c>
      <c r="C19" s="2"/>
      <c r="D19" s="2"/>
      <c r="E19" s="2"/>
      <c r="F19" s="2"/>
      <c r="G19" s="329">
        <f>3708+P19</f>
        <v>4022.8904109589039</v>
      </c>
      <c r="I19" s="2"/>
      <c r="J19" s="2"/>
      <c r="K19" s="5">
        <f t="shared" si="0"/>
        <v>0.1154</v>
      </c>
      <c r="L19" s="2"/>
      <c r="M19" s="2"/>
      <c r="N19" s="2"/>
      <c r="O19" s="468"/>
      <c r="P19" s="640">
        <f>114935/365</f>
        <v>314.89041095890411</v>
      </c>
      <c r="Q19" s="443"/>
      <c r="R19" s="446"/>
      <c r="S19" s="446"/>
      <c r="T19" s="145"/>
      <c r="U19"/>
      <c r="V19"/>
      <c r="W19" s="145"/>
      <c r="X19"/>
      <c r="Y19" s="2"/>
      <c r="Z19" s="2"/>
      <c r="AA19" s="2"/>
      <c r="AB19" s="2"/>
    </row>
    <row r="20" spans="1:28" ht="13.35" customHeight="1" x14ac:dyDescent="0.2">
      <c r="A20" s="269"/>
      <c r="B20" s="2" t="s">
        <v>503</v>
      </c>
      <c r="C20" s="2"/>
      <c r="D20" s="2"/>
      <c r="E20" s="2"/>
      <c r="F20" s="2"/>
      <c r="G20" s="329">
        <f>1156+P20</f>
        <v>1252.3205479452054</v>
      </c>
      <c r="I20" s="2"/>
      <c r="J20" s="2"/>
      <c r="K20" s="5">
        <f t="shared" si="0"/>
        <v>3.5900000000000001E-2</v>
      </c>
      <c r="L20" s="2"/>
      <c r="M20" s="2"/>
      <c r="N20" s="2"/>
      <c r="O20" s="2"/>
      <c r="P20" s="640">
        <f>35157/365</f>
        <v>96.320547945205476</v>
      </c>
      <c r="Q20" s="212"/>
      <c r="R20" s="212"/>
      <c r="S20" s="444"/>
      <c r="T20"/>
      <c r="U20"/>
      <c r="V20"/>
      <c r="W20" s="145"/>
      <c r="X20"/>
      <c r="Y20" s="2"/>
      <c r="Z20" s="2"/>
      <c r="AA20" s="2"/>
      <c r="AB20" s="2"/>
    </row>
    <row r="21" spans="1:28" ht="13.35" customHeight="1" x14ac:dyDescent="0.2">
      <c r="B21" s="2" t="s">
        <v>391</v>
      </c>
      <c r="C21" s="2"/>
      <c r="D21" s="2"/>
      <c r="E21" s="2"/>
      <c r="F21" s="2"/>
      <c r="G21" s="329">
        <f>U22</f>
        <v>92.332000000000008</v>
      </c>
      <c r="I21" s="2"/>
      <c r="J21" s="2"/>
      <c r="K21" s="5">
        <f t="shared" si="0"/>
        <v>2.5999999999999999E-3</v>
      </c>
      <c r="L21" s="2"/>
      <c r="M21" s="2"/>
      <c r="N21" s="2"/>
      <c r="O21" s="468"/>
      <c r="P21" s="467"/>
      <c r="Q21" s="444"/>
      <c r="R21" s="328"/>
      <c r="S21" s="444"/>
      <c r="T21" s="658" t="s">
        <v>841</v>
      </c>
      <c r="U21" s="658"/>
      <c r="V21"/>
      <c r="W21"/>
      <c r="X21"/>
      <c r="Y21" s="2"/>
      <c r="Z21" s="2"/>
      <c r="AA21" s="2"/>
      <c r="AB21" s="2"/>
    </row>
    <row r="22" spans="1:28" ht="13.35" customHeight="1" x14ac:dyDescent="0.2">
      <c r="B22" s="2" t="s">
        <v>392</v>
      </c>
      <c r="C22" s="2"/>
      <c r="D22" s="2"/>
      <c r="E22" s="2"/>
      <c r="F22" s="2"/>
      <c r="G22" s="330">
        <f>U23</f>
        <v>112.66800000000001</v>
      </c>
      <c r="I22" s="2"/>
      <c r="J22" s="2"/>
      <c r="K22" s="5">
        <f t="shared" si="0"/>
        <v>3.2000000000000002E-3</v>
      </c>
      <c r="L22" s="2"/>
      <c r="M22" s="2"/>
      <c r="N22" s="2"/>
      <c r="O22" s="468"/>
      <c r="P22" s="467">
        <f>SUM(G16:G20)</f>
        <v>34656.772602739729</v>
      </c>
      <c r="Q22" s="219" t="s">
        <v>838</v>
      </c>
      <c r="R22" s="444"/>
      <c r="S22" s="444"/>
      <c r="T22">
        <f>Fire!O26</f>
        <v>0.45040000000000002</v>
      </c>
      <c r="U22" s="642">
        <v>92.332000000000008</v>
      </c>
      <c r="V22"/>
      <c r="W22"/>
      <c r="X22"/>
      <c r="Y22" s="2"/>
      <c r="Z22" s="2"/>
      <c r="AA22" s="2"/>
      <c r="AB22" s="2"/>
    </row>
    <row r="23" spans="1:28" ht="13.35" customHeight="1" x14ac:dyDescent="0.2">
      <c r="B23" s="2"/>
      <c r="C23" s="2"/>
      <c r="D23" s="2"/>
      <c r="E23" s="2"/>
      <c r="F23" s="2"/>
      <c r="G23" s="329"/>
      <c r="I23" s="2"/>
      <c r="J23" s="2"/>
      <c r="K23" s="7"/>
      <c r="L23" s="2"/>
      <c r="M23" s="2"/>
      <c r="N23" s="2"/>
      <c r="O23" s="2"/>
      <c r="P23" s="641">
        <f>197/33335</f>
        <v>5.9097045147742614E-3</v>
      </c>
      <c r="Q23" s="219" t="s">
        <v>839</v>
      </c>
      <c r="R23" s="444"/>
      <c r="S23" s="444"/>
      <c r="T23">
        <f>Fire!O33</f>
        <v>0.54959999999999998</v>
      </c>
      <c r="U23" s="642">
        <v>112.66800000000001</v>
      </c>
      <c r="V23"/>
      <c r="W23"/>
      <c r="X23"/>
      <c r="Y23" s="2"/>
      <c r="Z23" s="2"/>
      <c r="AA23" s="2"/>
      <c r="AB23" s="2"/>
    </row>
    <row r="24" spans="1:28" ht="13.35" customHeight="1" thickBot="1" x14ac:dyDescent="0.25">
      <c r="B24" s="2" t="s">
        <v>393</v>
      </c>
      <c r="C24" s="2"/>
      <c r="D24" s="2"/>
      <c r="E24" s="2"/>
      <c r="F24" s="2"/>
      <c r="G24" s="166">
        <f>SUM(G16:G23)</f>
        <v>34861.772602739729</v>
      </c>
      <c r="I24" s="2"/>
      <c r="J24" s="2"/>
      <c r="K24" s="5">
        <f>SUM(K16:K23)</f>
        <v>1</v>
      </c>
      <c r="L24" s="2"/>
      <c r="M24" s="2"/>
      <c r="N24" s="2"/>
      <c r="O24" s="2"/>
      <c r="P24" s="467">
        <f>ROUND(P22*P23,0)</f>
        <v>205</v>
      </c>
      <c r="Q24" s="219" t="s">
        <v>840</v>
      </c>
      <c r="R24" s="447"/>
      <c r="S24" s="447"/>
      <c r="T24"/>
      <c r="U24" s="643">
        <f>SUM(U22:U23)</f>
        <v>205</v>
      </c>
      <c r="V24"/>
      <c r="W24"/>
      <c r="X24"/>
      <c r="Y24" s="2"/>
      <c r="Z24" s="2"/>
      <c r="AA24" s="2"/>
      <c r="AB24" s="2"/>
    </row>
    <row r="25" spans="1:28" ht="13.35" customHeight="1" thickTop="1" x14ac:dyDescent="0.2">
      <c r="B25" s="2"/>
      <c r="C25" s="2"/>
      <c r="D25" s="2"/>
      <c r="E25" s="2"/>
      <c r="F25" s="2"/>
      <c r="G25" s="153"/>
      <c r="H25" s="2"/>
      <c r="I25" s="2"/>
      <c r="J25" s="2"/>
      <c r="K25" s="9"/>
      <c r="L25" s="2"/>
      <c r="M25" s="2"/>
      <c r="N25" s="2"/>
      <c r="O25" s="2"/>
      <c r="P25" s="467"/>
      <c r="Q25" s="444"/>
      <c r="R25" s="447"/>
      <c r="S25" s="447"/>
      <c r="T25"/>
      <c r="U25"/>
      <c r="V25"/>
      <c r="W25"/>
      <c r="X25"/>
      <c r="Y25" s="2"/>
      <c r="Z25" s="2"/>
      <c r="AA25" s="2"/>
      <c r="AB25" s="2"/>
    </row>
    <row r="26" spans="1:28" ht="13.35" customHeight="1" x14ac:dyDescent="0.2">
      <c r="B26" s="2"/>
      <c r="C26" s="2"/>
      <c r="D26" s="2"/>
      <c r="E26" s="2"/>
      <c r="F26" s="2"/>
      <c r="G26" s="10"/>
      <c r="H26" s="2"/>
      <c r="I26" s="2"/>
      <c r="J26" s="2"/>
      <c r="K26" s="2"/>
      <c r="L26" s="2"/>
      <c r="M26" s="2"/>
      <c r="N26" s="2"/>
      <c r="O26" s="2"/>
      <c r="P26" s="467"/>
      <c r="Q26" s="2"/>
      <c r="R26" s="331"/>
      <c r="S26" s="332"/>
      <c r="T26" s="2"/>
      <c r="U26" s="2"/>
      <c r="V26" s="2"/>
      <c r="W26" s="2"/>
      <c r="X26" s="2"/>
      <c r="Y26" s="2"/>
      <c r="Z26" s="2"/>
      <c r="AA26" s="2"/>
      <c r="AB26" s="2"/>
    </row>
    <row r="27" spans="1:28" ht="13.35" customHeight="1" x14ac:dyDescent="0.2">
      <c r="B27" s="2" t="s">
        <v>394</v>
      </c>
      <c r="C27" s="2"/>
      <c r="D27" s="2"/>
      <c r="E27" s="2"/>
      <c r="F27" s="2"/>
      <c r="G27" s="2"/>
      <c r="H27" s="2"/>
      <c r="I27" s="2"/>
      <c r="J27" s="2"/>
      <c r="K27" s="2"/>
      <c r="L27" s="2"/>
      <c r="M27" s="2"/>
      <c r="N27" s="2"/>
      <c r="O27" s="2"/>
      <c r="P27" s="467"/>
      <c r="Q27" s="2"/>
      <c r="R27" s="2"/>
      <c r="S27" s="2"/>
      <c r="T27" s="2"/>
      <c r="U27" s="2"/>
      <c r="V27" s="2"/>
      <c r="W27" s="2"/>
      <c r="X27" s="2"/>
      <c r="Y27" s="2"/>
      <c r="Z27" s="2"/>
      <c r="AA27" s="2"/>
      <c r="AB27" s="2"/>
    </row>
    <row r="28" spans="1:28" ht="13.35" customHeight="1" x14ac:dyDescent="0.2">
      <c r="B28" s="2" t="s">
        <v>172</v>
      </c>
      <c r="C28" s="2"/>
      <c r="D28" s="2"/>
      <c r="E28" s="2"/>
      <c r="F28" s="2"/>
      <c r="G28" s="2"/>
      <c r="H28" s="2"/>
      <c r="I28" s="2"/>
      <c r="J28" s="2"/>
      <c r="K28" s="2"/>
      <c r="L28" s="2"/>
      <c r="M28" s="2"/>
      <c r="N28" s="2"/>
      <c r="O28" s="2"/>
      <c r="P28" s="467"/>
      <c r="Q28" s="2"/>
      <c r="R28" s="2"/>
      <c r="S28" s="2"/>
      <c r="T28" s="2"/>
      <c r="U28" s="2"/>
      <c r="V28" s="2"/>
      <c r="W28" s="2"/>
      <c r="X28" s="2"/>
      <c r="Y28" s="2"/>
      <c r="Z28" s="2"/>
      <c r="AA28" s="2"/>
      <c r="AB28" s="2"/>
    </row>
    <row r="29" spans="1:28" ht="9.1999999999999993" customHeight="1" x14ac:dyDescent="0.2">
      <c r="B29" s="2"/>
      <c r="C29" s="2"/>
      <c r="D29" s="2"/>
      <c r="E29" s="2"/>
      <c r="F29" s="2"/>
      <c r="G29" s="2"/>
      <c r="H29" s="2"/>
      <c r="I29" s="2"/>
      <c r="J29" s="2"/>
      <c r="K29" s="2"/>
      <c r="L29" s="2"/>
      <c r="M29" s="2"/>
      <c r="N29" s="2"/>
      <c r="O29" s="2"/>
      <c r="P29" s="467"/>
      <c r="Q29" s="2"/>
      <c r="R29" s="2"/>
      <c r="S29" s="2"/>
      <c r="T29" s="2"/>
      <c r="U29" s="2"/>
      <c r="V29" s="2"/>
      <c r="W29" s="2"/>
      <c r="X29" s="2"/>
      <c r="Y29" s="2"/>
      <c r="Z29" s="2"/>
      <c r="AA29" s="2"/>
      <c r="AB29" s="2"/>
    </row>
    <row r="30" spans="1:28" ht="27.6" customHeight="1" x14ac:dyDescent="0.2">
      <c r="B30" s="656" t="s">
        <v>173</v>
      </c>
      <c r="C30" s="656"/>
      <c r="D30" s="656"/>
      <c r="E30" s="656"/>
      <c r="F30" s="656"/>
      <c r="G30" s="656"/>
      <c r="H30" s="656"/>
      <c r="I30" s="656"/>
      <c r="J30" s="656"/>
      <c r="K30" s="656"/>
      <c r="L30" s="656"/>
      <c r="M30" s="656"/>
      <c r="N30" s="2"/>
      <c r="O30" s="2"/>
      <c r="P30" s="467"/>
      <c r="Q30" s="2"/>
      <c r="R30" s="2"/>
      <c r="S30" s="2"/>
      <c r="T30" s="2"/>
      <c r="U30" s="2"/>
      <c r="V30" s="2"/>
      <c r="W30" s="2"/>
      <c r="X30" s="2"/>
      <c r="Y30" s="2"/>
      <c r="Z30" s="2"/>
      <c r="AA30" s="2"/>
      <c r="AB30" s="2"/>
    </row>
    <row r="31" spans="1:28" ht="8.1" customHeight="1" x14ac:dyDescent="0.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3.35" customHeight="1" x14ac:dyDescent="0.2">
      <c r="B32" s="2"/>
      <c r="C32" s="2"/>
      <c r="D32" s="2"/>
      <c r="E32" s="1" t="s">
        <v>376</v>
      </c>
      <c r="F32" s="1"/>
      <c r="G32" s="1"/>
      <c r="H32" s="2"/>
      <c r="I32" s="1" t="s">
        <v>267</v>
      </c>
      <c r="J32" s="1"/>
      <c r="K32" s="1"/>
      <c r="L32" s="2"/>
      <c r="M32" s="2"/>
      <c r="N32" s="2"/>
      <c r="O32" s="2"/>
      <c r="P32" s="2"/>
      <c r="Q32" s="2"/>
      <c r="R32" s="2"/>
      <c r="S32" s="2"/>
      <c r="T32" s="2"/>
      <c r="U32" s="2"/>
      <c r="V32" s="2"/>
      <c r="W32" s="2"/>
      <c r="X32" s="2"/>
      <c r="Y32" s="2"/>
      <c r="Z32" s="2"/>
      <c r="AA32" s="2"/>
      <c r="AB32" s="2"/>
    </row>
    <row r="33" spans="2:28" ht="13.35" customHeight="1" x14ac:dyDescent="0.2">
      <c r="B33" s="2"/>
      <c r="C33" s="2"/>
      <c r="D33" s="2"/>
      <c r="E33" s="1" t="s">
        <v>268</v>
      </c>
      <c r="F33" s="1"/>
      <c r="G33" s="1"/>
      <c r="H33" s="2"/>
      <c r="I33" s="1" t="s">
        <v>269</v>
      </c>
      <c r="J33" s="1"/>
      <c r="K33" s="1"/>
      <c r="L33" s="2"/>
      <c r="M33" s="2"/>
      <c r="N33" s="2"/>
      <c r="O33" s="2"/>
      <c r="P33" s="2"/>
      <c r="Q33" s="2"/>
      <c r="R33" s="2"/>
      <c r="S33" s="2"/>
      <c r="T33" s="2"/>
      <c r="U33" s="2"/>
      <c r="V33" s="2"/>
      <c r="W33" s="2"/>
      <c r="X33" s="2"/>
      <c r="Y33" s="2"/>
      <c r="Z33" s="2"/>
      <c r="AA33" s="2"/>
      <c r="AB33" s="2"/>
    </row>
    <row r="34" spans="2:28" ht="13.35" customHeight="1" x14ac:dyDescent="0.2">
      <c r="B34" s="1" t="s">
        <v>377</v>
      </c>
      <c r="C34" s="1"/>
      <c r="D34" s="2"/>
      <c r="E34" s="11" t="s">
        <v>379</v>
      </c>
      <c r="F34" s="11"/>
      <c r="G34" s="11" t="s">
        <v>270</v>
      </c>
      <c r="H34" s="12"/>
      <c r="I34" s="11" t="s">
        <v>379</v>
      </c>
      <c r="J34" s="11"/>
      <c r="K34" s="11" t="s">
        <v>270</v>
      </c>
      <c r="L34" s="12"/>
      <c r="M34" s="12" t="s">
        <v>379</v>
      </c>
      <c r="N34" s="2"/>
      <c r="O34" s="2"/>
      <c r="P34" s="2"/>
      <c r="Q34" s="2"/>
      <c r="R34" s="2"/>
      <c r="S34" s="2"/>
      <c r="T34" s="2"/>
      <c r="U34" s="2"/>
      <c r="V34" s="2"/>
      <c r="W34" s="2"/>
      <c r="X34" s="2"/>
      <c r="Y34" s="2"/>
      <c r="Z34" s="2"/>
      <c r="AA34" s="2"/>
      <c r="AB34" s="2"/>
    </row>
    <row r="35" spans="2:28" ht="13.35" customHeight="1" x14ac:dyDescent="0.2">
      <c r="B35" s="1" t="s">
        <v>380</v>
      </c>
      <c r="C35" s="1"/>
      <c r="D35" s="2"/>
      <c r="E35" s="12" t="s">
        <v>271</v>
      </c>
      <c r="F35" s="12"/>
      <c r="G35" s="12" t="s">
        <v>381</v>
      </c>
      <c r="H35" s="12"/>
      <c r="I35" s="12" t="s">
        <v>381</v>
      </c>
      <c r="J35" s="12"/>
      <c r="K35" s="12" t="s">
        <v>381</v>
      </c>
      <c r="L35" s="12"/>
      <c r="M35" s="12" t="s">
        <v>381</v>
      </c>
      <c r="N35" s="2"/>
      <c r="O35" s="2"/>
      <c r="P35" s="2"/>
      <c r="Q35" s="2"/>
      <c r="R35" s="2"/>
      <c r="S35" s="2"/>
      <c r="T35" s="2"/>
      <c r="U35" s="2"/>
      <c r="V35" s="2"/>
      <c r="W35" s="2"/>
      <c r="X35" s="2"/>
      <c r="Y35" s="2"/>
      <c r="Z35" s="2"/>
      <c r="AA35" s="2"/>
      <c r="AB35" s="2"/>
    </row>
    <row r="36" spans="2:28" ht="13.35" customHeight="1" x14ac:dyDescent="0.2">
      <c r="B36" s="3" t="s">
        <v>382</v>
      </c>
      <c r="C36" s="3"/>
      <c r="D36" s="2"/>
      <c r="E36" s="11" t="s">
        <v>272</v>
      </c>
      <c r="F36" s="2"/>
      <c r="G36" s="13" t="s">
        <v>273</v>
      </c>
      <c r="H36" s="2"/>
      <c r="I36" s="11" t="s">
        <v>274</v>
      </c>
      <c r="J36" s="2"/>
      <c r="K36" s="13" t="s">
        <v>275</v>
      </c>
      <c r="L36" s="2"/>
      <c r="M36" s="11" t="s">
        <v>276</v>
      </c>
      <c r="N36" s="2"/>
      <c r="O36" s="2"/>
      <c r="P36" s="2"/>
      <c r="Q36" s="2"/>
      <c r="R36" s="2"/>
      <c r="S36" s="2"/>
      <c r="T36" s="2"/>
      <c r="U36" s="2"/>
      <c r="V36" s="2"/>
      <c r="W36" s="2"/>
      <c r="X36" s="2"/>
      <c r="Y36" s="2"/>
      <c r="Z36" s="2"/>
      <c r="AA36" s="2"/>
      <c r="AB36" s="2"/>
    </row>
    <row r="37" spans="2:28" ht="13.35" customHeight="1" x14ac:dyDescent="0.2">
      <c r="B37" s="2"/>
      <c r="C37" s="2"/>
      <c r="D37" s="2"/>
      <c r="E37" s="2"/>
      <c r="F37" s="2"/>
      <c r="G37" s="5">
        <f>'F 2 B'!$H$33</f>
        <v>0.60609999999999997</v>
      </c>
      <c r="H37" s="2"/>
      <c r="I37" s="2"/>
      <c r="J37" s="2"/>
      <c r="K37" s="5">
        <f>'F 2 B'!$H$35</f>
        <v>0.39389999999999997</v>
      </c>
      <c r="L37" s="2"/>
      <c r="M37" s="2"/>
      <c r="N37" s="2"/>
      <c r="O37" s="2"/>
      <c r="P37" s="2"/>
      <c r="Q37" s="2"/>
      <c r="R37" s="2"/>
      <c r="S37" s="2"/>
      <c r="T37" s="2"/>
      <c r="U37" s="2"/>
      <c r="V37" s="2"/>
      <c r="W37" s="2"/>
      <c r="X37" s="2"/>
      <c r="Y37" s="2"/>
      <c r="Z37" s="2"/>
      <c r="AA37" s="2"/>
      <c r="AB37" s="2"/>
    </row>
    <row r="38" spans="2:28" ht="8.25" customHeight="1"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2:28" ht="13.35" customHeight="1" x14ac:dyDescent="0.2">
      <c r="B39" s="2" t="s">
        <v>385</v>
      </c>
      <c r="C39" s="2"/>
      <c r="D39" s="2"/>
      <c r="E39" s="5">
        <f t="shared" ref="E39:E45" si="1">K16</f>
        <v>0.48659999999999998</v>
      </c>
      <c r="F39" s="2"/>
      <c r="G39" s="5">
        <f>ROUND(E39*G$37,4)+0</f>
        <v>0.2949</v>
      </c>
      <c r="H39" s="2"/>
      <c r="I39" s="5">
        <f>'F 2 B'!$J$17</f>
        <v>0.51790000000000003</v>
      </c>
      <c r="J39" s="2"/>
      <c r="K39" s="5">
        <f>ROUND(I39*K$37,4)+0.0001</f>
        <v>0.20409999999999998</v>
      </c>
      <c r="L39" s="2"/>
      <c r="M39" s="5">
        <f t="shared" ref="M39:M45" si="2">G39+K39</f>
        <v>0.499</v>
      </c>
      <c r="N39" s="2"/>
      <c r="O39" s="2"/>
      <c r="P39" s="2"/>
      <c r="Q39" s="5"/>
      <c r="R39" s="2"/>
      <c r="S39" s="2"/>
      <c r="T39" s="2"/>
      <c r="U39" s="2"/>
      <c r="V39" s="2"/>
      <c r="W39" s="2"/>
      <c r="X39" s="2"/>
      <c r="Y39" s="2"/>
      <c r="Z39" s="2"/>
      <c r="AA39" s="2"/>
      <c r="AB39" s="2"/>
    </row>
    <row r="40" spans="2:28" ht="13.35" customHeight="1" x14ac:dyDescent="0.2">
      <c r="B40" s="2" t="s">
        <v>386</v>
      </c>
      <c r="C40" s="2"/>
      <c r="D40" s="2"/>
      <c r="E40" s="5">
        <f t="shared" si="1"/>
        <v>0.309</v>
      </c>
      <c r="F40" s="2"/>
      <c r="G40" s="5">
        <f t="shared" ref="G40:G44" si="3">ROUND(E40*G$37,4)</f>
        <v>0.18729999999999999</v>
      </c>
      <c r="H40" s="2"/>
      <c r="I40" s="5">
        <f>'F 2 B'!$J$18</f>
        <v>0.31069999999999998</v>
      </c>
      <c r="J40" s="2"/>
      <c r="K40" s="5">
        <f>ROUND(I40*K$37,4)</f>
        <v>0.12239999999999999</v>
      </c>
      <c r="L40" s="2"/>
      <c r="M40" s="5">
        <f t="shared" si="2"/>
        <v>0.30969999999999998</v>
      </c>
      <c r="N40" s="2"/>
      <c r="O40" s="2"/>
      <c r="P40" s="2"/>
      <c r="Q40" s="5"/>
      <c r="R40" s="2"/>
      <c r="S40" s="2"/>
      <c r="T40" s="2"/>
      <c r="U40" s="2"/>
      <c r="V40" s="2"/>
      <c r="W40" s="2"/>
      <c r="X40" s="2"/>
      <c r="Y40" s="2"/>
      <c r="Z40" s="2"/>
      <c r="AA40" s="2"/>
      <c r="AB40" s="2"/>
    </row>
    <row r="41" spans="2:28" ht="13.35" customHeight="1" x14ac:dyDescent="0.2">
      <c r="B41" s="2" t="s">
        <v>387</v>
      </c>
      <c r="C41" s="2"/>
      <c r="D41" s="2"/>
      <c r="E41" s="5">
        <f t="shared" si="1"/>
        <v>4.7300000000000002E-2</v>
      </c>
      <c r="F41" s="2"/>
      <c r="G41" s="5">
        <f t="shared" si="3"/>
        <v>2.87E-2</v>
      </c>
      <c r="H41" s="2"/>
      <c r="I41" s="5">
        <f>'F 2 B'!$J$19</f>
        <v>3.9199999999999999E-2</v>
      </c>
      <c r="J41" s="2"/>
      <c r="K41" s="5">
        <f>ROUND(I41*K$37,4)</f>
        <v>1.54E-2</v>
      </c>
      <c r="L41" s="2"/>
      <c r="M41" s="5">
        <f t="shared" si="2"/>
        <v>4.41E-2</v>
      </c>
      <c r="N41" s="2"/>
      <c r="O41" s="2"/>
      <c r="P41" s="2"/>
      <c r="Q41" s="5"/>
      <c r="R41" s="2"/>
      <c r="S41" s="2"/>
      <c r="T41" s="2"/>
      <c r="U41" s="2"/>
      <c r="V41" s="2"/>
      <c r="W41" s="2"/>
      <c r="X41" s="2"/>
      <c r="Y41" s="2"/>
      <c r="Z41" s="2"/>
      <c r="AA41" s="2"/>
      <c r="AB41" s="2"/>
    </row>
    <row r="42" spans="2:28" ht="13.35" customHeight="1" x14ac:dyDescent="0.2">
      <c r="B42" s="2" t="s">
        <v>389</v>
      </c>
      <c r="C42" s="2"/>
      <c r="D42" s="2"/>
      <c r="E42" s="5">
        <f t="shared" si="1"/>
        <v>0.1154</v>
      </c>
      <c r="F42" s="2"/>
      <c r="G42" s="5">
        <f t="shared" si="3"/>
        <v>6.9900000000000004E-2</v>
      </c>
      <c r="H42" s="2"/>
      <c r="I42" s="5">
        <f>'F 2 B'!$J$20</f>
        <v>0.1024</v>
      </c>
      <c r="J42" s="2"/>
      <c r="K42" s="5">
        <f>ROUND(I42*K$37,4)</f>
        <v>4.0300000000000002E-2</v>
      </c>
      <c r="L42" s="2"/>
      <c r="M42" s="5">
        <f t="shared" si="2"/>
        <v>0.11020000000000001</v>
      </c>
      <c r="N42" s="2"/>
      <c r="O42" s="2"/>
      <c r="P42" s="2"/>
      <c r="Q42" s="5"/>
      <c r="R42" s="2"/>
      <c r="S42" s="2"/>
      <c r="T42" s="2"/>
      <c r="U42" s="2"/>
      <c r="V42" s="2"/>
      <c r="W42" s="2"/>
      <c r="X42" s="2"/>
      <c r="Y42" s="2"/>
      <c r="Z42" s="2"/>
      <c r="AA42" s="2"/>
      <c r="AB42" s="2"/>
    </row>
    <row r="43" spans="2:28" ht="13.35" customHeight="1" x14ac:dyDescent="0.2">
      <c r="B43" s="2" t="s">
        <v>503</v>
      </c>
      <c r="C43" s="2"/>
      <c r="D43" s="2"/>
      <c r="E43" s="5">
        <f t="shared" si="1"/>
        <v>3.5900000000000001E-2</v>
      </c>
      <c r="F43" s="2"/>
      <c r="G43" s="5">
        <f t="shared" si="3"/>
        <v>2.18E-2</v>
      </c>
      <c r="H43" s="2"/>
      <c r="I43" s="5">
        <f>'F 2 B'!$J$21</f>
        <v>2.98E-2</v>
      </c>
      <c r="J43" s="2"/>
      <c r="K43" s="5">
        <f>ROUND(I43*K$37,4)</f>
        <v>1.17E-2</v>
      </c>
      <c r="L43" s="2"/>
      <c r="M43" s="5">
        <f t="shared" si="2"/>
        <v>3.3500000000000002E-2</v>
      </c>
      <c r="N43" s="2"/>
      <c r="O43" s="2"/>
      <c r="P43" s="2"/>
      <c r="Q43" s="5"/>
      <c r="R43" s="2"/>
      <c r="S43" s="2"/>
      <c r="T43" s="2"/>
      <c r="U43" s="2"/>
      <c r="V43" s="2"/>
      <c r="W43" s="2"/>
      <c r="X43" s="2"/>
      <c r="Y43" s="2"/>
      <c r="Z43" s="2"/>
      <c r="AA43" s="2"/>
      <c r="AB43" s="2"/>
    </row>
    <row r="44" spans="2:28" ht="13.35" customHeight="1" x14ac:dyDescent="0.2">
      <c r="B44" s="2" t="s">
        <v>391</v>
      </c>
      <c r="C44" s="2"/>
      <c r="D44" s="2"/>
      <c r="E44" s="5">
        <f t="shared" si="1"/>
        <v>2.5999999999999999E-3</v>
      </c>
      <c r="F44" s="2"/>
      <c r="G44" s="5">
        <f t="shared" si="3"/>
        <v>1.6000000000000001E-3</v>
      </c>
      <c r="H44" s="2"/>
      <c r="I44" s="2"/>
      <c r="J44" s="2"/>
      <c r="K44" s="2"/>
      <c r="L44" s="2"/>
      <c r="M44" s="5">
        <f t="shared" si="2"/>
        <v>1.6000000000000001E-3</v>
      </c>
      <c r="N44" s="2"/>
      <c r="O44" s="2"/>
      <c r="P44" s="2"/>
      <c r="Q44" s="5"/>
      <c r="R44" s="2"/>
      <c r="S44" s="2"/>
      <c r="T44" s="2"/>
      <c r="U44" s="2"/>
      <c r="V44" s="2"/>
      <c r="W44" s="2"/>
      <c r="X44" s="2"/>
      <c r="Y44" s="2"/>
      <c r="Z44" s="2"/>
      <c r="AA44" s="2"/>
      <c r="AB44" s="2"/>
    </row>
    <row r="45" spans="2:28" ht="13.35" customHeight="1" x14ac:dyDescent="0.2">
      <c r="B45" s="2" t="s">
        <v>392</v>
      </c>
      <c r="C45" s="2"/>
      <c r="D45" s="2"/>
      <c r="E45" s="5">
        <f t="shared" si="1"/>
        <v>3.2000000000000002E-3</v>
      </c>
      <c r="F45" s="2"/>
      <c r="G45" s="270">
        <f>ROUND(E45*G$37,4)+0</f>
        <v>1.9E-3</v>
      </c>
      <c r="H45" s="2"/>
      <c r="I45" s="2"/>
      <c r="J45" s="2"/>
      <c r="K45" s="2"/>
      <c r="L45" s="2"/>
      <c r="M45" s="5">
        <f t="shared" si="2"/>
        <v>1.9E-3</v>
      </c>
      <c r="N45" s="2"/>
      <c r="O45" s="2"/>
      <c r="P45" s="2"/>
      <c r="Q45" s="5"/>
      <c r="R45" s="2"/>
      <c r="S45" s="2"/>
      <c r="T45" s="2"/>
      <c r="U45" s="2"/>
      <c r="V45" s="2"/>
      <c r="W45" s="2"/>
      <c r="X45" s="2"/>
      <c r="Y45" s="2"/>
      <c r="Z45" s="2"/>
      <c r="AA45" s="2"/>
      <c r="AB45" s="2"/>
    </row>
    <row r="46" spans="2:28" ht="8.25" customHeight="1" x14ac:dyDescent="0.2">
      <c r="B46" s="2"/>
      <c r="C46" s="2"/>
      <c r="D46" s="2"/>
      <c r="E46" s="7"/>
      <c r="F46" s="2"/>
      <c r="G46" s="7"/>
      <c r="H46" s="2"/>
      <c r="I46" s="7"/>
      <c r="J46" s="2"/>
      <c r="K46" s="7"/>
      <c r="L46" s="2"/>
      <c r="M46" s="7"/>
      <c r="N46" s="2"/>
      <c r="O46" s="2"/>
      <c r="P46" s="2"/>
      <c r="Q46" s="14"/>
      <c r="R46" s="2"/>
      <c r="S46" s="2"/>
      <c r="T46" s="2"/>
      <c r="U46" s="2"/>
      <c r="V46" s="2"/>
      <c r="W46" s="2"/>
      <c r="X46" s="2"/>
      <c r="Y46" s="2"/>
      <c r="Z46" s="2"/>
      <c r="AA46" s="2"/>
      <c r="AB46" s="2"/>
    </row>
    <row r="47" spans="2:28" ht="13.35" customHeight="1" thickBot="1" x14ac:dyDescent="0.25">
      <c r="B47" s="2" t="s">
        <v>393</v>
      </c>
      <c r="C47" s="2"/>
      <c r="D47" s="2"/>
      <c r="E47" s="5">
        <f>SUM(E39:E46)</f>
        <v>1</v>
      </c>
      <c r="F47" s="2"/>
      <c r="G47" s="149">
        <f>SUM(G39:G46)</f>
        <v>0.60609999999999997</v>
      </c>
      <c r="H47" s="2"/>
      <c r="I47" s="5">
        <f>SUM(I39:I46)</f>
        <v>1</v>
      </c>
      <c r="J47" s="2"/>
      <c r="K47" s="5">
        <f>SUM(K39:K46)</f>
        <v>0.39389999999999997</v>
      </c>
      <c r="L47" s="2"/>
      <c r="M47" s="5">
        <f>SUM(M39:M46)</f>
        <v>1</v>
      </c>
      <c r="N47" s="2"/>
      <c r="O47" s="2"/>
      <c r="P47" s="2"/>
      <c r="Q47" s="5"/>
      <c r="R47" s="2"/>
      <c r="S47" s="2"/>
      <c r="T47" s="2"/>
      <c r="U47" s="2"/>
      <c r="V47" s="2"/>
      <c r="W47" s="2"/>
      <c r="X47" s="2"/>
      <c r="Y47" s="2"/>
      <c r="Z47" s="2"/>
      <c r="AA47" s="2"/>
      <c r="AB47" s="2"/>
    </row>
    <row r="48" spans="2:28" ht="13.35" customHeight="1" thickTop="1" x14ac:dyDescent="0.2">
      <c r="E48" s="271"/>
      <c r="G48" s="272"/>
      <c r="I48" s="271"/>
      <c r="K48" s="271"/>
      <c r="M48" s="271"/>
      <c r="N48" s="2"/>
      <c r="O48" s="2"/>
      <c r="P48" s="2"/>
      <c r="Q48" s="2"/>
      <c r="R48" s="2"/>
      <c r="S48" s="2"/>
      <c r="T48" s="2"/>
      <c r="U48" s="2"/>
      <c r="V48" s="2"/>
      <c r="W48" s="2"/>
      <c r="X48" s="2"/>
      <c r="Y48" s="2"/>
      <c r="Z48" s="2"/>
      <c r="AA48" s="2"/>
      <c r="AB48" s="2"/>
    </row>
    <row r="49" spans="2:28" ht="26.1" customHeight="1" x14ac:dyDescent="0.2">
      <c r="B49" s="657" t="s">
        <v>179</v>
      </c>
      <c r="C49" s="657"/>
      <c r="D49" s="657"/>
      <c r="E49" s="657"/>
      <c r="F49" s="657"/>
      <c r="G49" s="657"/>
      <c r="H49" s="657"/>
      <c r="I49" s="657"/>
      <c r="J49" s="657"/>
      <c r="K49" s="657"/>
      <c r="L49" s="657"/>
      <c r="M49" s="657"/>
      <c r="N49" s="2"/>
      <c r="O49" s="2"/>
      <c r="P49" s="2"/>
      <c r="Q49" s="2"/>
      <c r="R49" s="2"/>
      <c r="S49" s="2"/>
      <c r="T49" s="2"/>
      <c r="U49" s="2"/>
      <c r="V49" s="2"/>
      <c r="W49" s="2"/>
      <c r="X49" s="2"/>
      <c r="Y49" s="2"/>
      <c r="Z49" s="2"/>
      <c r="AA49" s="2"/>
      <c r="AB49" s="2"/>
    </row>
    <row r="50" spans="2:28" ht="13.35" customHeight="1" x14ac:dyDescent="0.2">
      <c r="N50" s="2"/>
      <c r="O50" s="2"/>
      <c r="P50" s="2"/>
      <c r="Q50" s="2"/>
      <c r="R50" s="2"/>
      <c r="S50" s="2"/>
      <c r="T50" s="2"/>
      <c r="U50" s="2"/>
      <c r="V50" s="2"/>
      <c r="W50" s="2"/>
      <c r="X50" s="2"/>
      <c r="Y50" s="2"/>
      <c r="Z50" s="2"/>
      <c r="AA50" s="2"/>
      <c r="AB50" s="2"/>
    </row>
    <row r="51" spans="2:28" ht="13.35"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2:28" x14ac:dyDescent="0.2">
      <c r="B64" s="2"/>
      <c r="C64" s="2"/>
      <c r="D64" s="2"/>
      <c r="E64" s="2"/>
      <c r="F64" s="2"/>
      <c r="G64" s="2"/>
      <c r="H64" s="2"/>
      <c r="I64" s="2"/>
      <c r="J64" s="2"/>
      <c r="K64" s="2"/>
      <c r="L64" s="2"/>
      <c r="M64" s="2"/>
      <c r="N64" s="2"/>
      <c r="O64" s="2"/>
      <c r="P64" s="2"/>
      <c r="Q64" s="2"/>
      <c r="AB64" s="2"/>
    </row>
    <row r="65" spans="2:28" x14ac:dyDescent="0.2">
      <c r="B65" s="2"/>
      <c r="C65" s="2"/>
      <c r="D65" s="2"/>
      <c r="E65" s="2"/>
      <c r="F65" s="2"/>
      <c r="G65" s="2"/>
      <c r="H65" s="2"/>
      <c r="I65" s="2"/>
      <c r="J65" s="2"/>
      <c r="K65" s="2"/>
      <c r="L65" s="2"/>
      <c r="M65" s="2"/>
      <c r="N65" s="2"/>
      <c r="O65" s="2"/>
      <c r="P65" s="2"/>
      <c r="Q65" s="2"/>
      <c r="AB65" s="2"/>
    </row>
    <row r="66" spans="2:28" x14ac:dyDescent="0.2">
      <c r="B66" s="2"/>
      <c r="C66" s="2"/>
      <c r="D66" s="2"/>
      <c r="E66" s="2"/>
      <c r="F66" s="2"/>
      <c r="G66" s="2"/>
      <c r="H66" s="2"/>
      <c r="I66" s="2"/>
      <c r="J66" s="2"/>
      <c r="K66" s="2"/>
      <c r="L66" s="2"/>
      <c r="M66" s="2"/>
      <c r="N66" s="2"/>
      <c r="O66" s="2"/>
      <c r="P66" s="2"/>
      <c r="Q66" s="2"/>
      <c r="AB66" s="2"/>
    </row>
    <row r="67" spans="2:28" x14ac:dyDescent="0.2">
      <c r="B67" s="2"/>
      <c r="C67" s="2"/>
      <c r="D67" s="2"/>
      <c r="E67" s="2"/>
      <c r="F67" s="2"/>
      <c r="G67" s="2"/>
      <c r="H67" s="2"/>
      <c r="I67" s="2"/>
      <c r="J67" s="2"/>
      <c r="K67" s="2"/>
      <c r="L67" s="2"/>
      <c r="M67" s="2"/>
      <c r="N67" s="2"/>
      <c r="O67" s="2"/>
      <c r="P67" s="2"/>
      <c r="Q67" s="2"/>
      <c r="AB67" s="2"/>
    </row>
    <row r="68" spans="2:28" x14ac:dyDescent="0.2">
      <c r="B68" s="2"/>
      <c r="C68" s="2"/>
      <c r="D68" s="2"/>
      <c r="E68" s="2"/>
      <c r="F68" s="2"/>
      <c r="G68" s="2"/>
      <c r="H68" s="2"/>
      <c r="I68" s="2"/>
      <c r="J68" s="2"/>
      <c r="K68" s="2"/>
      <c r="L68" s="2"/>
      <c r="M68" s="2"/>
      <c r="N68" s="2"/>
      <c r="O68" s="2"/>
      <c r="P68" s="2"/>
      <c r="Q68" s="2"/>
      <c r="AB68" s="2"/>
    </row>
    <row r="69" spans="2:28" x14ac:dyDescent="0.2">
      <c r="B69" s="2"/>
      <c r="C69" s="2"/>
      <c r="D69" s="2"/>
      <c r="E69" s="2"/>
      <c r="F69" s="2"/>
      <c r="G69" s="2"/>
      <c r="H69" s="2"/>
      <c r="I69" s="2"/>
      <c r="J69" s="2"/>
      <c r="K69" s="2"/>
      <c r="L69" s="2"/>
      <c r="M69" s="2"/>
      <c r="N69" s="2"/>
      <c r="O69" s="2"/>
      <c r="P69" s="2"/>
      <c r="Q69" s="2"/>
      <c r="AB69" s="2"/>
    </row>
    <row r="70" spans="2:28" x14ac:dyDescent="0.2">
      <c r="B70" s="2"/>
      <c r="C70" s="2"/>
      <c r="D70" s="2"/>
      <c r="E70" s="2"/>
      <c r="F70" s="2"/>
      <c r="G70" s="2"/>
      <c r="H70" s="2"/>
      <c r="I70" s="2"/>
      <c r="J70" s="2"/>
      <c r="K70" s="2"/>
      <c r="L70" s="2"/>
      <c r="M70" s="2"/>
      <c r="N70" s="2"/>
      <c r="O70" s="2"/>
      <c r="P70" s="2"/>
      <c r="Q70" s="2"/>
      <c r="AB70" s="2"/>
    </row>
    <row r="71" spans="2:28" x14ac:dyDescent="0.2">
      <c r="B71" s="2"/>
      <c r="C71" s="2"/>
      <c r="D71" s="2"/>
      <c r="E71" s="2"/>
      <c r="F71" s="2"/>
      <c r="G71" s="2"/>
      <c r="H71" s="2"/>
      <c r="I71" s="2"/>
      <c r="J71" s="2"/>
      <c r="K71" s="2"/>
      <c r="L71" s="2"/>
      <c r="M71" s="2"/>
      <c r="N71" s="2"/>
      <c r="O71" s="2"/>
      <c r="P71" s="2"/>
      <c r="Q71" s="2"/>
      <c r="AB71" s="2"/>
    </row>
    <row r="72" spans="2:28" x14ac:dyDescent="0.2">
      <c r="B72" s="2"/>
      <c r="C72" s="2"/>
      <c r="D72" s="2"/>
      <c r="E72" s="2"/>
      <c r="F72" s="2"/>
      <c r="G72" s="2"/>
      <c r="H72" s="2"/>
      <c r="I72" s="2"/>
      <c r="J72" s="2"/>
      <c r="K72" s="2"/>
      <c r="L72" s="2"/>
      <c r="M72" s="2"/>
      <c r="N72" s="2"/>
      <c r="O72" s="2"/>
      <c r="P72" s="2"/>
      <c r="Q72" s="2"/>
      <c r="AB72" s="2"/>
    </row>
    <row r="73" spans="2:28" x14ac:dyDescent="0.2">
      <c r="B73" s="2"/>
      <c r="C73" s="2"/>
      <c r="D73" s="2"/>
      <c r="E73" s="2"/>
      <c r="F73" s="2"/>
      <c r="G73" s="2"/>
      <c r="H73" s="2"/>
      <c r="I73" s="2"/>
      <c r="J73" s="2"/>
      <c r="K73" s="2"/>
      <c r="L73" s="2"/>
      <c r="M73" s="2"/>
      <c r="N73" s="2"/>
      <c r="O73" s="2"/>
      <c r="P73" s="2"/>
      <c r="Q73" s="2"/>
      <c r="AB73" s="2"/>
    </row>
    <row r="74" spans="2:28" x14ac:dyDescent="0.2">
      <c r="B74" s="2"/>
      <c r="C74" s="2"/>
      <c r="D74" s="2"/>
      <c r="E74" s="2"/>
      <c r="F74" s="2"/>
      <c r="G74" s="2"/>
      <c r="H74" s="2"/>
      <c r="I74" s="2"/>
      <c r="J74" s="2"/>
      <c r="K74" s="2"/>
      <c r="L74" s="2"/>
      <c r="M74" s="2"/>
      <c r="N74" s="2"/>
      <c r="O74" s="2"/>
      <c r="P74" s="2"/>
      <c r="Q74" s="2"/>
      <c r="AB74" s="2"/>
    </row>
    <row r="75" spans="2:28" x14ac:dyDescent="0.2">
      <c r="B75" s="2"/>
      <c r="C75" s="2"/>
      <c r="D75" s="2"/>
      <c r="E75" s="2"/>
      <c r="F75" s="2"/>
      <c r="G75" s="2"/>
      <c r="H75" s="2"/>
      <c r="I75" s="2"/>
      <c r="J75" s="2"/>
      <c r="K75" s="2"/>
      <c r="L75" s="2"/>
      <c r="M75" s="2"/>
      <c r="N75" s="2"/>
      <c r="O75" s="2"/>
      <c r="P75" s="2"/>
      <c r="Q75" s="2"/>
      <c r="AB75" s="2"/>
    </row>
    <row r="76" spans="2:28" x14ac:dyDescent="0.2">
      <c r="B76" s="2"/>
      <c r="C76" s="2"/>
      <c r="D76" s="2"/>
      <c r="E76" s="2"/>
      <c r="F76" s="2"/>
      <c r="G76" s="2"/>
      <c r="H76" s="2"/>
      <c r="I76" s="2"/>
      <c r="J76" s="2"/>
      <c r="K76" s="2"/>
      <c r="L76" s="2"/>
      <c r="M76" s="2"/>
      <c r="N76" s="2"/>
      <c r="O76" s="2"/>
      <c r="P76" s="2"/>
      <c r="Q76" s="2"/>
      <c r="AB76" s="2"/>
    </row>
    <row r="77" spans="2:28" x14ac:dyDescent="0.2">
      <c r="B77" s="2"/>
      <c r="C77" s="2"/>
      <c r="D77" s="2"/>
      <c r="E77" s="2"/>
      <c r="F77" s="2"/>
      <c r="G77" s="2"/>
      <c r="H77" s="2"/>
      <c r="I77" s="2"/>
      <c r="J77" s="2"/>
      <c r="K77" s="2"/>
      <c r="L77" s="2"/>
      <c r="M77" s="2"/>
      <c r="N77" s="2"/>
      <c r="O77" s="2"/>
      <c r="P77" s="2"/>
      <c r="Q77" s="2"/>
      <c r="AB77" s="2"/>
    </row>
    <row r="78" spans="2:28" ht="12.75" customHeight="1" x14ac:dyDescent="0.2">
      <c r="B78" s="2"/>
      <c r="C78" s="2"/>
      <c r="D78" s="2"/>
      <c r="E78" s="2"/>
      <c r="F78" s="2"/>
      <c r="G78" s="2"/>
      <c r="H78" s="2"/>
      <c r="I78" s="2"/>
      <c r="J78" s="2"/>
      <c r="K78" s="2"/>
      <c r="L78" s="2"/>
      <c r="M78" s="2"/>
      <c r="N78" s="2"/>
      <c r="O78" s="2"/>
      <c r="P78" s="2"/>
      <c r="Q78" s="2"/>
      <c r="AB78" s="2"/>
    </row>
    <row r="79" spans="2:28" x14ac:dyDescent="0.2">
      <c r="B79" s="2"/>
      <c r="C79" s="2"/>
      <c r="D79" s="2"/>
      <c r="E79" s="2"/>
      <c r="F79" s="2"/>
      <c r="G79" s="2"/>
      <c r="H79" s="2"/>
      <c r="I79" s="2"/>
      <c r="J79" s="2"/>
      <c r="K79" s="2"/>
      <c r="L79" s="2"/>
      <c r="M79" s="2"/>
      <c r="N79" s="2"/>
      <c r="O79" s="2"/>
      <c r="P79" s="2"/>
      <c r="Q79" s="2"/>
      <c r="AB79" s="2"/>
    </row>
    <row r="80" spans="2:28" x14ac:dyDescent="0.2">
      <c r="B80" s="2"/>
      <c r="C80" s="2"/>
      <c r="D80" s="2"/>
      <c r="E80" s="2"/>
      <c r="F80" s="2"/>
      <c r="G80" s="2"/>
      <c r="H80" s="2"/>
      <c r="I80" s="2"/>
      <c r="J80" s="2"/>
      <c r="K80" s="2"/>
      <c r="L80" s="2"/>
      <c r="M80" s="2"/>
      <c r="N80" s="2"/>
      <c r="O80" s="2"/>
      <c r="P80" s="2"/>
      <c r="Q80" s="2"/>
      <c r="AB80" s="2"/>
    </row>
    <row r="81" spans="2:28" x14ac:dyDescent="0.2">
      <c r="B81" s="2"/>
      <c r="C81" s="2"/>
      <c r="D81" s="2"/>
      <c r="E81" s="2"/>
      <c r="F81" s="2"/>
      <c r="G81" s="2"/>
      <c r="H81" s="2"/>
      <c r="I81" s="2"/>
      <c r="J81" s="2"/>
      <c r="K81" s="2"/>
      <c r="L81" s="2"/>
      <c r="M81" s="2"/>
      <c r="N81" s="2"/>
      <c r="O81" s="2"/>
      <c r="P81" s="2"/>
      <c r="Q81" s="2"/>
      <c r="AB81" s="2"/>
    </row>
    <row r="82" spans="2:28" x14ac:dyDescent="0.2">
      <c r="B82" s="2"/>
      <c r="C82" s="2"/>
      <c r="D82" s="2"/>
      <c r="E82" s="2"/>
      <c r="F82" s="2"/>
      <c r="G82" s="2"/>
      <c r="H82" s="2"/>
      <c r="I82" s="2"/>
      <c r="J82" s="2"/>
      <c r="K82" s="2"/>
      <c r="L82" s="2"/>
      <c r="M82" s="2"/>
      <c r="N82" s="2"/>
      <c r="O82" s="2"/>
      <c r="P82" s="2"/>
      <c r="Q82" s="2"/>
      <c r="AB82" s="2"/>
    </row>
    <row r="83" spans="2:28" x14ac:dyDescent="0.2">
      <c r="B83" s="2"/>
      <c r="C83" s="2"/>
      <c r="D83" s="2"/>
      <c r="E83" s="2"/>
      <c r="F83" s="2"/>
      <c r="G83" s="2"/>
      <c r="H83" s="2"/>
      <c r="I83" s="2"/>
      <c r="J83" s="2"/>
      <c r="K83" s="2"/>
      <c r="L83" s="2"/>
      <c r="M83" s="2"/>
      <c r="N83" s="2"/>
      <c r="O83" s="2"/>
      <c r="P83" s="2"/>
      <c r="Q83" s="2"/>
      <c r="AB83" s="2"/>
    </row>
    <row r="84" spans="2:28" x14ac:dyDescent="0.2">
      <c r="B84" s="2"/>
      <c r="C84" s="2"/>
      <c r="D84" s="2"/>
      <c r="E84" s="2"/>
      <c r="F84" s="2"/>
      <c r="G84" s="2"/>
      <c r="H84" s="2"/>
      <c r="I84" s="2"/>
      <c r="J84" s="2"/>
      <c r="K84" s="2"/>
      <c r="L84" s="2"/>
      <c r="M84" s="2"/>
      <c r="N84" s="2"/>
      <c r="O84" s="2"/>
      <c r="P84" s="2"/>
      <c r="Q84" s="2"/>
      <c r="AB84" s="2"/>
    </row>
    <row r="85" spans="2:28" x14ac:dyDescent="0.2">
      <c r="B85" s="2"/>
      <c r="C85" s="2"/>
      <c r="D85" s="2"/>
      <c r="E85" s="2"/>
      <c r="F85" s="2"/>
      <c r="G85" s="2"/>
      <c r="H85" s="2"/>
      <c r="I85" s="2"/>
      <c r="J85" s="2"/>
      <c r="K85" s="2"/>
      <c r="L85" s="2"/>
      <c r="M85" s="2"/>
      <c r="N85" s="2"/>
      <c r="O85" s="2"/>
      <c r="P85" s="2"/>
      <c r="Q85" s="2"/>
      <c r="AA85" s="273"/>
      <c r="AB85" s="2"/>
    </row>
    <row r="86" spans="2:28" x14ac:dyDescent="0.2">
      <c r="B86" s="2"/>
      <c r="C86" s="2"/>
      <c r="D86" s="2"/>
      <c r="E86" s="2"/>
      <c r="F86" s="2"/>
      <c r="G86" s="2"/>
      <c r="H86" s="2"/>
      <c r="I86" s="2"/>
      <c r="J86" s="2"/>
      <c r="K86" s="2"/>
      <c r="L86" s="2"/>
      <c r="M86" s="2"/>
      <c r="N86" s="2"/>
      <c r="O86" s="2"/>
      <c r="P86" s="2"/>
      <c r="Q86" s="2"/>
      <c r="AA86" s="273"/>
      <c r="AB86" s="2"/>
    </row>
    <row r="87" spans="2:28" x14ac:dyDescent="0.2">
      <c r="B87" s="2"/>
      <c r="C87" s="2"/>
      <c r="D87" s="2"/>
      <c r="E87" s="2"/>
      <c r="F87" s="2"/>
      <c r="G87" s="2"/>
      <c r="H87" s="2"/>
      <c r="I87" s="2"/>
      <c r="J87" s="2"/>
      <c r="K87" s="2"/>
      <c r="L87" s="2"/>
      <c r="M87" s="2"/>
      <c r="N87" s="2"/>
      <c r="O87" s="2"/>
      <c r="P87" s="2"/>
      <c r="Q87" s="2"/>
      <c r="AB87" s="2"/>
    </row>
    <row r="88" spans="2:28" x14ac:dyDescent="0.2">
      <c r="B88" s="2"/>
      <c r="C88" s="2"/>
      <c r="D88" s="2"/>
      <c r="E88" s="2"/>
      <c r="F88" s="2"/>
      <c r="G88" s="2"/>
      <c r="H88" s="2"/>
      <c r="I88" s="2"/>
      <c r="J88" s="2"/>
      <c r="K88" s="2"/>
      <c r="L88" s="2"/>
      <c r="M88" s="2"/>
      <c r="N88" s="2"/>
      <c r="O88" s="2"/>
      <c r="P88" s="2"/>
      <c r="Q88" s="2"/>
      <c r="AB88" s="2"/>
    </row>
    <row r="89" spans="2:28" x14ac:dyDescent="0.2">
      <c r="B89" s="2"/>
      <c r="C89" s="2"/>
      <c r="D89" s="2"/>
      <c r="E89" s="2"/>
      <c r="F89" s="2"/>
      <c r="G89" s="2"/>
      <c r="H89" s="2"/>
      <c r="I89" s="2"/>
      <c r="J89" s="2"/>
      <c r="K89" s="2"/>
      <c r="L89" s="2"/>
      <c r="M89" s="2"/>
      <c r="N89" s="2"/>
      <c r="O89" s="2"/>
      <c r="P89" s="2"/>
      <c r="Q89" s="2"/>
      <c r="AB89" s="2"/>
    </row>
    <row r="90" spans="2:28" x14ac:dyDescent="0.2">
      <c r="B90" s="2"/>
      <c r="C90" s="2"/>
      <c r="D90" s="2"/>
      <c r="E90" s="2"/>
      <c r="F90" s="2"/>
      <c r="G90" s="2"/>
      <c r="H90" s="2"/>
      <c r="I90" s="2"/>
      <c r="J90" s="2"/>
      <c r="K90" s="2"/>
      <c r="L90" s="2"/>
      <c r="M90" s="2"/>
      <c r="N90" s="2"/>
      <c r="O90" s="2"/>
      <c r="P90" s="2"/>
      <c r="Q90" s="2"/>
      <c r="AB90" s="2"/>
    </row>
    <row r="91" spans="2:28" x14ac:dyDescent="0.2">
      <c r="B91" s="2"/>
      <c r="C91" s="2"/>
      <c r="D91" s="2"/>
      <c r="E91" s="2"/>
      <c r="F91" s="2"/>
      <c r="G91" s="2"/>
      <c r="H91" s="2"/>
      <c r="I91" s="2"/>
      <c r="J91" s="2"/>
      <c r="K91" s="2"/>
      <c r="L91" s="2"/>
      <c r="M91" s="2"/>
      <c r="N91" s="2"/>
      <c r="O91" s="2"/>
      <c r="P91" s="2"/>
      <c r="Q91" s="2"/>
      <c r="AB91" s="2"/>
    </row>
    <row r="92" spans="2:28" x14ac:dyDescent="0.2">
      <c r="B92" s="2"/>
      <c r="C92" s="2"/>
      <c r="D92" s="2"/>
      <c r="E92" s="2"/>
      <c r="F92" s="2"/>
      <c r="G92" s="2"/>
      <c r="H92" s="2"/>
      <c r="I92" s="2"/>
      <c r="J92" s="2"/>
      <c r="K92" s="2"/>
      <c r="L92" s="2"/>
      <c r="M92" s="2"/>
      <c r="N92" s="2"/>
      <c r="O92" s="2"/>
      <c r="P92" s="2"/>
      <c r="Q92" s="2"/>
      <c r="AB92" s="2"/>
    </row>
    <row r="93" spans="2:28" x14ac:dyDescent="0.2">
      <c r="B93" s="2"/>
      <c r="C93" s="2"/>
      <c r="D93" s="2"/>
      <c r="E93" s="2"/>
      <c r="F93" s="2"/>
      <c r="G93" s="2"/>
      <c r="H93" s="2"/>
      <c r="I93" s="2"/>
      <c r="J93" s="2"/>
      <c r="K93" s="2"/>
      <c r="L93" s="2"/>
      <c r="M93" s="2"/>
      <c r="N93" s="2"/>
      <c r="O93" s="2"/>
      <c r="P93" s="2"/>
      <c r="Q93" s="2"/>
      <c r="AB93" s="2"/>
    </row>
    <row r="94" spans="2:28" x14ac:dyDescent="0.2">
      <c r="B94" s="2"/>
      <c r="C94" s="2"/>
      <c r="D94" s="2"/>
      <c r="E94" s="2"/>
      <c r="F94" s="2"/>
      <c r="G94" s="2"/>
      <c r="H94" s="2"/>
      <c r="I94" s="2"/>
      <c r="J94" s="2"/>
      <c r="K94" s="2"/>
      <c r="L94" s="2"/>
      <c r="M94" s="2"/>
      <c r="N94" s="2"/>
      <c r="O94" s="2"/>
      <c r="P94" s="2"/>
      <c r="Q94" s="2"/>
      <c r="AB94" s="2"/>
    </row>
    <row r="95" spans="2:28" x14ac:dyDescent="0.2">
      <c r="B95" s="2"/>
      <c r="C95" s="2"/>
      <c r="D95" s="2"/>
      <c r="E95" s="2"/>
      <c r="F95" s="2"/>
      <c r="G95" s="2"/>
      <c r="H95" s="2"/>
      <c r="I95" s="2"/>
      <c r="J95" s="2"/>
      <c r="K95" s="2"/>
      <c r="L95" s="2"/>
      <c r="M95" s="2"/>
      <c r="N95" s="2"/>
      <c r="O95" s="2"/>
      <c r="P95" s="2"/>
      <c r="Q95" s="2"/>
      <c r="AB95" s="2"/>
    </row>
    <row r="96" spans="2:28" x14ac:dyDescent="0.2">
      <c r="B96" s="2"/>
      <c r="C96" s="2"/>
      <c r="D96" s="2"/>
      <c r="E96" s="2"/>
      <c r="F96" s="2"/>
      <c r="G96" s="2"/>
      <c r="H96" s="2"/>
      <c r="I96" s="2"/>
      <c r="J96" s="2"/>
      <c r="K96" s="2"/>
      <c r="L96" s="2"/>
      <c r="M96" s="2"/>
      <c r="N96" s="2"/>
      <c r="O96" s="2"/>
      <c r="P96" s="2"/>
      <c r="Q96" s="2"/>
      <c r="AB96" s="2"/>
    </row>
    <row r="97" spans="2:28" x14ac:dyDescent="0.2">
      <c r="B97" s="2"/>
      <c r="C97" s="2"/>
      <c r="D97" s="2"/>
      <c r="E97" s="2"/>
      <c r="F97" s="2"/>
      <c r="G97" s="2"/>
      <c r="H97" s="2"/>
      <c r="I97" s="2"/>
      <c r="J97" s="2"/>
      <c r="K97" s="2"/>
      <c r="L97" s="2"/>
      <c r="M97" s="2"/>
      <c r="N97" s="2"/>
      <c r="O97" s="2"/>
      <c r="P97" s="2"/>
      <c r="Q97" s="2"/>
      <c r="AB97" s="2"/>
    </row>
    <row r="98" spans="2:28" x14ac:dyDescent="0.2">
      <c r="B98" s="2"/>
      <c r="C98" s="2"/>
      <c r="D98" s="2"/>
      <c r="E98" s="2"/>
      <c r="F98" s="2"/>
      <c r="G98" s="2"/>
      <c r="H98" s="2"/>
      <c r="I98" s="2"/>
      <c r="J98" s="2"/>
      <c r="K98" s="2"/>
      <c r="L98" s="2"/>
      <c r="M98" s="2"/>
      <c r="N98" s="2"/>
      <c r="O98" s="2"/>
      <c r="P98" s="2"/>
      <c r="Q98" s="2"/>
      <c r="AB98" s="2"/>
    </row>
    <row r="99" spans="2:28" x14ac:dyDescent="0.2">
      <c r="B99" s="2"/>
      <c r="C99" s="2"/>
      <c r="D99" s="2"/>
      <c r="E99" s="2"/>
      <c r="F99" s="2"/>
      <c r="G99" s="2"/>
      <c r="H99" s="2"/>
      <c r="I99" s="2"/>
      <c r="J99" s="2"/>
      <c r="K99" s="2"/>
      <c r="L99" s="2"/>
      <c r="M99" s="2"/>
      <c r="N99" s="2"/>
      <c r="O99" s="2"/>
      <c r="P99" s="2"/>
      <c r="Q99" s="2"/>
      <c r="AB99" s="2"/>
    </row>
    <row r="100" spans="2:28" x14ac:dyDescent="0.2">
      <c r="B100" s="2"/>
      <c r="C100" s="2"/>
      <c r="D100" s="2"/>
      <c r="E100" s="2"/>
      <c r="F100" s="2"/>
      <c r="G100" s="2"/>
      <c r="H100" s="2"/>
      <c r="I100" s="2"/>
      <c r="J100" s="2"/>
      <c r="K100" s="2"/>
      <c r="L100" s="2"/>
      <c r="M100" s="2"/>
      <c r="N100" s="2"/>
      <c r="O100" s="2"/>
      <c r="P100" s="2"/>
      <c r="Q100" s="2"/>
      <c r="AB100" s="2"/>
    </row>
    <row r="101" spans="2:28" x14ac:dyDescent="0.2">
      <c r="B101" s="2"/>
      <c r="C101" s="2"/>
      <c r="D101" s="2"/>
      <c r="E101" s="2"/>
      <c r="F101" s="2"/>
      <c r="G101" s="2"/>
      <c r="H101" s="2"/>
      <c r="I101" s="2"/>
      <c r="J101" s="2"/>
      <c r="K101" s="2"/>
      <c r="L101" s="2"/>
      <c r="M101" s="2"/>
      <c r="N101" s="2"/>
      <c r="O101" s="2"/>
      <c r="P101" s="2"/>
      <c r="Q101" s="2"/>
      <c r="AB101" s="2"/>
    </row>
    <row r="102" spans="2:28" x14ac:dyDescent="0.2">
      <c r="B102" s="2"/>
      <c r="C102" s="2"/>
      <c r="D102" s="2"/>
      <c r="E102" s="2"/>
      <c r="F102" s="2"/>
      <c r="G102" s="2"/>
      <c r="H102" s="2"/>
      <c r="I102" s="2"/>
      <c r="J102" s="2"/>
      <c r="K102" s="2"/>
      <c r="L102" s="2"/>
      <c r="M102" s="2"/>
      <c r="N102" s="2"/>
      <c r="O102" s="2"/>
      <c r="P102" s="2"/>
      <c r="Q102" s="2"/>
      <c r="AB102" s="2"/>
    </row>
    <row r="103" spans="2:28" x14ac:dyDescent="0.2">
      <c r="B103" s="2"/>
      <c r="C103" s="2"/>
      <c r="D103" s="2"/>
      <c r="E103" s="2"/>
      <c r="F103" s="2"/>
      <c r="G103" s="2"/>
      <c r="H103" s="2"/>
      <c r="I103" s="2"/>
      <c r="J103" s="2"/>
      <c r="K103" s="2"/>
      <c r="L103" s="2"/>
      <c r="M103" s="2"/>
      <c r="N103" s="2"/>
      <c r="O103" s="2"/>
      <c r="P103" s="2"/>
      <c r="Q103" s="2"/>
      <c r="AB103" s="2"/>
    </row>
    <row r="104" spans="2:28" x14ac:dyDescent="0.2">
      <c r="B104" s="2"/>
      <c r="C104" s="2"/>
      <c r="D104" s="2"/>
      <c r="E104" s="2"/>
      <c r="F104" s="2"/>
      <c r="G104" s="2"/>
      <c r="H104" s="2"/>
      <c r="I104" s="2"/>
      <c r="J104" s="2"/>
      <c r="K104" s="2"/>
      <c r="L104" s="2"/>
      <c r="M104" s="2"/>
      <c r="N104" s="2"/>
      <c r="O104" s="2"/>
      <c r="P104" s="2"/>
      <c r="Q104" s="2"/>
      <c r="AB104" s="2"/>
    </row>
    <row r="105" spans="2:28" x14ac:dyDescent="0.2">
      <c r="B105" s="2"/>
      <c r="C105" s="2"/>
      <c r="D105" s="2"/>
      <c r="E105" s="2"/>
      <c r="F105" s="2"/>
      <c r="G105" s="2"/>
      <c r="H105" s="2"/>
      <c r="I105" s="2"/>
      <c r="J105" s="2"/>
      <c r="K105" s="2"/>
      <c r="L105" s="2"/>
      <c r="M105" s="2"/>
      <c r="N105" s="2"/>
      <c r="O105" s="2"/>
      <c r="P105" s="2"/>
      <c r="Q105" s="2"/>
      <c r="AB105" s="2"/>
    </row>
    <row r="106" spans="2:28" x14ac:dyDescent="0.2">
      <c r="B106" s="2"/>
      <c r="C106" s="2"/>
      <c r="D106" s="2"/>
      <c r="E106" s="2"/>
      <c r="F106" s="2"/>
      <c r="G106" s="2"/>
      <c r="H106" s="2"/>
      <c r="I106" s="2"/>
      <c r="J106" s="2"/>
      <c r="K106" s="2"/>
      <c r="L106" s="2"/>
      <c r="M106" s="2"/>
      <c r="N106" s="2"/>
      <c r="O106" s="2"/>
      <c r="P106" s="2"/>
      <c r="Q106" s="2"/>
      <c r="AB106" s="2"/>
    </row>
    <row r="107" spans="2:28" x14ac:dyDescent="0.2">
      <c r="B107" s="2"/>
      <c r="C107" s="2"/>
      <c r="D107" s="2"/>
      <c r="E107" s="2"/>
      <c r="F107" s="2"/>
      <c r="G107" s="2"/>
      <c r="H107" s="2"/>
      <c r="I107" s="2"/>
      <c r="J107" s="2"/>
      <c r="K107" s="2"/>
      <c r="L107" s="2"/>
      <c r="M107" s="2"/>
      <c r="N107" s="2"/>
      <c r="O107" s="2"/>
      <c r="P107" s="2"/>
      <c r="Q107" s="2"/>
      <c r="AB107" s="2"/>
    </row>
    <row r="108" spans="2:28" x14ac:dyDescent="0.2">
      <c r="B108" s="2"/>
      <c r="C108" s="2"/>
      <c r="D108" s="2"/>
      <c r="E108" s="2"/>
      <c r="F108" s="2"/>
      <c r="G108" s="2"/>
      <c r="H108" s="2"/>
      <c r="I108" s="2"/>
      <c r="J108" s="2"/>
      <c r="K108" s="2"/>
      <c r="L108" s="2"/>
      <c r="M108" s="2"/>
      <c r="N108" s="2"/>
      <c r="O108" s="2"/>
      <c r="P108" s="2"/>
      <c r="Q108" s="2"/>
      <c r="R108" s="2" t="s">
        <v>180</v>
      </c>
      <c r="S108" s="2"/>
      <c r="T108" s="2"/>
      <c r="U108" s="2"/>
      <c r="V108" s="2"/>
      <c r="W108" s="2"/>
      <c r="X108" s="2"/>
      <c r="Y108" s="2"/>
      <c r="Z108" s="2"/>
      <c r="AA108" s="2"/>
      <c r="AB108" s="2"/>
    </row>
    <row r="109" spans="2:28" x14ac:dyDescent="0.2">
      <c r="B109" s="2"/>
      <c r="C109" s="2"/>
      <c r="D109" s="2"/>
      <c r="E109" s="2"/>
      <c r="F109" s="2"/>
      <c r="G109" s="2"/>
      <c r="H109" s="2"/>
      <c r="I109" s="2"/>
      <c r="J109" s="2"/>
      <c r="K109" s="2"/>
      <c r="L109" s="2"/>
      <c r="M109" s="2"/>
      <c r="N109" s="2"/>
      <c r="O109" s="2"/>
      <c r="P109" s="2"/>
      <c r="Q109" s="2"/>
      <c r="R109" s="2"/>
      <c r="S109" s="2"/>
      <c r="T109" s="2"/>
      <c r="U109" s="2"/>
      <c r="V109" s="2"/>
      <c r="W109" s="14"/>
      <c r="X109" s="2"/>
      <c r="Y109" s="2"/>
      <c r="Z109" s="2"/>
      <c r="AA109" s="2"/>
      <c r="AB109" s="2"/>
    </row>
    <row r="110" spans="2:28"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x14ac:dyDescent="0.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row r="1599" spans="2:28" x14ac:dyDescent="0.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row>
  </sheetData>
  <mergeCells count="4">
    <mergeCell ref="B9:M9"/>
    <mergeCell ref="B30:M30"/>
    <mergeCell ref="B49:M49"/>
    <mergeCell ref="T21:U21"/>
  </mergeCells>
  <phoneticPr fontId="12"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M41"/>
  <sheetViews>
    <sheetView workbookViewId="0">
      <selection activeCell="J18" sqref="J18"/>
    </sheetView>
  </sheetViews>
  <sheetFormatPr defaultColWidth="9.6640625" defaultRowHeight="15" x14ac:dyDescent="0.2"/>
  <cols>
    <col min="1" max="1" width="5.6640625" style="19" customWidth="1"/>
    <col min="2" max="2" width="10.33203125" style="19" customWidth="1"/>
    <col min="3" max="3" width="3.5546875" style="19" customWidth="1"/>
    <col min="4" max="4" width="9.6640625" style="19" customWidth="1"/>
    <col min="5" max="5" width="3.5546875" style="19" customWidth="1"/>
    <col min="6" max="6" width="9.6640625" style="19" customWidth="1"/>
    <col min="7" max="7" width="3.5546875" style="19" customWidth="1"/>
    <col min="8" max="8" width="9.6640625" style="19" customWidth="1"/>
    <col min="9" max="9" width="3.5546875" style="19" customWidth="1"/>
    <col min="10" max="16384" width="9.6640625" style="19"/>
  </cols>
  <sheetData>
    <row r="1" spans="1:10" x14ac:dyDescent="0.2">
      <c r="A1" s="37" t="s">
        <v>77</v>
      </c>
      <c r="B1" s="18"/>
      <c r="C1" s="18"/>
      <c r="D1" s="18"/>
      <c r="E1" s="18"/>
      <c r="F1" s="18"/>
      <c r="G1" s="18"/>
      <c r="H1" s="18"/>
      <c r="I1" s="18"/>
      <c r="J1" s="18"/>
    </row>
    <row r="2" spans="1:10" x14ac:dyDescent="0.2">
      <c r="A2" s="37"/>
      <c r="B2" s="18"/>
      <c r="C2" s="18"/>
      <c r="D2" s="18"/>
      <c r="E2" s="18"/>
      <c r="F2" s="18"/>
      <c r="G2" s="18"/>
      <c r="H2" s="18"/>
      <c r="I2" s="18"/>
      <c r="J2" s="18"/>
    </row>
    <row r="3" spans="1:10" x14ac:dyDescent="0.2">
      <c r="A3" s="18"/>
      <c r="B3" s="18"/>
      <c r="C3" s="18"/>
      <c r="D3" s="18"/>
      <c r="E3" s="18"/>
      <c r="F3" s="18"/>
      <c r="G3" s="18"/>
      <c r="H3" s="18"/>
      <c r="I3" s="18"/>
      <c r="J3" s="18"/>
    </row>
    <row r="4" spans="1:10" x14ac:dyDescent="0.2">
      <c r="A4" s="18" t="s">
        <v>181</v>
      </c>
      <c r="B4" s="18"/>
      <c r="C4" s="18"/>
      <c r="D4" s="18"/>
      <c r="E4" s="18"/>
      <c r="F4" s="18"/>
      <c r="G4" s="18"/>
      <c r="H4" s="18"/>
      <c r="I4" s="18"/>
      <c r="J4" s="18"/>
    </row>
    <row r="5" spans="1:10" x14ac:dyDescent="0.2">
      <c r="A5" s="20"/>
      <c r="B5" s="20"/>
      <c r="C5" s="20"/>
      <c r="D5" s="20"/>
      <c r="E5" s="20"/>
      <c r="F5" s="20"/>
      <c r="G5" s="20"/>
      <c r="H5" s="20"/>
      <c r="I5" s="20"/>
      <c r="J5" s="20"/>
    </row>
    <row r="6" spans="1:10" x14ac:dyDescent="0.2">
      <c r="A6" s="20"/>
      <c r="B6" s="20"/>
      <c r="C6" s="20"/>
      <c r="D6" s="20"/>
      <c r="E6" s="20"/>
      <c r="F6" s="20"/>
      <c r="G6" s="20"/>
      <c r="H6" s="20"/>
      <c r="I6" s="20"/>
      <c r="J6" s="20"/>
    </row>
    <row r="7" spans="1:10" x14ac:dyDescent="0.2">
      <c r="A7" s="20" t="s">
        <v>394</v>
      </c>
      <c r="B7" s="20"/>
      <c r="C7" s="20"/>
      <c r="D7" s="20"/>
      <c r="E7" s="20"/>
      <c r="F7" s="20"/>
      <c r="G7" s="20"/>
      <c r="H7" s="20"/>
      <c r="I7" s="20"/>
      <c r="J7" s="20"/>
    </row>
    <row r="8" spans="1:10" x14ac:dyDescent="0.2">
      <c r="A8" s="20" t="s">
        <v>182</v>
      </c>
      <c r="B8" s="20"/>
      <c r="C8" s="20"/>
      <c r="D8" s="20"/>
      <c r="E8" s="20"/>
      <c r="F8" s="20"/>
      <c r="G8" s="20"/>
      <c r="H8" s="20"/>
      <c r="I8" s="20"/>
      <c r="J8" s="20"/>
    </row>
    <row r="9" spans="1:10" x14ac:dyDescent="0.2">
      <c r="A9" s="20"/>
      <c r="B9" s="20"/>
      <c r="C9" s="20"/>
      <c r="D9" s="20"/>
      <c r="E9" s="20"/>
      <c r="F9" s="20"/>
      <c r="G9" s="20"/>
      <c r="H9" s="20"/>
      <c r="I9" s="20"/>
      <c r="J9" s="20"/>
    </row>
    <row r="10" spans="1:10" x14ac:dyDescent="0.2">
      <c r="A10" s="20"/>
      <c r="B10" s="20"/>
      <c r="C10" s="20"/>
      <c r="D10" s="20"/>
      <c r="E10" s="20"/>
      <c r="F10" s="20"/>
      <c r="G10" s="20"/>
      <c r="H10" s="20"/>
      <c r="I10" s="20"/>
      <c r="J10" s="20"/>
    </row>
    <row r="11" spans="1:10" x14ac:dyDescent="0.2">
      <c r="A11" s="20"/>
      <c r="B11" s="20"/>
      <c r="C11" s="20"/>
      <c r="D11" s="20"/>
      <c r="E11" s="20"/>
      <c r="F11" s="18" t="s">
        <v>183</v>
      </c>
      <c r="G11" s="18"/>
      <c r="H11" s="17"/>
      <c r="I11" s="18"/>
      <c r="J11" s="18"/>
    </row>
    <row r="12" spans="1:10" x14ac:dyDescent="0.2">
      <c r="A12" s="20"/>
      <c r="B12" s="20"/>
      <c r="C12" s="20"/>
      <c r="D12" s="21" t="s">
        <v>376</v>
      </c>
      <c r="E12" s="21"/>
      <c r="F12" s="22"/>
      <c r="G12" s="22"/>
      <c r="H12" s="22" t="s">
        <v>399</v>
      </c>
      <c r="I12" s="22"/>
      <c r="J12" s="23"/>
    </row>
    <row r="13" spans="1:10" x14ac:dyDescent="0.2">
      <c r="A13" s="18" t="s">
        <v>377</v>
      </c>
      <c r="B13" s="18"/>
      <c r="C13" s="20"/>
      <c r="D13" s="21" t="s">
        <v>378</v>
      </c>
      <c r="E13" s="21"/>
      <c r="F13" s="24"/>
      <c r="G13" s="21"/>
      <c r="H13" s="21" t="s">
        <v>467</v>
      </c>
      <c r="I13" s="21"/>
      <c r="J13" s="21" t="s">
        <v>379</v>
      </c>
    </row>
    <row r="14" spans="1:10" x14ac:dyDescent="0.2">
      <c r="A14" s="18" t="s">
        <v>380</v>
      </c>
      <c r="B14" s="18"/>
      <c r="C14" s="20"/>
      <c r="D14" s="21" t="s">
        <v>467</v>
      </c>
      <c r="E14" s="21"/>
      <c r="F14" s="21" t="s">
        <v>400</v>
      </c>
      <c r="G14" s="21"/>
      <c r="H14" s="21" t="s">
        <v>401</v>
      </c>
      <c r="I14" s="21"/>
      <c r="J14" s="21" t="s">
        <v>381</v>
      </c>
    </row>
    <row r="15" spans="1:10" x14ac:dyDescent="0.2">
      <c r="A15" s="25" t="s">
        <v>382</v>
      </c>
      <c r="B15" s="25"/>
      <c r="C15" s="20"/>
      <c r="D15" s="22" t="s">
        <v>272</v>
      </c>
      <c r="E15" s="20"/>
      <c r="F15" s="22" t="s">
        <v>384</v>
      </c>
      <c r="G15" s="20"/>
      <c r="H15" s="22" t="s">
        <v>402</v>
      </c>
      <c r="I15" s="20"/>
      <c r="J15" s="22" t="s">
        <v>403</v>
      </c>
    </row>
    <row r="16" spans="1:10" x14ac:dyDescent="0.2">
      <c r="A16" s="20"/>
      <c r="B16" s="20"/>
      <c r="C16" s="20"/>
      <c r="D16" s="20"/>
      <c r="E16" s="20"/>
      <c r="F16" s="20"/>
      <c r="G16" s="20"/>
      <c r="H16" s="20"/>
      <c r="I16" s="20"/>
      <c r="J16" s="20"/>
    </row>
    <row r="17" spans="1:13" x14ac:dyDescent="0.2">
      <c r="A17" s="20" t="s">
        <v>385</v>
      </c>
      <c r="B17" s="20"/>
      <c r="C17" s="20"/>
      <c r="D17" s="157">
        <f>'F 1-2'!$G$16</f>
        <v>16960.219178082192</v>
      </c>
      <c r="E17" s="20"/>
      <c r="F17" s="26">
        <v>0.9</v>
      </c>
      <c r="G17" s="20"/>
      <c r="H17" s="157">
        <f>ROUND(+D17*F17,0)</f>
        <v>15264</v>
      </c>
      <c r="I17" s="20"/>
      <c r="J17" s="27">
        <f>ROUND(H17/H$23,4)-0.0001</f>
        <v>0.51790000000000003</v>
      </c>
    </row>
    <row r="18" spans="1:13" x14ac:dyDescent="0.2">
      <c r="A18" s="20" t="s">
        <v>386</v>
      </c>
      <c r="B18" s="20"/>
      <c r="C18" s="20"/>
      <c r="D18" s="157">
        <f>'F 1-2'!$G$17</f>
        <v>10770.994520547945</v>
      </c>
      <c r="E18" s="20"/>
      <c r="F18" s="26">
        <v>0.85</v>
      </c>
      <c r="G18" s="20"/>
      <c r="H18" s="157">
        <f>ROUND(+D18*F18,0)</f>
        <v>9155</v>
      </c>
      <c r="I18" s="20"/>
      <c r="J18" s="28">
        <f>ROUND(H18/H$23,4)</f>
        <v>0.31069999999999998</v>
      </c>
    </row>
    <row r="19" spans="1:13" x14ac:dyDescent="0.2">
      <c r="A19" s="20" t="s">
        <v>387</v>
      </c>
      <c r="B19" s="20"/>
      <c r="C19" s="20"/>
      <c r="D19" s="157">
        <f>'F 1-2'!$G$18</f>
        <v>1650.3479452054794</v>
      </c>
      <c r="E19" s="20"/>
      <c r="F19" s="26">
        <v>0.7</v>
      </c>
      <c r="G19" s="20"/>
      <c r="H19" s="157">
        <f>ROUND(+D19*F19,0)</f>
        <v>1155</v>
      </c>
      <c r="I19" s="20"/>
      <c r="J19" s="28">
        <f>ROUND(H19/H$23,4)</f>
        <v>3.9199999999999999E-2</v>
      </c>
    </row>
    <row r="20" spans="1:13" x14ac:dyDescent="0.2">
      <c r="A20" s="20" t="s">
        <v>389</v>
      </c>
      <c r="B20" s="20"/>
      <c r="C20" s="20"/>
      <c r="D20" s="157">
        <f>'F 1-2'!$G$19</f>
        <v>4022.8904109589039</v>
      </c>
      <c r="E20" s="20"/>
      <c r="F20" s="26">
        <v>0.75</v>
      </c>
      <c r="G20" s="20"/>
      <c r="H20" s="157">
        <f>ROUND(+D20*F20,0)</f>
        <v>3017</v>
      </c>
      <c r="I20" s="20"/>
      <c r="J20" s="28">
        <f>ROUND(H20/H$23,4)</f>
        <v>0.1024</v>
      </c>
    </row>
    <row r="21" spans="1:13" x14ac:dyDescent="0.2">
      <c r="A21" s="20" t="s">
        <v>503</v>
      </c>
      <c r="B21" s="20"/>
      <c r="C21" s="20"/>
      <c r="D21" s="157">
        <f>'F 1-2'!$G$20</f>
        <v>1252.3205479452054</v>
      </c>
      <c r="E21" s="20"/>
      <c r="F21" s="26">
        <v>0.7</v>
      </c>
      <c r="G21" s="20"/>
      <c r="H21" s="157">
        <f>ROUND(+D21*F21,0)</f>
        <v>877</v>
      </c>
      <c r="I21" s="20"/>
      <c r="J21" s="28">
        <f>ROUND(H21/H$23,4)</f>
        <v>2.98E-2</v>
      </c>
    </row>
    <row r="22" spans="1:13" x14ac:dyDescent="0.2">
      <c r="A22" s="20"/>
      <c r="B22" s="20"/>
      <c r="C22" s="20"/>
      <c r="D22" s="158"/>
      <c r="E22" s="20"/>
      <c r="F22" s="29"/>
      <c r="G22" s="20"/>
      <c r="H22" s="158"/>
      <c r="I22" s="20"/>
      <c r="J22" s="30"/>
    </row>
    <row r="23" spans="1:13" ht="15.75" thickBot="1" x14ac:dyDescent="0.25">
      <c r="A23" s="20" t="s">
        <v>393</v>
      </c>
      <c r="B23" s="20"/>
      <c r="C23" s="20"/>
      <c r="D23" s="157">
        <f>SUM(D17:D21)</f>
        <v>34656.772602739729</v>
      </c>
      <c r="E23" s="20"/>
      <c r="F23" s="29"/>
      <c r="G23" s="20"/>
      <c r="H23" s="194">
        <f>SUM(H17:H21)</f>
        <v>29468</v>
      </c>
      <c r="I23" s="20"/>
      <c r="J23" s="28">
        <f>SUM(J17:J22)</f>
        <v>1</v>
      </c>
      <c r="L23" s="244"/>
      <c r="M23" s="245"/>
    </row>
    <row r="24" spans="1:13" ht="15.75" thickTop="1" x14ac:dyDescent="0.2">
      <c r="A24" s="20"/>
      <c r="B24" s="20"/>
      <c r="C24" s="20"/>
      <c r="D24" s="31"/>
      <c r="E24" s="20"/>
      <c r="F24" s="29"/>
      <c r="G24" s="20"/>
      <c r="H24" s="193"/>
      <c r="I24" s="20"/>
      <c r="J24" s="32"/>
      <c r="M24" s="246"/>
    </row>
    <row r="25" spans="1:13" x14ac:dyDescent="0.2">
      <c r="A25" s="20"/>
      <c r="B25" s="20"/>
      <c r="C25" s="20"/>
      <c r="D25" s="33"/>
      <c r="E25" s="20"/>
      <c r="F25" s="20"/>
      <c r="G25" s="20"/>
      <c r="H25" s="29"/>
      <c r="I25" s="20"/>
      <c r="J25" s="20"/>
    </row>
    <row r="26" spans="1:13" ht="30.6" customHeight="1" x14ac:dyDescent="0.2">
      <c r="A26" s="659" t="s">
        <v>786</v>
      </c>
      <c r="B26" s="659"/>
      <c r="C26" s="659"/>
      <c r="D26" s="659"/>
      <c r="E26" s="659"/>
      <c r="F26" s="659"/>
      <c r="G26" s="659"/>
      <c r="H26" s="659"/>
      <c r="I26" s="659"/>
      <c r="J26" s="659"/>
    </row>
    <row r="27" spans="1:13" x14ac:dyDescent="0.2">
      <c r="A27" s="20"/>
      <c r="B27" s="20"/>
      <c r="C27" s="20"/>
      <c r="D27" s="20"/>
      <c r="E27" s="20"/>
      <c r="F27" s="20"/>
      <c r="G27" s="20"/>
      <c r="H27" s="20"/>
      <c r="I27" s="20"/>
      <c r="J27" s="20"/>
    </row>
    <row r="28" spans="1:13" x14ac:dyDescent="0.2">
      <c r="A28" s="20"/>
      <c r="B28" s="20"/>
      <c r="C28" s="20"/>
      <c r="D28" s="20"/>
      <c r="E28" s="20"/>
      <c r="F28" s="20"/>
      <c r="G28" s="20"/>
      <c r="H28" s="20"/>
      <c r="I28" s="20"/>
      <c r="J28" s="20"/>
    </row>
    <row r="29" spans="1:13" x14ac:dyDescent="0.2">
      <c r="A29" s="20"/>
      <c r="D29" s="20"/>
      <c r="E29" s="20"/>
      <c r="F29" s="21" t="s">
        <v>404</v>
      </c>
      <c r="G29" s="21"/>
      <c r="H29" s="21"/>
      <c r="I29" s="20"/>
      <c r="J29" s="20"/>
    </row>
    <row r="30" spans="1:13" x14ac:dyDescent="0.2">
      <c r="A30" s="20"/>
      <c r="D30" s="20"/>
      <c r="E30" s="20"/>
      <c r="F30" s="21" t="s">
        <v>405</v>
      </c>
      <c r="G30" s="21"/>
      <c r="H30" s="21"/>
      <c r="I30" s="20"/>
      <c r="J30" s="20"/>
    </row>
    <row r="31" spans="1:13" x14ac:dyDescent="0.2">
      <c r="A31" s="20"/>
      <c r="D31" s="20"/>
      <c r="E31" s="20"/>
      <c r="F31" s="21" t="s">
        <v>406</v>
      </c>
      <c r="G31" s="21"/>
      <c r="H31" s="21" t="s">
        <v>407</v>
      </c>
      <c r="I31" s="20"/>
      <c r="J31" s="20"/>
    </row>
    <row r="32" spans="1:13" x14ac:dyDescent="0.2">
      <c r="A32" s="20"/>
      <c r="D32" s="20"/>
      <c r="E32" s="20"/>
      <c r="F32" s="34"/>
      <c r="G32" s="20"/>
      <c r="H32" s="34"/>
      <c r="I32" s="20"/>
      <c r="J32" s="20"/>
    </row>
    <row r="33" spans="1:10" x14ac:dyDescent="0.2">
      <c r="A33" s="20"/>
      <c r="D33" s="20" t="s">
        <v>408</v>
      </c>
      <c r="F33" s="26">
        <v>1</v>
      </c>
      <c r="G33" s="20"/>
      <c r="H33" s="28">
        <f>ROUND(F33/F37,4)</f>
        <v>0.60609999999999997</v>
      </c>
      <c r="I33" s="20"/>
      <c r="J33" s="20"/>
    </row>
    <row r="34" spans="1:10" x14ac:dyDescent="0.2">
      <c r="A34" s="20"/>
      <c r="D34" s="20" t="s">
        <v>267</v>
      </c>
      <c r="F34" s="26"/>
      <c r="G34" s="20"/>
      <c r="H34" s="20"/>
      <c r="I34" s="20"/>
      <c r="J34" s="20"/>
    </row>
    <row r="35" spans="1:10" x14ac:dyDescent="0.2">
      <c r="A35" s="20"/>
      <c r="D35" s="20" t="s">
        <v>231</v>
      </c>
      <c r="F35" s="26">
        <v>0.65</v>
      </c>
      <c r="G35" s="20"/>
      <c r="H35" s="28">
        <f>ROUND(F35/F37,4)</f>
        <v>0.39389999999999997</v>
      </c>
      <c r="I35" s="20"/>
      <c r="J35" s="20"/>
    </row>
    <row r="36" spans="1:10" x14ac:dyDescent="0.2">
      <c r="A36" s="20"/>
      <c r="D36" s="20"/>
      <c r="F36" s="35"/>
      <c r="G36" s="20"/>
      <c r="H36" s="34"/>
      <c r="I36" s="20"/>
      <c r="J36" s="20"/>
    </row>
    <row r="37" spans="1:10" ht="15.75" thickBot="1" x14ac:dyDescent="0.25">
      <c r="A37" s="20"/>
      <c r="D37" s="20" t="s">
        <v>410</v>
      </c>
      <c r="F37" s="199">
        <f>SUM(F33:F36)</f>
        <v>1.65</v>
      </c>
      <c r="G37" s="20"/>
      <c r="H37" s="28">
        <f>SUM(H33:H36)</f>
        <v>1</v>
      </c>
      <c r="I37" s="20"/>
      <c r="J37" s="20"/>
    </row>
    <row r="38" spans="1:10" ht="15.75" thickTop="1" x14ac:dyDescent="0.2">
      <c r="A38" s="20"/>
      <c r="D38" s="20"/>
      <c r="E38" s="20"/>
      <c r="F38" s="198"/>
      <c r="G38" s="20"/>
      <c r="H38" s="36"/>
      <c r="I38" s="20"/>
      <c r="J38" s="20"/>
    </row>
    <row r="39" spans="1:10" x14ac:dyDescent="0.2">
      <c r="A39" s="20"/>
      <c r="B39" s="20"/>
      <c r="C39" s="20"/>
      <c r="D39" s="20"/>
      <c r="E39" s="26"/>
      <c r="F39" s="20"/>
      <c r="G39" s="20"/>
      <c r="H39" s="20"/>
      <c r="I39" s="20"/>
      <c r="J39" s="20"/>
    </row>
    <row r="40" spans="1:10" x14ac:dyDescent="0.2">
      <c r="A40" s="20"/>
      <c r="B40" s="20"/>
      <c r="C40" s="20"/>
      <c r="D40" s="20"/>
      <c r="E40" s="20"/>
      <c r="F40" s="20"/>
      <c r="G40" s="20"/>
      <c r="H40" s="20"/>
      <c r="I40" s="20"/>
      <c r="J40" s="20"/>
    </row>
    <row r="41" spans="1:10" x14ac:dyDescent="0.2">
      <c r="A41" s="34" t="s">
        <v>411</v>
      </c>
      <c r="B41" s="34"/>
      <c r="C41" s="20"/>
      <c r="D41" s="20"/>
      <c r="E41" s="20"/>
      <c r="F41" s="20"/>
      <c r="G41" s="20"/>
      <c r="H41" s="20"/>
      <c r="I41" s="20"/>
      <c r="J41" s="20"/>
    </row>
  </sheetData>
  <mergeCells count="1">
    <mergeCell ref="A26:J26"/>
  </mergeCells>
  <phoneticPr fontId="12"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O218"/>
  <sheetViews>
    <sheetView topLeftCell="A7" workbookViewId="0">
      <selection activeCell="H50" sqref="H50"/>
    </sheetView>
  </sheetViews>
  <sheetFormatPr defaultColWidth="9.6640625" defaultRowHeight="15" x14ac:dyDescent="0.2"/>
  <cols>
    <col min="1" max="1" width="7.6640625" style="38" customWidth="1"/>
    <col min="2" max="2" width="7.88671875" style="38" customWidth="1"/>
    <col min="3" max="3" width="2.109375" style="38" customWidth="1"/>
    <col min="4" max="4" width="7.6640625" style="38" customWidth="1"/>
    <col min="5" max="5" width="2.109375" style="38" customWidth="1"/>
    <col min="6" max="6" width="7.6640625" style="38" customWidth="1"/>
    <col min="7" max="7" width="2.109375" style="38" customWidth="1"/>
    <col min="8" max="8" width="7.6640625" style="38" customWidth="1"/>
    <col min="9" max="9" width="2.109375" style="38" customWidth="1"/>
    <col min="10" max="10" width="7.6640625" style="38" customWidth="1"/>
    <col min="11" max="11" width="2.109375" style="38" customWidth="1"/>
    <col min="12" max="12" width="7.6640625" style="38" customWidth="1"/>
    <col min="13" max="13" width="2.109375" style="38" customWidth="1"/>
    <col min="14" max="14" width="7.6640625" style="38" customWidth="1"/>
    <col min="15" max="15" width="2.109375" style="38" customWidth="1"/>
    <col min="16" max="16" width="10.6640625" style="38" customWidth="1"/>
    <col min="17" max="17" width="2.109375" style="38" customWidth="1"/>
    <col min="18" max="18" width="11" style="38" customWidth="1"/>
    <col min="19" max="19" width="7.6640625" style="38" customWidth="1"/>
    <col min="20" max="20" width="3.6640625" style="38" customWidth="1"/>
    <col min="21" max="21" width="7.6640625" style="38" customWidth="1"/>
    <col min="22" max="22" width="2.6640625" style="38" customWidth="1"/>
    <col min="23" max="23" width="7.6640625" style="38" customWidth="1"/>
    <col min="24" max="24" width="2.6640625" style="38" customWidth="1"/>
    <col min="25" max="25" width="12.5546875" style="38" customWidth="1"/>
    <col min="26" max="26" width="2.6640625" style="38" customWidth="1"/>
    <col min="27" max="27" width="10.44140625" style="38" customWidth="1"/>
    <col min="28" max="28" width="2.6640625" style="38" customWidth="1"/>
    <col min="29" max="29" width="10" style="38" bestFit="1" customWidth="1"/>
    <col min="30" max="30" width="2.6640625" style="38" customWidth="1"/>
    <col min="31" max="31" width="13.5546875" style="38" bestFit="1" customWidth="1"/>
    <col min="32" max="32" width="2.6640625" style="38" customWidth="1"/>
    <col min="33" max="33" width="12.44140625" style="38" bestFit="1" customWidth="1"/>
    <col min="34" max="34" width="2.6640625" style="38" customWidth="1"/>
    <col min="35" max="35" width="12" style="38" bestFit="1" customWidth="1"/>
    <col min="36" max="38" width="9.6640625" style="38" customWidth="1"/>
    <col min="39" max="39" width="12.44140625" style="38" bestFit="1" customWidth="1"/>
    <col min="40" max="40" width="6.6640625" style="38" customWidth="1"/>
    <col min="41" max="41" width="4.6640625" style="38" customWidth="1"/>
    <col min="42" max="42" width="6.6640625" style="38" customWidth="1"/>
    <col min="43" max="43" width="9.6640625" style="38" customWidth="1"/>
    <col min="44" max="44" width="3.6640625" style="38" customWidth="1"/>
    <col min="45" max="45" width="6.6640625" style="38" customWidth="1"/>
    <col min="46" max="46" width="3.6640625" style="38" customWidth="1"/>
    <col min="47" max="47" width="8.6640625" style="38" customWidth="1"/>
    <col min="48" max="48" width="3.6640625" style="38" customWidth="1"/>
    <col min="49" max="49" width="7.6640625" style="38" customWidth="1"/>
    <col min="50" max="50" width="3.6640625" style="38" customWidth="1"/>
    <col min="51" max="51" width="9.6640625" style="38" customWidth="1"/>
    <col min="52" max="52" width="6.6640625" style="38" customWidth="1"/>
    <col min="53" max="53" width="2.6640625" style="38" customWidth="1"/>
    <col min="54" max="54" width="4.6640625" style="38" customWidth="1"/>
    <col min="55" max="55" width="2.6640625" style="38" customWidth="1"/>
    <col min="56" max="56" width="11.6640625" style="38" customWidth="1"/>
    <col min="57" max="57" width="3.6640625" style="38" customWidth="1"/>
    <col min="58" max="58" width="7.6640625" style="38" customWidth="1"/>
    <col min="59" max="59" width="3.6640625" style="38" customWidth="1"/>
    <col min="60" max="60" width="7.6640625" style="38" customWidth="1"/>
    <col min="61" max="61" width="3.6640625" style="38" customWidth="1"/>
    <col min="62" max="62" width="7.6640625" style="38" customWidth="1"/>
    <col min="63" max="63" width="3.6640625" style="38" customWidth="1"/>
    <col min="64" max="64" width="7.6640625" style="38" customWidth="1"/>
    <col min="65" max="16384" width="9.6640625" style="38"/>
  </cols>
  <sheetData>
    <row r="1" spans="1:18" x14ac:dyDescent="0.2">
      <c r="A1" s="37" t="s">
        <v>77</v>
      </c>
      <c r="B1" s="37"/>
      <c r="C1" s="37"/>
      <c r="D1" s="37"/>
      <c r="E1" s="37"/>
      <c r="F1" s="37"/>
      <c r="G1" s="37"/>
      <c r="H1" s="37"/>
      <c r="I1" s="37"/>
      <c r="J1" s="37"/>
      <c r="K1" s="37"/>
      <c r="L1" s="37"/>
      <c r="M1" s="37"/>
      <c r="N1" s="37"/>
      <c r="O1" s="37"/>
      <c r="P1" s="37"/>
    </row>
    <row r="2" spans="1:18" x14ac:dyDescent="0.2">
      <c r="A2" s="37"/>
      <c r="B2" s="37"/>
      <c r="C2" s="37"/>
      <c r="D2" s="37"/>
      <c r="E2" s="37"/>
      <c r="F2" s="37"/>
      <c r="G2" s="37"/>
      <c r="H2" s="37"/>
      <c r="I2" s="37"/>
      <c r="J2" s="37"/>
      <c r="K2" s="37"/>
      <c r="L2" s="37"/>
      <c r="M2" s="37"/>
      <c r="N2" s="37"/>
      <c r="O2" s="37"/>
      <c r="P2" s="37"/>
    </row>
    <row r="3" spans="1:18" x14ac:dyDescent="0.2">
      <c r="A3" s="37"/>
      <c r="B3" s="37"/>
      <c r="C3" s="37"/>
      <c r="D3" s="37"/>
      <c r="E3" s="37"/>
      <c r="F3" s="37"/>
      <c r="G3" s="37"/>
      <c r="H3" s="37"/>
      <c r="I3" s="37"/>
      <c r="J3" s="37"/>
      <c r="K3" s="37"/>
      <c r="L3" s="37"/>
      <c r="M3" s="37"/>
      <c r="N3" s="37"/>
      <c r="O3" s="37"/>
      <c r="P3" s="37"/>
    </row>
    <row r="4" spans="1:18" x14ac:dyDescent="0.2">
      <c r="A4" s="1" t="s">
        <v>181</v>
      </c>
      <c r="B4" s="37"/>
      <c r="C4" s="37"/>
      <c r="D4" s="37"/>
      <c r="E4" s="37"/>
      <c r="F4" s="37"/>
      <c r="G4" s="37"/>
      <c r="H4" s="37"/>
      <c r="I4" s="37"/>
      <c r="J4" s="37"/>
      <c r="K4" s="37"/>
      <c r="L4" s="37"/>
      <c r="M4" s="37"/>
      <c r="N4" s="37"/>
      <c r="O4" s="37"/>
      <c r="P4" s="37"/>
    </row>
    <row r="6" spans="1:18" x14ac:dyDescent="0.2">
      <c r="A6" s="2"/>
      <c r="B6" s="2"/>
      <c r="C6" s="2"/>
      <c r="D6" s="2"/>
      <c r="E6" s="2"/>
      <c r="F6" s="2"/>
      <c r="G6" s="2"/>
      <c r="H6" s="2"/>
      <c r="I6" s="2"/>
      <c r="J6" s="2"/>
      <c r="K6" s="2"/>
      <c r="L6" s="2"/>
      <c r="M6" s="2"/>
      <c r="N6" s="2"/>
      <c r="O6" s="2"/>
      <c r="P6" s="2"/>
      <c r="Q6" s="2"/>
      <c r="R6" s="2"/>
    </row>
    <row r="7" spans="1:18" x14ac:dyDescent="0.2">
      <c r="A7" s="2" t="s">
        <v>125</v>
      </c>
      <c r="B7" s="2"/>
      <c r="C7" s="2"/>
      <c r="D7" s="2"/>
      <c r="E7" s="2"/>
      <c r="F7" s="2"/>
      <c r="G7" s="2"/>
      <c r="H7" s="2"/>
      <c r="I7" s="2"/>
      <c r="J7" s="2"/>
      <c r="K7" s="2"/>
      <c r="L7" s="2"/>
      <c r="M7" s="2"/>
      <c r="N7" s="2"/>
      <c r="O7" s="2"/>
      <c r="P7" s="2"/>
      <c r="Q7" s="2"/>
      <c r="R7" s="2"/>
    </row>
    <row r="8" spans="1:18" x14ac:dyDescent="0.2">
      <c r="A8" s="2" t="s">
        <v>124</v>
      </c>
      <c r="B8" s="2"/>
      <c r="C8" s="2"/>
      <c r="D8" s="2"/>
      <c r="E8" s="2"/>
      <c r="F8" s="2"/>
      <c r="G8" s="2"/>
      <c r="H8" s="2"/>
      <c r="I8" s="2"/>
      <c r="J8" s="2"/>
      <c r="K8" s="2"/>
      <c r="L8" s="2"/>
      <c r="M8" s="2"/>
      <c r="N8" s="2"/>
      <c r="O8" s="2"/>
      <c r="P8" s="2"/>
      <c r="Q8" s="2"/>
      <c r="R8" s="2"/>
    </row>
    <row r="9" spans="1:18" x14ac:dyDescent="0.2">
      <c r="A9" s="2"/>
      <c r="B9" s="2"/>
      <c r="C9" s="2"/>
      <c r="D9" s="2"/>
      <c r="E9" s="2"/>
      <c r="F9" s="2"/>
      <c r="G9" s="2"/>
      <c r="H9" s="2"/>
      <c r="I9" s="2"/>
      <c r="J9" s="2"/>
      <c r="K9" s="2"/>
      <c r="L9" s="2"/>
      <c r="M9" s="2"/>
      <c r="N9" s="2"/>
      <c r="O9" s="2"/>
      <c r="P9" s="2"/>
      <c r="Q9" s="2"/>
      <c r="R9" s="2"/>
    </row>
    <row r="10" spans="1:18" ht="29.85" customHeight="1" x14ac:dyDescent="0.2">
      <c r="A10" s="656" t="s">
        <v>277</v>
      </c>
      <c r="B10" s="656"/>
      <c r="C10" s="656"/>
      <c r="D10" s="656"/>
      <c r="E10" s="656"/>
      <c r="F10" s="656"/>
      <c r="G10" s="656"/>
      <c r="H10" s="656"/>
      <c r="I10" s="656"/>
      <c r="J10" s="656"/>
      <c r="K10" s="656"/>
      <c r="L10" s="656"/>
      <c r="M10" s="656"/>
      <c r="N10" s="656"/>
      <c r="O10" s="656"/>
      <c r="P10" s="656"/>
      <c r="Q10" s="2"/>
      <c r="R10" s="2"/>
    </row>
    <row r="11" spans="1:18" x14ac:dyDescent="0.2">
      <c r="A11" s="2"/>
      <c r="B11" s="2"/>
      <c r="C11" s="2"/>
      <c r="D11" s="2"/>
      <c r="E11" s="2"/>
      <c r="F11" s="2"/>
      <c r="G11" s="2"/>
      <c r="H11" s="2"/>
      <c r="I11" s="2"/>
      <c r="J11" s="2"/>
      <c r="K11" s="2"/>
      <c r="L11" s="2"/>
      <c r="M11" s="2"/>
      <c r="N11" s="2"/>
      <c r="O11" s="2"/>
      <c r="P11" s="2"/>
      <c r="Q11" s="2"/>
      <c r="R11" s="2"/>
    </row>
    <row r="12" spans="1:18" x14ac:dyDescent="0.2">
      <c r="A12" s="2"/>
      <c r="B12" s="2"/>
      <c r="C12" s="2"/>
      <c r="D12" s="1" t="s">
        <v>376</v>
      </c>
      <c r="E12" s="1"/>
      <c r="F12" s="1"/>
      <c r="G12" s="2"/>
      <c r="H12" s="1" t="s">
        <v>267</v>
      </c>
      <c r="I12" s="1"/>
      <c r="J12" s="1"/>
      <c r="K12" s="2"/>
      <c r="L12" s="2"/>
      <c r="M12" s="2"/>
      <c r="N12" s="2"/>
      <c r="O12" s="2"/>
      <c r="P12" s="2"/>
      <c r="Q12" s="2"/>
      <c r="R12" s="2"/>
    </row>
    <row r="13" spans="1:18" x14ac:dyDescent="0.2">
      <c r="A13" s="2"/>
      <c r="B13" s="2"/>
      <c r="C13" s="2"/>
      <c r="D13" s="1" t="s">
        <v>268</v>
      </c>
      <c r="E13" s="1"/>
      <c r="F13" s="1"/>
      <c r="G13" s="2"/>
      <c r="H13" s="1" t="s">
        <v>269</v>
      </c>
      <c r="I13" s="1"/>
      <c r="J13" s="1"/>
      <c r="K13" s="2"/>
      <c r="L13" s="1" t="s">
        <v>286</v>
      </c>
      <c r="M13" s="1"/>
      <c r="N13" s="1"/>
      <c r="O13" s="2"/>
      <c r="P13" s="2"/>
      <c r="Q13" s="2"/>
      <c r="R13" s="2"/>
    </row>
    <row r="14" spans="1:18" x14ac:dyDescent="0.2">
      <c r="A14" s="1" t="s">
        <v>287</v>
      </c>
      <c r="B14" s="1"/>
      <c r="C14" s="2"/>
      <c r="D14" s="11" t="s">
        <v>379</v>
      </c>
      <c r="E14" s="11"/>
      <c r="F14" s="11" t="s">
        <v>270</v>
      </c>
      <c r="G14" s="12"/>
      <c r="H14" s="11" t="s">
        <v>379</v>
      </c>
      <c r="I14" s="11"/>
      <c r="J14" s="11" t="s">
        <v>270</v>
      </c>
      <c r="K14" s="12"/>
      <c r="L14" s="11" t="s">
        <v>379</v>
      </c>
      <c r="M14" s="11"/>
      <c r="N14" s="11" t="s">
        <v>270</v>
      </c>
      <c r="O14" s="12"/>
      <c r="P14" s="12" t="s">
        <v>379</v>
      </c>
      <c r="Q14" s="12"/>
    </row>
    <row r="15" spans="1:18" x14ac:dyDescent="0.2">
      <c r="A15" s="1" t="s">
        <v>380</v>
      </c>
      <c r="B15" s="1"/>
      <c r="C15" s="2"/>
      <c r="D15" s="12" t="s">
        <v>381</v>
      </c>
      <c r="E15" s="12"/>
      <c r="F15" s="12" t="s">
        <v>381</v>
      </c>
      <c r="G15" s="12"/>
      <c r="H15" s="12" t="s">
        <v>381</v>
      </c>
      <c r="I15" s="12"/>
      <c r="J15" s="12" t="s">
        <v>381</v>
      </c>
      <c r="K15" s="12"/>
      <c r="L15" s="12" t="s">
        <v>381</v>
      </c>
      <c r="M15" s="12"/>
      <c r="N15" s="12" t="s">
        <v>381</v>
      </c>
      <c r="O15" s="12"/>
      <c r="P15" s="12" t="s">
        <v>381</v>
      </c>
      <c r="Q15" s="12"/>
    </row>
    <row r="16" spans="1:18" x14ac:dyDescent="0.2">
      <c r="A16" s="3" t="s">
        <v>382</v>
      </c>
      <c r="B16" s="3"/>
      <c r="C16" s="2"/>
      <c r="D16" s="11" t="s">
        <v>272</v>
      </c>
      <c r="E16" s="2"/>
      <c r="F16" s="13" t="s">
        <v>288</v>
      </c>
      <c r="G16" s="2"/>
      <c r="H16" s="11" t="s">
        <v>274</v>
      </c>
      <c r="I16" s="2"/>
      <c r="J16" s="13" t="s">
        <v>289</v>
      </c>
      <c r="K16" s="2"/>
      <c r="L16" s="11" t="s">
        <v>290</v>
      </c>
      <c r="M16" s="2"/>
      <c r="N16" s="13" t="s">
        <v>291</v>
      </c>
      <c r="O16" s="2"/>
      <c r="P16" s="11" t="s">
        <v>292</v>
      </c>
      <c r="Q16" s="2"/>
    </row>
    <row r="17" spans="1:67" x14ac:dyDescent="0.2">
      <c r="D17" s="39"/>
      <c r="E17" s="39"/>
      <c r="F17" s="39">
        <f>'F 3B 4B'!$I$15</f>
        <v>0.55469999999999997</v>
      </c>
      <c r="G17" s="39"/>
      <c r="H17" s="39"/>
      <c r="I17" s="39"/>
      <c r="J17" s="39">
        <f>'F 3B 4B'!$I$17</f>
        <v>0.36059999999999998</v>
      </c>
      <c r="K17" s="39"/>
      <c r="L17" s="39"/>
      <c r="M17" s="39"/>
      <c r="N17" s="39">
        <f>'F 3B 4B'!$I$21</f>
        <v>8.4699999999999998E-2</v>
      </c>
      <c r="O17" s="39"/>
      <c r="P17" s="39"/>
    </row>
    <row r="18" spans="1:67" x14ac:dyDescent="0.2">
      <c r="D18" s="39"/>
      <c r="E18" s="39"/>
      <c r="F18" s="39"/>
      <c r="G18" s="39"/>
      <c r="H18" s="39"/>
      <c r="I18" s="39"/>
      <c r="J18" s="39"/>
      <c r="K18" s="39"/>
      <c r="L18" s="39"/>
      <c r="M18" s="39"/>
      <c r="N18" s="39"/>
      <c r="O18" s="39"/>
      <c r="P18" s="39"/>
    </row>
    <row r="19" spans="1:67" x14ac:dyDescent="0.2">
      <c r="A19" s="2" t="s">
        <v>385</v>
      </c>
      <c r="D19" s="39">
        <f>'F 1-2'!$K$16</f>
        <v>0.48659999999999998</v>
      </c>
      <c r="E19" s="39"/>
      <c r="F19" s="39">
        <f>ROUND($F$17*D19,4)+0.0001</f>
        <v>0.26999999999999996</v>
      </c>
      <c r="G19" s="39"/>
      <c r="H19" s="39">
        <f>'F 2 B'!$J$17</f>
        <v>0.51790000000000003</v>
      </c>
      <c r="I19" s="39"/>
      <c r="J19" s="39">
        <f>ROUND($J$17*H19,4)+0.0001</f>
        <v>0.18689999999999998</v>
      </c>
      <c r="K19" s="39"/>
      <c r="L19" s="39"/>
      <c r="M19" s="39"/>
      <c r="N19" s="39"/>
      <c r="O19" s="39"/>
      <c r="P19" s="39">
        <f t="shared" ref="P19:P25" si="0">N19+J19+F19</f>
        <v>0.45689999999999997</v>
      </c>
    </row>
    <row r="20" spans="1:67" x14ac:dyDescent="0.2">
      <c r="A20" s="2" t="s">
        <v>386</v>
      </c>
      <c r="D20" s="39">
        <f>'F 1-2'!$K$17</f>
        <v>0.309</v>
      </c>
      <c r="E20" s="39"/>
      <c r="F20" s="39">
        <f t="shared" ref="F20:F25" si="1">ROUND($F$17*D20,4)</f>
        <v>0.1714</v>
      </c>
      <c r="G20" s="39"/>
      <c r="H20" s="39">
        <f>'F 2 B'!$J$18</f>
        <v>0.31069999999999998</v>
      </c>
      <c r="I20" s="39"/>
      <c r="J20" s="39">
        <f>ROUND($J$17*H20,4)</f>
        <v>0.112</v>
      </c>
      <c r="K20" s="39"/>
      <c r="L20" s="39"/>
      <c r="M20" s="39"/>
      <c r="N20" s="39"/>
      <c r="O20" s="39"/>
      <c r="P20" s="39">
        <f t="shared" si="0"/>
        <v>0.28339999999999999</v>
      </c>
    </row>
    <row r="21" spans="1:67" x14ac:dyDescent="0.2">
      <c r="A21" s="2" t="s">
        <v>387</v>
      </c>
      <c r="D21" s="39">
        <f>'F 1-2'!$K$18</f>
        <v>4.7300000000000002E-2</v>
      </c>
      <c r="E21" s="39"/>
      <c r="F21" s="39">
        <f>ROUND($F$17*D21,4)</f>
        <v>2.6200000000000001E-2</v>
      </c>
      <c r="G21" s="39"/>
      <c r="H21" s="39">
        <f>'F 2 B'!$J$19</f>
        <v>3.9199999999999999E-2</v>
      </c>
      <c r="I21" s="39"/>
      <c r="J21" s="39">
        <f>ROUND($J$17*H21,4)</f>
        <v>1.41E-2</v>
      </c>
      <c r="K21" s="39"/>
      <c r="L21" s="39"/>
      <c r="M21" s="39"/>
      <c r="N21" s="39"/>
      <c r="O21" s="39"/>
      <c r="P21" s="39">
        <f t="shared" si="0"/>
        <v>4.0300000000000002E-2</v>
      </c>
    </row>
    <row r="22" spans="1:67" x14ac:dyDescent="0.2">
      <c r="A22" s="2" t="s">
        <v>389</v>
      </c>
      <c r="D22" s="39">
        <f>'F 1-2'!$K$19</f>
        <v>0.1154</v>
      </c>
      <c r="E22" s="39"/>
      <c r="F22" s="295">
        <f t="shared" si="1"/>
        <v>6.4000000000000001E-2</v>
      </c>
      <c r="G22" s="39"/>
      <c r="H22" s="39">
        <f>'F 2 B'!$J$20</f>
        <v>0.1024</v>
      </c>
      <c r="I22" s="39"/>
      <c r="J22" s="39">
        <f>ROUND($J$17*H22,4)</f>
        <v>3.6900000000000002E-2</v>
      </c>
      <c r="K22" s="39"/>
      <c r="L22" s="39"/>
      <c r="M22" s="39"/>
      <c r="N22" s="39"/>
      <c r="O22" s="39"/>
      <c r="P22" s="39">
        <f t="shared" si="0"/>
        <v>0.1009</v>
      </c>
    </row>
    <row r="23" spans="1:67" x14ac:dyDescent="0.2">
      <c r="A23" s="2" t="s">
        <v>503</v>
      </c>
      <c r="D23" s="39">
        <f>'F 1-2'!$K$20</f>
        <v>3.5900000000000001E-2</v>
      </c>
      <c r="E23" s="39"/>
      <c r="F23" s="39">
        <f>ROUND($F$17*D23,4)</f>
        <v>1.9900000000000001E-2</v>
      </c>
      <c r="G23" s="39"/>
      <c r="H23" s="39">
        <f>'F 2 B'!$J$21</f>
        <v>2.98E-2</v>
      </c>
      <c r="I23" s="39"/>
      <c r="J23" s="39">
        <f>ROUND($J$17*H23,4)</f>
        <v>1.0699999999999999E-2</v>
      </c>
      <c r="K23" s="39"/>
      <c r="L23" s="39"/>
      <c r="M23" s="39"/>
      <c r="N23" s="39"/>
      <c r="O23" s="39"/>
      <c r="P23" s="39">
        <f t="shared" si="0"/>
        <v>3.0600000000000002E-2</v>
      </c>
    </row>
    <row r="24" spans="1:67" x14ac:dyDescent="0.2">
      <c r="A24" s="2" t="s">
        <v>391</v>
      </c>
      <c r="D24" s="39">
        <f>'F 1-2'!$K$21</f>
        <v>2.5999999999999999E-3</v>
      </c>
      <c r="E24" s="39"/>
      <c r="F24" s="39">
        <f t="shared" si="1"/>
        <v>1.4E-3</v>
      </c>
      <c r="G24" s="39"/>
      <c r="H24" s="39"/>
      <c r="I24" s="39"/>
      <c r="J24" s="39"/>
      <c r="K24" s="39"/>
      <c r="L24" s="39">
        <f>Fire!$O$26</f>
        <v>0.45040000000000002</v>
      </c>
      <c r="M24" s="39"/>
      <c r="N24" s="39">
        <f>ROUND($N$17*L24,4)</f>
        <v>3.8100000000000002E-2</v>
      </c>
      <c r="O24" s="39"/>
      <c r="P24" s="39">
        <f t="shared" si="0"/>
        <v>3.95E-2</v>
      </c>
    </row>
    <row r="25" spans="1:67" x14ac:dyDescent="0.2">
      <c r="A25" s="2" t="s">
        <v>392</v>
      </c>
      <c r="D25" s="39">
        <f>'F 1-2'!$K$22</f>
        <v>3.2000000000000002E-3</v>
      </c>
      <c r="E25" s="39"/>
      <c r="F25" s="39">
        <f t="shared" si="1"/>
        <v>1.8E-3</v>
      </c>
      <c r="G25" s="39"/>
      <c r="H25" s="39"/>
      <c r="I25" s="39"/>
      <c r="J25" s="39"/>
      <c r="K25" s="39"/>
      <c r="L25" s="39">
        <f>Fire!$O$33</f>
        <v>0.54959999999999998</v>
      </c>
      <c r="M25" s="39"/>
      <c r="N25" s="39">
        <f>ROUND($N$17*L25,4)</f>
        <v>4.6600000000000003E-2</v>
      </c>
      <c r="O25" s="39"/>
      <c r="P25" s="39">
        <f t="shared" si="0"/>
        <v>4.8400000000000006E-2</v>
      </c>
    </row>
    <row r="26" spans="1:67" x14ac:dyDescent="0.2">
      <c r="A26" s="2"/>
      <c r="D26" s="40"/>
      <c r="E26" s="39"/>
      <c r="F26" s="40"/>
      <c r="G26" s="39"/>
      <c r="H26" s="40"/>
      <c r="I26" s="39"/>
      <c r="J26" s="40"/>
      <c r="K26" s="39"/>
      <c r="L26" s="40"/>
      <c r="M26" s="39"/>
      <c r="N26" s="40"/>
      <c r="O26" s="39"/>
      <c r="P26" s="40"/>
    </row>
    <row r="27" spans="1:67" x14ac:dyDescent="0.2">
      <c r="A27" s="2" t="s">
        <v>393</v>
      </c>
      <c r="D27" s="39">
        <f>SUM(D19:D25)</f>
        <v>1</v>
      </c>
      <c r="E27" s="39"/>
      <c r="F27" s="39">
        <f>SUM(F19:F25)</f>
        <v>0.55469999999999997</v>
      </c>
      <c r="G27" s="39"/>
      <c r="H27" s="39">
        <f>SUM(H19:H25)</f>
        <v>1</v>
      </c>
      <c r="I27" s="39"/>
      <c r="J27" s="39">
        <f>SUM(J19:J25)</f>
        <v>0.36059999999999998</v>
      </c>
      <c r="K27" s="39"/>
      <c r="L27" s="39">
        <f>SUM(L19:L25)</f>
        <v>1</v>
      </c>
      <c r="M27" s="39"/>
      <c r="N27" s="39">
        <f>SUM(N19:N25)</f>
        <v>8.4699999999999998E-2</v>
      </c>
      <c r="O27" s="39"/>
      <c r="P27" s="39">
        <f>SUM(P19:P25)</f>
        <v>0.99999999999999989</v>
      </c>
    </row>
    <row r="28" spans="1:67" x14ac:dyDescent="0.2">
      <c r="D28" s="41"/>
      <c r="E28" s="39"/>
      <c r="F28" s="41"/>
      <c r="G28" s="39"/>
      <c r="H28" s="41"/>
      <c r="I28" s="39"/>
      <c r="J28" s="41"/>
      <c r="K28" s="39"/>
      <c r="L28" s="41"/>
      <c r="M28" s="39"/>
      <c r="N28" s="41"/>
      <c r="O28" s="39"/>
      <c r="P28" s="41"/>
    </row>
    <row r="31" spans="1:67" x14ac:dyDescent="0.2">
      <c r="A31" s="37" t="s">
        <v>77</v>
      </c>
      <c r="B31" s="1"/>
      <c r="C31" s="1"/>
      <c r="D31" s="1"/>
      <c r="E31" s="1"/>
      <c r="F31" s="1"/>
      <c r="G31" s="37"/>
      <c r="H31" s="1"/>
      <c r="I31" s="1"/>
      <c r="J31" s="1"/>
      <c r="K31" s="1"/>
      <c r="L31" s="1"/>
      <c r="M31" s="1"/>
      <c r="N31" s="1"/>
      <c r="O31" s="1"/>
      <c r="P31" s="1"/>
      <c r="Q31" s="1"/>
      <c r="R31" s="1"/>
      <c r="S31" s="2"/>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row>
    <row r="32" spans="1:67" x14ac:dyDescent="0.2">
      <c r="A32" s="37"/>
      <c r="B32" s="1"/>
      <c r="C32" s="1"/>
      <c r="D32" s="1"/>
      <c r="E32" s="1"/>
      <c r="F32" s="1"/>
      <c r="G32" s="37"/>
      <c r="H32" s="1"/>
      <c r="I32" s="1"/>
      <c r="J32" s="1"/>
      <c r="K32" s="1"/>
      <c r="L32" s="1"/>
      <c r="M32" s="1"/>
      <c r="N32" s="1"/>
      <c r="O32" s="1"/>
      <c r="P32" s="1"/>
      <c r="Q32" s="1"/>
      <c r="R32" s="1"/>
      <c r="S32" s="2"/>
    </row>
    <row r="33" spans="1:36" x14ac:dyDescent="0.2">
      <c r="A33" s="1"/>
      <c r="B33" s="1"/>
      <c r="C33" s="1"/>
      <c r="D33" s="1"/>
      <c r="E33" s="1"/>
      <c r="F33" s="1"/>
      <c r="G33" s="1"/>
      <c r="H33" s="1"/>
      <c r="I33" s="1"/>
      <c r="J33" s="1"/>
      <c r="K33" s="1"/>
      <c r="L33" s="1"/>
      <c r="M33" s="1"/>
      <c r="N33" s="1"/>
      <c r="O33" s="1"/>
      <c r="P33" s="1"/>
      <c r="Q33" s="1"/>
      <c r="R33" s="1"/>
      <c r="S33" s="2"/>
    </row>
    <row r="34" spans="1:36" x14ac:dyDescent="0.2">
      <c r="A34" s="1" t="s">
        <v>181</v>
      </c>
      <c r="B34" s="1"/>
      <c r="C34" s="1"/>
      <c r="D34" s="37"/>
      <c r="E34" s="1"/>
      <c r="F34" s="1"/>
      <c r="G34" s="1"/>
      <c r="H34" s="1"/>
      <c r="I34" s="1"/>
      <c r="J34" s="1"/>
      <c r="K34" s="1"/>
      <c r="L34" s="1"/>
      <c r="M34" s="1"/>
      <c r="N34" s="1"/>
      <c r="O34" s="1"/>
      <c r="P34" s="1"/>
      <c r="Q34" s="1"/>
      <c r="R34" s="1"/>
      <c r="S34" s="2"/>
    </row>
    <row r="35" spans="1:36" x14ac:dyDescent="0.2">
      <c r="A35" s="2"/>
      <c r="B35" s="2"/>
      <c r="C35" s="2"/>
      <c r="D35" s="2"/>
      <c r="E35" s="2"/>
      <c r="F35" s="2"/>
      <c r="G35" s="2"/>
      <c r="H35" s="2"/>
      <c r="I35" s="2"/>
      <c r="J35" s="2"/>
      <c r="K35" s="2"/>
      <c r="L35" s="2"/>
      <c r="M35" s="2"/>
      <c r="N35" s="2"/>
      <c r="O35" s="2"/>
      <c r="P35" s="2"/>
      <c r="Q35" s="2"/>
      <c r="R35" s="2"/>
      <c r="S35" s="2"/>
    </row>
    <row r="36" spans="1:36" x14ac:dyDescent="0.2">
      <c r="A36" s="2"/>
      <c r="B36" s="2"/>
      <c r="C36" s="2"/>
      <c r="D36" s="2"/>
      <c r="E36" s="2"/>
      <c r="F36" s="2"/>
      <c r="G36" s="2"/>
      <c r="H36" s="2"/>
      <c r="I36" s="2"/>
      <c r="J36" s="2"/>
      <c r="K36" s="2"/>
      <c r="L36" s="2"/>
      <c r="M36" s="2"/>
      <c r="N36" s="2"/>
      <c r="O36" s="2"/>
      <c r="P36" s="2"/>
      <c r="Q36" s="2"/>
      <c r="R36" s="2"/>
      <c r="S36" s="2"/>
    </row>
    <row r="37" spans="1:36" x14ac:dyDescent="0.2">
      <c r="A37" s="2" t="s">
        <v>188</v>
      </c>
      <c r="B37" s="2"/>
      <c r="C37" s="2"/>
      <c r="D37" s="2"/>
      <c r="E37" s="2"/>
      <c r="F37" s="2"/>
      <c r="G37" s="2"/>
      <c r="H37" s="2"/>
      <c r="I37" s="2"/>
      <c r="J37" s="2"/>
      <c r="K37" s="2"/>
      <c r="L37" s="2"/>
      <c r="M37" s="2"/>
      <c r="N37" s="2"/>
      <c r="O37" s="2"/>
      <c r="P37" s="2"/>
      <c r="Q37" s="2"/>
      <c r="R37" s="2"/>
      <c r="S37" s="2"/>
    </row>
    <row r="38" spans="1:36"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
      <c r="A39" s="2"/>
      <c r="B39" s="2"/>
      <c r="C39" s="2"/>
      <c r="D39" s="2"/>
      <c r="E39" s="2"/>
      <c r="F39" s="2"/>
      <c r="G39" s="2"/>
      <c r="H39" s="2"/>
      <c r="I39" s="2"/>
      <c r="J39" s="2"/>
      <c r="K39" s="2"/>
      <c r="L39" s="2"/>
      <c r="M39" s="2"/>
      <c r="N39" s="2"/>
      <c r="O39" s="2"/>
      <c r="P39" s="2"/>
      <c r="Q39" s="2"/>
      <c r="R39" s="2"/>
      <c r="S39" s="2"/>
    </row>
    <row r="40" spans="1:36" ht="28.35" customHeight="1" x14ac:dyDescent="0.2">
      <c r="A40" s="656" t="s">
        <v>277</v>
      </c>
      <c r="B40" s="656"/>
      <c r="C40" s="656"/>
      <c r="D40" s="656"/>
      <c r="E40" s="656"/>
      <c r="F40" s="656"/>
      <c r="G40" s="656"/>
      <c r="H40" s="656"/>
      <c r="I40" s="656"/>
      <c r="J40" s="656"/>
      <c r="K40" s="656"/>
      <c r="L40" s="656"/>
      <c r="M40" s="656"/>
      <c r="N40" s="656"/>
      <c r="O40" s="656"/>
      <c r="P40" s="656"/>
      <c r="Q40" s="656"/>
      <c r="R40" s="656"/>
      <c r="S40" s="2"/>
    </row>
    <row r="41" spans="1:36" x14ac:dyDescent="0.2">
      <c r="A41" s="2"/>
      <c r="B41" s="2"/>
      <c r="C41" s="2"/>
      <c r="D41" s="2"/>
      <c r="E41" s="2"/>
      <c r="F41" s="2"/>
      <c r="G41" s="2"/>
      <c r="H41" s="2"/>
      <c r="I41" s="2"/>
      <c r="J41" s="2"/>
      <c r="K41" s="2"/>
      <c r="L41" s="2"/>
      <c r="M41" s="2"/>
      <c r="N41" s="2"/>
      <c r="O41" s="2"/>
      <c r="P41" s="2"/>
      <c r="Q41" s="2"/>
      <c r="R41" s="2"/>
      <c r="S41" s="2"/>
    </row>
    <row r="42" spans="1:36" x14ac:dyDescent="0.2">
      <c r="A42" s="2"/>
      <c r="B42" s="2"/>
      <c r="C42" s="2"/>
      <c r="D42" s="2"/>
      <c r="E42" s="2"/>
      <c r="F42" s="2"/>
      <c r="G42" s="2"/>
      <c r="H42" s="2"/>
      <c r="I42" s="2"/>
      <c r="J42" s="1" t="s">
        <v>293</v>
      </c>
      <c r="K42" s="1"/>
      <c r="L42" s="1"/>
      <c r="M42" s="2"/>
      <c r="N42" s="2"/>
      <c r="O42" s="2"/>
      <c r="P42" s="2"/>
      <c r="Q42" s="2"/>
      <c r="R42" s="2"/>
      <c r="S42" s="2"/>
    </row>
    <row r="43" spans="1:36" x14ac:dyDescent="0.2">
      <c r="A43" s="2"/>
      <c r="B43" s="2"/>
      <c r="C43" s="2"/>
      <c r="D43" s="1" t="s">
        <v>294</v>
      </c>
      <c r="E43" s="1"/>
      <c r="F43" s="1"/>
      <c r="G43" s="1"/>
      <c r="H43" s="1"/>
      <c r="I43" s="2"/>
      <c r="J43" s="1" t="s">
        <v>269</v>
      </c>
      <c r="K43" s="1"/>
      <c r="L43" s="1"/>
      <c r="M43" s="2"/>
      <c r="N43" s="1" t="s">
        <v>286</v>
      </c>
      <c r="O43" s="1"/>
      <c r="P43" s="1"/>
      <c r="Q43" s="2"/>
      <c r="R43" s="2"/>
      <c r="S43" s="2"/>
    </row>
    <row r="44" spans="1:36" x14ac:dyDescent="0.2">
      <c r="A44" s="1" t="s">
        <v>287</v>
      </c>
      <c r="B44" s="1"/>
      <c r="C44" s="2"/>
      <c r="D44" s="11" t="s">
        <v>468</v>
      </c>
      <c r="E44" s="11"/>
      <c r="F44" s="11" t="s">
        <v>379</v>
      </c>
      <c r="G44" s="11"/>
      <c r="H44" s="11" t="s">
        <v>270</v>
      </c>
      <c r="I44" s="12"/>
      <c r="J44" s="11" t="s">
        <v>379</v>
      </c>
      <c r="K44" s="11"/>
      <c r="L44" s="11" t="s">
        <v>270</v>
      </c>
      <c r="M44" s="12"/>
      <c r="N44" s="11" t="s">
        <v>379</v>
      </c>
      <c r="O44" s="11"/>
      <c r="P44" s="11" t="s">
        <v>270</v>
      </c>
      <c r="Q44" s="12"/>
      <c r="R44" s="12" t="s">
        <v>379</v>
      </c>
      <c r="S44" s="2"/>
    </row>
    <row r="45" spans="1:36" x14ac:dyDescent="0.2">
      <c r="A45" s="1" t="s">
        <v>380</v>
      </c>
      <c r="B45" s="1"/>
      <c r="C45" s="2"/>
      <c r="D45" s="12" t="s">
        <v>437</v>
      </c>
      <c r="E45" s="12"/>
      <c r="F45" s="12" t="s">
        <v>381</v>
      </c>
      <c r="G45" s="12"/>
      <c r="H45" s="12" t="s">
        <v>381</v>
      </c>
      <c r="I45" s="12"/>
      <c r="J45" s="12" t="s">
        <v>381</v>
      </c>
      <c r="K45" s="12"/>
      <c r="L45" s="12" t="s">
        <v>381</v>
      </c>
      <c r="M45" s="12"/>
      <c r="N45" s="12" t="s">
        <v>381</v>
      </c>
      <c r="O45" s="12"/>
      <c r="P45" s="12" t="s">
        <v>381</v>
      </c>
      <c r="Q45" s="12"/>
      <c r="R45" s="12" t="s">
        <v>381</v>
      </c>
      <c r="S45" s="2"/>
    </row>
    <row r="46" spans="1:36" x14ac:dyDescent="0.2">
      <c r="A46" s="3" t="s">
        <v>382</v>
      </c>
      <c r="B46" s="3"/>
      <c r="C46" s="2"/>
      <c r="D46" s="11" t="s">
        <v>272</v>
      </c>
      <c r="E46" s="2"/>
      <c r="F46" s="11" t="s">
        <v>384</v>
      </c>
      <c r="G46" s="2"/>
      <c r="H46" s="13" t="s">
        <v>295</v>
      </c>
      <c r="I46" s="2"/>
      <c r="J46" s="11" t="s">
        <v>403</v>
      </c>
      <c r="K46" s="2"/>
      <c r="L46" s="13" t="s">
        <v>296</v>
      </c>
      <c r="M46" s="2"/>
      <c r="N46" s="11" t="s">
        <v>297</v>
      </c>
      <c r="O46" s="2"/>
      <c r="P46" s="13" t="s">
        <v>298</v>
      </c>
      <c r="Q46" s="2"/>
      <c r="R46" s="11" t="s">
        <v>299</v>
      </c>
      <c r="S46" s="2"/>
    </row>
    <row r="47" spans="1:36" x14ac:dyDescent="0.2">
      <c r="A47" s="2"/>
      <c r="B47" s="2"/>
      <c r="C47" s="2"/>
      <c r="D47" s="2"/>
      <c r="E47" s="2"/>
      <c r="F47" s="2"/>
      <c r="G47" s="2"/>
      <c r="H47" s="5">
        <f>'F 3B 4B'!$I$44</f>
        <v>0.3488</v>
      </c>
      <c r="I47" s="5"/>
      <c r="J47" s="5"/>
      <c r="K47" s="5"/>
      <c r="L47" s="5">
        <f>'F 3B 4B'!$I$46</f>
        <v>0.52329999999999999</v>
      </c>
      <c r="M47" s="5"/>
      <c r="N47" s="5"/>
      <c r="O47" s="5"/>
      <c r="P47" s="5">
        <f>'F 3B 4B'!$I$50</f>
        <v>0.12790000000000001</v>
      </c>
      <c r="Q47" s="2"/>
      <c r="R47" s="42"/>
      <c r="S47" s="2"/>
    </row>
    <row r="48" spans="1:36" x14ac:dyDescent="0.2">
      <c r="A48" s="2"/>
      <c r="B48" s="2"/>
      <c r="C48" s="2"/>
      <c r="D48" s="2"/>
      <c r="E48" s="2"/>
      <c r="F48" s="2"/>
      <c r="G48" s="2"/>
      <c r="H48" s="2"/>
      <c r="I48" s="2"/>
      <c r="J48" s="2"/>
      <c r="K48" s="2"/>
      <c r="L48" s="2"/>
      <c r="M48" s="2"/>
      <c r="N48" s="2"/>
      <c r="O48" s="2"/>
      <c r="P48" s="2"/>
      <c r="Q48" s="2"/>
      <c r="R48" s="2"/>
      <c r="S48" s="2"/>
    </row>
    <row r="49" spans="1:43" x14ac:dyDescent="0.2">
      <c r="A49" s="2" t="s">
        <v>385</v>
      </c>
      <c r="B49" s="2"/>
      <c r="C49" s="2"/>
      <c r="D49" s="173">
        <f>ROUND(('F 1-2'!$G$16/24),1)</f>
        <v>706.7</v>
      </c>
      <c r="E49" s="2"/>
      <c r="F49" s="5">
        <f>ROUND(+D49/$D$57,4)+0</f>
        <v>0.50460000000000005</v>
      </c>
      <c r="G49" s="2"/>
      <c r="H49" s="5">
        <f>ROUND(F49*$H$47,4)-0</f>
        <v>0.17599999999999999</v>
      </c>
      <c r="I49" s="2"/>
      <c r="J49" s="5">
        <f>'F 3B 4B'!$K$62</f>
        <v>0.55030000000000001</v>
      </c>
      <c r="K49" s="2"/>
      <c r="L49" s="5">
        <f>ROUND(J49*$L$47,4)</f>
        <v>0.28799999999999998</v>
      </c>
      <c r="M49" s="2"/>
      <c r="N49" s="5"/>
      <c r="O49" s="2"/>
      <c r="P49" s="5"/>
      <c r="Q49" s="2"/>
      <c r="R49" s="5">
        <f t="shared" ref="R49:R55" si="2">H49+L49+P49</f>
        <v>0.46399999999999997</v>
      </c>
      <c r="S49" s="2"/>
      <c r="W49" s="338"/>
      <c r="X49" s="338"/>
      <c r="Y49" s="338"/>
      <c r="Z49" s="338"/>
      <c r="AA49" s="338"/>
      <c r="AB49" s="338"/>
      <c r="AC49" s="338"/>
      <c r="AD49" s="338"/>
      <c r="AE49" s="338"/>
      <c r="AF49" s="338"/>
      <c r="AG49" s="317"/>
      <c r="AH49" s="338"/>
      <c r="AI49" s="338"/>
      <c r="AJ49" s="338"/>
      <c r="AK49" s="338"/>
      <c r="AL49" s="338"/>
      <c r="AM49" s="338"/>
      <c r="AN49" s="338"/>
      <c r="AO49" s="338"/>
      <c r="AP49" s="338"/>
      <c r="AQ49" s="338"/>
    </row>
    <row r="50" spans="1:43" x14ac:dyDescent="0.2">
      <c r="A50" s="2" t="s">
        <v>386</v>
      </c>
      <c r="B50" s="2"/>
      <c r="C50" s="2"/>
      <c r="D50" s="173">
        <f>ROUND(('F 1-2'!$G$17/24),1)</f>
        <v>448.8</v>
      </c>
      <c r="E50" s="2"/>
      <c r="F50" s="5">
        <f t="shared" ref="F50:F55" si="3">ROUND(+D50/$D$57,4)</f>
        <v>0.32050000000000001</v>
      </c>
      <c r="G50" s="2"/>
      <c r="H50" s="5">
        <f t="shared" ref="H50:H55" si="4">ROUND(F50*$H$47,4)</f>
        <v>0.1118</v>
      </c>
      <c r="I50" s="2"/>
      <c r="J50" s="5">
        <f>'F 3B 4B'!$K$63</f>
        <v>0.32900000000000001</v>
      </c>
      <c r="K50" s="2"/>
      <c r="L50" s="5">
        <f>ROUND(J50*$L$47,4)</f>
        <v>0.17219999999999999</v>
      </c>
      <c r="M50" s="2"/>
      <c r="N50" s="2"/>
      <c r="O50" s="2"/>
      <c r="P50" s="2"/>
      <c r="Q50" s="2"/>
      <c r="R50" s="5">
        <f t="shared" si="2"/>
        <v>0.28399999999999997</v>
      </c>
      <c r="S50" s="2"/>
      <c r="U50" s="300"/>
      <c r="V50" s="300"/>
      <c r="W50" s="339"/>
      <c r="X50" s="339"/>
      <c r="Y50" s="340"/>
      <c r="Z50" s="340"/>
      <c r="AA50" s="340"/>
      <c r="AB50" s="338"/>
      <c r="AC50" s="341"/>
      <c r="AD50" s="339"/>
      <c r="AE50" s="341"/>
      <c r="AF50" s="338"/>
      <c r="AG50" s="317"/>
      <c r="AH50" s="338"/>
      <c r="AI50" s="317"/>
      <c r="AJ50" s="338"/>
      <c r="AK50" s="338"/>
      <c r="AL50" s="342"/>
      <c r="AM50" s="343"/>
      <c r="AN50" s="338"/>
      <c r="AO50" s="338"/>
      <c r="AP50" s="338"/>
      <c r="AQ50" s="338"/>
    </row>
    <row r="51" spans="1:43" s="297" customFormat="1" ht="15.75" x14ac:dyDescent="0.25">
      <c r="A51" s="2" t="s">
        <v>387</v>
      </c>
      <c r="B51" s="2"/>
      <c r="C51" s="2"/>
      <c r="D51" s="173">
        <f>ROUND(('F 1-2'!$G$18)/24,1)</f>
        <v>68.8</v>
      </c>
      <c r="E51" s="2"/>
      <c r="F51" s="5">
        <f t="shared" si="3"/>
        <v>4.9099999999999998E-2</v>
      </c>
      <c r="G51" s="2"/>
      <c r="H51" s="5">
        <f t="shared" si="4"/>
        <v>1.7100000000000001E-2</v>
      </c>
      <c r="I51" s="2"/>
      <c r="J51" s="5">
        <f>'F 3B 4B'!$K$64</f>
        <v>3.6200000000000003E-2</v>
      </c>
      <c r="K51" s="2"/>
      <c r="L51" s="5">
        <f>ROUND(J51*$L$47,4)</f>
        <v>1.89E-2</v>
      </c>
      <c r="M51" s="2"/>
      <c r="N51" s="2"/>
      <c r="O51" s="2"/>
      <c r="P51" s="2"/>
      <c r="Q51" s="2"/>
      <c r="R51" s="5">
        <f t="shared" si="2"/>
        <v>3.6000000000000004E-2</v>
      </c>
      <c r="S51" s="136"/>
      <c r="T51" s="304"/>
      <c r="U51" s="300"/>
      <c r="V51" s="300"/>
      <c r="W51" s="339"/>
      <c r="X51" s="339"/>
      <c r="Y51" s="339"/>
      <c r="Z51" s="339"/>
      <c r="AA51" s="339"/>
      <c r="AB51" s="344"/>
      <c r="AC51" s="341"/>
      <c r="AD51" s="339"/>
      <c r="AE51" s="341"/>
      <c r="AF51" s="344"/>
      <c r="AG51" s="317"/>
      <c r="AH51" s="338"/>
      <c r="AI51" s="317"/>
      <c r="AJ51" s="338"/>
      <c r="AK51" s="344"/>
      <c r="AL51" s="345"/>
      <c r="AM51" s="345"/>
      <c r="AN51" s="344"/>
      <c r="AO51" s="344"/>
      <c r="AP51" s="344"/>
      <c r="AQ51" s="344"/>
    </row>
    <row r="52" spans="1:43" x14ac:dyDescent="0.2">
      <c r="A52" s="2" t="s">
        <v>389</v>
      </c>
      <c r="B52" s="2"/>
      <c r="C52" s="2"/>
      <c r="D52" s="173">
        <f>ROUND(('F 1-2'!$G$19/24),1)</f>
        <v>167.6</v>
      </c>
      <c r="E52" s="2"/>
      <c r="F52" s="5">
        <f t="shared" si="3"/>
        <v>0.1197</v>
      </c>
      <c r="G52" s="2"/>
      <c r="H52" s="5">
        <f t="shared" si="4"/>
        <v>4.1799999999999997E-2</v>
      </c>
      <c r="I52" s="2"/>
      <c r="J52" s="5">
        <f>'F 3B 4B'!$K$65</f>
        <v>8.4500000000000006E-2</v>
      </c>
      <c r="K52" s="2"/>
      <c r="L52" s="270">
        <f>ROUND(J52*$L$47,4)</f>
        <v>4.4200000000000003E-2</v>
      </c>
      <c r="M52" s="2"/>
      <c r="N52" s="2"/>
      <c r="O52" s="2"/>
      <c r="P52" s="2"/>
      <c r="Q52" s="2"/>
      <c r="R52" s="5">
        <f t="shared" si="2"/>
        <v>8.5999999999999993E-2</v>
      </c>
      <c r="S52" s="2"/>
      <c r="U52" s="300"/>
      <c r="V52" s="300"/>
      <c r="W52" s="339"/>
      <c r="X52" s="339"/>
      <c r="Y52" s="346"/>
      <c r="Z52" s="339"/>
      <c r="AA52" s="339"/>
      <c r="AB52" s="343"/>
      <c r="AC52" s="347"/>
      <c r="AD52" s="339"/>
      <c r="AE52" s="347"/>
      <c r="AF52" s="338"/>
      <c r="AG52" s="343"/>
      <c r="AH52" s="338"/>
      <c r="AI52" s="343"/>
      <c r="AJ52" s="338"/>
      <c r="AK52" s="338"/>
      <c r="AL52" s="342"/>
      <c r="AM52" s="342"/>
      <c r="AN52" s="338"/>
      <c r="AO52" s="338"/>
      <c r="AP52" s="338"/>
      <c r="AQ52" s="338"/>
    </row>
    <row r="53" spans="1:43" x14ac:dyDescent="0.2">
      <c r="A53" s="2" t="s">
        <v>503</v>
      </c>
      <c r="B53" s="2"/>
      <c r="C53" s="2"/>
      <c r="D53" s="173">
        <f>ROUND(('F 1-2'!$G$20/24),1)*0</f>
        <v>0</v>
      </c>
      <c r="E53" s="2"/>
      <c r="F53" s="5">
        <f>ROUND(+D53/$D$57,4)</f>
        <v>0</v>
      </c>
      <c r="G53" s="2"/>
      <c r="H53" s="5">
        <f t="shared" si="4"/>
        <v>0</v>
      </c>
      <c r="I53" s="2"/>
      <c r="J53" s="5">
        <f>'F 3B 4B'!$K$66</f>
        <v>0</v>
      </c>
      <c r="K53" s="2"/>
      <c r="L53" s="5">
        <f>ROUND(J53*$L$47,4)</f>
        <v>0</v>
      </c>
      <c r="M53" s="2"/>
      <c r="N53" s="5"/>
      <c r="O53" s="2"/>
      <c r="P53" s="5"/>
      <c r="Q53" s="2"/>
      <c r="R53" s="5">
        <f t="shared" si="2"/>
        <v>0</v>
      </c>
      <c r="S53" s="473"/>
      <c r="U53" s="300"/>
      <c r="V53" s="300"/>
      <c r="W53" s="339"/>
      <c r="X53" s="339"/>
      <c r="Y53" s="346"/>
      <c r="Z53" s="339"/>
      <c r="AA53" s="339"/>
      <c r="AB53" s="343"/>
      <c r="AC53" s="347"/>
      <c r="AD53" s="339"/>
      <c r="AE53" s="347"/>
      <c r="AF53" s="338"/>
      <c r="AG53" s="343"/>
      <c r="AH53" s="338"/>
      <c r="AI53" s="343"/>
      <c r="AJ53" s="338"/>
      <c r="AK53" s="338"/>
      <c r="AL53" s="342"/>
      <c r="AM53" s="343"/>
      <c r="AN53" s="338"/>
      <c r="AO53" s="338"/>
      <c r="AP53" s="338"/>
      <c r="AQ53" s="338"/>
    </row>
    <row r="54" spans="1:43" x14ac:dyDescent="0.2">
      <c r="A54" s="2" t="s">
        <v>391</v>
      </c>
      <c r="B54" s="2"/>
      <c r="C54" s="2"/>
      <c r="D54" s="173">
        <f>ROUND(('F 1-2'!$G$21/24),1)</f>
        <v>3.8</v>
      </c>
      <c r="E54" s="2"/>
      <c r="F54" s="5">
        <f t="shared" si="3"/>
        <v>2.7000000000000001E-3</v>
      </c>
      <c r="G54" s="2"/>
      <c r="H54" s="5">
        <f t="shared" si="4"/>
        <v>8.9999999999999998E-4</v>
      </c>
      <c r="I54" s="2"/>
      <c r="J54" s="5"/>
      <c r="K54" s="2"/>
      <c r="L54" s="5"/>
      <c r="M54" s="2"/>
      <c r="N54" s="5">
        <f>Fire!$O$26</f>
        <v>0.45040000000000002</v>
      </c>
      <c r="O54" s="2"/>
      <c r="P54" s="270">
        <f>ROUND(N54*$P$47,4)</f>
        <v>5.7599999999999998E-2</v>
      </c>
      <c r="Q54" s="2"/>
      <c r="R54" s="5">
        <f t="shared" si="2"/>
        <v>5.8499999999999996E-2</v>
      </c>
      <c r="S54" s="2"/>
      <c r="U54" s="300"/>
      <c r="V54" s="300"/>
      <c r="W54" s="339"/>
      <c r="X54" s="339"/>
      <c r="Y54" s="346"/>
      <c r="Z54" s="339"/>
      <c r="AA54" s="339"/>
      <c r="AB54" s="343"/>
      <c r="AC54" s="347"/>
      <c r="AD54" s="339"/>
      <c r="AE54" s="347"/>
      <c r="AF54" s="338"/>
      <c r="AG54" s="343"/>
      <c r="AH54" s="338"/>
      <c r="AI54" s="343"/>
      <c r="AJ54" s="338"/>
      <c r="AK54" s="338"/>
      <c r="AL54" s="342"/>
      <c r="AM54" s="343"/>
      <c r="AN54" s="338"/>
      <c r="AO54" s="338"/>
      <c r="AP54" s="338"/>
      <c r="AQ54" s="338"/>
    </row>
    <row r="55" spans="1:43" x14ac:dyDescent="0.2">
      <c r="A55" s="2" t="s">
        <v>392</v>
      </c>
      <c r="B55" s="2"/>
      <c r="C55" s="2"/>
      <c r="D55" s="173">
        <f>ROUND(('F 1-2'!$G$22/24),1)</f>
        <v>4.7</v>
      </c>
      <c r="E55" s="2"/>
      <c r="F55" s="5">
        <f t="shared" si="3"/>
        <v>3.3999999999999998E-3</v>
      </c>
      <c r="G55" s="2"/>
      <c r="H55" s="5">
        <f t="shared" si="4"/>
        <v>1.1999999999999999E-3</v>
      </c>
      <c r="I55" s="2"/>
      <c r="J55" s="5"/>
      <c r="K55" s="2"/>
      <c r="L55" s="5"/>
      <c r="M55" s="2"/>
      <c r="N55" s="5">
        <f>Fire!$O$33</f>
        <v>0.54959999999999998</v>
      </c>
      <c r="O55" s="2"/>
      <c r="P55" s="5">
        <f>ROUND(N55*$P$47,4)</f>
        <v>7.0300000000000001E-2</v>
      </c>
      <c r="Q55" s="2"/>
      <c r="R55" s="5">
        <f t="shared" si="2"/>
        <v>7.1500000000000008E-2</v>
      </c>
      <c r="S55" s="2"/>
      <c r="U55" s="300"/>
      <c r="V55" s="300"/>
      <c r="W55" s="300"/>
      <c r="X55" s="300"/>
      <c r="Y55" s="301"/>
      <c r="Z55" s="300"/>
      <c r="AA55" s="300"/>
      <c r="AB55" s="241"/>
      <c r="AC55" s="302"/>
      <c r="AD55" s="300"/>
      <c r="AE55" s="302"/>
      <c r="AG55" s="241"/>
      <c r="AI55" s="241"/>
    </row>
    <row r="56" spans="1:43" x14ac:dyDescent="0.2">
      <c r="A56" s="2"/>
      <c r="B56" s="2"/>
      <c r="C56" s="2"/>
      <c r="D56" s="156"/>
      <c r="E56" s="2"/>
      <c r="F56" s="43"/>
      <c r="G56" s="2"/>
      <c r="H56" s="43"/>
      <c r="I56" s="2"/>
      <c r="J56" s="43"/>
      <c r="K56" s="2"/>
      <c r="L56" s="43"/>
      <c r="M56" s="2"/>
      <c r="N56" s="43"/>
      <c r="O56" s="2"/>
      <c r="P56" s="43"/>
      <c r="Q56" s="2"/>
      <c r="R56" s="43"/>
      <c r="S56" s="2"/>
      <c r="U56" s="300"/>
      <c r="V56" s="300"/>
      <c r="W56" s="300"/>
      <c r="X56" s="300"/>
      <c r="Y56" s="301"/>
      <c r="Z56" s="300"/>
      <c r="AA56" s="300"/>
      <c r="AB56" s="241"/>
      <c r="AC56" s="302"/>
      <c r="AD56" s="300"/>
      <c r="AE56" s="302"/>
      <c r="AG56" s="241"/>
      <c r="AI56" s="241"/>
      <c r="AK56" s="5"/>
    </row>
    <row r="57" spans="1:43" ht="15.75" thickBot="1" x14ac:dyDescent="0.25">
      <c r="A57" s="2" t="s">
        <v>393</v>
      </c>
      <c r="B57" s="2"/>
      <c r="C57" s="2"/>
      <c r="D57" s="173">
        <f>SUM(D49:D56)</f>
        <v>1400.3999999999999</v>
      </c>
      <c r="E57" s="2"/>
      <c r="F57" s="5">
        <f>SUM(F49:F56)</f>
        <v>1.0000000000000002</v>
      </c>
      <c r="G57" s="2"/>
      <c r="H57" s="5">
        <f>SUM(H49:H56)</f>
        <v>0.3488</v>
      </c>
      <c r="I57" s="2"/>
      <c r="J57" s="5">
        <f>SUM(J49:J56)</f>
        <v>1</v>
      </c>
      <c r="K57" s="2"/>
      <c r="L57" s="5">
        <f>SUM(L49:L56)</f>
        <v>0.52329999999999999</v>
      </c>
      <c r="M57" s="2"/>
      <c r="N57" s="149">
        <f>SUM(N49:N56)</f>
        <v>1</v>
      </c>
      <c r="O57" s="2"/>
      <c r="P57" s="5">
        <f>SUM(P49:P56)</f>
        <v>0.12790000000000001</v>
      </c>
      <c r="Q57" s="2"/>
      <c r="R57" s="5">
        <f>SUM(R49:R56)</f>
        <v>1</v>
      </c>
      <c r="S57" s="2"/>
      <c r="U57" s="300"/>
      <c r="V57" s="300"/>
      <c r="W57" s="300"/>
      <c r="X57" s="300"/>
      <c r="Y57" s="301"/>
      <c r="Z57" s="300"/>
      <c r="AA57" s="300"/>
      <c r="AB57" s="241"/>
      <c r="AC57" s="302"/>
      <c r="AE57" s="302"/>
      <c r="AG57" s="241"/>
      <c r="AI57" s="241"/>
      <c r="AK57" s="5"/>
    </row>
    <row r="58" spans="1:43" ht="15.75" thickTop="1" x14ac:dyDescent="0.2">
      <c r="A58" s="2"/>
      <c r="B58" s="2"/>
      <c r="C58" s="2"/>
      <c r="D58" s="8"/>
      <c r="E58" s="2"/>
      <c r="F58" s="44"/>
      <c r="G58" s="2"/>
      <c r="H58" s="44"/>
      <c r="I58" s="2"/>
      <c r="J58" s="44"/>
      <c r="K58" s="2"/>
      <c r="L58" s="44"/>
      <c r="M58" s="2"/>
      <c r="N58" s="159"/>
      <c r="O58" s="2"/>
      <c r="P58" s="44"/>
      <c r="Q58" s="2"/>
      <c r="R58" s="44"/>
      <c r="S58" s="2"/>
      <c r="U58" s="300"/>
      <c r="V58" s="300"/>
      <c r="W58" s="300"/>
      <c r="X58" s="300"/>
      <c r="Y58" s="300"/>
      <c r="Z58" s="300"/>
      <c r="AA58" s="300"/>
      <c r="AB58" s="241"/>
      <c r="AC58" s="241"/>
      <c r="AG58" s="241"/>
      <c r="AK58" s="5"/>
    </row>
    <row r="59" spans="1:43" x14ac:dyDescent="0.2">
      <c r="A59" s="660" t="s">
        <v>42</v>
      </c>
      <c r="B59" s="660"/>
      <c r="C59" s="660"/>
      <c r="D59" s="660"/>
      <c r="E59" s="660"/>
      <c r="F59" s="660"/>
      <c r="G59" s="660"/>
      <c r="H59" s="660"/>
      <c r="I59" s="660"/>
      <c r="J59" s="660"/>
      <c r="K59" s="660"/>
      <c r="L59" s="660"/>
      <c r="M59" s="660"/>
      <c r="N59" s="660"/>
      <c r="O59" s="660"/>
      <c r="P59" s="660"/>
      <c r="Q59" s="660"/>
      <c r="R59" s="660"/>
      <c r="S59" s="2"/>
      <c r="U59" s="300"/>
      <c r="V59" s="300"/>
      <c r="W59" s="300"/>
      <c r="X59" s="300"/>
      <c r="Y59" s="301"/>
      <c r="Z59" s="300"/>
      <c r="AA59" s="301"/>
      <c r="AB59" s="241"/>
      <c r="AC59" s="241"/>
      <c r="AE59" s="302"/>
      <c r="AF59" s="241"/>
      <c r="AG59" s="241"/>
      <c r="AI59" s="241"/>
      <c r="AK59" s="5"/>
    </row>
    <row r="60" spans="1:43" x14ac:dyDescent="0.2">
      <c r="U60" s="300"/>
      <c r="V60" s="300"/>
      <c r="W60" s="300"/>
      <c r="X60" s="300"/>
      <c r="Y60" s="302"/>
      <c r="Z60" s="302"/>
      <c r="AA60" s="302"/>
      <c r="AB60" s="241"/>
      <c r="AC60" s="241"/>
      <c r="AD60" s="241"/>
      <c r="AE60" s="241"/>
      <c r="AF60" s="241"/>
      <c r="AG60" s="241"/>
      <c r="AH60" s="241"/>
      <c r="AI60" s="241"/>
      <c r="AK60" s="5"/>
    </row>
    <row r="61" spans="1:43" x14ac:dyDescent="0.2">
      <c r="U61" s="300"/>
      <c r="V61" s="300"/>
      <c r="W61" s="300"/>
      <c r="X61" s="300"/>
      <c r="Y61" s="302"/>
      <c r="Z61" s="302"/>
      <c r="AA61" s="302"/>
      <c r="AB61" s="241"/>
      <c r="AC61" s="241"/>
      <c r="AD61" s="241"/>
      <c r="AE61" s="302"/>
      <c r="AF61" s="241"/>
      <c r="AG61" s="302"/>
      <c r="AH61" s="241"/>
      <c r="AI61" s="302"/>
      <c r="AK61" s="5"/>
    </row>
    <row r="62" spans="1:43" x14ac:dyDescent="0.2">
      <c r="A62" s="37"/>
      <c r="B62" s="1"/>
      <c r="C62" s="1"/>
      <c r="D62" s="1"/>
      <c r="E62" s="1"/>
      <c r="F62" s="1"/>
      <c r="G62" s="37"/>
      <c r="H62" s="1"/>
      <c r="I62" s="1"/>
      <c r="J62" s="1"/>
      <c r="K62" s="1"/>
      <c r="L62" s="1"/>
      <c r="M62" s="1"/>
      <c r="N62" s="1"/>
      <c r="O62" s="1"/>
      <c r="P62" s="1"/>
      <c r="Q62" s="1"/>
      <c r="R62" s="1"/>
      <c r="Y62" s="303"/>
      <c r="AK62" s="5"/>
    </row>
    <row r="63" spans="1:43" x14ac:dyDescent="0.2">
      <c r="A63" s="37"/>
      <c r="B63" s="1"/>
      <c r="C63" s="1"/>
      <c r="E63" s="1"/>
      <c r="F63" s="1"/>
      <c r="G63" s="37"/>
      <c r="H63" s="1"/>
      <c r="I63" s="1"/>
      <c r="J63" s="1"/>
      <c r="K63" s="1"/>
      <c r="L63" s="1"/>
      <c r="M63" s="1"/>
      <c r="N63" s="1"/>
      <c r="O63" s="1"/>
      <c r="P63" s="1"/>
      <c r="Q63" s="1"/>
      <c r="R63" s="1"/>
    </row>
    <row r="64" spans="1:43" x14ac:dyDescent="0.2">
      <c r="A64" s="1"/>
      <c r="B64" s="1"/>
      <c r="C64" s="1"/>
      <c r="D64" s="325"/>
      <c r="E64" s="1"/>
      <c r="F64" s="1"/>
      <c r="G64" s="1"/>
      <c r="H64" s="1"/>
      <c r="I64" s="1"/>
      <c r="J64" s="1"/>
      <c r="K64" s="1"/>
      <c r="L64" s="1"/>
      <c r="M64" s="1"/>
      <c r="N64" s="1"/>
      <c r="O64" s="1"/>
      <c r="P64" s="1"/>
      <c r="Q64" s="1"/>
      <c r="R64" s="1"/>
    </row>
    <row r="65" spans="1:25" x14ac:dyDescent="0.2">
      <c r="A65" s="1"/>
      <c r="B65" s="1"/>
      <c r="C65" s="1"/>
      <c r="D65" s="133"/>
      <c r="E65" s="1"/>
      <c r="F65" s="1"/>
      <c r="G65" s="1"/>
      <c r="H65" s="1"/>
      <c r="I65" s="1"/>
      <c r="J65" s="1"/>
      <c r="K65" s="1"/>
      <c r="L65" s="1"/>
      <c r="M65" s="1"/>
      <c r="N65" s="1"/>
      <c r="O65" s="1"/>
      <c r="P65" s="1"/>
      <c r="Q65" s="1"/>
      <c r="R65" s="1"/>
    </row>
    <row r="66" spans="1:25" x14ac:dyDescent="0.2">
      <c r="A66" s="2"/>
      <c r="B66" s="2"/>
      <c r="C66" s="2"/>
      <c r="D66" s="2"/>
      <c r="E66" s="2"/>
      <c r="F66" s="2"/>
      <c r="G66" s="2"/>
      <c r="H66" s="2"/>
      <c r="I66" s="2"/>
      <c r="J66" s="2"/>
      <c r="K66" s="2"/>
      <c r="L66" s="2"/>
      <c r="M66" s="2"/>
      <c r="N66" s="2"/>
      <c r="O66" s="2"/>
      <c r="P66" s="2"/>
      <c r="Q66" s="2"/>
      <c r="R66" s="2"/>
    </row>
    <row r="67" spans="1:25" x14ac:dyDescent="0.2">
      <c r="A67" s="2"/>
      <c r="B67" s="2"/>
      <c r="C67" s="2"/>
      <c r="D67" s="2"/>
      <c r="E67" s="2"/>
      <c r="F67" s="2"/>
      <c r="G67" s="2"/>
      <c r="H67" s="2"/>
      <c r="I67" s="2"/>
      <c r="J67" s="2"/>
      <c r="K67" s="2"/>
      <c r="L67" s="2"/>
      <c r="M67" s="2"/>
      <c r="N67" s="2"/>
      <c r="O67" s="2"/>
      <c r="P67" s="2"/>
      <c r="Q67" s="2"/>
      <c r="R67" s="2"/>
    </row>
    <row r="68" spans="1:25" ht="15" customHeight="1" x14ac:dyDescent="0.2">
      <c r="A68" s="661"/>
      <c r="B68" s="661"/>
      <c r="C68" s="661"/>
      <c r="D68" s="661"/>
      <c r="E68" s="661"/>
      <c r="F68" s="661"/>
      <c r="G68" s="661"/>
      <c r="H68" s="661"/>
      <c r="I68" s="661"/>
      <c r="J68" s="661"/>
      <c r="K68" s="661"/>
      <c r="L68" s="661"/>
      <c r="M68" s="661"/>
      <c r="N68" s="661"/>
      <c r="O68" s="661"/>
      <c r="P68" s="661"/>
      <c r="Q68" s="661"/>
      <c r="R68" s="661"/>
      <c r="Y68" s="2"/>
    </row>
    <row r="69" spans="1:25" x14ac:dyDescent="0.2">
      <c r="A69" s="2"/>
      <c r="B69" s="2"/>
      <c r="C69" s="2"/>
      <c r="D69" s="2"/>
      <c r="E69" s="2"/>
      <c r="F69" s="2"/>
      <c r="G69" s="2"/>
      <c r="H69" s="2"/>
      <c r="I69" s="2"/>
      <c r="J69" s="2"/>
      <c r="K69" s="2"/>
      <c r="L69" s="2"/>
      <c r="M69" s="2"/>
      <c r="N69" s="2"/>
      <c r="O69" s="2"/>
      <c r="P69" s="2"/>
      <c r="Q69" s="2"/>
      <c r="R69" s="2"/>
    </row>
    <row r="70" spans="1:25" x14ac:dyDescent="0.2">
      <c r="A70" s="2"/>
      <c r="B70" s="2"/>
      <c r="C70" s="2"/>
      <c r="D70" s="2"/>
      <c r="E70" s="2"/>
      <c r="F70" s="2"/>
      <c r="G70" s="2"/>
      <c r="H70" s="2"/>
      <c r="I70" s="2"/>
      <c r="J70" s="2"/>
      <c r="K70" s="2"/>
      <c r="L70" s="2"/>
      <c r="M70" s="2"/>
      <c r="N70" s="2"/>
      <c r="O70" s="2"/>
      <c r="P70" s="2"/>
      <c r="Q70" s="2"/>
      <c r="R70" s="2"/>
    </row>
    <row r="71" spans="1:25" ht="27.6" customHeight="1" x14ac:dyDescent="0.2">
      <c r="A71" s="656"/>
      <c r="B71" s="656"/>
      <c r="C71" s="656"/>
      <c r="D71" s="656"/>
      <c r="E71" s="656"/>
      <c r="F71" s="656"/>
      <c r="G71" s="656"/>
      <c r="H71" s="656"/>
      <c r="I71" s="656"/>
      <c r="J71" s="656"/>
      <c r="K71" s="656"/>
      <c r="L71" s="656"/>
      <c r="M71" s="656"/>
      <c r="N71" s="656"/>
      <c r="O71" s="656"/>
      <c r="P71" s="656"/>
      <c r="Q71" s="656"/>
      <c r="R71" s="656"/>
    </row>
    <row r="72" spans="1:25" x14ac:dyDescent="0.2">
      <c r="A72" s="2"/>
      <c r="B72" s="2"/>
      <c r="C72" s="2"/>
      <c r="D72" s="2"/>
      <c r="E72" s="2"/>
      <c r="F72" s="2"/>
      <c r="G72" s="2"/>
      <c r="H72" s="2"/>
      <c r="I72" s="2"/>
      <c r="J72" s="2"/>
      <c r="K72" s="2"/>
      <c r="L72" s="2"/>
      <c r="M72" s="2"/>
      <c r="N72" s="2"/>
      <c r="O72" s="2"/>
      <c r="P72" s="2"/>
      <c r="Q72" s="2"/>
      <c r="R72" s="2"/>
    </row>
    <row r="73" spans="1:25" x14ac:dyDescent="0.2">
      <c r="A73" s="2"/>
      <c r="B73" s="2"/>
      <c r="C73" s="2"/>
      <c r="D73" s="2"/>
      <c r="E73" s="2"/>
      <c r="F73" s="2"/>
      <c r="G73" s="2"/>
      <c r="H73" s="2"/>
      <c r="I73" s="2"/>
      <c r="J73" s="1"/>
      <c r="K73" s="1"/>
      <c r="L73" s="1"/>
      <c r="M73" s="2"/>
      <c r="N73" s="2"/>
      <c r="O73" s="2"/>
      <c r="P73" s="2"/>
      <c r="Q73" s="2"/>
      <c r="R73" s="2"/>
    </row>
    <row r="74" spans="1:25" x14ac:dyDescent="0.2">
      <c r="A74" s="2"/>
      <c r="B74" s="2"/>
      <c r="C74" s="2"/>
      <c r="D74" s="1"/>
      <c r="E74" s="1"/>
      <c r="F74" s="1"/>
      <c r="G74" s="1"/>
      <c r="H74" s="1"/>
      <c r="I74" s="2"/>
      <c r="J74" s="1"/>
      <c r="K74" s="1"/>
      <c r="L74" s="1"/>
      <c r="M74" s="2"/>
      <c r="N74" s="1"/>
      <c r="O74" s="1"/>
      <c r="P74" s="1"/>
      <c r="Q74" s="2"/>
      <c r="R74" s="2"/>
    </row>
    <row r="75" spans="1:25" x14ac:dyDescent="0.2">
      <c r="A75" s="1"/>
      <c r="B75" s="1"/>
      <c r="C75" s="2"/>
      <c r="D75" s="11"/>
      <c r="E75" s="11"/>
      <c r="F75" s="11"/>
      <c r="G75" s="11"/>
      <c r="H75" s="11"/>
      <c r="I75" s="12"/>
      <c r="J75" s="11"/>
      <c r="K75" s="11"/>
      <c r="L75" s="11"/>
      <c r="M75" s="12"/>
      <c r="N75" s="11"/>
      <c r="O75" s="11"/>
      <c r="P75" s="11"/>
      <c r="Q75" s="12"/>
      <c r="R75" s="12"/>
    </row>
    <row r="76" spans="1:25" x14ac:dyDescent="0.2">
      <c r="A76" s="1"/>
      <c r="B76" s="1"/>
      <c r="C76" s="2"/>
      <c r="D76" s="12"/>
      <c r="E76" s="12"/>
      <c r="F76" s="12"/>
      <c r="G76" s="12"/>
      <c r="H76" s="12"/>
      <c r="I76" s="12"/>
      <c r="J76" s="12"/>
      <c r="K76" s="12"/>
      <c r="L76" s="12"/>
      <c r="M76" s="12"/>
      <c r="N76" s="12"/>
      <c r="O76" s="12"/>
      <c r="P76" s="12"/>
      <c r="Q76" s="12"/>
      <c r="R76" s="12"/>
    </row>
    <row r="77" spans="1:25" x14ac:dyDescent="0.2">
      <c r="A77" s="3"/>
      <c r="B77" s="3"/>
      <c r="C77" s="2"/>
      <c r="D77" s="11"/>
      <c r="E77" s="2"/>
      <c r="F77" s="11"/>
      <c r="G77" s="2"/>
      <c r="H77" s="13"/>
      <c r="I77" s="2"/>
      <c r="J77" s="11"/>
      <c r="K77" s="2"/>
      <c r="L77" s="13"/>
      <c r="M77" s="2"/>
      <c r="N77" s="11"/>
      <c r="O77" s="2"/>
      <c r="P77" s="13"/>
      <c r="Q77" s="2"/>
      <c r="R77" s="11"/>
    </row>
    <row r="78" spans="1:25" x14ac:dyDescent="0.2">
      <c r="A78" s="2"/>
      <c r="B78" s="2"/>
      <c r="C78" s="2"/>
      <c r="D78" s="2"/>
      <c r="E78" s="2"/>
      <c r="F78" s="2"/>
      <c r="G78" s="2"/>
      <c r="H78" s="5"/>
      <c r="I78" s="5"/>
      <c r="J78" s="5"/>
      <c r="K78" s="5"/>
      <c r="L78" s="5"/>
      <c r="M78" s="5"/>
      <c r="N78" s="5"/>
      <c r="O78" s="5"/>
      <c r="P78" s="5"/>
      <c r="Q78" s="2"/>
      <c r="R78" s="42"/>
    </row>
    <row r="79" spans="1:25" x14ac:dyDescent="0.2">
      <c r="A79" s="2"/>
      <c r="B79" s="2"/>
      <c r="C79" s="2"/>
      <c r="D79" s="2"/>
      <c r="E79" s="2"/>
      <c r="F79" s="2"/>
      <c r="G79" s="2"/>
      <c r="H79" s="2"/>
      <c r="I79" s="2"/>
      <c r="J79" s="2"/>
      <c r="K79" s="2"/>
      <c r="L79" s="2"/>
      <c r="M79" s="2"/>
      <c r="N79" s="2"/>
      <c r="O79" s="2"/>
      <c r="P79" s="2"/>
      <c r="Q79" s="2"/>
      <c r="R79" s="2"/>
    </row>
    <row r="80" spans="1:25" x14ac:dyDescent="0.2">
      <c r="A80" s="2"/>
      <c r="B80" s="2"/>
      <c r="C80" s="2"/>
      <c r="D80" s="173"/>
      <c r="E80" s="2"/>
      <c r="F80" s="5"/>
      <c r="G80" s="2"/>
      <c r="H80" s="5"/>
      <c r="I80" s="2"/>
      <c r="J80" s="5"/>
      <c r="K80" s="2"/>
      <c r="L80" s="5"/>
      <c r="M80" s="2"/>
      <c r="N80" s="5"/>
      <c r="O80" s="2"/>
      <c r="P80" s="5"/>
      <c r="Q80" s="2"/>
      <c r="R80" s="5"/>
    </row>
    <row r="81" spans="1:18" x14ac:dyDescent="0.2">
      <c r="A81" s="2"/>
      <c r="B81" s="2"/>
      <c r="C81" s="2"/>
      <c r="D81" s="173"/>
      <c r="E81" s="2"/>
      <c r="F81" s="5"/>
      <c r="G81" s="2"/>
      <c r="H81" s="5"/>
      <c r="I81" s="2"/>
      <c r="J81" s="5"/>
      <c r="K81" s="2"/>
      <c r="L81" s="5"/>
      <c r="M81" s="2"/>
      <c r="N81" s="2"/>
      <c r="O81" s="2"/>
      <c r="P81" s="2"/>
      <c r="Q81" s="2"/>
      <c r="R81" s="5"/>
    </row>
    <row r="82" spans="1:18" x14ac:dyDescent="0.2">
      <c r="A82" s="2"/>
      <c r="B82" s="2"/>
      <c r="C82" s="2"/>
      <c r="D82" s="173"/>
      <c r="E82" s="2"/>
      <c r="F82" s="5"/>
      <c r="G82" s="2"/>
      <c r="H82" s="5"/>
      <c r="I82" s="2"/>
      <c r="J82" s="5"/>
      <c r="K82" s="2"/>
      <c r="L82" s="5"/>
      <c r="M82" s="2"/>
      <c r="N82" s="2"/>
      <c r="O82" s="2"/>
      <c r="P82" s="2"/>
      <c r="Q82" s="2"/>
      <c r="R82" s="5"/>
    </row>
    <row r="83" spans="1:18" x14ac:dyDescent="0.2">
      <c r="A83" s="2"/>
      <c r="B83" s="2"/>
      <c r="C83" s="2"/>
      <c r="D83" s="173"/>
      <c r="E83" s="2"/>
      <c r="F83" s="5"/>
      <c r="G83" s="2"/>
      <c r="H83" s="5"/>
      <c r="I83" s="2"/>
      <c r="J83" s="5"/>
      <c r="K83" s="2"/>
      <c r="L83" s="5"/>
      <c r="M83" s="2"/>
      <c r="N83" s="5"/>
      <c r="O83" s="2"/>
      <c r="P83" s="270"/>
      <c r="Q83" s="2"/>
      <c r="R83" s="5"/>
    </row>
    <row r="84" spans="1:18" x14ac:dyDescent="0.2">
      <c r="A84" s="2"/>
      <c r="B84" s="2"/>
      <c r="C84" s="2"/>
      <c r="D84" s="173"/>
      <c r="E84" s="2"/>
      <c r="F84" s="5"/>
      <c r="G84" s="2"/>
      <c r="H84" s="5"/>
      <c r="I84" s="2"/>
      <c r="J84" s="5"/>
      <c r="K84" s="2"/>
      <c r="L84" s="5"/>
      <c r="M84" s="2"/>
      <c r="N84" s="5"/>
      <c r="O84" s="2"/>
      <c r="P84" s="5"/>
      <c r="Q84" s="2"/>
      <c r="R84" s="5"/>
    </row>
    <row r="85" spans="1:18" x14ac:dyDescent="0.2">
      <c r="A85" s="2"/>
      <c r="B85" s="2"/>
      <c r="C85" s="2"/>
      <c r="D85" s="156"/>
      <c r="E85" s="2"/>
      <c r="F85" s="43"/>
      <c r="G85" s="2"/>
      <c r="H85" s="43"/>
      <c r="I85" s="2"/>
      <c r="J85" s="43"/>
      <c r="K85" s="2"/>
      <c r="L85" s="43"/>
      <c r="M85" s="2"/>
      <c r="N85" s="43"/>
      <c r="O85" s="2"/>
      <c r="P85" s="43"/>
      <c r="Q85" s="2"/>
      <c r="R85" s="43"/>
    </row>
    <row r="86" spans="1:18" ht="15.75" thickBot="1" x14ac:dyDescent="0.25">
      <c r="A86" s="2"/>
      <c r="B86" s="2"/>
      <c r="C86" s="2"/>
      <c r="D86" s="173"/>
      <c r="E86" s="2"/>
      <c r="F86" s="5"/>
      <c r="G86" s="2"/>
      <c r="H86" s="5"/>
      <c r="I86" s="2"/>
      <c r="J86" s="5"/>
      <c r="K86" s="2"/>
      <c r="L86" s="5"/>
      <c r="M86" s="2"/>
      <c r="N86" s="149"/>
      <c r="O86" s="2"/>
      <c r="P86" s="5"/>
      <c r="Q86" s="2"/>
      <c r="R86" s="5"/>
    </row>
    <row r="87" spans="1:18" ht="15.75" thickTop="1" x14ac:dyDescent="0.2">
      <c r="A87" s="2"/>
      <c r="B87" s="2"/>
      <c r="C87" s="2"/>
      <c r="D87" s="8"/>
      <c r="E87" s="2"/>
      <c r="F87" s="44"/>
      <c r="G87" s="2"/>
      <c r="H87" s="44"/>
      <c r="I87" s="2"/>
      <c r="J87" s="44"/>
      <c r="K87" s="2"/>
      <c r="L87" s="44"/>
      <c r="M87" s="2"/>
      <c r="N87" s="159"/>
      <c r="O87" s="2"/>
      <c r="P87" s="44"/>
      <c r="Q87" s="2"/>
      <c r="R87" s="44"/>
    </row>
    <row r="88" spans="1:18" x14ac:dyDescent="0.2">
      <c r="A88" s="660"/>
      <c r="B88" s="660"/>
      <c r="C88" s="660"/>
      <c r="D88" s="660"/>
      <c r="E88" s="660"/>
      <c r="F88" s="660"/>
      <c r="G88" s="660"/>
      <c r="H88" s="660"/>
      <c r="I88" s="660"/>
      <c r="J88" s="660"/>
      <c r="K88" s="660"/>
      <c r="L88" s="660"/>
      <c r="M88" s="660"/>
      <c r="N88" s="660"/>
      <c r="O88" s="660"/>
      <c r="P88" s="660"/>
      <c r="Q88" s="660"/>
      <c r="R88" s="660"/>
    </row>
    <row r="113" spans="47:47" ht="13.35" customHeight="1" x14ac:dyDescent="0.2"/>
    <row r="114" spans="47:47" ht="13.35" customHeight="1" x14ac:dyDescent="0.2"/>
    <row r="115" spans="47:47" ht="13.35" customHeight="1" x14ac:dyDescent="0.2"/>
    <row r="116" spans="47:47" ht="13.35" customHeight="1" x14ac:dyDescent="0.2"/>
    <row r="117" spans="47:47" ht="13.35" customHeight="1" x14ac:dyDescent="0.2"/>
    <row r="118" spans="47:47" ht="13.35" customHeight="1" x14ac:dyDescent="0.2"/>
    <row r="119" spans="47:47" ht="13.35" customHeight="1" x14ac:dyDescent="0.2"/>
    <row r="120" spans="47:47" ht="13.35" customHeight="1" x14ac:dyDescent="0.2"/>
    <row r="121" spans="47:47" ht="13.35" customHeight="1" x14ac:dyDescent="0.2"/>
    <row r="122" spans="47:47" ht="13.35" customHeight="1" x14ac:dyDescent="0.2"/>
    <row r="123" spans="47:47" ht="13.35" customHeight="1" x14ac:dyDescent="0.2"/>
    <row r="124" spans="47:47" ht="12.75" customHeight="1" x14ac:dyDescent="0.2"/>
    <row r="125" spans="47:47" ht="13.35" customHeight="1" x14ac:dyDescent="0.2"/>
    <row r="126" spans="47:47" ht="13.35" customHeight="1" x14ac:dyDescent="0.2"/>
    <row r="127" spans="47:47" ht="13.35" customHeight="1" x14ac:dyDescent="0.2">
      <c r="AU127" s="273"/>
    </row>
    <row r="128" spans="47:47"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3.35" customHeight="1" x14ac:dyDescent="0.2"/>
    <row r="140" ht="13.35" customHeight="1" x14ac:dyDescent="0.2"/>
    <row r="141" ht="13.35" customHeight="1" x14ac:dyDescent="0.2"/>
    <row r="142" ht="13.35" customHeight="1" x14ac:dyDescent="0.2"/>
    <row r="143" ht="12.75" customHeight="1" x14ac:dyDescent="0.2"/>
    <row r="144" ht="13.35" customHeight="1" x14ac:dyDescent="0.2"/>
    <row r="145" ht="13.35" customHeight="1" x14ac:dyDescent="0.2"/>
    <row r="146" ht="13.35" customHeight="1" x14ac:dyDescent="0.2"/>
    <row r="147" ht="13.35" customHeight="1" x14ac:dyDescent="0.2"/>
    <row r="148" ht="13.35" customHeight="1" x14ac:dyDescent="0.2"/>
    <row r="149" ht="13.35" customHeight="1" x14ac:dyDescent="0.2"/>
    <row r="150" ht="13.35" customHeight="1" x14ac:dyDescent="0.2"/>
    <row r="151" ht="13.35" customHeight="1" x14ac:dyDescent="0.2"/>
    <row r="152" ht="12.75" customHeight="1" x14ac:dyDescent="0.2"/>
    <row r="153" ht="13.35" customHeight="1" x14ac:dyDescent="0.2"/>
    <row r="154" ht="13.35" customHeight="1" x14ac:dyDescent="0.2"/>
    <row r="155" ht="13.35" customHeight="1" x14ac:dyDescent="0.2"/>
    <row r="156" ht="13.35" customHeight="1" x14ac:dyDescent="0.2"/>
    <row r="157" ht="13.35" customHeight="1" x14ac:dyDescent="0.2"/>
    <row r="158" ht="13.35" customHeight="1" x14ac:dyDescent="0.2"/>
    <row r="159" ht="13.35" customHeight="1" x14ac:dyDescent="0.2"/>
    <row r="175" spans="66:67" x14ac:dyDescent="0.2">
      <c r="BN175" s="1"/>
      <c r="BO175" s="1"/>
    </row>
    <row r="176" spans="66:67" x14ac:dyDescent="0.2">
      <c r="BN176" s="1"/>
      <c r="BO176" s="1"/>
    </row>
    <row r="177" spans="66:67" ht="12.75" customHeight="1" x14ac:dyDescent="0.2"/>
    <row r="178" spans="66:67" x14ac:dyDescent="0.2">
      <c r="BN178" s="12"/>
      <c r="BO178" s="12"/>
    </row>
    <row r="179" spans="66:67" ht="12.75" customHeight="1" x14ac:dyDescent="0.2">
      <c r="BN179" s="2"/>
      <c r="BO179" s="2"/>
    </row>
    <row r="180" spans="66:67" ht="13.35" customHeight="1" x14ac:dyDescent="0.2">
      <c r="BN180" s="10"/>
      <c r="BO180" s="10"/>
    </row>
    <row r="181" spans="66:67" ht="13.35" customHeight="1" x14ac:dyDescent="0.2">
      <c r="BN181" s="10"/>
      <c r="BO181" s="10"/>
    </row>
    <row r="182" spans="66:67" ht="13.35" customHeight="1" x14ac:dyDescent="0.2">
      <c r="BN182" s="10"/>
      <c r="BO182" s="10"/>
    </row>
    <row r="183" spans="66:67" ht="13.35" customHeight="1" x14ac:dyDescent="0.2">
      <c r="BN183" s="10"/>
      <c r="BO183" s="10"/>
    </row>
    <row r="184" spans="66:67" ht="12.75" customHeight="1" x14ac:dyDescent="0.2">
      <c r="BN184" s="2"/>
      <c r="BO184" s="2"/>
    </row>
    <row r="185" spans="66:67" x14ac:dyDescent="0.2">
      <c r="BN185" s="298"/>
      <c r="BO185" s="298"/>
    </row>
    <row r="187" spans="66:67" ht="12.75" customHeight="1" x14ac:dyDescent="0.2"/>
    <row r="189" spans="66:67" ht="13.35" customHeight="1" x14ac:dyDescent="0.2"/>
    <row r="190" spans="66:67" ht="13.35" customHeight="1" x14ac:dyDescent="0.2"/>
    <row r="191" spans="66:67" ht="13.35" customHeight="1" x14ac:dyDescent="0.2"/>
    <row r="192" spans="66:67" ht="13.35" customHeight="1" x14ac:dyDescent="0.2"/>
    <row r="202" ht="12.75" customHeight="1" x14ac:dyDescent="0.2"/>
    <row r="204" ht="12.75" customHeight="1" x14ac:dyDescent="0.2"/>
    <row r="208" ht="12.75" customHeight="1" x14ac:dyDescent="0.2"/>
    <row r="210" ht="13.35" customHeight="1" x14ac:dyDescent="0.2"/>
    <row r="211" ht="13.35" customHeight="1" x14ac:dyDescent="0.2"/>
    <row r="212" ht="13.35" customHeight="1" x14ac:dyDescent="0.2"/>
    <row r="213" ht="13.35" customHeight="1" x14ac:dyDescent="0.2"/>
    <row r="214" ht="13.35" customHeight="1" x14ac:dyDescent="0.2"/>
    <row r="215" ht="13.35" customHeight="1" x14ac:dyDescent="0.2"/>
    <row r="216" ht="12.75" customHeight="1" x14ac:dyDescent="0.2"/>
    <row r="218" ht="12.75" customHeight="1" x14ac:dyDescent="0.2"/>
  </sheetData>
  <mergeCells count="6">
    <mergeCell ref="A10:P10"/>
    <mergeCell ref="A71:R71"/>
    <mergeCell ref="A88:R88"/>
    <mergeCell ref="A68:R68"/>
    <mergeCell ref="A40:R40"/>
    <mergeCell ref="A59:R59"/>
  </mergeCells>
  <phoneticPr fontId="12" type="noConversion"/>
  <printOptions horizontalCentered="1"/>
  <pageMargins left="0.5" right="0.5" top="1" bottom="0.5" header="0.5" footer="0.5"/>
  <headerFooter alignWithMargins="0"/>
  <rowBreaks count="2" manualBreakCount="2">
    <brk id="30" max="65535" man="1"/>
    <brk id="61"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Q73"/>
  <sheetViews>
    <sheetView workbookViewId="0">
      <selection activeCell="M50" sqref="M50"/>
    </sheetView>
  </sheetViews>
  <sheetFormatPr defaultColWidth="9.6640625" defaultRowHeight="15" x14ac:dyDescent="0.2"/>
  <cols>
    <col min="1" max="1" width="6.6640625" style="214" customWidth="1"/>
    <col min="2" max="2" width="4.6640625" style="214" customWidth="1"/>
    <col min="3" max="3" width="6.5546875" style="214" customWidth="1"/>
    <col min="4" max="4" width="2.6640625" style="214" customWidth="1"/>
    <col min="5" max="5" width="9.6640625" style="214" customWidth="1"/>
    <col min="6" max="6" width="2.6640625" style="214" customWidth="1"/>
    <col min="7" max="7" width="10.109375" style="214" customWidth="1"/>
    <col min="8" max="8" width="2.6640625" style="214" customWidth="1"/>
    <col min="9" max="9" width="9.6640625" style="214" customWidth="1"/>
    <col min="10" max="10" width="2.6640625" style="214" customWidth="1"/>
    <col min="11" max="13" width="9.6640625" style="214" customWidth="1"/>
    <col min="14" max="14" width="1.6640625" style="214" customWidth="1"/>
    <col min="15" max="15" width="7.6640625" style="214" customWidth="1"/>
    <col min="16" max="16" width="16" style="214" bestFit="1" customWidth="1"/>
    <col min="17" max="17" width="11" style="214" bestFit="1" customWidth="1"/>
    <col min="18" max="16384" width="9.6640625" style="214"/>
  </cols>
  <sheetData>
    <row r="1" spans="1:17" x14ac:dyDescent="0.2">
      <c r="A1" s="37" t="s">
        <v>77</v>
      </c>
      <c r="B1" s="45"/>
      <c r="C1" s="45"/>
      <c r="D1" s="45"/>
      <c r="E1" s="45"/>
      <c r="F1" s="45"/>
      <c r="G1" s="45"/>
      <c r="H1" s="45"/>
      <c r="I1" s="45"/>
      <c r="J1" s="45"/>
      <c r="K1" s="45"/>
    </row>
    <row r="2" spans="1:17" x14ac:dyDescent="0.2">
      <c r="A2" s="37"/>
      <c r="B2" s="45"/>
      <c r="C2" s="45"/>
      <c r="D2" s="45"/>
      <c r="E2" s="45"/>
      <c r="F2" s="45"/>
      <c r="G2" s="45"/>
      <c r="H2" s="45"/>
      <c r="I2" s="45"/>
      <c r="J2" s="45"/>
      <c r="K2" s="45"/>
    </row>
    <row r="4" spans="1:17" x14ac:dyDescent="0.2">
      <c r="A4" s="46" t="s">
        <v>181</v>
      </c>
      <c r="B4" s="46"/>
      <c r="C4" s="46"/>
      <c r="D4" s="46"/>
      <c r="E4" s="46"/>
      <c r="F4" s="46"/>
      <c r="G4" s="46"/>
      <c r="H4" s="46"/>
      <c r="I4" s="46"/>
      <c r="J4" s="46"/>
      <c r="K4" s="46"/>
      <c r="L4" s="47"/>
    </row>
    <row r="5" spans="1:17" x14ac:dyDescent="0.2">
      <c r="A5" s="47"/>
      <c r="B5" s="47"/>
      <c r="C5" s="47"/>
      <c r="D5" s="47"/>
      <c r="E5" s="47"/>
      <c r="F5" s="47"/>
      <c r="G5" s="47"/>
      <c r="H5" s="47"/>
      <c r="I5" s="47"/>
      <c r="J5" s="47"/>
      <c r="K5" s="47"/>
      <c r="L5" s="47"/>
    </row>
    <row r="6" spans="1:17" x14ac:dyDescent="0.2">
      <c r="A6" s="48"/>
      <c r="B6" s="48"/>
      <c r="C6" s="48"/>
      <c r="D6" s="48"/>
      <c r="E6" s="48"/>
      <c r="F6" s="48"/>
      <c r="G6" s="48"/>
      <c r="H6" s="48"/>
      <c r="I6" s="48"/>
      <c r="J6" s="48"/>
      <c r="K6" s="48"/>
      <c r="L6" s="48"/>
    </row>
    <row r="7" spans="1:17" x14ac:dyDescent="0.2">
      <c r="A7" s="48" t="s">
        <v>439</v>
      </c>
      <c r="B7" s="48"/>
      <c r="C7" s="48"/>
      <c r="D7" s="48"/>
      <c r="E7" s="48"/>
      <c r="F7" s="48"/>
      <c r="G7" s="48"/>
      <c r="H7" s="48"/>
      <c r="I7" s="48"/>
      <c r="J7" s="48"/>
      <c r="K7" s="48"/>
      <c r="L7" s="48"/>
    </row>
    <row r="8" spans="1:17" x14ac:dyDescent="0.2">
      <c r="A8" s="48" t="s">
        <v>440</v>
      </c>
      <c r="B8" s="48"/>
      <c r="C8" s="48"/>
      <c r="D8" s="48"/>
      <c r="E8" s="48"/>
      <c r="F8" s="48"/>
      <c r="G8" s="48"/>
      <c r="H8" s="48"/>
      <c r="I8" s="48"/>
      <c r="J8" s="48"/>
      <c r="K8" s="48"/>
      <c r="L8" s="48"/>
    </row>
    <row r="9" spans="1:17" x14ac:dyDescent="0.2">
      <c r="A9" s="48"/>
      <c r="B9" s="48"/>
      <c r="C9" s="48"/>
      <c r="D9" s="48"/>
      <c r="E9" s="48"/>
      <c r="F9" s="48"/>
      <c r="G9" s="48"/>
      <c r="H9" s="48"/>
      <c r="I9" s="48"/>
      <c r="J9" s="48"/>
      <c r="K9" s="48"/>
      <c r="L9" s="48"/>
    </row>
    <row r="10" spans="1:17" ht="54.75" customHeight="1" x14ac:dyDescent="0.2">
      <c r="A10" s="662" t="s">
        <v>746</v>
      </c>
      <c r="B10" s="662"/>
      <c r="C10" s="662"/>
      <c r="D10" s="662"/>
      <c r="E10" s="662"/>
      <c r="F10" s="662"/>
      <c r="G10" s="662"/>
      <c r="H10" s="662"/>
      <c r="I10" s="662"/>
      <c r="J10" s="662"/>
      <c r="K10" s="662"/>
      <c r="L10" s="48"/>
    </row>
    <row r="11" spans="1:17" x14ac:dyDescent="0.2">
      <c r="A11" s="48"/>
      <c r="B11" s="48"/>
      <c r="C11" s="48"/>
      <c r="D11" s="48"/>
      <c r="E11" s="48"/>
      <c r="F11" s="48"/>
      <c r="G11" s="48"/>
      <c r="H11" s="48"/>
      <c r="I11" s="48"/>
      <c r="J11" s="48"/>
      <c r="K11" s="48"/>
      <c r="L11" s="48"/>
    </row>
    <row r="12" spans="1:17" x14ac:dyDescent="0.2">
      <c r="A12" s="48"/>
      <c r="B12" s="48"/>
      <c r="C12" s="48"/>
      <c r="D12" s="48"/>
      <c r="F12" s="48"/>
      <c r="G12" s="442" t="s">
        <v>399</v>
      </c>
      <c r="H12" s="48"/>
      <c r="J12" s="48"/>
      <c r="K12" s="48"/>
      <c r="L12" s="48"/>
    </row>
    <row r="13" spans="1:17" x14ac:dyDescent="0.2">
      <c r="A13" s="48"/>
      <c r="B13" s="48"/>
      <c r="D13" s="48"/>
      <c r="E13" s="442" t="s">
        <v>406</v>
      </c>
      <c r="F13" s="48"/>
      <c r="G13" s="442" t="s">
        <v>441</v>
      </c>
      <c r="H13" s="48"/>
      <c r="I13" s="442" t="s">
        <v>407</v>
      </c>
      <c r="J13" s="48"/>
      <c r="L13" s="48"/>
    </row>
    <row r="14" spans="1:17" x14ac:dyDescent="0.2">
      <c r="A14" s="48"/>
      <c r="B14" s="48"/>
      <c r="D14" s="48"/>
      <c r="E14" s="50"/>
      <c r="F14" s="48"/>
      <c r="G14" s="50"/>
      <c r="H14" s="48"/>
      <c r="I14" s="50"/>
      <c r="J14" s="48"/>
      <c r="L14" s="48"/>
      <c r="P14" s="314"/>
      <c r="Q14" s="314"/>
    </row>
    <row r="15" spans="1:17" x14ac:dyDescent="0.2">
      <c r="B15" s="48" t="s">
        <v>408</v>
      </c>
      <c r="D15" s="48"/>
      <c r="E15" s="51">
        <v>1</v>
      </c>
      <c r="F15" s="48"/>
      <c r="G15" s="52">
        <v>39283515.945205487</v>
      </c>
      <c r="H15" s="48"/>
      <c r="I15" s="53">
        <f>ROUND(+G15/G$23,4)</f>
        <v>0.55469999999999997</v>
      </c>
      <c r="J15" s="48"/>
      <c r="L15" s="48"/>
    </row>
    <row r="16" spans="1:17" x14ac:dyDescent="0.2">
      <c r="B16" s="48" t="s">
        <v>267</v>
      </c>
      <c r="D16" s="48"/>
      <c r="E16" s="51"/>
      <c r="F16" s="48"/>
      <c r="G16" s="52"/>
      <c r="H16" s="48"/>
      <c r="I16" s="53"/>
      <c r="J16" s="48"/>
      <c r="L16" s="48"/>
      <c r="P16" s="314"/>
    </row>
    <row r="17" spans="1:17" x14ac:dyDescent="0.2">
      <c r="B17" s="48" t="s">
        <v>409</v>
      </c>
      <c r="D17" s="48"/>
      <c r="E17" s="51">
        <f>+'F 2 B'!F35</f>
        <v>0.65</v>
      </c>
      <c r="F17" s="52"/>
      <c r="G17" s="52">
        <f>ROUND(+G15*E17,0)</f>
        <v>25534285</v>
      </c>
      <c r="H17" s="53"/>
      <c r="I17" s="53">
        <f>ROUND(+G17/G$23,4)</f>
        <v>0.36059999999999998</v>
      </c>
      <c r="J17" s="48"/>
      <c r="L17" s="48"/>
    </row>
    <row r="18" spans="1:17" x14ac:dyDescent="0.2">
      <c r="B18" s="48"/>
      <c r="D18" s="48"/>
      <c r="E18" s="54"/>
      <c r="F18" s="52"/>
      <c r="G18" s="55"/>
      <c r="H18" s="53"/>
      <c r="I18" s="56"/>
      <c r="J18" s="48"/>
      <c r="L18" s="48"/>
    </row>
    <row r="19" spans="1:17" ht="15.75" thickBot="1" x14ac:dyDescent="0.25">
      <c r="B19" s="48" t="s">
        <v>443</v>
      </c>
      <c r="D19" s="48"/>
      <c r="E19" s="197">
        <f>SUM(E15:E18)</f>
        <v>1.65</v>
      </c>
      <c r="F19" s="52"/>
      <c r="G19" s="52">
        <f>SUM(G15:G18)</f>
        <v>64817800.945205487</v>
      </c>
      <c r="H19" s="53"/>
      <c r="I19" s="53">
        <f>SUM(I15:I18)</f>
        <v>0.9153</v>
      </c>
      <c r="J19" s="48"/>
      <c r="L19" s="48"/>
    </row>
    <row r="20" spans="1:17" ht="15.75" thickTop="1" x14ac:dyDescent="0.2">
      <c r="B20" s="48"/>
      <c r="D20" s="48"/>
      <c r="E20" s="162"/>
      <c r="F20" s="52"/>
      <c r="G20" s="52"/>
      <c r="H20" s="58"/>
      <c r="I20" s="53"/>
      <c r="J20" s="48"/>
      <c r="L20" s="48"/>
      <c r="P20" s="299"/>
    </row>
    <row r="21" spans="1:17" x14ac:dyDescent="0.2">
      <c r="B21" s="48" t="s">
        <v>286</v>
      </c>
      <c r="C21" s="48"/>
      <c r="D21" s="48"/>
      <c r="F21" s="48"/>
      <c r="G21" s="463">
        <f>+G50*60*10</f>
        <v>6000000</v>
      </c>
      <c r="H21" s="48"/>
      <c r="I21" s="53">
        <f>ROUND(+G21/G$23,4)</f>
        <v>8.4699999999999998E-2</v>
      </c>
      <c r="J21" s="48"/>
      <c r="L21" s="48"/>
      <c r="P21" s="299"/>
      <c r="Q21" s="299"/>
    </row>
    <row r="22" spans="1:17" x14ac:dyDescent="0.2">
      <c r="B22" s="48"/>
      <c r="C22" s="48"/>
      <c r="D22" s="48"/>
      <c r="F22" s="48"/>
      <c r="G22" s="50"/>
      <c r="H22" s="48"/>
      <c r="I22" s="56"/>
      <c r="J22" s="48"/>
      <c r="L22" s="48"/>
      <c r="P22" s="299"/>
      <c r="Q22" s="299"/>
    </row>
    <row r="23" spans="1:17" ht="15.75" thickBot="1" x14ac:dyDescent="0.25">
      <c r="B23" s="48" t="s">
        <v>410</v>
      </c>
      <c r="C23" s="48"/>
      <c r="D23" s="48"/>
      <c r="F23" s="48"/>
      <c r="G23" s="177">
        <f>SUM(G19:G21)</f>
        <v>70817800.94520548</v>
      </c>
      <c r="H23" s="48"/>
      <c r="I23" s="53">
        <f>SUM(I19:I21)</f>
        <v>1</v>
      </c>
      <c r="J23" s="48"/>
      <c r="L23" s="48"/>
    </row>
    <row r="24" spans="1:17" ht="15.75" thickTop="1" x14ac:dyDescent="0.2">
      <c r="B24" s="48"/>
      <c r="C24" s="48"/>
      <c r="D24" s="48"/>
      <c r="E24" s="48"/>
      <c r="F24" s="48"/>
      <c r="G24" s="162"/>
      <c r="H24" s="48"/>
      <c r="I24" s="57"/>
      <c r="J24" s="48"/>
      <c r="L24" s="48"/>
    </row>
    <row r="25" spans="1:17" x14ac:dyDescent="0.2">
      <c r="A25" s="48"/>
      <c r="B25" s="48"/>
      <c r="C25" s="48"/>
      <c r="D25" s="48"/>
      <c r="E25" s="48"/>
      <c r="F25" s="48"/>
      <c r="G25" s="48"/>
      <c r="H25" s="48"/>
      <c r="I25" s="48"/>
      <c r="J25" s="48"/>
      <c r="K25" s="48"/>
      <c r="L25" s="48"/>
    </row>
    <row r="26" spans="1:17" ht="30.6" customHeight="1" x14ac:dyDescent="0.2">
      <c r="A26" s="662" t="s">
        <v>232</v>
      </c>
      <c r="B26" s="662"/>
      <c r="C26" s="662"/>
      <c r="D26" s="662"/>
      <c r="E26" s="662"/>
      <c r="F26" s="662"/>
      <c r="G26" s="662"/>
      <c r="H26" s="662"/>
      <c r="I26" s="662"/>
      <c r="J26" s="662"/>
      <c r="K26" s="662"/>
      <c r="L26" s="48"/>
    </row>
    <row r="27" spans="1:17" x14ac:dyDescent="0.2">
      <c r="A27" s="48"/>
      <c r="B27" s="48"/>
      <c r="C27" s="48"/>
      <c r="D27" s="48"/>
      <c r="E27" s="48"/>
      <c r="F27" s="48"/>
      <c r="G27" s="48"/>
      <c r="H27" s="48"/>
      <c r="I27" s="48"/>
      <c r="J27" s="48"/>
      <c r="K27" s="48"/>
      <c r="L27" s="48"/>
    </row>
    <row r="28" spans="1:17" x14ac:dyDescent="0.2">
      <c r="A28" s="48"/>
      <c r="B28" s="48"/>
      <c r="C28" s="48"/>
      <c r="D28" s="48"/>
      <c r="E28" s="48"/>
      <c r="F28" s="48"/>
      <c r="G28" s="48"/>
      <c r="H28" s="48"/>
      <c r="I28" s="48"/>
      <c r="J28" s="48"/>
      <c r="K28" s="48"/>
      <c r="L28" s="48"/>
    </row>
    <row r="29" spans="1:17" x14ac:dyDescent="0.2">
      <c r="A29" s="48"/>
      <c r="B29" s="48"/>
      <c r="C29" s="48"/>
      <c r="D29" s="48"/>
      <c r="E29" s="48"/>
      <c r="F29" s="48"/>
      <c r="G29" s="48"/>
      <c r="H29" s="48"/>
      <c r="I29" s="48"/>
      <c r="J29" s="48"/>
      <c r="K29" s="48"/>
      <c r="L29" s="48"/>
    </row>
    <row r="30" spans="1:17" x14ac:dyDescent="0.2">
      <c r="A30" s="37" t="s">
        <v>77</v>
      </c>
      <c r="B30" s="45"/>
      <c r="C30" s="45"/>
      <c r="D30" s="45"/>
      <c r="E30" s="45"/>
      <c r="F30" s="45"/>
      <c r="G30" s="45"/>
      <c r="H30" s="45"/>
      <c r="I30" s="45"/>
      <c r="J30" s="45"/>
      <c r="K30" s="45"/>
    </row>
    <row r="31" spans="1:17" x14ac:dyDescent="0.2">
      <c r="A31" s="37"/>
      <c r="B31" s="45"/>
      <c r="C31" s="45"/>
      <c r="D31" s="45"/>
      <c r="E31" s="45"/>
      <c r="F31" s="45"/>
      <c r="G31" s="45"/>
      <c r="H31" s="45"/>
      <c r="I31" s="45"/>
      <c r="J31" s="45"/>
      <c r="K31" s="45"/>
    </row>
    <row r="33" spans="1:13" x14ac:dyDescent="0.2">
      <c r="A33" s="46" t="s">
        <v>181</v>
      </c>
      <c r="B33" s="45"/>
      <c r="C33" s="45"/>
      <c r="D33" s="45"/>
      <c r="E33" s="45"/>
      <c r="F33" s="45"/>
      <c r="G33" s="45"/>
      <c r="H33" s="45"/>
      <c r="I33" s="45"/>
      <c r="J33" s="45"/>
      <c r="K33" s="45"/>
    </row>
    <row r="36" spans="1:13" x14ac:dyDescent="0.2">
      <c r="A36" s="48" t="s">
        <v>444</v>
      </c>
      <c r="B36" s="48"/>
      <c r="C36" s="48"/>
      <c r="D36" s="48"/>
      <c r="E36" s="48"/>
      <c r="F36" s="48"/>
      <c r="G36" s="48"/>
      <c r="H36" s="48"/>
      <c r="I36" s="48"/>
      <c r="J36" s="48"/>
      <c r="K36" s="48"/>
      <c r="L36" s="48"/>
    </row>
    <row r="37" spans="1:13" x14ac:dyDescent="0.2">
      <c r="A37" s="48" t="s">
        <v>445</v>
      </c>
      <c r="B37" s="48"/>
      <c r="C37" s="48"/>
      <c r="D37" s="48"/>
      <c r="E37" s="48"/>
      <c r="F37" s="48"/>
      <c r="G37" s="48"/>
      <c r="H37" s="48"/>
      <c r="I37" s="48"/>
      <c r="J37" s="48"/>
      <c r="K37" s="48"/>
      <c r="L37" s="48"/>
    </row>
    <row r="38" spans="1:13" ht="11.25" customHeight="1" x14ac:dyDescent="0.2">
      <c r="A38" s="48"/>
      <c r="B38" s="48"/>
      <c r="C38" s="48"/>
      <c r="D38" s="48"/>
      <c r="E38" s="48"/>
      <c r="F38" s="48"/>
      <c r="G38" s="48"/>
      <c r="H38" s="48"/>
      <c r="I38" s="48"/>
      <c r="J38" s="48"/>
      <c r="K38" s="48"/>
      <c r="L38" s="48"/>
    </row>
    <row r="39" spans="1:13" ht="53.1" customHeight="1" x14ac:dyDescent="0.2">
      <c r="A39" s="662" t="s">
        <v>784</v>
      </c>
      <c r="B39" s="662"/>
      <c r="C39" s="662"/>
      <c r="D39" s="662"/>
      <c r="E39" s="662"/>
      <c r="F39" s="662"/>
      <c r="G39" s="662"/>
      <c r="H39" s="662"/>
      <c r="I39" s="662"/>
      <c r="J39" s="662"/>
      <c r="K39" s="662"/>
      <c r="L39" s="48"/>
    </row>
    <row r="40" spans="1:13" ht="8.25" customHeight="1" x14ac:dyDescent="0.2">
      <c r="A40" s="48"/>
      <c r="B40" s="48"/>
      <c r="C40" s="48"/>
      <c r="D40" s="48"/>
      <c r="E40" s="48"/>
      <c r="F40" s="48"/>
      <c r="G40" s="48"/>
      <c r="H40" s="48"/>
      <c r="I40" s="48"/>
      <c r="J40" s="48"/>
      <c r="K40" s="48"/>
      <c r="L40" s="48"/>
    </row>
    <row r="41" spans="1:13" x14ac:dyDescent="0.2">
      <c r="A41" s="48"/>
      <c r="B41" s="48"/>
      <c r="C41" s="48"/>
      <c r="D41" s="48"/>
      <c r="F41" s="48"/>
      <c r="G41" s="49" t="s">
        <v>399</v>
      </c>
      <c r="H41" s="48"/>
      <c r="I41" s="48"/>
      <c r="J41" s="48"/>
      <c r="K41" s="48"/>
      <c r="L41" s="48"/>
    </row>
    <row r="42" spans="1:13" x14ac:dyDescent="0.2">
      <c r="A42" s="48"/>
      <c r="B42" s="48"/>
      <c r="D42" s="48"/>
      <c r="E42" s="49" t="s">
        <v>406</v>
      </c>
      <c r="F42" s="48"/>
      <c r="G42" s="49" t="s">
        <v>446</v>
      </c>
      <c r="H42" s="48"/>
      <c r="I42" s="49" t="s">
        <v>407</v>
      </c>
      <c r="J42" s="48"/>
      <c r="K42" s="48"/>
      <c r="L42" s="48"/>
    </row>
    <row r="43" spans="1:13" ht="9.75" customHeight="1" x14ac:dyDescent="0.2">
      <c r="A43" s="48"/>
      <c r="B43" s="48"/>
      <c r="D43" s="48"/>
      <c r="E43" s="50"/>
      <c r="F43" s="48"/>
      <c r="G43" s="50"/>
      <c r="H43" s="48"/>
      <c r="I43" s="50"/>
      <c r="J43" s="48"/>
      <c r="K43" s="48"/>
      <c r="L43" s="48"/>
    </row>
    <row r="44" spans="1:13" x14ac:dyDescent="0.2">
      <c r="B44" s="48" t="s">
        <v>442</v>
      </c>
      <c r="D44" s="48"/>
      <c r="E44" s="51">
        <v>1</v>
      </c>
      <c r="F44" s="48"/>
      <c r="G44" s="52">
        <f>ROUND(G15/24/60,0)</f>
        <v>27280</v>
      </c>
      <c r="H44" s="48"/>
      <c r="I44" s="53">
        <f>ROUND(+G44/G$52,4)</f>
        <v>0.3488</v>
      </c>
      <c r="J44" s="48"/>
      <c r="K44" s="48"/>
      <c r="L44" s="48"/>
      <c r="M44" s="53"/>
    </row>
    <row r="45" spans="1:13" x14ac:dyDescent="0.2">
      <c r="B45" s="48" t="s">
        <v>293</v>
      </c>
      <c r="D45" s="48"/>
      <c r="E45" s="51"/>
      <c r="F45" s="48"/>
      <c r="G45" s="52"/>
      <c r="H45" s="48"/>
      <c r="I45" s="53"/>
      <c r="J45" s="48"/>
      <c r="K45" s="48"/>
      <c r="L45" s="48"/>
      <c r="M45" s="53"/>
    </row>
    <row r="46" spans="1:13" x14ac:dyDescent="0.2">
      <c r="B46" s="48" t="s">
        <v>409</v>
      </c>
      <c r="D46" s="48"/>
      <c r="E46" s="51">
        <v>1.5</v>
      </c>
      <c r="F46" s="52"/>
      <c r="G46" s="52">
        <f>ROUND(+G44*E46,0)</f>
        <v>40920</v>
      </c>
      <c r="H46" s="53"/>
      <c r="I46" s="274">
        <f>ROUND(+G46/G$52,4)</f>
        <v>0.52329999999999999</v>
      </c>
      <c r="J46" s="48"/>
      <c r="K46" s="48"/>
      <c r="L46" s="48"/>
      <c r="M46" s="53"/>
    </row>
    <row r="47" spans="1:13" x14ac:dyDescent="0.2">
      <c r="B47" s="48"/>
      <c r="D47" s="48"/>
      <c r="E47" s="54"/>
      <c r="F47" s="52"/>
      <c r="G47" s="55"/>
      <c r="H47" s="53"/>
      <c r="I47" s="56"/>
      <c r="J47" s="48"/>
      <c r="K47" s="48"/>
      <c r="L47" s="48"/>
      <c r="M47" s="53"/>
    </row>
    <row r="48" spans="1:13" ht="15.75" thickBot="1" x14ac:dyDescent="0.25">
      <c r="B48" s="48" t="s">
        <v>443</v>
      </c>
      <c r="D48" s="48"/>
      <c r="E48" s="197">
        <f>SUM(E44:E47)</f>
        <v>2.5</v>
      </c>
      <c r="F48" s="52"/>
      <c r="G48" s="52">
        <f>SUM(G44:G47)</f>
        <v>68200</v>
      </c>
      <c r="H48" s="53"/>
      <c r="I48" s="53">
        <f>SUM(I44:I47)</f>
        <v>0.87209999999999999</v>
      </c>
      <c r="J48" s="48"/>
      <c r="K48" s="48"/>
      <c r="L48" s="48"/>
      <c r="M48" s="53"/>
    </row>
    <row r="49" spans="1:17" ht="9.75" customHeight="1" thickTop="1" x14ac:dyDescent="0.2">
      <c r="B49" s="48"/>
      <c r="D49" s="48"/>
      <c r="E49" s="162"/>
      <c r="F49" s="52"/>
      <c r="G49" s="52"/>
      <c r="H49" s="58"/>
      <c r="I49" s="53"/>
      <c r="J49" s="48"/>
      <c r="K49" s="48"/>
      <c r="L49" s="48"/>
      <c r="M49" s="53"/>
    </row>
    <row r="50" spans="1:17" x14ac:dyDescent="0.2">
      <c r="B50" s="48" t="s">
        <v>286</v>
      </c>
      <c r="C50" s="48"/>
      <c r="D50" s="48"/>
      <c r="F50" s="48"/>
      <c r="G50" s="52">
        <v>10000</v>
      </c>
      <c r="H50" s="48"/>
      <c r="I50" s="53">
        <f>ROUND(+G50/G$52,4)</f>
        <v>0.12790000000000001</v>
      </c>
      <c r="J50" s="48"/>
      <c r="K50" s="48"/>
      <c r="L50" s="48"/>
      <c r="O50" s="213"/>
    </row>
    <row r="51" spans="1:17" x14ac:dyDescent="0.2">
      <c r="B51" s="48"/>
      <c r="C51" s="48"/>
      <c r="D51" s="48"/>
      <c r="F51" s="48"/>
      <c r="G51" s="50"/>
      <c r="H51" s="48"/>
      <c r="I51" s="56"/>
      <c r="J51" s="48"/>
      <c r="K51" s="48"/>
      <c r="L51" s="48"/>
      <c r="O51" s="213"/>
    </row>
    <row r="52" spans="1:17" ht="15.75" thickBot="1" x14ac:dyDescent="0.25">
      <c r="B52" s="48" t="s">
        <v>410</v>
      </c>
      <c r="C52" s="48"/>
      <c r="D52" s="48"/>
      <c r="F52" s="48"/>
      <c r="G52" s="177">
        <f>SUM(G48:G50)</f>
        <v>78200</v>
      </c>
      <c r="H52" s="48"/>
      <c r="I52" s="53">
        <f>SUM(I48:I50)</f>
        <v>1</v>
      </c>
      <c r="J52" s="48"/>
      <c r="K52" s="48"/>
      <c r="L52" s="48"/>
      <c r="M52" s="53"/>
    </row>
    <row r="53" spans="1:17" ht="12.6" customHeight="1" thickTop="1" x14ac:dyDescent="0.2">
      <c r="A53" s="48"/>
      <c r="B53" s="48"/>
      <c r="C53" s="48"/>
      <c r="D53" s="48"/>
      <c r="E53" s="52"/>
      <c r="F53" s="48"/>
      <c r="G53" s="162"/>
      <c r="H53" s="48"/>
      <c r="I53" s="59"/>
      <c r="J53" s="48"/>
      <c r="K53" s="48"/>
      <c r="L53" s="48"/>
    </row>
    <row r="54" spans="1:17" ht="26.1" customHeight="1" x14ac:dyDescent="0.2">
      <c r="A54" s="662" t="s">
        <v>447</v>
      </c>
      <c r="B54" s="662"/>
      <c r="C54" s="662"/>
      <c r="D54" s="662"/>
      <c r="E54" s="662"/>
      <c r="F54" s="662"/>
      <c r="G54" s="662"/>
      <c r="H54" s="662"/>
      <c r="I54" s="662"/>
      <c r="J54" s="662"/>
      <c r="K54" s="662"/>
      <c r="L54" s="48"/>
    </row>
    <row r="55" spans="1:17" ht="10.35" customHeight="1" x14ac:dyDescent="0.2">
      <c r="A55" s="48"/>
      <c r="B55" s="48"/>
      <c r="C55" s="48"/>
      <c r="D55" s="48"/>
      <c r="E55" s="48"/>
      <c r="F55" s="48"/>
      <c r="G55" s="48"/>
      <c r="H55" s="48"/>
      <c r="I55" s="48"/>
      <c r="J55" s="48"/>
      <c r="K55" s="48"/>
      <c r="L55" s="48"/>
    </row>
    <row r="56" spans="1:17" x14ac:dyDescent="0.2">
      <c r="A56" s="48"/>
      <c r="B56" s="48"/>
      <c r="C56" s="48"/>
      <c r="D56" s="48"/>
      <c r="E56" s="49" t="s">
        <v>448</v>
      </c>
      <c r="F56" s="48"/>
      <c r="H56" s="48"/>
      <c r="I56" s="48"/>
      <c r="J56" s="48"/>
      <c r="K56" s="48"/>
      <c r="L56" s="48"/>
    </row>
    <row r="57" spans="1:17" x14ac:dyDescent="0.2">
      <c r="A57" s="48"/>
      <c r="B57" s="48"/>
      <c r="C57" s="48"/>
      <c r="D57" s="48"/>
      <c r="E57" s="49" t="s">
        <v>449</v>
      </c>
      <c r="F57" s="48"/>
      <c r="G57" s="46" t="s">
        <v>450</v>
      </c>
      <c r="H57" s="46"/>
      <c r="I57" s="46"/>
      <c r="J57" s="46"/>
      <c r="K57" s="46"/>
      <c r="L57" s="48"/>
    </row>
    <row r="58" spans="1:17" x14ac:dyDescent="0.2">
      <c r="A58" s="46" t="s">
        <v>287</v>
      </c>
      <c r="B58" s="46"/>
      <c r="C58" s="46"/>
      <c r="D58" s="48"/>
      <c r="E58" s="49" t="s">
        <v>268</v>
      </c>
      <c r="F58" s="48"/>
      <c r="G58" s="60"/>
      <c r="H58" s="60"/>
      <c r="I58" s="60" t="s">
        <v>484</v>
      </c>
      <c r="J58" s="60"/>
      <c r="K58" s="60" t="s">
        <v>379</v>
      </c>
      <c r="L58" s="48"/>
    </row>
    <row r="59" spans="1:17" x14ac:dyDescent="0.2">
      <c r="A59" s="46" t="s">
        <v>380</v>
      </c>
      <c r="B59" s="46"/>
      <c r="C59" s="46"/>
      <c r="D59" s="48"/>
      <c r="E59" s="49" t="s">
        <v>467</v>
      </c>
      <c r="F59" s="48"/>
      <c r="G59" s="49" t="s">
        <v>400</v>
      </c>
      <c r="H59" s="49"/>
      <c r="I59" s="49" t="s">
        <v>451</v>
      </c>
      <c r="J59" s="49"/>
      <c r="K59" s="49" t="s">
        <v>381</v>
      </c>
      <c r="L59" s="48"/>
    </row>
    <row r="60" spans="1:17" x14ac:dyDescent="0.2">
      <c r="A60" s="61" t="s">
        <v>382</v>
      </c>
      <c r="B60" s="61"/>
      <c r="C60" s="61"/>
      <c r="D60" s="48"/>
      <c r="E60" s="60" t="s">
        <v>272</v>
      </c>
      <c r="F60" s="48"/>
      <c r="G60" s="60" t="s">
        <v>384</v>
      </c>
      <c r="H60" s="49"/>
      <c r="I60" s="60" t="s">
        <v>402</v>
      </c>
      <c r="J60" s="49"/>
      <c r="K60" s="60" t="s">
        <v>403</v>
      </c>
      <c r="L60" s="48"/>
      <c r="O60" s="348"/>
      <c r="P60" s="348"/>
      <c r="Q60" s="348"/>
    </row>
    <row r="61" spans="1:17" ht="10.7" customHeight="1" x14ac:dyDescent="0.2">
      <c r="C61" s="48"/>
      <c r="D61" s="48"/>
      <c r="E61" s="48"/>
      <c r="F61" s="48"/>
      <c r="G61" s="48"/>
      <c r="H61" s="48"/>
      <c r="I61" s="48"/>
      <c r="J61" s="48"/>
      <c r="K61" s="48"/>
      <c r="L61" s="48"/>
      <c r="O61" s="348"/>
      <c r="P61" s="348"/>
      <c r="Q61" s="348"/>
    </row>
    <row r="62" spans="1:17" x14ac:dyDescent="0.2">
      <c r="A62" s="48" t="s">
        <v>385</v>
      </c>
      <c r="B62" s="48"/>
      <c r="C62" s="48"/>
      <c r="D62" s="48"/>
      <c r="E62" s="174">
        <f>'F 3-4'!$D$49</f>
        <v>706.7</v>
      </c>
      <c r="F62" s="48"/>
      <c r="G62" s="51">
        <v>1.7</v>
      </c>
      <c r="H62" s="48"/>
      <c r="I62" s="58">
        <f>ROUND(E62*G62,1)</f>
        <v>1201.4000000000001</v>
      </c>
      <c r="J62" s="48"/>
      <c r="K62" s="53">
        <f>ROUND(+I62/I$68,4)</f>
        <v>0.55030000000000001</v>
      </c>
      <c r="L62" s="48"/>
      <c r="O62" s="349"/>
      <c r="P62" s="348"/>
      <c r="Q62" s="350"/>
    </row>
    <row r="63" spans="1:17" x14ac:dyDescent="0.2">
      <c r="A63" s="48" t="s">
        <v>386</v>
      </c>
      <c r="B63" s="48"/>
      <c r="C63" s="48"/>
      <c r="D63" s="48"/>
      <c r="E63" s="174">
        <f>'F 3-4'!$D$50</f>
        <v>448.8</v>
      </c>
      <c r="F63" s="48"/>
      <c r="G63" s="51">
        <v>1.6</v>
      </c>
      <c r="H63" s="48"/>
      <c r="I63" s="58">
        <f>ROUND(E63*G63,1)</f>
        <v>718.1</v>
      </c>
      <c r="J63" s="48"/>
      <c r="K63" s="53">
        <f>ROUND(+I63/I$68,4)</f>
        <v>0.32900000000000001</v>
      </c>
      <c r="L63" s="48"/>
      <c r="O63" s="349"/>
      <c r="P63" s="348"/>
      <c r="Q63" s="350"/>
    </row>
    <row r="64" spans="1:17" x14ac:dyDescent="0.2">
      <c r="A64" s="48" t="s">
        <v>387</v>
      </c>
      <c r="B64" s="48"/>
      <c r="C64" s="48"/>
      <c r="D64" s="48"/>
      <c r="E64" s="174">
        <f>'F 3-4'!$D$51</f>
        <v>68.8</v>
      </c>
      <c r="F64" s="48"/>
      <c r="G64" s="51">
        <v>1.1499999999999999</v>
      </c>
      <c r="H64" s="48"/>
      <c r="I64" s="58">
        <f>ROUND(E64*G64,1)</f>
        <v>79.099999999999994</v>
      </c>
      <c r="J64" s="48"/>
      <c r="K64" s="53">
        <f>ROUND(+I64/I$68,4)</f>
        <v>3.6200000000000003E-2</v>
      </c>
      <c r="L64" s="48"/>
      <c r="O64" s="348"/>
      <c r="P64" s="348"/>
      <c r="Q64" s="350"/>
    </row>
    <row r="65" spans="1:17" x14ac:dyDescent="0.2">
      <c r="A65" s="48" t="s">
        <v>389</v>
      </c>
      <c r="B65" s="48"/>
      <c r="C65" s="48"/>
      <c r="D65" s="48"/>
      <c r="E65" s="174">
        <f>'F 3-4'!D52</f>
        <v>167.6</v>
      </c>
      <c r="F65" s="48"/>
      <c r="G65" s="51">
        <v>1.1000000000000001</v>
      </c>
      <c r="H65" s="48"/>
      <c r="I65" s="58">
        <f>ROUND(E65*G65,1)</f>
        <v>184.4</v>
      </c>
      <c r="J65" s="48"/>
      <c r="K65" s="53">
        <f>ROUND(+I65/I$68,4)</f>
        <v>8.4500000000000006E-2</v>
      </c>
      <c r="L65" s="48"/>
      <c r="O65" s="349"/>
      <c r="P65" s="348"/>
      <c r="Q65" s="350"/>
    </row>
    <row r="66" spans="1:17" x14ac:dyDescent="0.2">
      <c r="A66" s="48" t="s">
        <v>503</v>
      </c>
      <c r="B66" s="48"/>
      <c r="C66" s="48"/>
      <c r="D66" s="48"/>
      <c r="E66" s="174">
        <f>'F 3-4'!D53</f>
        <v>0</v>
      </c>
      <c r="F66" s="48"/>
      <c r="G66" s="51">
        <v>0.9</v>
      </c>
      <c r="H66" s="48"/>
      <c r="I66" s="58">
        <f>ROUND(E66*G66,1)</f>
        <v>0</v>
      </c>
      <c r="J66" s="48"/>
      <c r="K66" s="53">
        <f>ROUND(+I66/I$68,4)</f>
        <v>0</v>
      </c>
      <c r="L66" s="48"/>
      <c r="O66" s="348"/>
      <c r="P66" s="348"/>
      <c r="Q66" s="350"/>
    </row>
    <row r="67" spans="1:17" ht="9.1999999999999993" customHeight="1" x14ac:dyDescent="0.2">
      <c r="A67" s="48"/>
      <c r="B67" s="48"/>
      <c r="C67" s="48"/>
      <c r="D67" s="48"/>
      <c r="E67" s="161"/>
      <c r="F67" s="48"/>
      <c r="G67" s="48"/>
      <c r="H67" s="48"/>
      <c r="I67" s="62"/>
      <c r="J67" s="48"/>
      <c r="K67" s="50"/>
      <c r="L67" s="48"/>
      <c r="O67" s="348"/>
      <c r="P67" s="348"/>
      <c r="Q67" s="162"/>
    </row>
    <row r="68" spans="1:17" ht="15.75" thickBot="1" x14ac:dyDescent="0.25">
      <c r="A68" s="48" t="s">
        <v>452</v>
      </c>
      <c r="B68" s="48"/>
      <c r="C68" s="48"/>
      <c r="D68" s="48"/>
      <c r="E68" s="174">
        <f>SUM(E62:E67)</f>
        <v>1391.8999999999999</v>
      </c>
      <c r="F68" s="58"/>
      <c r="G68" s="58"/>
      <c r="H68" s="58"/>
      <c r="I68" s="174">
        <f>SUM(I62:I67)</f>
        <v>2183</v>
      </c>
      <c r="J68" s="48"/>
      <c r="K68" s="163">
        <f>SUM(K62:K67)</f>
        <v>1</v>
      </c>
      <c r="L68" s="243"/>
      <c r="O68" s="351"/>
      <c r="P68" s="348"/>
      <c r="Q68" s="350"/>
    </row>
    <row r="69" spans="1:17" ht="15.75" thickTop="1" x14ac:dyDescent="0.2">
      <c r="A69" s="176"/>
      <c r="B69" s="176"/>
      <c r="C69" s="176"/>
      <c r="D69" s="48"/>
      <c r="E69" s="63"/>
      <c r="F69" s="48"/>
      <c r="G69" s="48"/>
      <c r="H69" s="48"/>
      <c r="I69" s="57"/>
      <c r="J69" s="48"/>
      <c r="K69" s="162"/>
      <c r="L69" s="48"/>
      <c r="O69" s="348"/>
      <c r="P69" s="348"/>
      <c r="Q69" s="348"/>
    </row>
    <row r="70" spans="1:17" x14ac:dyDescent="0.2">
      <c r="A70" s="48" t="s">
        <v>453</v>
      </c>
      <c r="B70" s="48"/>
      <c r="C70" s="48"/>
      <c r="D70" s="48"/>
      <c r="E70" s="48"/>
      <c r="F70" s="48"/>
      <c r="G70" s="48"/>
      <c r="H70" s="48"/>
      <c r="I70" s="48"/>
      <c r="J70" s="48"/>
      <c r="K70" s="48"/>
      <c r="L70" s="48"/>
    </row>
    <row r="71" spans="1:17" ht="11.25" customHeight="1" x14ac:dyDescent="0.2">
      <c r="A71" s="48"/>
      <c r="B71" s="48"/>
      <c r="C71" s="48"/>
      <c r="D71" s="48"/>
      <c r="E71" s="48"/>
      <c r="F71" s="48"/>
      <c r="G71" s="48"/>
      <c r="H71" s="48"/>
      <c r="I71" s="48"/>
      <c r="J71" s="48"/>
      <c r="K71" s="48"/>
      <c r="L71" s="48"/>
    </row>
    <row r="72" spans="1:17" ht="29.25" customHeight="1" x14ac:dyDescent="0.2">
      <c r="A72" s="662" t="s">
        <v>126</v>
      </c>
      <c r="B72" s="662"/>
      <c r="C72" s="662"/>
      <c r="D72" s="662"/>
      <c r="E72" s="662"/>
      <c r="F72" s="662"/>
      <c r="G72" s="662"/>
      <c r="H72" s="662"/>
      <c r="I72" s="662"/>
      <c r="J72" s="662"/>
      <c r="K72" s="662"/>
      <c r="L72" s="48"/>
    </row>
    <row r="73" spans="1:17" x14ac:dyDescent="0.2">
      <c r="A73" s="48"/>
      <c r="B73" s="48"/>
      <c r="C73" s="48"/>
      <c r="D73" s="48"/>
      <c r="E73" s="48"/>
      <c r="F73" s="48"/>
      <c r="G73" s="48"/>
      <c r="H73" s="48"/>
      <c r="I73" s="48"/>
      <c r="J73" s="48"/>
      <c r="K73" s="48"/>
      <c r="L73" s="48"/>
    </row>
  </sheetData>
  <mergeCells count="5">
    <mergeCell ref="A72:K72"/>
    <mergeCell ref="A10:K10"/>
    <mergeCell ref="A26:K26"/>
    <mergeCell ref="A39:K39"/>
    <mergeCell ref="A54:K54"/>
  </mergeCells>
  <phoneticPr fontId="12" type="noConversion"/>
  <printOptions horizontalCentered="1"/>
  <pageMargins left="1" right="1" top="1" bottom="0.5" header="0.5" footer="0.5"/>
  <headerFooter alignWithMargins="0"/>
  <rowBreaks count="1" manualBreakCount="1">
    <brk id="29"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E67"/>
  <sheetViews>
    <sheetView workbookViewId="0">
      <selection activeCell="L19" sqref="L19"/>
    </sheetView>
  </sheetViews>
  <sheetFormatPr defaultColWidth="9.6640625" defaultRowHeight="15" x14ac:dyDescent="0.2"/>
  <cols>
    <col min="1" max="2" width="7.6640625" style="67" customWidth="1"/>
    <col min="3" max="3" width="2.33203125" style="67" customWidth="1"/>
    <col min="4" max="4" width="7.6640625" style="67" customWidth="1"/>
    <col min="5" max="5" width="2.33203125" style="67" customWidth="1"/>
    <col min="6" max="6" width="7.6640625" style="67" customWidth="1"/>
    <col min="7" max="7" width="2.109375" style="67" customWidth="1"/>
    <col min="8" max="8" width="7.6640625" style="67" customWidth="1"/>
    <col min="9" max="9" width="2.109375" style="67" customWidth="1"/>
    <col min="10" max="10" width="7.6640625" style="67" customWidth="1"/>
    <col min="11" max="11" width="2.109375" style="67" customWidth="1"/>
    <col min="12" max="12" width="7.6640625" style="67" customWidth="1"/>
    <col min="13" max="13" width="2.109375" style="67" customWidth="1"/>
    <col min="14" max="14" width="7.6640625" style="67" customWidth="1"/>
    <col min="15" max="15" width="2.109375" style="67" customWidth="1"/>
    <col min="16" max="16" width="7.6640625" style="67" customWidth="1"/>
    <col min="17" max="17" width="2.109375" style="67" customWidth="1"/>
    <col min="18" max="18" width="11.33203125" style="67" customWidth="1"/>
    <col min="19" max="22" width="9.6640625" style="67" customWidth="1"/>
    <col min="23" max="23" width="10.6640625" style="67" customWidth="1"/>
    <col min="24" max="25" width="6.6640625" style="67" customWidth="1"/>
    <col min="26" max="28" width="7.6640625" style="67" customWidth="1"/>
    <col min="29" max="29" width="4.6640625" style="67" customWidth="1"/>
    <col min="30" max="16384" width="9.6640625" style="67"/>
  </cols>
  <sheetData>
    <row r="1" spans="1:31" x14ac:dyDescent="0.2">
      <c r="A1" s="37" t="s">
        <v>77</v>
      </c>
      <c r="B1" s="65"/>
      <c r="C1" s="65"/>
      <c r="D1" s="65"/>
      <c r="E1" s="65"/>
      <c r="F1" s="65"/>
      <c r="G1" s="64"/>
      <c r="H1" s="65"/>
      <c r="I1" s="65"/>
      <c r="J1" s="65"/>
      <c r="K1" s="65"/>
      <c r="L1" s="65"/>
      <c r="M1" s="65"/>
      <c r="N1" s="65"/>
      <c r="O1" s="65"/>
      <c r="P1" s="65"/>
      <c r="Q1" s="65"/>
      <c r="R1" s="65"/>
      <c r="S1" s="66"/>
      <c r="T1" s="66"/>
      <c r="U1" s="66"/>
      <c r="V1" s="66"/>
      <c r="W1" s="66"/>
      <c r="X1" s="66"/>
      <c r="Y1" s="66"/>
      <c r="Z1" s="66"/>
      <c r="AA1" s="66"/>
      <c r="AB1" s="66"/>
      <c r="AC1" s="66"/>
      <c r="AD1" s="66"/>
      <c r="AE1" s="66"/>
    </row>
    <row r="2" spans="1:31" x14ac:dyDescent="0.2">
      <c r="A2" s="37"/>
      <c r="B2" s="65"/>
      <c r="C2" s="65"/>
      <c r="D2" s="65"/>
      <c r="E2" s="65"/>
      <c r="F2" s="65"/>
      <c r="G2" s="64"/>
      <c r="H2" s="65"/>
      <c r="I2" s="65"/>
      <c r="J2" s="65"/>
      <c r="K2" s="65"/>
      <c r="L2" s="65"/>
      <c r="M2" s="65"/>
      <c r="N2" s="65"/>
      <c r="O2" s="65"/>
      <c r="P2" s="65"/>
      <c r="Q2" s="65"/>
      <c r="R2" s="65"/>
      <c r="S2" s="66"/>
      <c r="T2" s="66"/>
      <c r="U2" s="66"/>
      <c r="V2" s="66"/>
      <c r="W2" s="66"/>
      <c r="X2" s="66"/>
      <c r="Y2" s="66"/>
      <c r="Z2" s="66"/>
      <c r="AA2" s="66"/>
      <c r="AB2" s="66"/>
      <c r="AC2" s="66"/>
      <c r="AD2" s="66"/>
      <c r="AE2" s="66"/>
    </row>
    <row r="3" spans="1:31" x14ac:dyDescent="0.2">
      <c r="A3" s="65"/>
      <c r="B3" s="65"/>
      <c r="C3" s="65"/>
      <c r="D3" s="65"/>
      <c r="E3" s="65"/>
      <c r="F3" s="65"/>
      <c r="G3" s="65"/>
      <c r="H3" s="65"/>
      <c r="I3" s="65"/>
      <c r="J3" s="65"/>
      <c r="K3" s="65"/>
      <c r="L3" s="65"/>
      <c r="M3" s="65"/>
      <c r="N3" s="65"/>
      <c r="O3" s="65"/>
      <c r="P3" s="65"/>
      <c r="Q3" s="65"/>
      <c r="R3" s="65"/>
      <c r="S3" s="66"/>
      <c r="T3" s="66"/>
      <c r="U3" s="66"/>
      <c r="V3" s="66"/>
      <c r="W3" s="66"/>
      <c r="X3" s="66"/>
      <c r="Y3" s="66"/>
      <c r="Z3" s="66"/>
      <c r="AA3" s="66"/>
      <c r="AB3" s="66"/>
      <c r="AC3" s="66"/>
      <c r="AD3" s="66"/>
      <c r="AE3" s="66"/>
    </row>
    <row r="4" spans="1:31" x14ac:dyDescent="0.2">
      <c r="A4" s="65" t="s">
        <v>181</v>
      </c>
      <c r="B4" s="65"/>
      <c r="C4" s="65"/>
      <c r="D4" s="64"/>
      <c r="E4" s="65"/>
      <c r="F4" s="65"/>
      <c r="G4" s="65"/>
      <c r="H4" s="65"/>
      <c r="I4" s="65"/>
      <c r="J4" s="65"/>
      <c r="K4" s="65"/>
      <c r="L4" s="65"/>
      <c r="M4" s="65"/>
      <c r="N4" s="65"/>
      <c r="O4" s="65"/>
      <c r="P4" s="65"/>
      <c r="Q4" s="65"/>
      <c r="R4" s="65"/>
      <c r="S4" s="66"/>
      <c r="T4" s="66"/>
      <c r="U4" s="66"/>
      <c r="V4" s="66"/>
      <c r="W4" s="66"/>
      <c r="X4" s="66"/>
      <c r="Y4" s="66"/>
      <c r="Z4" s="66"/>
      <c r="AA4" s="66"/>
      <c r="AB4" s="66"/>
      <c r="AC4" s="66"/>
      <c r="AD4" s="66"/>
      <c r="AE4" s="66"/>
    </row>
    <row r="5" spans="1:31" x14ac:dyDescent="0.2">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1" x14ac:dyDescent="0.2">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x14ac:dyDescent="0.2">
      <c r="A7" s="66" t="s">
        <v>228</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x14ac:dyDescent="0.2">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ht="27.6" customHeight="1" x14ac:dyDescent="0.2">
      <c r="A9" s="663" t="s">
        <v>229</v>
      </c>
      <c r="B9" s="663"/>
      <c r="C9" s="663"/>
      <c r="D9" s="663"/>
      <c r="E9" s="663"/>
      <c r="F9" s="663"/>
      <c r="G9" s="663"/>
      <c r="H9" s="663"/>
      <c r="I9" s="663"/>
      <c r="J9" s="663"/>
      <c r="K9" s="663"/>
      <c r="L9" s="663"/>
      <c r="M9" s="663"/>
      <c r="N9" s="663"/>
      <c r="O9" s="663"/>
      <c r="P9" s="663"/>
      <c r="Q9" s="663"/>
      <c r="R9" s="663"/>
      <c r="S9" s="66"/>
      <c r="T9" s="66"/>
      <c r="U9" s="66"/>
      <c r="V9" s="66"/>
      <c r="W9" s="66"/>
      <c r="X9" s="66"/>
      <c r="Y9" s="66"/>
      <c r="Z9" s="66"/>
      <c r="AA9" s="66"/>
      <c r="AB9" s="66"/>
      <c r="AC9" s="66"/>
      <c r="AD9" s="66"/>
      <c r="AE9" s="66"/>
    </row>
    <row r="10" spans="1:31" x14ac:dyDescent="0.2">
      <c r="A10" s="66"/>
      <c r="B10" s="66"/>
      <c r="C10" s="66"/>
      <c r="D10" s="66"/>
      <c r="E10" s="66"/>
      <c r="F10" s="66"/>
      <c r="G10" s="66"/>
      <c r="H10" s="66"/>
      <c r="I10" s="66"/>
      <c r="K10" s="66"/>
      <c r="L10" s="66"/>
      <c r="M10" s="66"/>
      <c r="N10" s="66"/>
      <c r="O10" s="66"/>
      <c r="P10" s="66"/>
      <c r="Q10" s="66"/>
      <c r="R10" s="66"/>
      <c r="S10" s="66"/>
      <c r="T10" s="66"/>
      <c r="U10" s="66"/>
      <c r="V10" s="66"/>
      <c r="W10" s="66"/>
      <c r="X10" s="66"/>
      <c r="Y10" s="66"/>
      <c r="Z10" s="66"/>
      <c r="AA10" s="66"/>
      <c r="AB10" s="66"/>
      <c r="AC10" s="66"/>
      <c r="AD10" s="66"/>
      <c r="AE10" s="66"/>
    </row>
    <row r="11" spans="1:31" x14ac:dyDescent="0.2">
      <c r="A11" s="66"/>
      <c r="B11" s="66"/>
      <c r="C11" s="66"/>
      <c r="E11" s="66"/>
      <c r="F11" s="66"/>
      <c r="G11" s="66"/>
      <c r="H11" s="66"/>
      <c r="I11" s="66"/>
      <c r="J11" s="65" t="s">
        <v>293</v>
      </c>
      <c r="K11" s="65"/>
      <c r="L11" s="65"/>
      <c r="M11" s="66"/>
      <c r="O11" s="66"/>
      <c r="P11" s="66"/>
      <c r="Q11" s="66"/>
      <c r="R11" s="66"/>
      <c r="S11" s="66"/>
      <c r="T11" s="66"/>
      <c r="U11" s="66"/>
      <c r="V11" s="66"/>
      <c r="W11" s="66"/>
      <c r="X11" s="66"/>
      <c r="Y11" s="66"/>
      <c r="Z11" s="66"/>
      <c r="AA11" s="66"/>
      <c r="AB11" s="66"/>
      <c r="AC11" s="66"/>
      <c r="AD11" s="66"/>
      <c r="AE11" s="66"/>
    </row>
    <row r="12" spans="1:31" x14ac:dyDescent="0.2">
      <c r="A12" s="66"/>
      <c r="B12" s="66"/>
      <c r="C12" s="66"/>
      <c r="D12" s="65" t="s">
        <v>294</v>
      </c>
      <c r="E12" s="65"/>
      <c r="F12" s="65"/>
      <c r="G12" s="65"/>
      <c r="H12" s="65"/>
      <c r="I12" s="66"/>
      <c r="J12" s="65" t="s">
        <v>269</v>
      </c>
      <c r="K12" s="65"/>
      <c r="L12" s="65"/>
      <c r="M12" s="66"/>
      <c r="N12" s="65" t="s">
        <v>286</v>
      </c>
      <c r="O12" s="65"/>
      <c r="P12" s="65"/>
      <c r="Q12" s="66"/>
      <c r="R12" s="66"/>
      <c r="S12" s="66"/>
      <c r="T12" s="66"/>
      <c r="U12" s="66"/>
      <c r="V12" s="66"/>
      <c r="W12" s="66"/>
      <c r="X12" s="66"/>
      <c r="Y12" s="66"/>
      <c r="Z12" s="66"/>
      <c r="AA12" s="66"/>
      <c r="AB12" s="66"/>
      <c r="AC12" s="66"/>
      <c r="AD12" s="66"/>
      <c r="AE12" s="66"/>
    </row>
    <row r="13" spans="1:31" x14ac:dyDescent="0.2">
      <c r="A13" s="65" t="s">
        <v>287</v>
      </c>
      <c r="B13" s="65"/>
      <c r="C13" s="66"/>
      <c r="D13" s="68" t="s">
        <v>468</v>
      </c>
      <c r="E13" s="68"/>
      <c r="F13" s="68" t="s">
        <v>379</v>
      </c>
      <c r="G13" s="68"/>
      <c r="H13" s="68" t="s">
        <v>270</v>
      </c>
      <c r="I13" s="69"/>
      <c r="J13" s="68" t="s">
        <v>379</v>
      </c>
      <c r="K13" s="68"/>
      <c r="L13" s="68" t="s">
        <v>270</v>
      </c>
      <c r="M13" s="69"/>
      <c r="N13" s="68" t="s">
        <v>379</v>
      </c>
      <c r="O13" s="68"/>
      <c r="P13" s="68" t="s">
        <v>270</v>
      </c>
      <c r="Q13" s="69"/>
      <c r="R13" s="69" t="s">
        <v>379</v>
      </c>
      <c r="S13" s="66"/>
      <c r="T13" s="66"/>
      <c r="U13" s="66"/>
      <c r="V13" s="66"/>
      <c r="W13" s="66"/>
      <c r="X13" s="66"/>
      <c r="Y13" s="66"/>
      <c r="Z13" s="66"/>
      <c r="AA13" s="66"/>
      <c r="AB13" s="66"/>
      <c r="AC13" s="66"/>
      <c r="AD13" s="66"/>
      <c r="AE13" s="66"/>
    </row>
    <row r="14" spans="1:31" x14ac:dyDescent="0.2">
      <c r="A14" s="65" t="s">
        <v>380</v>
      </c>
      <c r="B14" s="65"/>
      <c r="C14" s="66"/>
      <c r="D14" s="69" t="s">
        <v>437</v>
      </c>
      <c r="E14" s="69"/>
      <c r="F14" s="69" t="s">
        <v>381</v>
      </c>
      <c r="G14" s="69"/>
      <c r="H14" s="69" t="s">
        <v>381</v>
      </c>
      <c r="I14" s="69"/>
      <c r="J14" s="69" t="s">
        <v>381</v>
      </c>
      <c r="K14" s="69"/>
      <c r="L14" s="69" t="s">
        <v>381</v>
      </c>
      <c r="M14" s="69"/>
      <c r="N14" s="69" t="s">
        <v>381</v>
      </c>
      <c r="O14" s="69"/>
      <c r="P14" s="69" t="s">
        <v>381</v>
      </c>
      <c r="Q14" s="69"/>
      <c r="R14" s="69" t="s">
        <v>381</v>
      </c>
      <c r="S14" s="66"/>
      <c r="T14" s="66"/>
      <c r="U14" s="66"/>
      <c r="V14" s="66"/>
      <c r="W14" s="66"/>
      <c r="X14" s="66"/>
      <c r="Y14" s="66"/>
      <c r="Z14" s="66"/>
      <c r="AA14" s="66"/>
      <c r="AB14" s="66"/>
      <c r="AC14" s="66"/>
      <c r="AD14" s="66"/>
      <c r="AE14" s="66"/>
    </row>
    <row r="15" spans="1:31" x14ac:dyDescent="0.2">
      <c r="A15" s="70" t="s">
        <v>382</v>
      </c>
      <c r="B15" s="70"/>
      <c r="C15" s="66"/>
      <c r="D15" s="68" t="s">
        <v>272</v>
      </c>
      <c r="E15" s="66"/>
      <c r="F15" s="68" t="s">
        <v>384</v>
      </c>
      <c r="G15" s="66"/>
      <c r="H15" s="71" t="s">
        <v>295</v>
      </c>
      <c r="I15" s="66"/>
      <c r="J15" s="68" t="s">
        <v>403</v>
      </c>
      <c r="K15" s="66"/>
      <c r="L15" s="71" t="s">
        <v>296</v>
      </c>
      <c r="M15" s="66"/>
      <c r="N15" s="68" t="s">
        <v>297</v>
      </c>
      <c r="O15" s="66"/>
      <c r="P15" s="71" t="s">
        <v>298</v>
      </c>
      <c r="Q15" s="66"/>
      <c r="R15" s="68" t="s">
        <v>299</v>
      </c>
      <c r="S15" s="66"/>
      <c r="T15" s="66"/>
      <c r="U15" s="66"/>
      <c r="V15" s="66"/>
      <c r="W15" s="66"/>
      <c r="X15" s="66"/>
      <c r="Y15" s="66"/>
      <c r="Z15" s="66"/>
      <c r="AA15" s="66"/>
      <c r="AB15" s="66"/>
      <c r="AC15" s="66"/>
      <c r="AD15" s="66"/>
      <c r="AE15" s="66"/>
    </row>
    <row r="16" spans="1:31" x14ac:dyDescent="0.2">
      <c r="A16" s="66"/>
      <c r="B16" s="66"/>
      <c r="C16" s="66"/>
      <c r="D16" s="66"/>
      <c r="E16" s="66"/>
      <c r="F16" s="66"/>
      <c r="G16" s="66"/>
      <c r="H16" s="72">
        <f>'F 5B'!$H$24</f>
        <v>0.32100000000000001</v>
      </c>
      <c r="I16" s="72"/>
      <c r="J16" s="72"/>
      <c r="K16" s="72"/>
      <c r="L16" s="72">
        <f>'F 5B'!$H$27</f>
        <v>0.48149999999999998</v>
      </c>
      <c r="M16" s="72"/>
      <c r="N16" s="72"/>
      <c r="O16" s="72"/>
      <c r="P16" s="72">
        <f>'F 5B'!$H$12</f>
        <v>0.19750000000000001</v>
      </c>
      <c r="Q16" s="72"/>
      <c r="R16" s="66"/>
      <c r="S16" s="66"/>
      <c r="T16" s="66"/>
      <c r="U16" s="66"/>
      <c r="V16" s="66"/>
      <c r="W16" s="66"/>
      <c r="X16" s="66"/>
      <c r="Y16" s="66"/>
      <c r="Z16" s="66"/>
      <c r="AA16" s="66"/>
      <c r="AB16" s="66"/>
      <c r="AC16" s="66"/>
      <c r="AD16" s="66"/>
      <c r="AE16" s="66"/>
    </row>
    <row r="17" spans="1:31" x14ac:dyDescent="0.2">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x14ac:dyDescent="0.2">
      <c r="A18" s="66" t="s">
        <v>385</v>
      </c>
      <c r="B18" s="66"/>
      <c r="C18" s="66"/>
      <c r="D18" s="201">
        <f>ROUND(('F 1-2'!$G$16/24),1)</f>
        <v>706.7</v>
      </c>
      <c r="E18" s="66"/>
      <c r="F18" s="72">
        <f>ROUND(+D18/$D$26,4)</f>
        <v>0.48649999999999999</v>
      </c>
      <c r="G18" s="66"/>
      <c r="H18" s="73">
        <f>ROUND(F18*$H$16,4)+0.0001</f>
        <v>0.15629999999999999</v>
      </c>
      <c r="I18" s="66"/>
      <c r="J18" s="72">
        <f>+'F 5B'!J38</f>
        <v>0.53869999999999996</v>
      </c>
      <c r="K18" s="66"/>
      <c r="L18" s="74">
        <f>ROUND(J18*$L$16,4)-0</f>
        <v>0.25940000000000002</v>
      </c>
      <c r="M18" s="66"/>
      <c r="N18" s="72"/>
      <c r="O18" s="66"/>
      <c r="P18" s="72"/>
      <c r="Q18" s="66"/>
      <c r="R18" s="72">
        <f t="shared" ref="R18:R24" si="0">H18+L18+P18</f>
        <v>0.41570000000000001</v>
      </c>
      <c r="S18" s="66"/>
      <c r="T18" s="72"/>
      <c r="U18" s="66"/>
      <c r="V18" s="66"/>
      <c r="W18" s="66"/>
      <c r="X18" s="66"/>
      <c r="Y18" s="66"/>
      <c r="Z18" s="66"/>
      <c r="AA18" s="66"/>
      <c r="AB18" s="66"/>
      <c r="AC18" s="66"/>
      <c r="AD18" s="66"/>
      <c r="AE18" s="66"/>
    </row>
    <row r="19" spans="1:31" x14ac:dyDescent="0.2">
      <c r="A19" s="66" t="s">
        <v>386</v>
      </c>
      <c r="B19" s="66"/>
      <c r="C19" s="66"/>
      <c r="D19" s="201">
        <f>ROUND(('F 1-2'!$G$17/24),1)</f>
        <v>448.8</v>
      </c>
      <c r="E19" s="66"/>
      <c r="F19" s="72">
        <f t="shared" ref="F19:F24" si="1">ROUND(+D19/$D$26,4)</f>
        <v>0.309</v>
      </c>
      <c r="G19" s="66"/>
      <c r="H19" s="73">
        <f t="shared" ref="H19:H24" si="2">ROUND(F19*$H$16,4)</f>
        <v>9.9199999999999997E-2</v>
      </c>
      <c r="I19" s="66"/>
      <c r="J19" s="72">
        <f>+'F 5B'!J39</f>
        <v>0.32200000000000001</v>
      </c>
      <c r="K19" s="66"/>
      <c r="L19" s="72">
        <f>ROUND(J19*$L$16,4)</f>
        <v>0.155</v>
      </c>
      <c r="M19" s="66"/>
      <c r="N19" s="66"/>
      <c r="O19" s="66"/>
      <c r="P19" s="66"/>
      <c r="Q19" s="66"/>
      <c r="R19" s="72">
        <f t="shared" si="0"/>
        <v>0.25419999999999998</v>
      </c>
      <c r="S19" s="66"/>
      <c r="T19" s="72"/>
      <c r="U19" s="66"/>
      <c r="V19" s="66"/>
      <c r="W19" s="66"/>
      <c r="X19" s="66"/>
      <c r="Y19" s="66"/>
      <c r="Z19" s="66"/>
      <c r="AA19" s="66"/>
      <c r="AB19" s="66"/>
      <c r="AC19" s="66"/>
      <c r="AD19" s="66"/>
      <c r="AE19" s="66"/>
    </row>
    <row r="20" spans="1:31" x14ac:dyDescent="0.2">
      <c r="A20" s="66" t="s">
        <v>387</v>
      </c>
      <c r="B20" s="66"/>
      <c r="C20" s="66"/>
      <c r="D20" s="201">
        <f>ROUND(('F 1-2'!$G$18/24),1)</f>
        <v>68.8</v>
      </c>
      <c r="E20" s="66"/>
      <c r="F20" s="72">
        <f t="shared" si="1"/>
        <v>4.7399999999999998E-2</v>
      </c>
      <c r="G20" s="66"/>
      <c r="H20" s="73">
        <f t="shared" si="2"/>
        <v>1.52E-2</v>
      </c>
      <c r="I20" s="66"/>
      <c r="J20" s="72">
        <f>+'F 5B'!J40</f>
        <v>3.5499999999999997E-2</v>
      </c>
      <c r="K20" s="66"/>
      <c r="L20" s="72">
        <f>ROUND(J20*$L$16,4)</f>
        <v>1.7100000000000001E-2</v>
      </c>
      <c r="M20" s="66"/>
      <c r="N20" s="66"/>
      <c r="O20" s="66"/>
      <c r="P20" s="66"/>
      <c r="Q20" s="66"/>
      <c r="R20" s="72">
        <f t="shared" si="0"/>
        <v>3.2300000000000002E-2</v>
      </c>
      <c r="S20" s="66"/>
      <c r="T20" s="72"/>
      <c r="U20" s="66"/>
      <c r="V20" s="66"/>
      <c r="W20" s="66"/>
      <c r="X20" s="66"/>
      <c r="Y20" s="66"/>
      <c r="Z20" s="66"/>
      <c r="AA20" s="66"/>
      <c r="AB20" s="66"/>
      <c r="AC20" s="66"/>
      <c r="AD20" s="66"/>
      <c r="AE20" s="66"/>
    </row>
    <row r="21" spans="1:31" x14ac:dyDescent="0.2">
      <c r="A21" s="66" t="s">
        <v>389</v>
      </c>
      <c r="B21" s="66"/>
      <c r="C21" s="66"/>
      <c r="D21" s="201">
        <f>ROUND(('F 1-2'!$G$19/24),1)</f>
        <v>167.6</v>
      </c>
      <c r="E21" s="66"/>
      <c r="F21" s="72">
        <f t="shared" si="1"/>
        <v>0.1154</v>
      </c>
      <c r="G21" s="66"/>
      <c r="H21" s="73">
        <f t="shared" si="2"/>
        <v>3.6999999999999998E-2</v>
      </c>
      <c r="I21" s="66"/>
      <c r="J21" s="72">
        <f>+'F 5B'!J41</f>
        <v>8.2699999999999996E-2</v>
      </c>
      <c r="K21" s="66"/>
      <c r="L21" s="72">
        <f>ROUND(J21*$L$16,4)</f>
        <v>3.9800000000000002E-2</v>
      </c>
      <c r="M21" s="66"/>
      <c r="N21" s="66"/>
      <c r="O21" s="66"/>
      <c r="P21" s="66"/>
      <c r="Q21" s="66"/>
      <c r="R21" s="72">
        <f t="shared" si="0"/>
        <v>7.6800000000000007E-2</v>
      </c>
      <c r="S21" s="66"/>
      <c r="T21" s="72"/>
      <c r="U21" s="66"/>
      <c r="V21" s="66"/>
      <c r="W21" s="66"/>
      <c r="X21" s="66"/>
      <c r="Y21" s="66"/>
      <c r="Z21" s="66"/>
      <c r="AA21" s="66"/>
      <c r="AB21" s="66"/>
      <c r="AC21" s="66"/>
      <c r="AD21" s="66"/>
      <c r="AE21" s="66"/>
    </row>
    <row r="22" spans="1:31" x14ac:dyDescent="0.2">
      <c r="A22" s="66" t="s">
        <v>503</v>
      </c>
      <c r="B22" s="66"/>
      <c r="C22" s="66"/>
      <c r="D22" s="201">
        <f>ROUND(('F 1-2'!$G$20/24),1)</f>
        <v>52.2</v>
      </c>
      <c r="E22" s="66"/>
      <c r="F22" s="72">
        <f t="shared" si="1"/>
        <v>3.5900000000000001E-2</v>
      </c>
      <c r="G22" s="66"/>
      <c r="H22" s="73">
        <f t="shared" si="2"/>
        <v>1.15E-2</v>
      </c>
      <c r="I22" s="66"/>
      <c r="J22" s="72">
        <f>+'F 5B'!J42</f>
        <v>2.1100000000000001E-2</v>
      </c>
      <c r="K22" s="66"/>
      <c r="L22" s="72">
        <f>ROUND(J22*$L$16,4)</f>
        <v>1.0200000000000001E-2</v>
      </c>
      <c r="M22" s="66"/>
      <c r="N22" s="66"/>
      <c r="O22" s="66"/>
      <c r="P22" s="66"/>
      <c r="Q22" s="66"/>
      <c r="R22" s="72">
        <f t="shared" si="0"/>
        <v>2.1700000000000001E-2</v>
      </c>
      <c r="S22" s="66"/>
      <c r="T22" s="72"/>
      <c r="U22" s="66"/>
      <c r="V22" s="66"/>
      <c r="W22" s="66"/>
      <c r="X22" s="66"/>
      <c r="Y22" s="66"/>
      <c r="Z22" s="66"/>
      <c r="AA22" s="66"/>
      <c r="AB22" s="66"/>
      <c r="AC22" s="66"/>
      <c r="AD22" s="66"/>
      <c r="AE22" s="66"/>
    </row>
    <row r="23" spans="1:31" x14ac:dyDescent="0.2">
      <c r="A23" s="66" t="s">
        <v>391</v>
      </c>
      <c r="B23" s="66"/>
      <c r="C23" s="66"/>
      <c r="D23" s="201">
        <f>ROUND(('F 1-2'!$G$21/24),1)</f>
        <v>3.8</v>
      </c>
      <c r="E23" s="66"/>
      <c r="F23" s="72">
        <f t="shared" si="1"/>
        <v>2.5999999999999999E-3</v>
      </c>
      <c r="G23" s="66"/>
      <c r="H23" s="73">
        <f t="shared" si="2"/>
        <v>8.0000000000000004E-4</v>
      </c>
      <c r="I23" s="66"/>
      <c r="J23" s="66"/>
      <c r="K23" s="66"/>
      <c r="L23" s="66"/>
      <c r="M23" s="66"/>
      <c r="N23" s="72">
        <f>Fire!$O$26</f>
        <v>0.45040000000000002</v>
      </c>
      <c r="O23" s="66"/>
      <c r="P23" s="72">
        <f>ROUND(N23*$P$16,4)</f>
        <v>8.8999999999999996E-2</v>
      </c>
      <c r="Q23" s="66"/>
      <c r="R23" s="72">
        <f t="shared" si="0"/>
        <v>8.9799999999999991E-2</v>
      </c>
      <c r="S23" s="66"/>
      <c r="T23" s="72"/>
      <c r="U23" s="66"/>
      <c r="V23" s="66"/>
      <c r="W23" s="66"/>
      <c r="X23" s="66"/>
      <c r="Y23" s="66"/>
      <c r="Z23" s="66"/>
      <c r="AA23" s="66"/>
      <c r="AB23" s="66"/>
      <c r="AC23" s="66"/>
      <c r="AD23" s="66"/>
      <c r="AE23" s="66"/>
    </row>
    <row r="24" spans="1:31" x14ac:dyDescent="0.2">
      <c r="A24" s="66" t="s">
        <v>392</v>
      </c>
      <c r="B24" s="66"/>
      <c r="C24" s="66"/>
      <c r="D24" s="201">
        <f>ROUND(('F 1-2'!$G$22/24),1)</f>
        <v>4.7</v>
      </c>
      <c r="E24" s="66"/>
      <c r="F24" s="72">
        <f t="shared" si="1"/>
        <v>3.2000000000000002E-3</v>
      </c>
      <c r="G24" s="66"/>
      <c r="H24" s="72">
        <f t="shared" si="2"/>
        <v>1E-3</v>
      </c>
      <c r="I24" s="66"/>
      <c r="J24" s="66"/>
      <c r="K24" s="66"/>
      <c r="L24" s="66"/>
      <c r="M24" s="66"/>
      <c r="N24" s="72">
        <f>Fire!$O$33</f>
        <v>0.54959999999999998</v>
      </c>
      <c r="O24" s="66"/>
      <c r="P24" s="72">
        <f>ROUND(N24*$P$16,4)</f>
        <v>0.1085</v>
      </c>
      <c r="Q24" s="66"/>
      <c r="R24" s="72">
        <f t="shared" si="0"/>
        <v>0.1095</v>
      </c>
      <c r="S24" s="72"/>
      <c r="T24" s="72"/>
      <c r="U24" s="66"/>
      <c r="V24" s="66"/>
      <c r="W24" s="66"/>
      <c r="X24" s="66"/>
      <c r="Y24" s="66"/>
      <c r="Z24" s="66"/>
      <c r="AA24" s="66"/>
      <c r="AB24" s="66"/>
      <c r="AC24" s="66"/>
      <c r="AD24" s="66"/>
      <c r="AE24" s="66"/>
    </row>
    <row r="25" spans="1:31" x14ac:dyDescent="0.2">
      <c r="A25" s="66"/>
      <c r="B25" s="66"/>
      <c r="C25" s="66"/>
      <c r="D25" s="202"/>
      <c r="E25" s="66"/>
      <c r="F25" s="75"/>
      <c r="G25" s="66"/>
      <c r="H25" s="75"/>
      <c r="I25" s="66"/>
      <c r="J25" s="75"/>
      <c r="K25" s="66"/>
      <c r="L25" s="75"/>
      <c r="M25" s="66"/>
      <c r="N25" s="75"/>
      <c r="O25" s="66"/>
      <c r="P25" s="75"/>
      <c r="Q25" s="66"/>
      <c r="R25" s="75"/>
      <c r="S25" s="66"/>
      <c r="T25" s="66"/>
      <c r="U25" s="66"/>
      <c r="V25" s="66"/>
      <c r="W25" s="66"/>
      <c r="X25" s="66"/>
      <c r="Y25" s="66"/>
      <c r="Z25" s="66"/>
      <c r="AA25" s="66"/>
      <c r="AB25" s="66"/>
      <c r="AC25" s="66"/>
      <c r="AD25" s="66"/>
      <c r="AE25" s="66"/>
    </row>
    <row r="26" spans="1:31" ht="15.75" thickBot="1" x14ac:dyDescent="0.25">
      <c r="A26" s="66" t="s">
        <v>393</v>
      </c>
      <c r="B26" s="66"/>
      <c r="C26" s="66"/>
      <c r="D26" s="204">
        <f>SUM(D18:D25)</f>
        <v>1452.6</v>
      </c>
      <c r="E26" s="66"/>
      <c r="F26" s="72">
        <f>SUM(F18:F25)</f>
        <v>1</v>
      </c>
      <c r="G26" s="66"/>
      <c r="H26" s="72">
        <f>SUM(H18:H25)</f>
        <v>0.32100000000000001</v>
      </c>
      <c r="I26" s="66"/>
      <c r="J26" s="72">
        <f>SUM(J18:J25)</f>
        <v>1</v>
      </c>
      <c r="K26" s="66"/>
      <c r="L26" s="72">
        <f>SUM(L18:L25)</f>
        <v>0.48149999999999998</v>
      </c>
      <c r="M26" s="66"/>
      <c r="N26" s="72">
        <f>SUM(N18:N25)</f>
        <v>1</v>
      </c>
      <c r="O26" s="66"/>
      <c r="P26" s="72">
        <f>SUM(P18:P25)</f>
        <v>0.19750000000000001</v>
      </c>
      <c r="Q26" s="66"/>
      <c r="R26" s="72">
        <f>SUM(R18:R25)</f>
        <v>1</v>
      </c>
      <c r="S26" s="66"/>
      <c r="T26" s="66"/>
      <c r="U26" s="66"/>
      <c r="V26" s="66"/>
      <c r="W26" s="66"/>
      <c r="X26" s="66"/>
      <c r="Y26" s="66"/>
      <c r="Z26" s="66"/>
      <c r="AA26" s="66"/>
      <c r="AB26" s="66"/>
      <c r="AC26" s="66"/>
      <c r="AD26" s="66"/>
      <c r="AE26" s="66"/>
    </row>
    <row r="27" spans="1:31" ht="15.75" thickTop="1" x14ac:dyDescent="0.2">
      <c r="A27" s="66"/>
      <c r="B27" s="66"/>
      <c r="C27" s="66"/>
      <c r="D27" s="203"/>
      <c r="E27" s="66"/>
      <c r="F27" s="76"/>
      <c r="G27" s="66"/>
      <c r="H27" s="76"/>
      <c r="I27" s="66"/>
      <c r="J27" s="76"/>
      <c r="K27" s="66"/>
      <c r="L27" s="76"/>
      <c r="M27" s="66"/>
      <c r="N27" s="76"/>
      <c r="O27" s="66"/>
      <c r="P27" s="76"/>
      <c r="Q27" s="66"/>
      <c r="R27" s="76"/>
      <c r="S27" s="66"/>
      <c r="T27" s="66"/>
      <c r="U27" s="66"/>
      <c r="V27" s="66"/>
      <c r="W27" s="66"/>
      <c r="X27" s="66"/>
      <c r="Y27" s="66"/>
      <c r="Z27" s="66"/>
      <c r="AA27" s="66"/>
      <c r="AB27" s="66"/>
      <c r="AC27" s="66"/>
      <c r="AD27" s="66"/>
      <c r="AE27" s="66"/>
    </row>
    <row r="28" spans="1:31" x14ac:dyDescent="0.2">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27.2" customHeight="1" x14ac:dyDescent="0.2">
      <c r="A29" s="663" t="s">
        <v>834</v>
      </c>
      <c r="B29" s="663"/>
      <c r="C29" s="663"/>
      <c r="D29" s="663"/>
      <c r="E29" s="663"/>
      <c r="F29" s="663"/>
      <c r="G29" s="663"/>
      <c r="H29" s="663"/>
      <c r="I29" s="663"/>
      <c r="J29" s="663"/>
      <c r="K29" s="663"/>
      <c r="L29" s="663"/>
      <c r="M29" s="663"/>
      <c r="N29" s="663"/>
      <c r="O29" s="663"/>
      <c r="P29" s="663"/>
      <c r="Q29" s="663"/>
      <c r="R29" s="663"/>
      <c r="S29" s="66"/>
      <c r="T29" s="66"/>
      <c r="U29" s="66"/>
      <c r="V29" s="66"/>
      <c r="W29" s="66"/>
      <c r="X29" s="66"/>
      <c r="Y29" s="66"/>
      <c r="Z29" s="66"/>
      <c r="AA29" s="66"/>
      <c r="AB29" s="66"/>
      <c r="AC29" s="66"/>
      <c r="AD29" s="66"/>
      <c r="AE29" s="66"/>
    </row>
    <row r="30" spans="1:31" x14ac:dyDescent="0.2">
      <c r="A30" s="66"/>
      <c r="B30" s="66"/>
      <c r="C30" s="66"/>
      <c r="D30" s="66"/>
      <c r="E30" s="66"/>
      <c r="F30" s="66"/>
      <c r="G30" s="66"/>
      <c r="H30" s="66"/>
      <c r="I30" s="66"/>
      <c r="J30" s="66"/>
      <c r="K30" s="66"/>
      <c r="L30" s="66"/>
      <c r="M30" s="66"/>
      <c r="N30" s="66"/>
      <c r="O30" s="66"/>
      <c r="P30" s="66"/>
      <c r="Q30" s="66"/>
      <c r="R30" s="66"/>
      <c r="S30" s="66"/>
      <c r="T30" s="66"/>
      <c r="U30" s="77"/>
      <c r="V30" s="66"/>
      <c r="W30" s="66"/>
      <c r="X30" s="66"/>
      <c r="Y30" s="66"/>
      <c r="Z30" s="66"/>
      <c r="AA30" s="66"/>
      <c r="AB30" s="66"/>
      <c r="AC30" s="66"/>
      <c r="AD30" s="66"/>
      <c r="AE30" s="66"/>
    </row>
    <row r="31" spans="1:31"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x14ac:dyDescent="0.2">
      <c r="A32" s="66"/>
      <c r="B32" s="66"/>
      <c r="C32" s="66"/>
      <c r="D32" s="66"/>
      <c r="E32" s="66"/>
      <c r="F32" s="66"/>
      <c r="G32" s="66"/>
      <c r="H32" s="66"/>
      <c r="I32" s="66"/>
      <c r="J32" s="66"/>
      <c r="K32" s="66"/>
      <c r="L32" s="66"/>
      <c r="M32" s="66"/>
      <c r="N32" s="66"/>
      <c r="O32" s="66"/>
      <c r="P32" s="66"/>
      <c r="Q32" s="66"/>
      <c r="R32" s="66"/>
      <c r="S32" s="66"/>
      <c r="T32" s="66"/>
      <c r="AE32" s="66"/>
    </row>
    <row r="33" spans="1:31" x14ac:dyDescent="0.2">
      <c r="A33" s="66"/>
      <c r="B33" s="66"/>
      <c r="C33" s="66"/>
      <c r="D33" s="66"/>
      <c r="E33" s="66"/>
      <c r="F33" s="66"/>
      <c r="G33" s="66"/>
      <c r="H33" s="66"/>
      <c r="I33" s="66"/>
      <c r="J33" s="66"/>
      <c r="K33" s="66"/>
      <c r="L33" s="66"/>
      <c r="M33" s="66"/>
      <c r="N33" s="66"/>
      <c r="O33" s="66"/>
      <c r="P33" s="66"/>
      <c r="Q33" s="66"/>
      <c r="R33" s="66"/>
      <c r="S33" s="66"/>
      <c r="T33" s="66"/>
      <c r="AE33" s="66"/>
    </row>
    <row r="34" spans="1:31" x14ac:dyDescent="0.2">
      <c r="A34" s="66"/>
      <c r="B34" s="66"/>
      <c r="C34" s="66"/>
      <c r="D34" s="66"/>
      <c r="E34" s="66"/>
      <c r="F34" s="66"/>
      <c r="G34" s="66"/>
      <c r="H34" s="66"/>
      <c r="I34" s="66"/>
      <c r="J34" s="66"/>
      <c r="K34" s="66"/>
      <c r="L34" s="66"/>
      <c r="M34" s="66"/>
      <c r="N34" s="66"/>
      <c r="O34" s="66"/>
      <c r="P34" s="66"/>
      <c r="Q34" s="66"/>
      <c r="R34" s="66"/>
      <c r="S34" s="66"/>
      <c r="T34" s="66"/>
      <c r="AE34" s="66"/>
    </row>
    <row r="35" spans="1:31" x14ac:dyDescent="0.2">
      <c r="A35" s="66"/>
      <c r="B35" s="66"/>
      <c r="C35" s="66"/>
      <c r="D35" s="66"/>
      <c r="E35" s="66"/>
      <c r="F35" s="66"/>
      <c r="G35" s="66"/>
      <c r="H35" s="66"/>
      <c r="I35" s="66"/>
      <c r="J35" s="66"/>
      <c r="K35" s="66"/>
      <c r="L35" s="66"/>
      <c r="M35" s="66"/>
      <c r="N35" s="66"/>
      <c r="O35" s="66"/>
      <c r="P35" s="66"/>
      <c r="Q35" s="66"/>
      <c r="R35" s="66"/>
      <c r="S35" s="66"/>
      <c r="T35" s="66"/>
      <c r="AE35" s="66"/>
    </row>
    <row r="36" spans="1:31" x14ac:dyDescent="0.2">
      <c r="A36" s="66"/>
      <c r="B36" s="66"/>
      <c r="C36" s="66"/>
      <c r="D36" s="66"/>
      <c r="E36" s="66"/>
      <c r="F36" s="66"/>
      <c r="G36" s="66"/>
      <c r="H36" s="66"/>
      <c r="I36" s="66"/>
      <c r="J36" s="66"/>
      <c r="K36" s="66"/>
      <c r="L36" s="66"/>
      <c r="M36" s="66"/>
      <c r="N36" s="66"/>
      <c r="O36" s="66"/>
      <c r="P36" s="66"/>
      <c r="Q36" s="66"/>
      <c r="R36" s="66"/>
      <c r="S36" s="66"/>
      <c r="T36" s="66"/>
      <c r="AE36" s="66"/>
    </row>
    <row r="37" spans="1:31" x14ac:dyDescent="0.2">
      <c r="A37" s="66"/>
      <c r="B37" s="66"/>
      <c r="C37" s="66"/>
      <c r="D37" s="66"/>
      <c r="E37" s="66"/>
      <c r="F37" s="66"/>
      <c r="G37" s="66"/>
      <c r="H37" s="66"/>
      <c r="I37" s="66"/>
      <c r="J37" s="66"/>
      <c r="K37" s="66"/>
      <c r="L37" s="66"/>
      <c r="M37" s="66"/>
      <c r="N37" s="66"/>
      <c r="O37" s="66"/>
      <c r="P37" s="66"/>
      <c r="Q37" s="66"/>
      <c r="R37" s="66"/>
      <c r="S37" s="66"/>
      <c r="T37" s="66"/>
      <c r="AE37" s="66"/>
    </row>
    <row r="38" spans="1:31" x14ac:dyDescent="0.2">
      <c r="A38" s="66"/>
      <c r="B38" s="66"/>
      <c r="C38" s="66"/>
      <c r="D38" s="66"/>
      <c r="E38" s="66"/>
      <c r="F38" s="66"/>
      <c r="G38" s="66"/>
      <c r="H38" s="66"/>
      <c r="I38" s="66"/>
      <c r="J38" s="66"/>
      <c r="K38" s="66"/>
      <c r="L38" s="66"/>
      <c r="M38" s="66"/>
      <c r="N38" s="66"/>
      <c r="O38" s="66"/>
      <c r="P38" s="66"/>
      <c r="Q38" s="66"/>
      <c r="R38" s="66"/>
      <c r="S38" s="66"/>
      <c r="T38" s="66"/>
      <c r="AE38" s="66"/>
    </row>
    <row r="39" spans="1:31" x14ac:dyDescent="0.2">
      <c r="A39" s="66"/>
      <c r="B39" s="66"/>
      <c r="C39" s="66"/>
      <c r="D39" s="66"/>
      <c r="E39" s="66"/>
      <c r="F39" s="66"/>
      <c r="G39" s="66"/>
      <c r="H39" s="66"/>
      <c r="I39" s="66"/>
      <c r="J39" s="66"/>
      <c r="K39" s="66"/>
      <c r="L39" s="66"/>
      <c r="M39" s="66"/>
      <c r="N39" s="66"/>
      <c r="O39" s="66"/>
      <c r="P39" s="66"/>
      <c r="Q39" s="66"/>
      <c r="R39" s="66"/>
      <c r="S39" s="66"/>
      <c r="T39" s="66"/>
      <c r="AE39" s="66"/>
    </row>
    <row r="40" spans="1:31" x14ac:dyDescent="0.2">
      <c r="A40" s="66"/>
      <c r="B40" s="66"/>
      <c r="C40" s="66"/>
      <c r="D40" s="66"/>
      <c r="E40" s="66"/>
      <c r="F40" s="66"/>
      <c r="G40" s="66"/>
      <c r="H40" s="66"/>
      <c r="I40" s="66"/>
      <c r="J40" s="66"/>
      <c r="K40" s="66"/>
      <c r="L40" s="66"/>
      <c r="M40" s="66"/>
      <c r="N40" s="66"/>
      <c r="O40" s="66"/>
      <c r="P40" s="66"/>
      <c r="Q40" s="66"/>
      <c r="R40" s="66"/>
      <c r="S40" s="66"/>
      <c r="T40" s="66"/>
      <c r="AE40" s="66"/>
    </row>
    <row r="41" spans="1:31" x14ac:dyDescent="0.2">
      <c r="A41" s="66"/>
      <c r="B41" s="66"/>
      <c r="C41" s="66"/>
      <c r="D41" s="66"/>
      <c r="E41" s="66"/>
      <c r="F41" s="66"/>
      <c r="G41" s="66"/>
      <c r="H41" s="66"/>
      <c r="I41" s="66"/>
      <c r="J41" s="66"/>
      <c r="K41" s="66"/>
      <c r="L41" s="66"/>
      <c r="M41" s="66"/>
      <c r="N41" s="66"/>
      <c r="O41" s="66"/>
      <c r="P41" s="66"/>
      <c r="Q41" s="66"/>
      <c r="R41" s="66"/>
      <c r="S41" s="66"/>
      <c r="T41" s="66"/>
      <c r="AE41" s="66"/>
    </row>
    <row r="42" spans="1:31" x14ac:dyDescent="0.2">
      <c r="A42" s="66"/>
      <c r="B42" s="66"/>
      <c r="C42" s="66"/>
      <c r="D42" s="66"/>
      <c r="E42" s="66"/>
      <c r="F42" s="66"/>
      <c r="G42" s="66"/>
      <c r="H42" s="66"/>
      <c r="I42" s="66"/>
      <c r="J42" s="66"/>
      <c r="K42" s="66"/>
      <c r="L42" s="66"/>
      <c r="M42" s="66"/>
      <c r="N42" s="66"/>
      <c r="O42" s="66"/>
      <c r="P42" s="66"/>
      <c r="Q42" s="66"/>
      <c r="R42" s="66"/>
      <c r="S42" s="66"/>
      <c r="T42" s="66"/>
      <c r="AE42" s="66"/>
    </row>
    <row r="43" spans="1:31" x14ac:dyDescent="0.2">
      <c r="A43" s="66"/>
      <c r="B43" s="66"/>
      <c r="C43" s="66"/>
      <c r="D43" s="66"/>
      <c r="E43" s="66"/>
      <c r="F43" s="66"/>
      <c r="G43" s="66"/>
      <c r="H43" s="66"/>
      <c r="I43" s="66"/>
      <c r="J43" s="66"/>
      <c r="K43" s="66"/>
      <c r="L43" s="66"/>
      <c r="M43" s="66"/>
      <c r="N43" s="66"/>
      <c r="O43" s="66"/>
      <c r="P43" s="66"/>
      <c r="Q43" s="66"/>
      <c r="R43" s="66"/>
      <c r="S43" s="66"/>
      <c r="T43" s="66"/>
      <c r="AE43" s="66"/>
    </row>
    <row r="44" spans="1:31" x14ac:dyDescent="0.2">
      <c r="A44" s="66"/>
      <c r="B44" s="66"/>
      <c r="C44" s="66"/>
      <c r="D44" s="66"/>
      <c r="E44" s="66"/>
      <c r="F44" s="66"/>
      <c r="G44" s="66"/>
      <c r="H44" s="66"/>
      <c r="I44" s="66"/>
      <c r="J44" s="66"/>
      <c r="K44" s="66"/>
      <c r="L44" s="66"/>
      <c r="M44" s="66"/>
      <c r="N44" s="66"/>
      <c r="O44" s="66"/>
      <c r="P44" s="66"/>
      <c r="Q44" s="66"/>
      <c r="R44" s="66"/>
      <c r="S44" s="66"/>
      <c r="T44" s="66"/>
      <c r="AE44" s="66"/>
    </row>
    <row r="45" spans="1:31" x14ac:dyDescent="0.2">
      <c r="A45" s="66"/>
      <c r="B45" s="66"/>
      <c r="C45" s="66"/>
      <c r="D45" s="66"/>
      <c r="E45" s="66"/>
      <c r="F45" s="66"/>
      <c r="G45" s="66"/>
      <c r="H45" s="66"/>
      <c r="I45" s="66"/>
      <c r="J45" s="66"/>
      <c r="K45" s="66"/>
      <c r="L45" s="66"/>
      <c r="M45" s="66"/>
      <c r="N45" s="66"/>
      <c r="O45" s="66"/>
      <c r="P45" s="66"/>
      <c r="Q45" s="66"/>
      <c r="R45" s="66"/>
      <c r="S45" s="66"/>
      <c r="T45" s="66"/>
      <c r="AE45" s="66"/>
    </row>
    <row r="46" spans="1:31" x14ac:dyDescent="0.2">
      <c r="A46" s="66"/>
      <c r="B46" s="66"/>
      <c r="C46" s="66"/>
      <c r="D46" s="66"/>
      <c r="E46" s="66"/>
      <c r="F46" s="66"/>
      <c r="G46" s="66"/>
      <c r="H46" s="66"/>
      <c r="I46" s="66"/>
      <c r="J46" s="66"/>
      <c r="K46" s="66"/>
      <c r="L46" s="66"/>
      <c r="M46" s="66"/>
      <c r="N46" s="66"/>
      <c r="O46" s="66"/>
      <c r="P46" s="66"/>
      <c r="Q46" s="66"/>
      <c r="R46" s="66"/>
      <c r="S46" s="66"/>
      <c r="T46" s="66"/>
      <c r="AE46" s="66"/>
    </row>
    <row r="47" spans="1:31" x14ac:dyDescent="0.2">
      <c r="A47" s="66"/>
      <c r="B47" s="66"/>
      <c r="C47" s="66"/>
      <c r="D47" s="66"/>
      <c r="E47" s="66"/>
      <c r="F47" s="66"/>
      <c r="G47" s="66"/>
      <c r="H47" s="66"/>
      <c r="I47" s="66"/>
      <c r="J47" s="66"/>
      <c r="K47" s="66"/>
      <c r="L47" s="66"/>
      <c r="M47" s="66"/>
      <c r="N47" s="66"/>
      <c r="O47" s="66"/>
      <c r="P47" s="66"/>
      <c r="Q47" s="66"/>
      <c r="R47" s="66"/>
      <c r="S47" s="66"/>
      <c r="T47" s="66"/>
      <c r="AE47" s="66"/>
    </row>
    <row r="48" spans="1:31" x14ac:dyDescent="0.2">
      <c r="A48" s="66"/>
      <c r="B48" s="66"/>
      <c r="C48" s="66"/>
      <c r="D48" s="66"/>
      <c r="E48" s="66"/>
      <c r="F48" s="66"/>
      <c r="G48" s="66"/>
      <c r="H48" s="66"/>
      <c r="I48" s="66"/>
      <c r="J48" s="66"/>
      <c r="K48" s="66"/>
      <c r="L48" s="66"/>
      <c r="M48" s="66"/>
      <c r="N48" s="66"/>
      <c r="O48" s="66"/>
      <c r="P48" s="66"/>
      <c r="Q48" s="66"/>
      <c r="R48" s="66"/>
      <c r="S48" s="66"/>
      <c r="T48" s="66"/>
      <c r="AE48" s="66"/>
    </row>
    <row r="49" spans="1:31" x14ac:dyDescent="0.2">
      <c r="A49" s="66"/>
      <c r="B49" s="66"/>
      <c r="C49" s="66"/>
      <c r="D49" s="66"/>
      <c r="E49" s="66"/>
      <c r="F49" s="66"/>
      <c r="G49" s="66"/>
      <c r="H49" s="66"/>
      <c r="I49" s="66"/>
      <c r="J49" s="66"/>
      <c r="K49" s="66"/>
      <c r="L49" s="66"/>
      <c r="M49" s="66"/>
      <c r="N49" s="66"/>
      <c r="O49" s="66"/>
      <c r="P49" s="66"/>
      <c r="Q49" s="66"/>
      <c r="R49" s="66"/>
      <c r="S49" s="66"/>
      <c r="T49" s="66"/>
      <c r="AE49" s="66"/>
    </row>
    <row r="50" spans="1:31" x14ac:dyDescent="0.2">
      <c r="A50" s="66"/>
      <c r="B50" s="66"/>
      <c r="C50" s="66"/>
      <c r="D50" s="66"/>
      <c r="E50" s="66"/>
      <c r="F50" s="66"/>
      <c r="G50" s="66"/>
      <c r="H50" s="66"/>
      <c r="I50" s="66"/>
      <c r="J50" s="66"/>
      <c r="K50" s="66"/>
      <c r="L50" s="66"/>
      <c r="M50" s="66"/>
      <c r="N50" s="66"/>
      <c r="O50" s="66"/>
      <c r="P50" s="66"/>
      <c r="Q50" s="66"/>
      <c r="R50" s="66"/>
      <c r="S50" s="66"/>
      <c r="T50" s="66"/>
      <c r="AE50" s="66"/>
    </row>
    <row r="51" spans="1:31" x14ac:dyDescent="0.2">
      <c r="A51" s="66"/>
      <c r="B51" s="66"/>
      <c r="C51" s="66"/>
      <c r="D51" s="66"/>
      <c r="E51" s="66"/>
      <c r="F51" s="66"/>
      <c r="G51" s="66"/>
      <c r="H51" s="66"/>
      <c r="I51" s="66"/>
      <c r="J51" s="66"/>
      <c r="K51" s="66"/>
      <c r="L51" s="66"/>
      <c r="M51" s="66"/>
      <c r="N51" s="66"/>
      <c r="O51" s="66"/>
      <c r="P51" s="66"/>
      <c r="Q51" s="66"/>
      <c r="R51" s="66"/>
      <c r="S51" s="66"/>
      <c r="T51" s="66"/>
      <c r="AE51" s="66"/>
    </row>
    <row r="52" spans="1:31" x14ac:dyDescent="0.2">
      <c r="A52" s="66"/>
      <c r="B52" s="66"/>
      <c r="C52" s="66"/>
      <c r="D52" s="66"/>
      <c r="E52" s="66"/>
      <c r="F52" s="66"/>
      <c r="G52" s="66"/>
      <c r="H52" s="66"/>
      <c r="I52" s="66"/>
      <c r="J52" s="66"/>
      <c r="K52" s="66"/>
      <c r="L52" s="66"/>
      <c r="M52" s="66"/>
      <c r="N52" s="66"/>
      <c r="O52" s="66"/>
      <c r="P52" s="66"/>
      <c r="Q52" s="66"/>
      <c r="R52" s="66"/>
      <c r="S52" s="66"/>
      <c r="T52" s="66"/>
      <c r="AE52" s="66"/>
    </row>
    <row r="53" spans="1:31" x14ac:dyDescent="0.2">
      <c r="A53" s="66"/>
      <c r="B53" s="66"/>
      <c r="C53" s="66"/>
      <c r="D53" s="66"/>
      <c r="E53" s="66"/>
      <c r="F53" s="66"/>
      <c r="G53" s="66"/>
      <c r="H53" s="66"/>
      <c r="I53" s="66"/>
      <c r="J53" s="66"/>
      <c r="K53" s="66"/>
      <c r="L53" s="66"/>
      <c r="M53" s="66"/>
      <c r="N53" s="66"/>
      <c r="O53" s="66"/>
      <c r="P53" s="66"/>
      <c r="Q53" s="66"/>
      <c r="R53" s="66"/>
      <c r="S53" s="66"/>
      <c r="T53" s="66"/>
      <c r="AE53" s="66"/>
    </row>
    <row r="54" spans="1:31" x14ac:dyDescent="0.2">
      <c r="A54" s="66"/>
      <c r="B54" s="66"/>
      <c r="C54" s="66"/>
      <c r="D54" s="66"/>
      <c r="E54" s="66"/>
      <c r="F54" s="66"/>
      <c r="G54" s="66"/>
      <c r="H54" s="66"/>
      <c r="I54" s="66"/>
      <c r="J54" s="66"/>
      <c r="K54" s="66"/>
      <c r="L54" s="66"/>
      <c r="M54" s="66"/>
      <c r="N54" s="66"/>
      <c r="O54" s="66"/>
      <c r="P54" s="66"/>
      <c r="Q54" s="66"/>
      <c r="R54" s="66"/>
      <c r="S54" s="66"/>
      <c r="T54" s="66"/>
      <c r="AE54" s="66"/>
    </row>
    <row r="55" spans="1:31" x14ac:dyDescent="0.2">
      <c r="A55" s="66"/>
      <c r="B55" s="66"/>
      <c r="C55" s="66"/>
      <c r="D55" s="66"/>
      <c r="E55" s="66"/>
      <c r="F55" s="66"/>
      <c r="G55" s="66"/>
      <c r="H55" s="66"/>
      <c r="I55" s="66"/>
      <c r="J55" s="66"/>
      <c r="K55" s="66"/>
      <c r="L55" s="66"/>
      <c r="M55" s="66"/>
      <c r="N55" s="66"/>
      <c r="O55" s="66"/>
      <c r="P55" s="66"/>
      <c r="Q55" s="66"/>
      <c r="R55" s="66"/>
      <c r="S55" s="66"/>
      <c r="T55" s="66"/>
      <c r="AE55" s="66"/>
    </row>
    <row r="56" spans="1:31" x14ac:dyDescent="0.2">
      <c r="A56" s="66"/>
      <c r="B56" s="66"/>
      <c r="C56" s="66"/>
      <c r="D56" s="66"/>
      <c r="E56" s="66"/>
      <c r="F56" s="66"/>
      <c r="G56" s="66"/>
      <c r="H56" s="66"/>
      <c r="I56" s="66"/>
      <c r="J56" s="66"/>
      <c r="K56" s="66"/>
      <c r="L56" s="66"/>
      <c r="M56" s="66"/>
      <c r="N56" s="66"/>
      <c r="O56" s="66"/>
      <c r="P56" s="66"/>
      <c r="Q56" s="66"/>
      <c r="R56" s="66"/>
      <c r="S56" s="66"/>
      <c r="T56" s="66"/>
      <c r="AE56" s="66"/>
    </row>
    <row r="57" spans="1:31" x14ac:dyDescent="0.2">
      <c r="A57" s="66"/>
      <c r="B57" s="66"/>
      <c r="C57" s="66"/>
      <c r="D57" s="66"/>
      <c r="E57" s="66"/>
      <c r="F57" s="66"/>
      <c r="G57" s="66"/>
      <c r="H57" s="66"/>
      <c r="I57" s="66"/>
      <c r="J57" s="66"/>
      <c r="K57" s="66"/>
      <c r="L57" s="66"/>
      <c r="M57" s="66"/>
      <c r="N57" s="66"/>
      <c r="O57" s="66"/>
      <c r="P57" s="66"/>
      <c r="Q57" s="66"/>
      <c r="R57" s="66"/>
      <c r="S57" s="66"/>
      <c r="T57" s="66"/>
      <c r="AE57" s="66"/>
    </row>
    <row r="58" spans="1:31" x14ac:dyDescent="0.2">
      <c r="A58" s="66"/>
      <c r="B58" s="66"/>
      <c r="C58" s="66"/>
      <c r="D58" s="66"/>
      <c r="E58" s="66"/>
      <c r="F58" s="66"/>
      <c r="G58" s="66"/>
      <c r="H58" s="66"/>
      <c r="I58" s="66"/>
      <c r="J58" s="66"/>
      <c r="K58" s="66"/>
      <c r="L58" s="66"/>
      <c r="M58" s="66"/>
      <c r="N58" s="66"/>
      <c r="O58" s="66"/>
      <c r="P58" s="66"/>
      <c r="Q58" s="66"/>
      <c r="R58" s="66"/>
      <c r="S58" s="66"/>
      <c r="T58" s="66"/>
      <c r="AE58" s="66"/>
    </row>
    <row r="59" spans="1:31" x14ac:dyDescent="0.2">
      <c r="A59" s="66"/>
      <c r="B59" s="66"/>
      <c r="C59" s="66"/>
      <c r="D59" s="66"/>
      <c r="E59" s="66"/>
      <c r="F59" s="66"/>
      <c r="G59" s="66"/>
      <c r="H59" s="66"/>
      <c r="I59" s="66"/>
      <c r="J59" s="66"/>
      <c r="K59" s="66"/>
      <c r="L59" s="66"/>
      <c r="M59" s="66"/>
      <c r="N59" s="66"/>
      <c r="O59" s="66"/>
      <c r="P59" s="66"/>
      <c r="Q59" s="66"/>
      <c r="R59" s="66"/>
      <c r="S59" s="66"/>
      <c r="T59" s="66"/>
      <c r="AE59" s="66"/>
    </row>
    <row r="60" spans="1:31" x14ac:dyDescent="0.2">
      <c r="A60" s="66"/>
      <c r="B60" s="66"/>
      <c r="C60" s="66"/>
      <c r="D60" s="66"/>
      <c r="E60" s="66"/>
      <c r="F60" s="66"/>
      <c r="G60" s="66"/>
      <c r="H60" s="66"/>
      <c r="I60" s="66"/>
      <c r="J60" s="66"/>
      <c r="K60" s="66"/>
      <c r="L60" s="66"/>
      <c r="M60" s="66"/>
      <c r="N60" s="66"/>
      <c r="O60" s="66"/>
      <c r="P60" s="66"/>
      <c r="Q60" s="66"/>
      <c r="R60" s="66"/>
      <c r="S60" s="66"/>
      <c r="T60" s="66"/>
      <c r="AE60" s="66"/>
    </row>
    <row r="61" spans="1:31" x14ac:dyDescent="0.2">
      <c r="A61" s="66"/>
      <c r="B61" s="66"/>
      <c r="C61" s="66"/>
      <c r="D61" s="66"/>
      <c r="E61" s="66"/>
      <c r="F61" s="66"/>
      <c r="G61" s="66"/>
      <c r="H61" s="66"/>
      <c r="I61" s="66"/>
      <c r="J61" s="66"/>
      <c r="K61" s="66"/>
      <c r="L61" s="66"/>
      <c r="M61" s="66"/>
      <c r="N61" s="66"/>
      <c r="O61" s="66"/>
      <c r="P61" s="66"/>
      <c r="Q61" s="66"/>
      <c r="R61" s="66"/>
      <c r="S61" s="66"/>
      <c r="T61" s="66"/>
      <c r="AE61" s="66"/>
    </row>
    <row r="62" spans="1:31" x14ac:dyDescent="0.2">
      <c r="A62" s="66"/>
      <c r="B62" s="66"/>
      <c r="C62" s="66"/>
      <c r="D62" s="66"/>
      <c r="E62" s="66"/>
      <c r="F62" s="66"/>
      <c r="G62" s="66"/>
      <c r="H62" s="66"/>
      <c r="I62" s="66"/>
      <c r="J62" s="66"/>
      <c r="K62" s="66"/>
      <c r="L62" s="66"/>
      <c r="M62" s="66"/>
      <c r="N62" s="66"/>
      <c r="O62" s="66"/>
      <c r="P62" s="66"/>
      <c r="Q62" s="66"/>
      <c r="R62" s="66"/>
      <c r="S62" s="66"/>
      <c r="T62" s="66"/>
      <c r="AE62" s="66"/>
    </row>
    <row r="63" spans="1:31" x14ac:dyDescent="0.2">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row>
    <row r="64" spans="1:31" x14ac:dyDescent="0.2">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1"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row>
    <row r="66" spans="1:31"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row>
    <row r="67" spans="1:31" x14ac:dyDescent="0.2">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row>
  </sheetData>
  <mergeCells count="2">
    <mergeCell ref="A9:R9"/>
    <mergeCell ref="A29:R29"/>
  </mergeCells>
  <phoneticPr fontId="12" type="noConversion"/>
  <printOptions horizontalCentered="1"/>
  <pageMargins left="0.5" right="0.5" top="1" bottom="0.5" header="0.5" footer="0.5"/>
  <headerFooter alignWithMargins="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S46"/>
  <sheetViews>
    <sheetView workbookViewId="0">
      <selection activeCell="O23" sqref="O23"/>
    </sheetView>
  </sheetViews>
  <sheetFormatPr defaultColWidth="9.6640625" defaultRowHeight="15" x14ac:dyDescent="0.2"/>
  <cols>
    <col min="1" max="1" width="5" style="299" customWidth="1"/>
    <col min="2" max="2" width="13.33203125" style="299" customWidth="1"/>
    <col min="3" max="3" width="6.88671875" style="299" customWidth="1"/>
    <col min="4" max="4" width="12.33203125" style="299" customWidth="1"/>
    <col min="5" max="5" width="8" style="299" customWidth="1"/>
    <col min="6" max="6" width="9.6640625" style="299" customWidth="1"/>
    <col min="7" max="7" width="2.5546875" style="299" customWidth="1"/>
    <col min="8" max="8" width="9.6640625" style="299" customWidth="1"/>
    <col min="9" max="9" width="3.5546875" style="299" customWidth="1"/>
    <col min="10" max="13" width="9.6640625" style="299" customWidth="1"/>
    <col min="14" max="14" width="11" style="299" bestFit="1" customWidth="1"/>
    <col min="15" max="16384" width="9.6640625" style="299"/>
  </cols>
  <sheetData>
    <row r="1" spans="1:17" x14ac:dyDescent="0.2">
      <c r="A1" s="37" t="s">
        <v>77</v>
      </c>
      <c r="B1" s="37"/>
      <c r="C1" s="37"/>
      <c r="D1" s="37"/>
      <c r="E1" s="37"/>
      <c r="F1" s="37"/>
      <c r="G1" s="37"/>
      <c r="H1" s="37"/>
      <c r="I1" s="37"/>
      <c r="J1" s="37"/>
    </row>
    <row r="2" spans="1:17" x14ac:dyDescent="0.2">
      <c r="A2" s="37"/>
      <c r="B2" s="37"/>
      <c r="C2" s="37"/>
      <c r="D2" s="37"/>
      <c r="E2" s="37"/>
      <c r="F2" s="37"/>
      <c r="G2" s="37"/>
      <c r="H2" s="37"/>
      <c r="I2" s="37"/>
      <c r="J2" s="37"/>
    </row>
    <row r="3" spans="1:17" x14ac:dyDescent="0.2">
      <c r="A3" s="78"/>
      <c r="B3" s="78"/>
      <c r="C3" s="78"/>
      <c r="D3" s="78"/>
      <c r="E3" s="78"/>
      <c r="F3" s="78"/>
      <c r="G3" s="78"/>
      <c r="H3" s="78"/>
      <c r="I3" s="79"/>
      <c r="N3" s="448"/>
    </row>
    <row r="4" spans="1:17" x14ac:dyDescent="0.2">
      <c r="A4" s="38" t="s">
        <v>181</v>
      </c>
      <c r="B4" s="38"/>
      <c r="C4" s="38"/>
      <c r="D4" s="38"/>
      <c r="E4" s="38"/>
      <c r="F4" s="38"/>
      <c r="G4" s="38"/>
      <c r="H4" s="38"/>
      <c r="I4" s="79"/>
      <c r="N4" s="448"/>
    </row>
    <row r="5" spans="1:17" x14ac:dyDescent="0.2">
      <c r="A5" s="79"/>
      <c r="B5" s="79"/>
      <c r="C5" s="79"/>
      <c r="D5" s="79"/>
      <c r="E5" s="79"/>
      <c r="F5" s="79"/>
      <c r="G5" s="79"/>
      <c r="H5" s="79"/>
      <c r="I5" s="79"/>
      <c r="N5" s="449"/>
    </row>
    <row r="6" spans="1:17" x14ac:dyDescent="0.2">
      <c r="A6" s="79"/>
      <c r="B6" s="79"/>
      <c r="C6" s="79"/>
      <c r="D6" s="79"/>
      <c r="E6" s="79"/>
      <c r="F6" s="79"/>
      <c r="G6" s="79"/>
      <c r="H6" s="79"/>
      <c r="I6" s="79"/>
      <c r="N6" s="449"/>
    </row>
    <row r="7" spans="1:17" x14ac:dyDescent="0.2">
      <c r="A7" s="79" t="s">
        <v>189</v>
      </c>
      <c r="B7" s="79"/>
      <c r="C7" s="79"/>
      <c r="D7" s="79"/>
      <c r="E7" s="79"/>
      <c r="F7" s="79"/>
      <c r="G7" s="79"/>
      <c r="H7" s="79"/>
      <c r="I7" s="79"/>
      <c r="N7" s="449"/>
    </row>
    <row r="8" spans="1:17" x14ac:dyDescent="0.2">
      <c r="A8" s="79"/>
      <c r="B8" s="79"/>
      <c r="C8" s="79"/>
      <c r="D8" s="79"/>
      <c r="E8" s="79"/>
      <c r="F8" s="79"/>
      <c r="G8" s="79"/>
      <c r="H8" s="79"/>
      <c r="I8" s="79"/>
      <c r="N8" s="449"/>
    </row>
    <row r="9" spans="1:17" ht="28.35" customHeight="1" x14ac:dyDescent="0.2">
      <c r="A9" s="666" t="s">
        <v>671</v>
      </c>
      <c r="B9" s="658"/>
      <c r="C9" s="658"/>
      <c r="D9" s="658"/>
      <c r="E9" s="658"/>
      <c r="F9" s="658"/>
      <c r="G9" s="658"/>
      <c r="H9" s="658"/>
      <c r="I9" s="658"/>
      <c r="J9" s="658"/>
      <c r="N9" s="449"/>
    </row>
    <row r="10" spans="1:17" x14ac:dyDescent="0.2">
      <c r="A10" s="79"/>
      <c r="B10" s="79"/>
      <c r="C10" s="79"/>
      <c r="D10" s="79"/>
      <c r="E10" s="79"/>
      <c r="F10" s="79"/>
      <c r="G10" s="79"/>
      <c r="H10" s="79"/>
      <c r="I10" s="79"/>
      <c r="N10" s="449"/>
    </row>
    <row r="11" spans="1:17" x14ac:dyDescent="0.2">
      <c r="A11" s="79"/>
      <c r="B11" s="79"/>
      <c r="C11" s="79"/>
      <c r="E11" s="79"/>
      <c r="F11" s="79"/>
      <c r="G11" s="79"/>
      <c r="H11" s="79"/>
      <c r="I11" s="79"/>
      <c r="N11" s="449"/>
    </row>
    <row r="12" spans="1:17" x14ac:dyDescent="0.2">
      <c r="A12" s="79" t="s">
        <v>321</v>
      </c>
      <c r="B12" s="79"/>
      <c r="C12" s="217">
        <f>+'F 3B 4B'!G50</f>
        <v>10000</v>
      </c>
      <c r="D12" s="215" t="s">
        <v>64</v>
      </c>
      <c r="E12" s="78"/>
      <c r="F12" s="80" t="s">
        <v>322</v>
      </c>
      <c r="H12" s="81">
        <f>ROUND(+C12*60*10/D13,4)</f>
        <v>0.19750000000000001</v>
      </c>
      <c r="I12" s="79"/>
      <c r="N12" s="449"/>
      <c r="Q12" s="214"/>
    </row>
    <row r="13" spans="1:17" x14ac:dyDescent="0.2">
      <c r="A13" s="79"/>
      <c r="B13" s="79"/>
      <c r="D13" s="305">
        <v>30380000</v>
      </c>
      <c r="E13" s="83" t="s">
        <v>437</v>
      </c>
      <c r="F13" s="80"/>
      <c r="G13" s="79"/>
      <c r="I13" s="79"/>
      <c r="N13" s="449"/>
    </row>
    <row r="14" spans="1:17" x14ac:dyDescent="0.2">
      <c r="A14" s="79"/>
      <c r="B14" s="79"/>
      <c r="C14" s="79"/>
      <c r="D14" s="79"/>
      <c r="E14" s="79"/>
      <c r="F14" s="80"/>
      <c r="G14" s="79"/>
      <c r="I14" s="79"/>
      <c r="N14" s="449"/>
    </row>
    <row r="15" spans="1:17" x14ac:dyDescent="0.2">
      <c r="A15" s="79" t="s">
        <v>323</v>
      </c>
      <c r="B15" s="79"/>
      <c r="D15" s="81">
        <v>1</v>
      </c>
      <c r="E15" s="80" t="s">
        <v>324</v>
      </c>
      <c r="F15" s="81">
        <f>H12</f>
        <v>0.19750000000000001</v>
      </c>
      <c r="G15" s="82" t="s">
        <v>322</v>
      </c>
      <c r="H15" s="81">
        <f>D15-F15</f>
        <v>0.80249999999999999</v>
      </c>
      <c r="I15" s="79"/>
      <c r="N15" s="449"/>
    </row>
    <row r="16" spans="1:17" x14ac:dyDescent="0.2">
      <c r="A16" s="79"/>
      <c r="B16" s="79"/>
      <c r="C16" s="79"/>
      <c r="D16" s="79"/>
      <c r="E16" s="79"/>
      <c r="F16" s="79"/>
      <c r="G16" s="79"/>
      <c r="H16" s="79"/>
      <c r="I16" s="79"/>
      <c r="N16" s="449"/>
    </row>
    <row r="17" spans="1:19" x14ac:dyDescent="0.2">
      <c r="A17" s="79"/>
      <c r="B17" s="79"/>
      <c r="C17" s="79"/>
      <c r="D17" s="79"/>
      <c r="E17" s="79"/>
      <c r="F17" s="79"/>
      <c r="G17" s="79"/>
      <c r="H17" s="79"/>
      <c r="I17" s="79"/>
      <c r="J17" s="249"/>
      <c r="K17" s="249"/>
      <c r="L17" s="249"/>
      <c r="M17" s="249"/>
      <c r="N17" s="450"/>
      <c r="O17" s="310"/>
      <c r="P17" s="249"/>
      <c r="Q17" s="249"/>
      <c r="R17" s="249"/>
      <c r="S17" s="249"/>
    </row>
    <row r="18" spans="1:19" ht="29.25" customHeight="1" x14ac:dyDescent="0.2">
      <c r="A18" s="666" t="s">
        <v>325</v>
      </c>
      <c r="B18" s="666"/>
      <c r="C18" s="666"/>
      <c r="D18" s="666"/>
      <c r="E18" s="666"/>
      <c r="F18" s="666"/>
      <c r="G18" s="666"/>
      <c r="H18" s="666"/>
      <c r="I18" s="79"/>
      <c r="N18" s="449"/>
    </row>
    <row r="19" spans="1:19" x14ac:dyDescent="0.2">
      <c r="A19" s="79"/>
      <c r="B19" s="79"/>
      <c r="C19" s="79"/>
      <c r="D19" s="79"/>
      <c r="E19" s="79"/>
      <c r="F19" s="79"/>
      <c r="G19" s="79"/>
      <c r="H19" s="79"/>
      <c r="I19" s="79"/>
      <c r="N19" s="449"/>
    </row>
    <row r="20" spans="1:19" x14ac:dyDescent="0.2">
      <c r="A20" s="79"/>
      <c r="B20" s="79"/>
      <c r="C20" s="79"/>
      <c r="D20" s="80" t="s">
        <v>404</v>
      </c>
      <c r="E20" s="79"/>
      <c r="F20" s="79"/>
      <c r="G20" s="79"/>
      <c r="H20" s="79"/>
      <c r="I20" s="79"/>
      <c r="N20" s="449"/>
    </row>
    <row r="21" spans="1:19" x14ac:dyDescent="0.2">
      <c r="A21" s="79"/>
      <c r="B21" s="79"/>
      <c r="C21" s="79"/>
      <c r="D21" s="80" t="s">
        <v>326</v>
      </c>
      <c r="E21" s="79"/>
      <c r="F21" s="79"/>
      <c r="G21" s="79"/>
      <c r="H21" s="79"/>
      <c r="I21" s="79"/>
      <c r="N21" s="449"/>
    </row>
    <row r="22" spans="1:19" x14ac:dyDescent="0.2">
      <c r="A22" s="79"/>
      <c r="B22" s="79"/>
      <c r="C22" s="79"/>
      <c r="D22" s="80" t="s">
        <v>406</v>
      </c>
      <c r="E22" s="79"/>
      <c r="F22" s="80" t="s">
        <v>327</v>
      </c>
      <c r="G22" s="79"/>
      <c r="H22" s="80" t="s">
        <v>407</v>
      </c>
      <c r="I22" s="79"/>
      <c r="N22" s="449"/>
    </row>
    <row r="23" spans="1:19" x14ac:dyDescent="0.2">
      <c r="A23" s="79"/>
      <c r="B23" s="79"/>
      <c r="C23" s="79"/>
      <c r="D23" s="83"/>
      <c r="E23" s="79"/>
      <c r="F23" s="83"/>
      <c r="G23" s="79"/>
      <c r="H23" s="83"/>
      <c r="I23" s="79"/>
      <c r="N23" s="449"/>
    </row>
    <row r="24" spans="1:19" x14ac:dyDescent="0.2">
      <c r="A24" s="79"/>
      <c r="B24" s="79" t="s">
        <v>442</v>
      </c>
      <c r="C24" s="79"/>
      <c r="D24" s="84">
        <v>1</v>
      </c>
      <c r="E24" s="79"/>
      <c r="F24" s="84">
        <f>D24/D29*100</f>
        <v>40</v>
      </c>
      <c r="G24" s="79"/>
      <c r="H24" s="81">
        <f>ROUND(F24/100*(1-H12),4)</f>
        <v>0.32100000000000001</v>
      </c>
      <c r="I24" s="79"/>
      <c r="N24" s="449"/>
    </row>
    <row r="25" spans="1:19" x14ac:dyDescent="0.2">
      <c r="A25" s="79"/>
      <c r="B25" s="79"/>
      <c r="C25" s="79"/>
      <c r="D25" s="79"/>
      <c r="E25" s="79"/>
      <c r="F25" s="79"/>
      <c r="G25" s="79"/>
      <c r="H25" s="79"/>
      <c r="I25" s="79"/>
      <c r="N25" s="449"/>
    </row>
    <row r="26" spans="1:19" x14ac:dyDescent="0.2">
      <c r="A26" s="79"/>
      <c r="B26" s="79" t="s">
        <v>269</v>
      </c>
      <c r="C26" s="79"/>
      <c r="D26" s="79"/>
      <c r="E26" s="79"/>
      <c r="F26" s="79"/>
      <c r="G26" s="79"/>
      <c r="H26" s="79"/>
      <c r="I26" s="79"/>
      <c r="N26" s="449"/>
    </row>
    <row r="27" spans="1:19" x14ac:dyDescent="0.2">
      <c r="A27" s="79"/>
      <c r="B27" s="79" t="s">
        <v>328</v>
      </c>
      <c r="C27" s="79"/>
      <c r="D27" s="84">
        <f>'F 3B 4B'!$E$46</f>
        <v>1.5</v>
      </c>
      <c r="E27" s="79"/>
      <c r="F27" s="84">
        <f>D27/D29*100</f>
        <v>60</v>
      </c>
      <c r="G27" s="79"/>
      <c r="H27" s="81">
        <f>ROUND(F27/100*(1-H12),4)</f>
        <v>0.48149999999999998</v>
      </c>
      <c r="I27" s="79"/>
      <c r="N27" s="449"/>
    </row>
    <row r="28" spans="1:19" x14ac:dyDescent="0.2">
      <c r="A28" s="79"/>
      <c r="B28" s="79"/>
      <c r="C28" s="79"/>
      <c r="D28" s="85"/>
      <c r="E28" s="79"/>
      <c r="F28" s="85"/>
      <c r="G28" s="79"/>
      <c r="H28" s="85"/>
      <c r="I28" s="79"/>
      <c r="N28" s="449"/>
    </row>
    <row r="29" spans="1:19" ht="15.75" thickBot="1" x14ac:dyDescent="0.25">
      <c r="A29" s="79"/>
      <c r="B29" s="79" t="s">
        <v>410</v>
      </c>
      <c r="C29" s="79"/>
      <c r="D29" s="84">
        <f>SUM(D24:D28)</f>
        <v>2.5</v>
      </c>
      <c r="E29" s="79"/>
      <c r="F29" s="84">
        <f>SUM(F24:F28)</f>
        <v>100</v>
      </c>
      <c r="G29" s="79"/>
      <c r="H29" s="196">
        <f>SUM(H24:H28)</f>
        <v>0.80249999999999999</v>
      </c>
      <c r="I29" s="79"/>
      <c r="N29" s="449"/>
    </row>
    <row r="30" spans="1:19" ht="15.75" thickTop="1" x14ac:dyDescent="0.2">
      <c r="A30" s="79"/>
      <c r="B30" s="79"/>
      <c r="C30" s="79"/>
      <c r="D30" s="86"/>
      <c r="E30" s="79"/>
      <c r="F30" s="86"/>
      <c r="G30" s="79"/>
      <c r="H30" s="195"/>
      <c r="I30" s="79"/>
      <c r="N30" s="449"/>
    </row>
    <row r="31" spans="1:19" x14ac:dyDescent="0.2">
      <c r="N31" s="449"/>
    </row>
    <row r="32" spans="1:19" x14ac:dyDescent="0.2">
      <c r="A32" s="48"/>
      <c r="B32" s="48"/>
      <c r="C32" s="48"/>
      <c r="D32" s="49" t="s">
        <v>448</v>
      </c>
      <c r="F32" s="48"/>
      <c r="G32" s="214"/>
      <c r="H32" s="48"/>
      <c r="I32" s="48"/>
      <c r="J32" s="48"/>
      <c r="K32" s="48"/>
      <c r="N32" s="449"/>
    </row>
    <row r="33" spans="1:11" x14ac:dyDescent="0.2">
      <c r="A33" s="48"/>
      <c r="B33" s="48"/>
      <c r="C33" s="48"/>
      <c r="D33" s="49" t="s">
        <v>449</v>
      </c>
      <c r="F33" s="46" t="s">
        <v>450</v>
      </c>
      <c r="G33" s="46"/>
      <c r="H33" s="46"/>
      <c r="I33" s="46"/>
      <c r="J33" s="46"/>
    </row>
    <row r="34" spans="1:11" x14ac:dyDescent="0.2">
      <c r="A34" s="664" t="s">
        <v>287</v>
      </c>
      <c r="B34" s="664"/>
      <c r="C34" s="46"/>
      <c r="D34" s="49" t="s">
        <v>268</v>
      </c>
      <c r="F34" s="60"/>
      <c r="G34" s="60"/>
      <c r="H34" s="60" t="s">
        <v>484</v>
      </c>
      <c r="I34" s="60"/>
      <c r="J34" s="60" t="s">
        <v>379</v>
      </c>
    </row>
    <row r="35" spans="1:11" x14ac:dyDescent="0.2">
      <c r="A35" s="665" t="s">
        <v>380</v>
      </c>
      <c r="B35" s="665"/>
      <c r="C35" s="79"/>
      <c r="D35" s="49" t="s">
        <v>467</v>
      </c>
      <c r="F35" s="49" t="s">
        <v>400</v>
      </c>
      <c r="G35" s="49"/>
      <c r="H35" s="49" t="s">
        <v>451</v>
      </c>
      <c r="I35" s="49"/>
      <c r="J35" s="49" t="s">
        <v>381</v>
      </c>
    </row>
    <row r="36" spans="1:11" x14ac:dyDescent="0.2">
      <c r="A36" s="61" t="s">
        <v>382</v>
      </c>
      <c r="B36" s="61"/>
      <c r="D36" s="60" t="s">
        <v>272</v>
      </c>
      <c r="F36" s="60" t="s">
        <v>384</v>
      </c>
      <c r="G36" s="49"/>
      <c r="H36" s="60" t="s">
        <v>402</v>
      </c>
      <c r="I36" s="49"/>
      <c r="J36" s="60" t="s">
        <v>403</v>
      </c>
    </row>
    <row r="37" spans="1:11" x14ac:dyDescent="0.2">
      <c r="A37" s="214"/>
      <c r="B37" s="214"/>
      <c r="C37" s="48"/>
      <c r="D37" s="48"/>
      <c r="F37" s="48"/>
      <c r="G37" s="48"/>
      <c r="H37" s="48"/>
      <c r="I37" s="48"/>
      <c r="J37" s="48"/>
    </row>
    <row r="38" spans="1:11" x14ac:dyDescent="0.2">
      <c r="A38" s="48" t="s">
        <v>385</v>
      </c>
      <c r="B38" s="48"/>
      <c r="C38" s="48"/>
      <c r="D38" s="174">
        <f>+'F 5'!D18</f>
        <v>706.7</v>
      </c>
      <c r="F38" s="164">
        <f>+'F 3B 4B'!G62</f>
        <v>1.7</v>
      </c>
      <c r="G38" s="48"/>
      <c r="H38" s="58">
        <f>ROUND(D38*F38,1)</f>
        <v>1201.4000000000001</v>
      </c>
      <c r="I38" s="48"/>
      <c r="J38" s="53">
        <f>ROUND(+H38/H$44,4)</f>
        <v>0.53869999999999996</v>
      </c>
    </row>
    <row r="39" spans="1:11" x14ac:dyDescent="0.2">
      <c r="A39" s="48" t="s">
        <v>386</v>
      </c>
      <c r="B39" s="48"/>
      <c r="C39" s="48"/>
      <c r="D39" s="174">
        <f>+'F 5'!D19</f>
        <v>448.8</v>
      </c>
      <c r="F39" s="164">
        <f>+'F 3B 4B'!G63</f>
        <v>1.6</v>
      </c>
      <c r="G39" s="48"/>
      <c r="H39" s="58">
        <f>ROUND(D39*F39,1)</f>
        <v>718.1</v>
      </c>
      <c r="I39" s="48"/>
      <c r="J39" s="53">
        <f>ROUND(+H39/H$44,4)</f>
        <v>0.32200000000000001</v>
      </c>
    </row>
    <row r="40" spans="1:11" x14ac:dyDescent="0.2">
      <c r="A40" s="48" t="s">
        <v>387</v>
      </c>
      <c r="B40" s="48"/>
      <c r="C40" s="48"/>
      <c r="D40" s="174">
        <f>+'F 5'!D20</f>
        <v>68.8</v>
      </c>
      <c r="F40" s="164">
        <f>+'F 3B 4B'!G64</f>
        <v>1.1499999999999999</v>
      </c>
      <c r="G40" s="48"/>
      <c r="H40" s="58">
        <f>ROUND(D40*F40,1)</f>
        <v>79.099999999999994</v>
      </c>
      <c r="I40" s="48"/>
      <c r="J40" s="53">
        <f>ROUND(+H40/H$44,4)</f>
        <v>3.5499999999999997E-2</v>
      </c>
    </row>
    <row r="41" spans="1:11" x14ac:dyDescent="0.2">
      <c r="A41" s="48" t="s">
        <v>389</v>
      </c>
      <c r="B41" s="48"/>
      <c r="C41" s="48"/>
      <c r="D41" s="174">
        <f>+'F 5'!D21</f>
        <v>167.6</v>
      </c>
      <c r="F41" s="164">
        <f>+'F 3B 4B'!G65</f>
        <v>1.1000000000000001</v>
      </c>
      <c r="G41" s="48"/>
      <c r="H41" s="58">
        <f>ROUND(D41*F41,1)</f>
        <v>184.4</v>
      </c>
      <c r="I41" s="48"/>
      <c r="J41" s="53">
        <f>ROUND(+H41/H$44,4)</f>
        <v>8.2699999999999996E-2</v>
      </c>
    </row>
    <row r="42" spans="1:11" x14ac:dyDescent="0.2">
      <c r="A42" s="48" t="s">
        <v>503</v>
      </c>
      <c r="B42" s="48"/>
      <c r="C42" s="48"/>
      <c r="D42" s="174">
        <f>+'F 5'!D22</f>
        <v>52.2</v>
      </c>
      <c r="F42" s="164">
        <f>+'F 3B 4B'!G66</f>
        <v>0.9</v>
      </c>
      <c r="G42" s="48"/>
      <c r="H42" s="58">
        <f>ROUND(D42*F42,1)</f>
        <v>47</v>
      </c>
      <c r="I42" s="48"/>
      <c r="J42" s="53">
        <f>ROUND(+H42/H$44,4)</f>
        <v>2.1100000000000001E-2</v>
      </c>
    </row>
    <row r="43" spans="1:11" x14ac:dyDescent="0.2">
      <c r="A43" s="48"/>
      <c r="B43" s="48"/>
      <c r="C43" s="48"/>
      <c r="D43" s="161"/>
      <c r="F43" s="48"/>
      <c r="G43" s="48"/>
      <c r="H43" s="62"/>
      <c r="I43" s="48"/>
      <c r="J43" s="50"/>
    </row>
    <row r="44" spans="1:11" ht="15.75" thickBot="1" x14ac:dyDescent="0.25">
      <c r="A44" s="48" t="s">
        <v>452</v>
      </c>
      <c r="B44" s="48"/>
      <c r="C44" s="48"/>
      <c r="D44" s="250">
        <f>SUM(D38:D43)</f>
        <v>1444.1</v>
      </c>
      <c r="F44" s="58"/>
      <c r="G44" s="58"/>
      <c r="H44" s="250">
        <f>SUM(H38:H43)</f>
        <v>2230</v>
      </c>
      <c r="I44" s="48"/>
      <c r="J44" s="163">
        <f>SUM(J38:J43)</f>
        <v>1</v>
      </c>
    </row>
    <row r="45" spans="1:11" ht="15.75" thickTop="1" x14ac:dyDescent="0.2">
      <c r="A45" s="214"/>
      <c r="B45" s="214"/>
      <c r="C45" s="214"/>
      <c r="D45" s="214"/>
      <c r="E45" s="214"/>
      <c r="F45" s="214"/>
      <c r="G45" s="214"/>
      <c r="H45" s="214"/>
      <c r="I45" s="214"/>
      <c r="J45" s="214"/>
      <c r="K45" s="214"/>
    </row>
    <row r="46" spans="1:11" x14ac:dyDescent="0.2">
      <c r="A46" s="48" t="s">
        <v>453</v>
      </c>
    </row>
  </sheetData>
  <mergeCells count="4">
    <mergeCell ref="A34:B34"/>
    <mergeCell ref="A35:B35"/>
    <mergeCell ref="A9:J9"/>
    <mergeCell ref="A18:H18"/>
  </mergeCells>
  <phoneticPr fontId="12"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30</vt:i4>
      </vt:variant>
    </vt:vector>
  </HeadingPairs>
  <TitlesOfParts>
    <vt:vector size="52" baseType="lpstr">
      <vt:lpstr>WKP SMR-5</vt:lpstr>
      <vt:lpstr>AG Pres Wrk</vt:lpstr>
      <vt:lpstr>COS 1</vt:lpstr>
      <vt:lpstr>F 1-2</vt:lpstr>
      <vt:lpstr>F 2 B</vt:lpstr>
      <vt:lpstr>F 3-4</vt:lpstr>
      <vt:lpstr>F 3B 4B</vt:lpstr>
      <vt:lpstr>F 5</vt:lpstr>
      <vt:lpstr>F 5B</vt:lpstr>
      <vt:lpstr>F6-7</vt:lpstr>
      <vt:lpstr>F8-10</vt:lpstr>
      <vt:lpstr>Meters &amp; Services</vt:lpstr>
      <vt:lpstr>F11-12</vt:lpstr>
      <vt:lpstr>F13-14</vt:lpstr>
      <vt:lpstr>F 15-20</vt:lpstr>
      <vt:lpstr>SCH-D</vt:lpstr>
      <vt:lpstr>Fire</vt:lpstr>
      <vt:lpstr>ServiceCharges</vt:lpstr>
      <vt:lpstr>SCH-A</vt:lpstr>
      <vt:lpstr>Rate base</vt:lpstr>
      <vt:lpstr>Pumps</vt:lpstr>
      <vt:lpstr>Sch G</vt:lpstr>
      <vt:lpstr>comp</vt:lpstr>
      <vt:lpstr>CUST</vt:lpstr>
      <vt:lpstr>'F 3-4'!FACT3</vt:lpstr>
      <vt:lpstr>'F 1-2'!FACT3A</vt:lpstr>
      <vt:lpstr>'F 2 B'!FACT3A</vt:lpstr>
      <vt:lpstr>'F 3-4'!FACT3A</vt:lpstr>
      <vt:lpstr>factor</vt:lpstr>
      <vt:lpstr>Factors</vt:lpstr>
      <vt:lpstr>'F 1-2'!FIRE</vt:lpstr>
      <vt:lpstr>'F 2 B'!FIRE</vt:lpstr>
      <vt:lpstr>'F 3-4'!FIRE</vt:lpstr>
      <vt:lpstr>func</vt:lpstr>
      <vt:lpstr>'COS 1'!Print_Area</vt:lpstr>
      <vt:lpstr>'F 1-2'!Print_Area</vt:lpstr>
      <vt:lpstr>'F 2 B'!Print_Area</vt:lpstr>
      <vt:lpstr>'F 3-4'!Print_Area</vt:lpstr>
      <vt:lpstr>'F 3B 4B'!Print_Area</vt:lpstr>
      <vt:lpstr>'F 5'!Print_Area</vt:lpstr>
      <vt:lpstr>'F 5B'!Print_Area</vt:lpstr>
      <vt:lpstr>'F11-12'!Print_Area</vt:lpstr>
      <vt:lpstr>'F13-14'!Print_Area</vt:lpstr>
      <vt:lpstr>'F6-7'!Print_Area</vt:lpstr>
      <vt:lpstr>'F8-10'!Print_Area</vt:lpstr>
      <vt:lpstr>Fire!Print_Area</vt:lpstr>
      <vt:lpstr>'Meters &amp; Services'!Print_Area</vt:lpstr>
      <vt:lpstr>'Sch G'!Print_Area</vt:lpstr>
      <vt:lpstr>'SCH-A'!Print_Area</vt:lpstr>
      <vt:lpstr>'SCH-D'!Print_Area</vt:lpstr>
      <vt:lpstr>ServiceCharges!Print_Area</vt:lpstr>
      <vt:lpstr>'COS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Spenard, David (KYOAG)</cp:lastModifiedBy>
  <cp:lastPrinted>2013-04-22T16:51:30Z</cp:lastPrinted>
  <dcterms:created xsi:type="dcterms:W3CDTF">2000-03-27T20:18:41Z</dcterms:created>
  <dcterms:modified xsi:type="dcterms:W3CDTF">2013-05-01T13:29:32Z</dcterms:modified>
</cp:coreProperties>
</file>