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75" windowWidth="21240" windowHeight="8985" activeTab="4"/>
  </bookViews>
  <sheets>
    <sheet name="WKP 1" sheetId="2" r:id="rId1"/>
    <sheet name="WKP 2" sheetId="3" r:id="rId2"/>
    <sheet name="WKP 3" sheetId="8" r:id="rId3"/>
    <sheet name="WKP 4" sheetId="9" r:id="rId4"/>
    <sheet name="WKP 5" sheetId="1" r:id="rId5"/>
    <sheet name="WKP 6" sheetId="6" r:id="rId6"/>
    <sheet name="WKP 7" sheetId="7" r:id="rId7"/>
    <sheet name="WKP 8" sheetId="10" r:id="rId8"/>
    <sheet name="WKP 9" sheetId="11" r:id="rId9"/>
  </sheets>
  <calcPr calcId="145621" iterate="1" iterateCount="1" calcOnSave="0"/>
</workbook>
</file>

<file path=xl/calcChain.xml><?xml version="1.0" encoding="utf-8"?>
<calcChain xmlns="http://schemas.openxmlformats.org/spreadsheetml/2006/main">
  <c r="D20" i="8" l="1"/>
  <c r="F14" i="8"/>
  <c r="F20" i="8" s="1"/>
  <c r="F22" i="8" s="1"/>
  <c r="F16" i="8"/>
  <c r="F18" i="8"/>
  <c r="F16" i="9"/>
  <c r="F18" i="9" s="1"/>
  <c r="F20" i="9" s="1"/>
  <c r="F23" i="9"/>
  <c r="I18" i="7" l="1"/>
  <c r="I20" i="7" s="1"/>
  <c r="N24" i="3" s="1"/>
  <c r="G18" i="7"/>
  <c r="G20" i="7" s="1"/>
  <c r="N26" i="3" s="1"/>
  <c r="H19" i="3" l="1"/>
  <c r="L19" i="3" s="1"/>
  <c r="P19" i="3" s="1"/>
  <c r="H17" i="3"/>
  <c r="L17" i="3" s="1"/>
  <c r="P17" i="3" s="1"/>
  <c r="H15" i="3"/>
  <c r="L15" i="3" s="1"/>
  <c r="P15" i="3" s="1"/>
  <c r="H13" i="3"/>
  <c r="L13" i="3" s="1"/>
  <c r="P13" i="3" s="1"/>
  <c r="H11" i="3"/>
  <c r="L11" i="3" s="1"/>
  <c r="I25" i="6"/>
  <c r="I29" i="6" s="1"/>
  <c r="I31" i="6" s="1"/>
  <c r="Q30" i="1" s="1"/>
  <c r="I21" i="6"/>
  <c r="I33" i="6" s="1"/>
  <c r="O30" i="1" s="1"/>
  <c r="L24" i="3" l="1"/>
  <c r="P11" i="3"/>
  <c r="P21" i="3" s="1"/>
  <c r="E28" i="11" s="1"/>
  <c r="F39" i="11" s="1"/>
  <c r="F41" i="11" s="1"/>
  <c r="E17" i="2"/>
  <c r="I15" i="2"/>
  <c r="L26" i="3" l="1"/>
  <c r="P26" i="3" s="1"/>
  <c r="E23" i="11" s="1"/>
  <c r="P24" i="3"/>
  <c r="E25" i="11" s="1"/>
  <c r="S22" i="1"/>
  <c r="O32" i="1"/>
  <c r="E13" i="11" s="1"/>
  <c r="O28" i="1"/>
  <c r="P22" i="1"/>
  <c r="P20" i="1"/>
  <c r="S20" i="1" s="1"/>
  <c r="P16" i="1"/>
  <c r="S16" i="1" s="1"/>
  <c r="Q26" i="1"/>
  <c r="Q28" i="1" s="1"/>
  <c r="Q32" i="1" s="1"/>
  <c r="E15" i="11" s="1"/>
  <c r="N18" i="1"/>
  <c r="P18" i="1" s="1"/>
  <c r="S18" i="1" s="1"/>
  <c r="L22" i="1"/>
  <c r="U22" i="1" s="1"/>
  <c r="L20" i="1"/>
  <c r="L18" i="1"/>
  <c r="U18" i="1" s="1"/>
  <c r="L16" i="1"/>
  <c r="U16" i="1" s="1"/>
  <c r="U24" i="1" l="1"/>
  <c r="L24" i="1"/>
  <c r="U20" i="1"/>
  <c r="P24" i="1"/>
  <c r="P28" i="3"/>
  <c r="S24" i="1"/>
  <c r="G12" i="2" s="1"/>
  <c r="I12" i="2" s="1"/>
  <c r="E18" i="11" s="1"/>
  <c r="G14" i="2" l="1"/>
  <c r="I14" i="2" s="1"/>
  <c r="I17" i="2" l="1"/>
  <c r="E20" i="11"/>
  <c r="F32" i="11" s="1"/>
  <c r="F34" i="11" s="1"/>
  <c r="F46" i="11" l="1"/>
  <c r="F42" i="11"/>
  <c r="F44" i="11" s="1"/>
</calcChain>
</file>

<file path=xl/sharedStrings.xml><?xml version="1.0" encoding="utf-8"?>
<sst xmlns="http://schemas.openxmlformats.org/spreadsheetml/2006/main" count="217" uniqueCount="158">
  <si>
    <t>Exhibit 37, Schedule J-1.1/J-1.2</t>
  </si>
  <si>
    <t>13 Month</t>
  </si>
  <si>
    <t>Average</t>
  </si>
  <si>
    <t>Woolridge</t>
  </si>
  <si>
    <t>Line</t>
  </si>
  <si>
    <t>Class of</t>
  </si>
  <si>
    <t>Adjusted</t>
  </si>
  <si>
    <t>Weighted</t>
  </si>
  <si>
    <t>Difference</t>
  </si>
  <si>
    <t>ROE</t>
  </si>
  <si>
    <t>No.</t>
  </si>
  <si>
    <t>Capital</t>
  </si>
  <si>
    <t>Amount</t>
  </si>
  <si>
    <t>% of Total</t>
  </si>
  <si>
    <t>Cost Rate</t>
  </si>
  <si>
    <t>Short-Term Debt</t>
  </si>
  <si>
    <t>Long-Term Debt</t>
  </si>
  <si>
    <t>Preferred Stock</t>
  </si>
  <si>
    <t>Common Equity</t>
  </si>
  <si>
    <t xml:space="preserve">    Total Capital</t>
  </si>
  <si>
    <t>Rate Base</t>
  </si>
  <si>
    <t xml:space="preserve">  Revenue Requirement</t>
  </si>
  <si>
    <t>Conversion Factor</t>
  </si>
  <si>
    <t xml:space="preserve">  Gross Revenue Requirement</t>
  </si>
  <si>
    <t>Exhibits\Capital Structure\[Capital Structure 2012.xls]Sch J</t>
  </si>
  <si>
    <t xml:space="preserve"> Debt</t>
  </si>
  <si>
    <t>JDITC</t>
  </si>
  <si>
    <t>Adjustment</t>
  </si>
  <si>
    <t>Pre-tax</t>
  </si>
  <si>
    <t>WACC</t>
  </si>
  <si>
    <t>Total Rate Base Adjustments</t>
  </si>
  <si>
    <t>Revenue Conversion Factor For Debt (1 / Line 20)</t>
  </si>
  <si>
    <t>Gross Revenue Conversion Factor (1 / Line 13)</t>
  </si>
  <si>
    <t>Net Income After Uncollectibles, Reg Assessment Fees, &amp; State &amp; Federal Income Taxes:</t>
  </si>
  <si>
    <t>Less: Federal income Tax @ 35%</t>
  </si>
  <si>
    <t>Net Income After Uncollectibles, Reg Assessment Fees &amp; State Tax</t>
  </si>
  <si>
    <t>Less:  State Income Tax @ 6.0%</t>
  </si>
  <si>
    <t>Less: PSC / Utility Reg Assessment Fee</t>
  </si>
  <si>
    <t>Less:  Bad Debt Rate/ Uncollectible Expense</t>
  </si>
  <si>
    <t>Gross Income from Revenue</t>
  </si>
  <si>
    <t>Factor %</t>
  </si>
  <si>
    <t>Rate</t>
  </si>
  <si>
    <t>Gross Revenue Conversion Factor Calculation</t>
  </si>
  <si>
    <t>#</t>
  </si>
  <si>
    <t>Total</t>
  </si>
  <si>
    <t>Conversion</t>
  </si>
  <si>
    <t>Percent of</t>
  </si>
  <si>
    <t>Revenue</t>
  </si>
  <si>
    <t>Gross</t>
  </si>
  <si>
    <t>Exhibits\[Revenue Requirement and Conversion Factor.xlsx]Rev Conversion Factor - SCH H</t>
  </si>
  <si>
    <t>Exhibit 37, Schedule H</t>
  </si>
  <si>
    <t>Computation of the Gross Revenue Conversion Factor for the Forecast Period</t>
  </si>
  <si>
    <t>Case No. 2012-00520</t>
  </si>
  <si>
    <t>Kentucky American Water Company</t>
  </si>
  <si>
    <t>Factor</t>
  </si>
  <si>
    <t>Computation of Income Statement Adjustments</t>
  </si>
  <si>
    <t>Computation of Rate Base Adjustments</t>
  </si>
  <si>
    <t>Residential</t>
  </si>
  <si>
    <t>Class</t>
  </si>
  <si>
    <t>Commercial</t>
  </si>
  <si>
    <t>Customer</t>
  </si>
  <si>
    <t>Usage /</t>
  </si>
  <si>
    <t>Customers</t>
  </si>
  <si>
    <t>Usage</t>
  </si>
  <si>
    <t xml:space="preserve">Company </t>
  </si>
  <si>
    <t>Monthly</t>
  </si>
  <si>
    <t>Rate /</t>
  </si>
  <si>
    <t>MM Gallon</t>
  </si>
  <si>
    <t>Industrial</t>
  </si>
  <si>
    <t>OPA</t>
  </si>
  <si>
    <t>OWU</t>
  </si>
  <si>
    <t>Increase in Fuel Cost Fuel Cost/MM Gallon</t>
  </si>
  <si>
    <t>Increase in Chemical Cost/MM Gallon</t>
  </si>
  <si>
    <t>Description</t>
  </si>
  <si>
    <t>Non-Revenue Water</t>
  </si>
  <si>
    <t>System Delivery</t>
  </si>
  <si>
    <t>Chemical cost per 1000 gallons</t>
  </si>
  <si>
    <t>Calculated Chemical Costs for Test Year</t>
  </si>
  <si>
    <t xml:space="preserve">  Total Water Sales Revenues</t>
  </si>
  <si>
    <t>Net Adjustment</t>
  </si>
  <si>
    <t>Company</t>
  </si>
  <si>
    <t>Adjusted Chemical Cost / Usage</t>
  </si>
  <si>
    <t xml:space="preserve">Chemicals and Electricity Factors </t>
  </si>
  <si>
    <t>Adjusted Test Year</t>
  </si>
  <si>
    <t>Computation of Cost of Capital Adjustments</t>
  </si>
  <si>
    <t>Workpaper SMR-1</t>
  </si>
  <si>
    <t>Cost of</t>
  </si>
  <si>
    <r>
      <t>ADIT - Repairs Deduction (FIN 48)</t>
    </r>
    <r>
      <rPr>
        <vertAlign val="superscript"/>
        <sz val="11"/>
        <color theme="1"/>
        <rFont val="Arial"/>
        <family val="2"/>
      </rPr>
      <t xml:space="preserve"> 1</t>
    </r>
  </si>
  <si>
    <r>
      <t>1</t>
    </r>
    <r>
      <rPr>
        <sz val="11"/>
        <color theme="1"/>
        <rFont val="Arial"/>
        <family val="2"/>
      </rPr>
      <t xml:space="preserve"> AG 2 - 13</t>
    </r>
  </si>
  <si>
    <r>
      <t>Working Capital</t>
    </r>
    <r>
      <rPr>
        <vertAlign val="superscript"/>
        <sz val="11"/>
        <color theme="1"/>
        <rFont val="Arial"/>
        <family val="2"/>
      </rPr>
      <t xml:space="preserve"> 2</t>
    </r>
  </si>
  <si>
    <r>
      <t xml:space="preserve">2 </t>
    </r>
    <r>
      <rPr>
        <sz val="11"/>
        <color theme="1"/>
        <rFont val="Arial"/>
        <family val="2"/>
      </rPr>
      <t>KAWC Application, Exhibit 37, Sch B-1, page 2-2</t>
    </r>
  </si>
  <si>
    <t>W/P SMR-5</t>
  </si>
  <si>
    <t>Workpaper SMR-5</t>
  </si>
  <si>
    <t>Workpaper SMR-2</t>
  </si>
  <si>
    <t>1</t>
  </si>
  <si>
    <r>
      <t>1</t>
    </r>
    <r>
      <rPr>
        <sz val="11"/>
        <color theme="1"/>
        <rFont val="Arial"/>
        <family val="2"/>
      </rPr>
      <t xml:space="preserve"> AG 1 - 170</t>
    </r>
  </si>
  <si>
    <t>2</t>
  </si>
  <si>
    <t xml:space="preserve">Water </t>
  </si>
  <si>
    <t>(Col. 1 * 2)</t>
  </si>
  <si>
    <t>(Col. 3 - 4)</t>
  </si>
  <si>
    <t>3</t>
  </si>
  <si>
    <r>
      <t>2</t>
    </r>
    <r>
      <rPr>
        <sz val="11"/>
        <color theme="1"/>
        <rFont val="Arial"/>
        <family val="2"/>
      </rPr>
      <t xml:space="preserve"> KAWC Workpaper Exhibits\Revenue\Average Water Usage.xlsx</t>
    </r>
  </si>
  <si>
    <r>
      <t>3</t>
    </r>
    <r>
      <rPr>
        <sz val="11"/>
        <color theme="1"/>
        <rFont val="Arial"/>
        <family val="2"/>
      </rPr>
      <t xml:space="preserve"> KAWC Workpaper Exhibits\Revenue[Revenue.xlsx</t>
    </r>
  </si>
  <si>
    <t>(Col. 5 * 6)</t>
  </si>
  <si>
    <t>Net Income After Uncoll &amp; Reg Assess Fees</t>
  </si>
  <si>
    <t>W/P SMR-6</t>
  </si>
  <si>
    <r>
      <t>4</t>
    </r>
    <r>
      <rPr>
        <sz val="11"/>
        <color theme="1"/>
        <rFont val="Arial"/>
        <family val="2"/>
      </rPr>
      <t xml:space="preserve"> Workpaper SMR-7</t>
    </r>
  </si>
  <si>
    <t>4</t>
  </si>
  <si>
    <t>Workpaper SMR-7</t>
  </si>
  <si>
    <t>Company Workpapers: Chemical &amp; Fuel and Power Expense Exhibit.xlsx, System Delivery tabs</t>
  </si>
  <si>
    <t>AG 1 - 85</t>
  </si>
  <si>
    <t>Total Chemical Cost</t>
  </si>
  <si>
    <t>Total Electric Cost</t>
  </si>
  <si>
    <t>Chemicals Increase</t>
  </si>
  <si>
    <t>AG 1 - 100</t>
  </si>
  <si>
    <t>Electric Increase</t>
  </si>
  <si>
    <t>Average Increase</t>
  </si>
  <si>
    <t>Actual Cost</t>
  </si>
  <si>
    <t>Level Cost</t>
  </si>
  <si>
    <t>Average Annual Change</t>
  </si>
  <si>
    <t>Absolute Change</t>
  </si>
  <si>
    <t>Annual % Change</t>
  </si>
  <si>
    <t>Workpaper SMR-3</t>
  </si>
  <si>
    <t>Workpaper SMR-4</t>
  </si>
  <si>
    <t>Workpaper SMR-6</t>
  </si>
  <si>
    <t>Workpaper SMR-8</t>
  </si>
  <si>
    <t>Annual Average Monthly Usage by Customer Class</t>
  </si>
  <si>
    <t>(1000 Gallons)</t>
  </si>
  <si>
    <t>Year</t>
  </si>
  <si>
    <t>KAWC Proposed Usage</t>
  </si>
  <si>
    <t>Usage / Customer</t>
  </si>
  <si>
    <t>Witness</t>
  </si>
  <si>
    <t xml:space="preserve">  Company's Revenue Requirement</t>
  </si>
  <si>
    <r>
      <t xml:space="preserve">    </t>
    </r>
    <r>
      <rPr>
        <u/>
        <sz val="11"/>
        <color theme="1"/>
        <rFont val="Arial"/>
        <family val="2"/>
      </rPr>
      <t>Cost of Capital:</t>
    </r>
  </si>
  <si>
    <t>Cost of Long-term Debt</t>
  </si>
  <si>
    <t>Return On Equity</t>
  </si>
  <si>
    <r>
      <t xml:space="preserve">    </t>
    </r>
    <r>
      <rPr>
        <u/>
        <sz val="11"/>
        <color theme="1"/>
        <rFont val="Arial"/>
        <family val="2"/>
      </rPr>
      <t>Rate Base:</t>
    </r>
  </si>
  <si>
    <t>ADIT - Repairs Deduction (FIN 48)</t>
  </si>
  <si>
    <t>Rackers</t>
  </si>
  <si>
    <t>Working Capital</t>
  </si>
  <si>
    <t>Chemicals</t>
  </si>
  <si>
    <t>Electricity</t>
  </si>
  <si>
    <r>
      <t xml:space="preserve">    </t>
    </r>
    <r>
      <rPr>
        <u/>
        <sz val="11"/>
        <color theme="1"/>
        <rFont val="Arial"/>
        <family val="2"/>
      </rPr>
      <t>Revenues:</t>
    </r>
  </si>
  <si>
    <t>Additional Public Fire Hydrants</t>
  </si>
  <si>
    <t>LFUCG-1-10</t>
  </si>
  <si>
    <t xml:space="preserve">   Total Adjustments</t>
  </si>
  <si>
    <t xml:space="preserve">  Increase Over Current Rates </t>
  </si>
  <si>
    <r>
      <t xml:space="preserve">    </t>
    </r>
    <r>
      <rPr>
        <u/>
        <sz val="11"/>
        <color theme="1"/>
        <rFont val="Arial"/>
        <family val="2"/>
      </rPr>
      <t>Expenses:</t>
    </r>
  </si>
  <si>
    <t>Additional Usage and Customers</t>
  </si>
  <si>
    <t>Workpaper SMR-9</t>
  </si>
  <si>
    <t>Reconciliation of Revenue Requirement</t>
  </si>
  <si>
    <t>Cost of Service Component</t>
  </si>
  <si>
    <t>KAWC Annual Service Revenues @ Current Rates</t>
  </si>
  <si>
    <t>Attorney General / LFUCG Revenue Requirement</t>
  </si>
  <si>
    <t xml:space="preserve">  AG / LFUCG Revenue Adjustments</t>
  </si>
  <si>
    <t>AG / LFUCG Annual Revenues @ Current Rates</t>
  </si>
  <si>
    <t xml:space="preserve">  AG / LFUCG Proposed Rate Increase </t>
  </si>
  <si>
    <t>Pro forma Service Revenues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</si>
</sst>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"/>
    <numFmt numFmtId="166" formatCode="_(&quot;$&quot;* #,##0_);_(&quot;$&quot;* \(#,##0\);_(&quot;$&quot;* &quot;-&quot;??_);_(@_)"/>
    <numFmt numFmtId="167" formatCode="0.0000%"/>
    <numFmt numFmtId="168" formatCode="0.000000"/>
    <numFmt numFmtId="169" formatCode="_(* #,##0_);_(* \(#,##0\);_(* &quot;-&quot;??_);_(@_)"/>
    <numFmt numFmtId="170" formatCode="&quot;$&quot;#,##0.0000_);[Red]\(&quot;$&quot;#,##0.0000\)"/>
    <numFmt numFmtId="171" formatCode="_(&quot;$&quot;* #,##0.0000_);_(&quot;$&quot;* \(#,##0.0000\);_(&quot;$&quot;* &quot;-&quot;??_);_(@_)"/>
    <numFmt numFmtId="172" formatCode="_(* #,##0.0000_);_(* \(#,##0.0000\);_(* &quot;-&quot;??_);_(@_)"/>
    <numFmt numFmtId="173" formatCode="_(* #,##0.0_);_(* \(#,##0.0\);_(* &quot;-&quot;??_);_(@_)"/>
  </numFmts>
  <fonts count="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vertAlign val="superscript"/>
      <sz val="11"/>
      <color theme="1"/>
      <name val="Arial"/>
      <family val="2"/>
    </font>
    <font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3" fontId="0" fillId="0" borderId="0" xfId="1" applyFont="1"/>
    <xf numFmtId="166" fontId="0" fillId="0" borderId="0" xfId="2" applyNumberFormat="1" applyFont="1"/>
    <xf numFmtId="166" fontId="0" fillId="0" borderId="1" xfId="2" applyNumberFormat="1" applyFont="1" applyBorder="1"/>
    <xf numFmtId="0" fontId="0" fillId="0" borderId="1" xfId="0" applyBorder="1"/>
    <xf numFmtId="10" fontId="0" fillId="0" borderId="0" xfId="3" applyNumberFormat="1" applyFont="1"/>
    <xf numFmtId="10" fontId="0" fillId="0" borderId="1" xfId="3" applyNumberFormat="1" applyFont="1" applyBorder="1"/>
    <xf numFmtId="0" fontId="0" fillId="0" borderId="0" xfId="0" applyBorder="1"/>
    <xf numFmtId="10" fontId="0" fillId="0" borderId="0" xfId="0" applyNumberFormat="1"/>
    <xf numFmtId="164" fontId="0" fillId="0" borderId="0" xfId="3" applyNumberFormat="1" applyFont="1"/>
    <xf numFmtId="164" fontId="0" fillId="0" borderId="1" xfId="3" applyNumberFormat="1" applyFont="1" applyBorder="1"/>
    <xf numFmtId="167" fontId="0" fillId="0" borderId="0" xfId="3" applyNumberFormat="1" applyFont="1"/>
    <xf numFmtId="165" fontId="0" fillId="0" borderId="0" xfId="0" applyNumberFormat="1"/>
    <xf numFmtId="165" fontId="0" fillId="0" borderId="1" xfId="0" applyNumberFormat="1" applyBorder="1"/>
    <xf numFmtId="168" fontId="0" fillId="0" borderId="0" xfId="0" applyNumberFormat="1"/>
    <xf numFmtId="166" fontId="0" fillId="0" borderId="2" xfId="2" applyNumberFormat="1" applyFont="1" applyBorder="1"/>
    <xf numFmtId="10" fontId="0" fillId="0" borderId="2" xfId="3" applyNumberFormat="1" applyFont="1" applyBorder="1"/>
    <xf numFmtId="10" fontId="0" fillId="0" borderId="2" xfId="0" applyNumberFormat="1" applyBorder="1"/>
    <xf numFmtId="44" fontId="0" fillId="0" borderId="0" xfId="0" applyNumberFormat="1"/>
    <xf numFmtId="44" fontId="0" fillId="0" borderId="1" xfId="0" applyNumberFormat="1" applyBorder="1"/>
    <xf numFmtId="166" fontId="0" fillId="0" borderId="2" xfId="0" applyNumberFormat="1" applyBorder="1"/>
    <xf numFmtId="10" fontId="0" fillId="0" borderId="1" xfId="3" applyNumberFormat="1" applyFont="1" applyBorder="1" applyAlignment="1">
      <alignment horizontal="center"/>
    </xf>
    <xf numFmtId="0" fontId="2" fillId="0" borderId="0" xfId="0" applyFont="1"/>
    <xf numFmtId="169" fontId="0" fillId="0" borderId="0" xfId="1" applyNumberFormat="1" applyFont="1"/>
    <xf numFmtId="43" fontId="0" fillId="0" borderId="0" xfId="1" applyFont="1" applyAlignment="1">
      <alignment horizontal="center"/>
    </xf>
    <xf numFmtId="169" fontId="0" fillId="0" borderId="0" xfId="1" applyNumberFormat="1" applyFont="1" applyAlignment="1">
      <alignment horizontal="center"/>
    </xf>
    <xf numFmtId="169" fontId="0" fillId="0" borderId="0" xfId="0" applyNumberFormat="1"/>
    <xf numFmtId="170" fontId="3" fillId="0" borderId="0" xfId="1" applyNumberFormat="1" applyFont="1" applyFill="1"/>
    <xf numFmtId="0" fontId="3" fillId="0" borderId="0" xfId="0" applyFont="1"/>
    <xf numFmtId="37" fontId="3" fillId="0" borderId="0" xfId="0" applyNumberFormat="1" applyFont="1" applyBorder="1" applyAlignment="1">
      <alignment horizontal="right" vertical="top"/>
    </xf>
    <xf numFmtId="166" fontId="0" fillId="0" borderId="0" xfId="0" applyNumberFormat="1"/>
    <xf numFmtId="166" fontId="0" fillId="0" borderId="0" xfId="0" applyNumberFormat="1" applyBorder="1"/>
    <xf numFmtId="171" fontId="0" fillId="0" borderId="0" xfId="2" applyNumberFormat="1" applyFont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9" fontId="0" fillId="0" borderId="1" xfId="1" applyNumberFormat="1" applyFont="1" applyBorder="1"/>
    <xf numFmtId="0" fontId="0" fillId="0" borderId="1" xfId="0" applyBorder="1" applyAlignment="1">
      <alignment horizontal="center"/>
    </xf>
    <xf numFmtId="43" fontId="0" fillId="0" borderId="0" xfId="0" applyNumberFormat="1"/>
    <xf numFmtId="0" fontId="0" fillId="0" borderId="0" xfId="0" applyBorder="1" applyAlignment="1">
      <alignment horizontal="center"/>
    </xf>
    <xf numFmtId="0" fontId="5" fillId="0" borderId="0" xfId="0" quotePrefix="1" applyFont="1"/>
    <xf numFmtId="0" fontId="5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7" fontId="0" fillId="0" borderId="0" xfId="3" applyNumberFormat="1" applyFont="1" applyAlignment="1">
      <alignment wrapText="1"/>
    </xf>
    <xf numFmtId="0" fontId="0" fillId="0" borderId="0" xfId="0" applyAlignment="1">
      <alignment horizontal="left" wrapText="1"/>
    </xf>
    <xf numFmtId="172" fontId="0" fillId="0" borderId="3" xfId="0" applyNumberFormat="1" applyBorder="1"/>
    <xf numFmtId="165" fontId="0" fillId="0" borderId="3" xfId="0" applyNumberFormat="1" applyBorder="1"/>
    <xf numFmtId="172" fontId="0" fillId="0" borderId="0" xfId="1" applyNumberFormat="1" applyFont="1"/>
    <xf numFmtId="9" fontId="0" fillId="0" borderId="0" xfId="3" applyFont="1"/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73" fontId="0" fillId="0" borderId="0" xfId="1" applyNumberFormat="1" applyFont="1"/>
    <xf numFmtId="43" fontId="0" fillId="0" borderId="0" xfId="1" applyNumberFormat="1" applyFont="1"/>
    <xf numFmtId="166" fontId="0" fillId="0" borderId="0" xfId="2" applyNumberFormat="1" applyFont="1" applyAlignment="1">
      <alignment horizontal="center"/>
    </xf>
    <xf numFmtId="166" fontId="0" fillId="0" borderId="1" xfId="0" applyNumberFormat="1" applyBorder="1"/>
    <xf numFmtId="166" fontId="0" fillId="0" borderId="1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32"/>
  <sheetViews>
    <sheetView workbookViewId="0">
      <selection activeCell="H29" sqref="H29"/>
    </sheetView>
  </sheetViews>
  <sheetFormatPr defaultRowHeight="14.25" x14ac:dyDescent="0.2"/>
  <cols>
    <col min="1" max="1" width="6" customWidth="1"/>
    <col min="3" max="3" width="26.875" customWidth="1"/>
    <col min="4" max="4" width="5.75" customWidth="1"/>
    <col min="5" max="5" width="14.375" bestFit="1" customWidth="1"/>
    <col min="6" max="6" width="4.75" customWidth="1"/>
    <col min="7" max="7" width="8.625" customWidth="1"/>
    <col min="8" max="8" width="5.375" customWidth="1"/>
    <col min="9" max="9" width="16.125" customWidth="1"/>
    <col min="10" max="10" width="14.75" bestFit="1" customWidth="1"/>
  </cols>
  <sheetData>
    <row r="3" spans="2:9" x14ac:dyDescent="0.2">
      <c r="B3" t="s">
        <v>53</v>
      </c>
    </row>
    <row r="4" spans="2:9" x14ac:dyDescent="0.2">
      <c r="B4" t="s">
        <v>52</v>
      </c>
      <c r="I4" t="s">
        <v>85</v>
      </c>
    </row>
    <row r="5" spans="2:9" ht="15" x14ac:dyDescent="0.25">
      <c r="B5" s="25" t="s">
        <v>56</v>
      </c>
    </row>
    <row r="8" spans="2:9" x14ac:dyDescent="0.2">
      <c r="G8" s="37" t="s">
        <v>91</v>
      </c>
    </row>
    <row r="9" spans="2:9" x14ac:dyDescent="0.2">
      <c r="E9" s="1" t="s">
        <v>20</v>
      </c>
      <c r="G9" s="1" t="s">
        <v>28</v>
      </c>
    </row>
    <row r="10" spans="2:9" x14ac:dyDescent="0.2">
      <c r="E10" s="3" t="s">
        <v>27</v>
      </c>
      <c r="G10" s="3" t="s">
        <v>29</v>
      </c>
    </row>
    <row r="12" spans="2:9" ht="16.5" x14ac:dyDescent="0.2">
      <c r="B12" t="s">
        <v>87</v>
      </c>
      <c r="E12" s="5">
        <v>-3922247</v>
      </c>
      <c r="G12" s="11">
        <f>'WKP 5'!S24</f>
        <v>9.6275824400539584E-2</v>
      </c>
      <c r="I12" s="21">
        <f>G12*E12</f>
        <v>-377617.56342754315</v>
      </c>
    </row>
    <row r="14" spans="2:9" ht="16.5" x14ac:dyDescent="0.2">
      <c r="B14" t="s">
        <v>89</v>
      </c>
      <c r="E14" s="5">
        <v>-3946000</v>
      </c>
      <c r="G14" s="11">
        <f>G12</f>
        <v>9.6275824400539584E-2</v>
      </c>
      <c r="I14" s="21">
        <f>G14*E14</f>
        <v>-379904.40308452921</v>
      </c>
    </row>
    <row r="15" spans="2:9" x14ac:dyDescent="0.2">
      <c r="E15" s="7"/>
      <c r="I15" s="22">
        <f>G15*E15</f>
        <v>0</v>
      </c>
    </row>
    <row r="17" spans="2:10" ht="15" thickBot="1" x14ac:dyDescent="0.25">
      <c r="C17" t="s">
        <v>30</v>
      </c>
      <c r="E17" s="23">
        <f>SUM(E12:E15)</f>
        <v>-7868247</v>
      </c>
      <c r="I17" s="23">
        <f>SUM(I12:I15)</f>
        <v>-757521.96651207237</v>
      </c>
    </row>
    <row r="18" spans="2:10" ht="15" thickTop="1" x14ac:dyDescent="0.2"/>
    <row r="21" spans="2:10" ht="16.5" x14ac:dyDescent="0.2">
      <c r="B21" s="43" t="s">
        <v>88</v>
      </c>
    </row>
    <row r="23" spans="2:10" ht="16.5" x14ac:dyDescent="0.2">
      <c r="B23" s="43" t="s">
        <v>90</v>
      </c>
    </row>
    <row r="32" spans="2:10" x14ac:dyDescent="0.2">
      <c r="J32" s="4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workbookViewId="0">
      <selection activeCell="R17" sqref="R17"/>
    </sheetView>
  </sheetViews>
  <sheetFormatPr defaultRowHeight="14.25" x14ac:dyDescent="0.2"/>
  <cols>
    <col min="1" max="1" width="3.625" customWidth="1"/>
    <col min="2" max="2" width="11.875" customWidth="1"/>
    <col min="3" max="3" width="3.625" customWidth="1"/>
    <col min="4" max="4" width="8.875" customWidth="1"/>
    <col min="5" max="5" width="3.625" customWidth="1"/>
    <col min="6" max="6" width="10" customWidth="1"/>
    <col min="7" max="7" width="3.625" customWidth="1"/>
    <col min="8" max="8" width="12.625" bestFit="1" customWidth="1"/>
    <col min="9" max="9" width="3.625" customWidth="1"/>
    <col min="10" max="10" width="11.875" customWidth="1"/>
    <col min="11" max="11" width="3.625" customWidth="1"/>
    <col min="13" max="13" width="3.625" customWidth="1"/>
    <col min="14" max="14" width="10.625" customWidth="1"/>
    <col min="15" max="15" width="3.625" customWidth="1"/>
    <col min="16" max="16" width="12.125" bestFit="1" customWidth="1"/>
  </cols>
  <sheetData>
    <row r="1" spans="1:16" x14ac:dyDescent="0.2">
      <c r="A1" t="s">
        <v>53</v>
      </c>
    </row>
    <row r="2" spans="1:16" x14ac:dyDescent="0.2">
      <c r="A2" t="s">
        <v>52</v>
      </c>
      <c r="N2" s="62" t="s">
        <v>93</v>
      </c>
      <c r="O2" s="62"/>
      <c r="P2" s="62"/>
    </row>
    <row r="3" spans="1:16" ht="15" x14ac:dyDescent="0.25">
      <c r="A3" s="25" t="s">
        <v>55</v>
      </c>
    </row>
    <row r="4" spans="1:16" ht="15" x14ac:dyDescent="0.25">
      <c r="A4" s="25"/>
    </row>
    <row r="5" spans="1:16" ht="15" x14ac:dyDescent="0.25">
      <c r="A5" s="25"/>
      <c r="D5" s="45">
        <v>1</v>
      </c>
      <c r="E5" s="45"/>
      <c r="F5" s="45">
        <v>2</v>
      </c>
      <c r="G5" s="45"/>
      <c r="H5" s="45">
        <v>3</v>
      </c>
      <c r="I5" s="45"/>
      <c r="J5" s="45">
        <v>4</v>
      </c>
      <c r="K5" s="45"/>
      <c r="L5" s="45">
        <v>5</v>
      </c>
      <c r="M5" s="45"/>
      <c r="N5" s="45">
        <v>6</v>
      </c>
      <c r="O5" s="45"/>
      <c r="P5" s="45">
        <v>7</v>
      </c>
    </row>
    <row r="6" spans="1:16" ht="15" x14ac:dyDescent="0.25">
      <c r="A6" s="25"/>
    </row>
    <row r="7" spans="1:16" ht="17.25" x14ac:dyDescent="0.25">
      <c r="A7" s="25"/>
      <c r="D7" s="2" t="s">
        <v>65</v>
      </c>
      <c r="H7" s="37" t="s">
        <v>98</v>
      </c>
      <c r="J7" s="44" t="s">
        <v>96</v>
      </c>
      <c r="L7" s="37" t="s">
        <v>99</v>
      </c>
      <c r="N7" s="44" t="s">
        <v>100</v>
      </c>
      <c r="P7" s="37" t="s">
        <v>103</v>
      </c>
    </row>
    <row r="8" spans="1:16" x14ac:dyDescent="0.2">
      <c r="B8" s="2"/>
      <c r="C8" s="2"/>
      <c r="D8" s="2" t="s">
        <v>61</v>
      </c>
      <c r="E8" s="2"/>
      <c r="F8" s="2"/>
      <c r="G8" s="2"/>
      <c r="H8" s="37" t="s">
        <v>97</v>
      </c>
      <c r="I8" s="2"/>
      <c r="J8" s="2" t="s">
        <v>64</v>
      </c>
      <c r="K8" s="2"/>
      <c r="L8" s="2" t="s">
        <v>63</v>
      </c>
      <c r="N8" s="2" t="s">
        <v>66</v>
      </c>
      <c r="O8" s="2"/>
      <c r="P8" s="2" t="s">
        <v>47</v>
      </c>
    </row>
    <row r="9" spans="1:16" x14ac:dyDescent="0.2">
      <c r="B9" s="3" t="s">
        <v>58</v>
      </c>
      <c r="C9" s="2"/>
      <c r="D9" s="3" t="s">
        <v>60</v>
      </c>
      <c r="E9" s="2"/>
      <c r="F9" s="3" t="s">
        <v>62</v>
      </c>
      <c r="G9" s="2"/>
      <c r="H9" s="3" t="s">
        <v>63</v>
      </c>
      <c r="I9" s="2"/>
      <c r="J9" s="3" t="s">
        <v>63</v>
      </c>
      <c r="K9" s="2"/>
      <c r="L9" s="3" t="s">
        <v>8</v>
      </c>
      <c r="N9" s="3" t="s">
        <v>67</v>
      </c>
      <c r="O9" s="2"/>
      <c r="P9" s="3" t="s">
        <v>8</v>
      </c>
    </row>
    <row r="11" spans="1:16" ht="16.5" x14ac:dyDescent="0.2">
      <c r="B11" t="s">
        <v>57</v>
      </c>
      <c r="D11" s="4">
        <v>4.5784580293349046</v>
      </c>
      <c r="E11" s="43" t="s">
        <v>94</v>
      </c>
      <c r="F11" s="26">
        <v>112673</v>
      </c>
      <c r="G11" s="43" t="s">
        <v>96</v>
      </c>
      <c r="H11" s="26">
        <f>F11*D11*12</f>
        <v>6190423.2184710205</v>
      </c>
      <c r="J11" s="28">
        <v>6058213.3436423391</v>
      </c>
      <c r="L11" s="29">
        <f>H11-J11</f>
        <v>132209.87482868135</v>
      </c>
      <c r="N11" s="30">
        <v>5.3003999999999998</v>
      </c>
      <c r="P11" s="5">
        <f>N11*L11</f>
        <v>700765.22054194263</v>
      </c>
    </row>
    <row r="12" spans="1:16" x14ac:dyDescent="0.2">
      <c r="D12" s="4"/>
      <c r="F12" s="26"/>
      <c r="N12" s="31"/>
    </row>
    <row r="13" spans="1:16" ht="16.5" x14ac:dyDescent="0.2">
      <c r="B13" t="s">
        <v>59</v>
      </c>
      <c r="D13" s="4">
        <v>37.199588204038257</v>
      </c>
      <c r="E13" s="43" t="s">
        <v>94</v>
      </c>
      <c r="F13" s="26">
        <v>8807</v>
      </c>
      <c r="G13" s="43" t="s">
        <v>96</v>
      </c>
      <c r="H13" s="26">
        <f>F13*D13*12</f>
        <v>3931401.2797555793</v>
      </c>
      <c r="I13" s="26"/>
      <c r="J13" s="26">
        <v>3806938.1042398331</v>
      </c>
      <c r="L13" s="29">
        <f>H13-J13</f>
        <v>124463.17551574623</v>
      </c>
      <c r="N13" s="30">
        <v>4.8280000000000003</v>
      </c>
      <c r="P13" s="5">
        <f>N13*L13</f>
        <v>600908.21139002289</v>
      </c>
    </row>
    <row r="14" spans="1:16" x14ac:dyDescent="0.2">
      <c r="D14" s="4"/>
      <c r="F14" s="26"/>
    </row>
    <row r="15" spans="1:16" ht="16.5" x14ac:dyDescent="0.2">
      <c r="B15" t="s">
        <v>68</v>
      </c>
      <c r="D15" s="27">
        <v>2092</v>
      </c>
      <c r="E15" s="43" t="s">
        <v>96</v>
      </c>
      <c r="F15" s="26">
        <v>24</v>
      </c>
      <c r="G15" s="43" t="s">
        <v>94</v>
      </c>
      <c r="H15" s="26">
        <f>F15*D15*12</f>
        <v>602496</v>
      </c>
      <c r="I15" s="26"/>
      <c r="J15" s="26">
        <v>527178.67576027312</v>
      </c>
      <c r="L15" s="29">
        <f>H15-J15</f>
        <v>75317.324239726877</v>
      </c>
      <c r="N15" s="30">
        <v>3.8946700000000001</v>
      </c>
      <c r="P15" s="5">
        <f>N15*L15</f>
        <v>293336.12319673708</v>
      </c>
    </row>
    <row r="16" spans="1:16" x14ac:dyDescent="0.2">
      <c r="D16" s="4"/>
      <c r="F16" s="26"/>
    </row>
    <row r="17" spans="2:17" ht="16.5" x14ac:dyDescent="0.2">
      <c r="B17" t="s">
        <v>69</v>
      </c>
      <c r="D17" s="4">
        <v>229.57668231611893</v>
      </c>
      <c r="E17" s="43" t="s">
        <v>94</v>
      </c>
      <c r="F17" s="26">
        <v>533</v>
      </c>
      <c r="G17" s="43" t="s">
        <v>94</v>
      </c>
      <c r="H17" s="26">
        <f>F17*D17*12</f>
        <v>1468372.4600938968</v>
      </c>
      <c r="J17" s="32">
        <v>1353437.3898883662</v>
      </c>
      <c r="L17" s="29">
        <f>H17-J17</f>
        <v>114935.07020553062</v>
      </c>
      <c r="N17" s="30">
        <v>4.2451999999999996</v>
      </c>
      <c r="P17" s="5">
        <f>N17*L17</f>
        <v>487922.36003651854</v>
      </c>
    </row>
    <row r="18" spans="2:17" x14ac:dyDescent="0.2">
      <c r="D18" s="4"/>
      <c r="F18" s="26"/>
    </row>
    <row r="19" spans="2:17" ht="16.5" x14ac:dyDescent="0.2">
      <c r="B19" t="s">
        <v>70</v>
      </c>
      <c r="D19" s="27">
        <v>2930</v>
      </c>
      <c r="E19" s="43" t="s">
        <v>96</v>
      </c>
      <c r="F19" s="26">
        <v>13</v>
      </c>
      <c r="G19" s="43" t="s">
        <v>94</v>
      </c>
      <c r="H19" s="26">
        <f>F19*D19*12</f>
        <v>457080</v>
      </c>
      <c r="J19" s="32">
        <v>421922.90533805394</v>
      </c>
      <c r="L19" s="29">
        <f>H19-J19</f>
        <v>35157.094661946059</v>
      </c>
      <c r="N19" s="30">
        <v>4.2093299999999996</v>
      </c>
      <c r="P19" s="6">
        <f>N19*L19</f>
        <v>147987.81327336939</v>
      </c>
    </row>
    <row r="21" spans="2:17" x14ac:dyDescent="0.2">
      <c r="B21" t="s">
        <v>78</v>
      </c>
      <c r="P21" s="34">
        <f>SUM(P11:P19)</f>
        <v>2230919.7284385907</v>
      </c>
    </row>
    <row r="22" spans="2:17" x14ac:dyDescent="0.2">
      <c r="P22" s="34"/>
      <c r="Q22" s="36"/>
    </row>
    <row r="24" spans="2:17" ht="16.5" x14ac:dyDescent="0.2">
      <c r="B24" t="s">
        <v>71</v>
      </c>
      <c r="L24" s="29">
        <f>SUM(L11:L19)</f>
        <v>482082.53945163114</v>
      </c>
      <c r="N24" s="35">
        <f>'WKP 7'!I20</f>
        <v>0.31780128851851452</v>
      </c>
      <c r="O24" s="44" t="s">
        <v>107</v>
      </c>
      <c r="P24" s="5">
        <f>N24*L24</f>
        <v>153206.45221000598</v>
      </c>
    </row>
    <row r="25" spans="2:17" x14ac:dyDescent="0.2">
      <c r="N25" s="35"/>
      <c r="P25" s="5"/>
    </row>
    <row r="26" spans="2:17" ht="16.5" x14ac:dyDescent="0.2">
      <c r="B26" t="s">
        <v>72</v>
      </c>
      <c r="L26" s="29">
        <f>L24</f>
        <v>482082.53945163114</v>
      </c>
      <c r="N26" s="35">
        <f>'WKP 7'!G20</f>
        <v>0.14597233493225634</v>
      </c>
      <c r="O26" s="44" t="s">
        <v>107</v>
      </c>
      <c r="P26" s="6">
        <f>N26*L26</f>
        <v>70370.713913826185</v>
      </c>
    </row>
    <row r="28" spans="2:17" ht="15" thickBot="1" x14ac:dyDescent="0.25">
      <c r="C28" t="s">
        <v>79</v>
      </c>
      <c r="P28" s="23">
        <f>P21-P24-P26</f>
        <v>2007342.5623147583</v>
      </c>
    </row>
    <row r="29" spans="2:17" ht="15" thickTop="1" x14ac:dyDescent="0.2"/>
    <row r="30" spans="2:17" ht="16.5" x14ac:dyDescent="0.2">
      <c r="B30" s="43" t="s">
        <v>95</v>
      </c>
    </row>
    <row r="31" spans="2:17" ht="16.5" x14ac:dyDescent="0.2">
      <c r="B31" s="43" t="s">
        <v>101</v>
      </c>
    </row>
    <row r="32" spans="2:17" ht="16.5" x14ac:dyDescent="0.2">
      <c r="B32" s="46" t="s">
        <v>102</v>
      </c>
    </row>
    <row r="33" spans="2:2" ht="16.5" x14ac:dyDescent="0.2">
      <c r="B33" s="43" t="s">
        <v>106</v>
      </c>
    </row>
  </sheetData>
  <mergeCells count="1">
    <mergeCell ref="N2:P2"/>
  </mergeCells>
  <pageMargins left="0" right="0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2"/>
  <sheetViews>
    <sheetView workbookViewId="0">
      <selection activeCell="F22" sqref="F22"/>
    </sheetView>
  </sheetViews>
  <sheetFormatPr defaultRowHeight="14.25" x14ac:dyDescent="0.2"/>
  <cols>
    <col min="3" max="3" width="4.375" customWidth="1"/>
    <col min="4" max="5" width="11.75" customWidth="1"/>
    <col min="6" max="6" width="11.125" bestFit="1" customWidth="1"/>
    <col min="12" max="12" width="12.625" customWidth="1"/>
  </cols>
  <sheetData>
    <row r="3" spans="2:14" x14ac:dyDescent="0.2">
      <c r="B3" t="s">
        <v>53</v>
      </c>
      <c r="G3" s="62" t="s">
        <v>122</v>
      </c>
      <c r="H3" s="62"/>
    </row>
    <row r="4" spans="2:14" x14ac:dyDescent="0.2">
      <c r="B4" t="s">
        <v>52</v>
      </c>
    </row>
    <row r="5" spans="2:14" x14ac:dyDescent="0.2">
      <c r="B5" t="s">
        <v>113</v>
      </c>
    </row>
    <row r="7" spans="2:14" x14ac:dyDescent="0.2">
      <c r="B7" t="s">
        <v>110</v>
      </c>
    </row>
    <row r="9" spans="2:14" x14ac:dyDescent="0.2">
      <c r="B9" t="s">
        <v>111</v>
      </c>
    </row>
    <row r="11" spans="2:14" ht="29.25" customHeight="1" x14ac:dyDescent="0.2">
      <c r="D11" s="55" t="s">
        <v>117</v>
      </c>
      <c r="E11" s="56"/>
      <c r="F11" s="55" t="s">
        <v>120</v>
      </c>
      <c r="G11" s="56"/>
      <c r="N11" s="56"/>
    </row>
    <row r="12" spans="2:14" x14ac:dyDescent="0.2">
      <c r="B12">
        <v>2010</v>
      </c>
      <c r="D12" s="5">
        <v>1843239</v>
      </c>
      <c r="E12" s="5"/>
      <c r="J12" s="56"/>
      <c r="N12" s="48"/>
    </row>
    <row r="13" spans="2:14" x14ac:dyDescent="0.2">
      <c r="D13" s="5"/>
      <c r="E13" s="5"/>
      <c r="K13" s="5"/>
      <c r="L13" s="5"/>
      <c r="N13" s="8"/>
    </row>
    <row r="14" spans="2:14" x14ac:dyDescent="0.2">
      <c r="B14">
        <v>2011</v>
      </c>
      <c r="D14" s="5">
        <v>1876913</v>
      </c>
      <c r="E14" s="5"/>
      <c r="F14" s="33">
        <f>D14-D12</f>
        <v>33674</v>
      </c>
      <c r="G14" s="33"/>
      <c r="K14" s="5"/>
      <c r="L14" s="5"/>
    </row>
    <row r="15" spans="2:14" x14ac:dyDescent="0.2">
      <c r="D15" s="5"/>
      <c r="E15" s="5"/>
      <c r="K15" s="5"/>
      <c r="L15" s="5"/>
    </row>
    <row r="16" spans="2:14" x14ac:dyDescent="0.2">
      <c r="B16">
        <v>2012</v>
      </c>
      <c r="D16" s="5">
        <v>1783215</v>
      </c>
      <c r="E16" s="5"/>
      <c r="F16" s="33">
        <f>-(D16-D14)</f>
        <v>93698</v>
      </c>
      <c r="G16" s="33"/>
      <c r="K16" s="5"/>
      <c r="L16" s="5"/>
    </row>
    <row r="17" spans="2:14" x14ac:dyDescent="0.2">
      <c r="D17" s="5"/>
      <c r="E17" s="5"/>
      <c r="K17" s="5"/>
      <c r="L17" s="5"/>
      <c r="N17" s="53"/>
    </row>
    <row r="18" spans="2:14" x14ac:dyDescent="0.2">
      <c r="B18">
        <v>2013</v>
      </c>
      <c r="D18" s="5">
        <v>1813311</v>
      </c>
      <c r="E18" s="5"/>
      <c r="F18" s="33">
        <f>D18-D16</f>
        <v>30096</v>
      </c>
      <c r="G18" s="33"/>
      <c r="K18" s="5"/>
      <c r="L18" s="5"/>
      <c r="N18" s="53"/>
    </row>
    <row r="19" spans="2:14" x14ac:dyDescent="0.2">
      <c r="K19" s="5"/>
      <c r="L19" s="5"/>
      <c r="N19" s="53"/>
    </row>
    <row r="20" spans="2:14" x14ac:dyDescent="0.2">
      <c r="B20" t="s">
        <v>2</v>
      </c>
      <c r="D20" s="33">
        <f>AVERAGE(D14:D18)</f>
        <v>1824479.6666666667</v>
      </c>
      <c r="E20" s="33"/>
      <c r="F20" s="33">
        <f>AVERAGE(F14:F18)</f>
        <v>52489.333333333336</v>
      </c>
      <c r="J20" s="5"/>
      <c r="K20" s="5"/>
      <c r="L20" s="5"/>
      <c r="N20" s="53"/>
    </row>
    <row r="21" spans="2:14" x14ac:dyDescent="0.2">
      <c r="J21" s="5"/>
      <c r="K21" s="5"/>
      <c r="L21" s="5"/>
      <c r="N21" s="53"/>
    </row>
    <row r="22" spans="2:14" x14ac:dyDescent="0.2">
      <c r="B22" t="s">
        <v>121</v>
      </c>
      <c r="F22" s="8">
        <f>F20/D20</f>
        <v>2.8769481125120788E-2</v>
      </c>
      <c r="J22" s="5"/>
      <c r="K22" s="5"/>
      <c r="L22" s="5"/>
      <c r="N22" s="53"/>
    </row>
  </sheetData>
  <mergeCells count="1">
    <mergeCell ref="G3:H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7"/>
  <sheetViews>
    <sheetView workbookViewId="0">
      <selection activeCell="F27" sqref="F27"/>
    </sheetView>
  </sheetViews>
  <sheetFormatPr defaultRowHeight="14.25" x14ac:dyDescent="0.2"/>
  <cols>
    <col min="1" max="1" width="3.625" customWidth="1"/>
    <col min="3" max="3" width="3.625" customWidth="1"/>
    <col min="4" max="4" width="13.75" bestFit="1" customWidth="1"/>
    <col min="5" max="5" width="3.625" customWidth="1"/>
    <col min="6" max="6" width="11.5" customWidth="1"/>
    <col min="7" max="7" width="3.625" customWidth="1"/>
    <col min="10" max="10" width="10.125" customWidth="1"/>
  </cols>
  <sheetData>
    <row r="3" spans="2:10" x14ac:dyDescent="0.2">
      <c r="B3" t="s">
        <v>53</v>
      </c>
      <c r="H3" s="62" t="s">
        <v>123</v>
      </c>
      <c r="I3" s="62"/>
    </row>
    <row r="4" spans="2:10" x14ac:dyDescent="0.2">
      <c r="B4" t="s">
        <v>52</v>
      </c>
    </row>
    <row r="5" spans="2:10" x14ac:dyDescent="0.2">
      <c r="B5" t="s">
        <v>115</v>
      </c>
    </row>
    <row r="7" spans="2:10" x14ac:dyDescent="0.2">
      <c r="B7" t="s">
        <v>114</v>
      </c>
    </row>
    <row r="10" spans="2:10" x14ac:dyDescent="0.2">
      <c r="B10" t="s">
        <v>112</v>
      </c>
    </row>
    <row r="12" spans="2:10" ht="29.25" customHeight="1" x14ac:dyDescent="0.2">
      <c r="D12" s="55" t="s">
        <v>117</v>
      </c>
      <c r="F12" s="55" t="s">
        <v>118</v>
      </c>
      <c r="H12" s="55" t="s">
        <v>116</v>
      </c>
    </row>
    <row r="13" spans="2:10" ht="15" customHeight="1" x14ac:dyDescent="0.2">
      <c r="D13" s="56"/>
      <c r="H13" s="48"/>
    </row>
    <row r="14" spans="2:10" x14ac:dyDescent="0.2">
      <c r="B14">
        <v>2010</v>
      </c>
      <c r="D14" s="5">
        <v>3696000</v>
      </c>
      <c r="E14" s="5"/>
      <c r="F14" s="5"/>
      <c r="H14" s="8">
        <v>1.1415E-2</v>
      </c>
    </row>
    <row r="15" spans="2:10" x14ac:dyDescent="0.2">
      <c r="D15" s="5"/>
      <c r="E15" s="5"/>
      <c r="F15" s="5"/>
    </row>
    <row r="16" spans="2:10" x14ac:dyDescent="0.2">
      <c r="B16">
        <v>2011</v>
      </c>
      <c r="D16" s="5">
        <v>3663000</v>
      </c>
      <c r="E16" s="5"/>
      <c r="F16" s="5">
        <f>(D14*$H$14)+D14</f>
        <v>3738189.84</v>
      </c>
      <c r="J16" s="33"/>
    </row>
    <row r="17" spans="2:10" x14ac:dyDescent="0.2">
      <c r="D17" s="5"/>
      <c r="E17" s="5"/>
      <c r="F17" s="5"/>
    </row>
    <row r="18" spans="2:10" x14ac:dyDescent="0.2">
      <c r="B18">
        <v>2012</v>
      </c>
      <c r="D18" s="5">
        <v>3849000</v>
      </c>
      <c r="E18" s="5"/>
      <c r="F18" s="5">
        <f>(F16*$H$14)+F16</f>
        <v>3780861.2770235999</v>
      </c>
      <c r="H18" s="53"/>
      <c r="J18" s="33"/>
    </row>
    <row r="19" spans="2:10" x14ac:dyDescent="0.2">
      <c r="D19" s="5"/>
      <c r="E19" s="5"/>
      <c r="F19" s="5"/>
      <c r="H19" s="53"/>
    </row>
    <row r="20" spans="2:10" x14ac:dyDescent="0.2">
      <c r="B20">
        <v>2013</v>
      </c>
      <c r="D20" s="5">
        <v>3824000</v>
      </c>
      <c r="E20" s="5"/>
      <c r="F20" s="5">
        <f>(F18*$H$14)+F18</f>
        <v>3824019.8085008245</v>
      </c>
      <c r="H20" s="53"/>
      <c r="I20" s="29"/>
      <c r="J20" s="33"/>
    </row>
    <row r="21" spans="2:10" x14ac:dyDescent="0.2">
      <c r="D21" s="5"/>
      <c r="E21" s="5"/>
      <c r="F21" s="5"/>
      <c r="H21" s="53"/>
    </row>
    <row r="22" spans="2:10" x14ac:dyDescent="0.2">
      <c r="D22" s="5"/>
      <c r="E22" s="5"/>
      <c r="F22" s="5"/>
      <c r="H22" s="53"/>
      <c r="I22" s="29"/>
    </row>
    <row r="23" spans="2:10" x14ac:dyDescent="0.2">
      <c r="C23" t="s">
        <v>119</v>
      </c>
      <c r="D23" s="5"/>
      <c r="E23" s="5"/>
      <c r="F23" s="5">
        <f>(D20-D14)/3</f>
        <v>42666.666666666664</v>
      </c>
      <c r="H23" s="53"/>
    </row>
    <row r="24" spans="2:10" x14ac:dyDescent="0.2">
      <c r="D24" s="5"/>
      <c r="E24" s="5"/>
      <c r="F24" s="5"/>
      <c r="H24" s="53"/>
      <c r="I24" s="29"/>
    </row>
    <row r="26" spans="2:10" x14ac:dyDescent="0.2">
      <c r="D26" s="8"/>
      <c r="E26" s="8"/>
    </row>
    <row r="27" spans="2:10" x14ac:dyDescent="0.2">
      <c r="D27" s="54"/>
      <c r="E27" s="54"/>
    </row>
  </sheetData>
  <mergeCells count="1">
    <mergeCell ref="H3:I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abSelected="1" topLeftCell="A3" workbookViewId="0">
      <selection activeCell="U31" sqref="U31"/>
    </sheetView>
  </sheetViews>
  <sheetFormatPr defaultRowHeight="14.25" x14ac:dyDescent="0.2"/>
  <cols>
    <col min="1" max="1" width="3.75" customWidth="1"/>
    <col min="2" max="2" width="2.625" customWidth="1"/>
    <col min="4" max="4" width="4.875" customWidth="1"/>
    <col min="5" max="5" width="2.875" customWidth="1"/>
    <col min="6" max="6" width="2.625" customWidth="1"/>
    <col min="7" max="7" width="13.25" customWidth="1"/>
    <col min="8" max="8" width="10" bestFit="1" customWidth="1"/>
    <col min="9" max="9" width="9.75" customWidth="1"/>
    <col min="10" max="10" width="13.125" customWidth="1"/>
    <col min="12" max="12" width="8.5" customWidth="1"/>
    <col min="13" max="13" width="2.625" customWidth="1"/>
    <col min="14" max="14" width="11.125" customWidth="1"/>
    <col min="15" max="15" width="13" customWidth="1"/>
    <col min="17" max="17" width="13.5" customWidth="1"/>
    <col min="18" max="18" width="3.625" customWidth="1"/>
    <col min="20" max="20" width="3.125" customWidth="1"/>
    <col min="21" max="21" width="10" customWidth="1"/>
  </cols>
  <sheetData>
    <row r="1" spans="1:21" x14ac:dyDescent="0.2">
      <c r="A1" t="s">
        <v>53</v>
      </c>
    </row>
    <row r="2" spans="1:21" ht="15" x14ac:dyDescent="0.25">
      <c r="A2" t="s">
        <v>52</v>
      </c>
      <c r="B2" s="25"/>
      <c r="C2" s="25"/>
    </row>
    <row r="3" spans="1:21" ht="15" x14ac:dyDescent="0.25">
      <c r="A3" s="25" t="s">
        <v>84</v>
      </c>
    </row>
    <row r="4" spans="1:21" x14ac:dyDescent="0.2">
      <c r="S4" s="62" t="s">
        <v>92</v>
      </c>
      <c r="T4" s="62"/>
      <c r="U4" s="62"/>
    </row>
    <row r="5" spans="1:21" x14ac:dyDescent="0.2">
      <c r="A5" t="s">
        <v>0</v>
      </c>
    </row>
    <row r="6" spans="1:21" x14ac:dyDescent="0.2">
      <c r="A6" t="s">
        <v>24</v>
      </c>
      <c r="I6" s="10"/>
    </row>
    <row r="7" spans="1:21" x14ac:dyDescent="0.2">
      <c r="I7" s="10"/>
    </row>
    <row r="11" spans="1:21" x14ac:dyDescent="0.2">
      <c r="L11" t="s">
        <v>7</v>
      </c>
    </row>
    <row r="12" spans="1:21" x14ac:dyDescent="0.2">
      <c r="G12" s="1" t="s">
        <v>1</v>
      </c>
      <c r="H12" s="1"/>
      <c r="I12" s="1"/>
      <c r="J12" s="1"/>
      <c r="K12" s="1"/>
      <c r="L12" s="1" t="s">
        <v>2</v>
      </c>
      <c r="M12" s="1"/>
      <c r="N12" s="1" t="s">
        <v>3</v>
      </c>
      <c r="O12" s="1"/>
      <c r="P12" s="1" t="s">
        <v>3</v>
      </c>
      <c r="Q12" s="1"/>
      <c r="S12" s="2" t="s">
        <v>3</v>
      </c>
      <c r="T12" s="2"/>
      <c r="U12" s="2" t="s">
        <v>80</v>
      </c>
    </row>
    <row r="13" spans="1:21" x14ac:dyDescent="0.2">
      <c r="A13" t="s">
        <v>4</v>
      </c>
      <c r="C13" s="62" t="s">
        <v>5</v>
      </c>
      <c r="D13" s="62"/>
      <c r="E13" s="62"/>
      <c r="G13" s="1" t="s">
        <v>2</v>
      </c>
      <c r="H13" s="1"/>
      <c r="I13" s="1"/>
      <c r="J13" s="1" t="s">
        <v>6</v>
      </c>
      <c r="K13" s="1"/>
      <c r="L13" s="37" t="s">
        <v>86</v>
      </c>
      <c r="M13" s="1"/>
      <c r="N13" s="1" t="s">
        <v>25</v>
      </c>
      <c r="O13" s="1" t="s">
        <v>8</v>
      </c>
      <c r="P13" s="1" t="s">
        <v>9</v>
      </c>
      <c r="Q13" s="1" t="s">
        <v>8</v>
      </c>
      <c r="S13" s="2" t="s">
        <v>28</v>
      </c>
      <c r="T13" s="2"/>
      <c r="U13" s="2" t="s">
        <v>28</v>
      </c>
    </row>
    <row r="14" spans="1:21" x14ac:dyDescent="0.2">
      <c r="A14" t="s">
        <v>10</v>
      </c>
      <c r="C14" s="62" t="s">
        <v>11</v>
      </c>
      <c r="D14" s="62"/>
      <c r="E14" s="62"/>
      <c r="G14" s="3" t="s">
        <v>12</v>
      </c>
      <c r="H14" s="3" t="s">
        <v>13</v>
      </c>
      <c r="I14" s="3" t="s">
        <v>26</v>
      </c>
      <c r="J14" s="3" t="s">
        <v>11</v>
      </c>
      <c r="K14" s="3" t="s">
        <v>14</v>
      </c>
      <c r="L14" s="3" t="s">
        <v>11</v>
      </c>
      <c r="M14" s="1"/>
      <c r="N14" s="24">
        <v>6.0499999999999998E-2</v>
      </c>
      <c r="O14" s="3"/>
      <c r="P14" s="24">
        <v>8.5000000000000006E-2</v>
      </c>
      <c r="Q14" s="3"/>
      <c r="S14" s="3" t="s">
        <v>29</v>
      </c>
      <c r="T14" s="2"/>
      <c r="U14" s="3" t="s">
        <v>29</v>
      </c>
    </row>
    <row r="15" spans="1:21" x14ac:dyDescent="0.2">
      <c r="A15">
        <v>1</v>
      </c>
    </row>
    <row r="16" spans="1:21" x14ac:dyDescent="0.2">
      <c r="A16">
        <v>2</v>
      </c>
      <c r="C16" t="s">
        <v>15</v>
      </c>
      <c r="G16" s="5">
        <v>7832734.2091253409</v>
      </c>
      <c r="H16" s="12">
        <v>2.0410000000000001E-2</v>
      </c>
      <c r="I16" s="5">
        <v>13199</v>
      </c>
      <c r="J16" s="5">
        <v>7845933.2091253409</v>
      </c>
      <c r="K16" s="8">
        <v>8.0999999999999996E-3</v>
      </c>
      <c r="L16" s="11">
        <f>ROUND(K16*H16,4)</f>
        <v>2.0000000000000001E-4</v>
      </c>
      <c r="N16" s="8">
        <v>2.0000000000000001E-4</v>
      </c>
      <c r="O16" s="8">
        <v>0</v>
      </c>
      <c r="P16" s="8">
        <f>N16</f>
        <v>2.0000000000000001E-4</v>
      </c>
      <c r="Q16" s="8">
        <v>0</v>
      </c>
      <c r="S16" s="8">
        <f>P16*O30</f>
        <v>2.0145787653961907E-4</v>
      </c>
      <c r="U16" s="8">
        <f>L16*O30</f>
        <v>2.0145787653961907E-4</v>
      </c>
    </row>
    <row r="17" spans="1:21" x14ac:dyDescent="0.2">
      <c r="A17">
        <v>3</v>
      </c>
      <c r="G17" s="5"/>
      <c r="H17" s="12"/>
      <c r="I17" s="5"/>
      <c r="J17" s="5"/>
      <c r="K17" s="11"/>
      <c r="L17" s="11"/>
      <c r="N17" s="8"/>
      <c r="O17" s="8"/>
      <c r="P17" s="8"/>
      <c r="Q17" s="8"/>
      <c r="S17" s="8"/>
      <c r="U17" s="8"/>
    </row>
    <row r="18" spans="1:21" x14ac:dyDescent="0.2">
      <c r="A18">
        <v>4</v>
      </c>
      <c r="C18" t="s">
        <v>16</v>
      </c>
      <c r="G18" s="5">
        <v>199750138.10666665</v>
      </c>
      <c r="H18" s="12">
        <v>0.52037</v>
      </c>
      <c r="I18" s="5">
        <v>336517</v>
      </c>
      <c r="J18" s="5">
        <v>200086655.10666665</v>
      </c>
      <c r="K18" s="8">
        <v>6.1400000000000003E-2</v>
      </c>
      <c r="L18" s="11">
        <f>ROUND(K18*H18,4)</f>
        <v>3.2000000000000001E-2</v>
      </c>
      <c r="N18" s="8">
        <f>N14*H18</f>
        <v>3.1482385000000002E-2</v>
      </c>
      <c r="O18" s="8">
        <v>-5.1761499999999905E-4</v>
      </c>
      <c r="P18" s="8">
        <f>N18</f>
        <v>3.1482385000000002E-2</v>
      </c>
      <c r="Q18" s="8">
        <v>0</v>
      </c>
      <c r="S18" s="8">
        <f>P18*O30</f>
        <v>3.1711872152513775E-2</v>
      </c>
      <c r="U18" s="8">
        <f>L18*O30</f>
        <v>3.2233260246339053E-2</v>
      </c>
    </row>
    <row r="19" spans="1:21" x14ac:dyDescent="0.2">
      <c r="A19">
        <v>5</v>
      </c>
      <c r="G19" s="5"/>
      <c r="H19" s="12"/>
      <c r="I19" s="5"/>
      <c r="J19" s="5"/>
      <c r="K19" s="11"/>
      <c r="L19" s="11"/>
      <c r="N19" s="8"/>
      <c r="O19" s="8"/>
      <c r="P19" s="8"/>
      <c r="Q19" s="8"/>
      <c r="S19" s="8"/>
      <c r="U19" s="8"/>
    </row>
    <row r="20" spans="1:21" x14ac:dyDescent="0.2">
      <c r="A20">
        <v>6</v>
      </c>
      <c r="C20" t="s">
        <v>17</v>
      </c>
      <c r="G20" s="5">
        <v>4482398.24</v>
      </c>
      <c r="H20" s="12">
        <v>1.1679999999999999E-2</v>
      </c>
      <c r="I20" s="5">
        <v>7553</v>
      </c>
      <c r="J20" s="5">
        <v>4489951.24</v>
      </c>
      <c r="K20" s="8">
        <v>8.5199999999999998E-2</v>
      </c>
      <c r="L20" s="11">
        <f>ROUND(K20*H20,4)</f>
        <v>1E-3</v>
      </c>
      <c r="N20" s="8">
        <v>1E-3</v>
      </c>
      <c r="O20" s="8">
        <v>0</v>
      </c>
      <c r="P20" s="8">
        <f>N20</f>
        <v>1E-3</v>
      </c>
      <c r="Q20" s="8">
        <v>0</v>
      </c>
      <c r="S20" s="8">
        <f>P20*Q30</f>
        <v>1.6485914610443457E-3</v>
      </c>
      <c r="U20" s="8">
        <f>L20*Q30</f>
        <v>1.6485914610443457E-3</v>
      </c>
    </row>
    <row r="21" spans="1:21" x14ac:dyDescent="0.2">
      <c r="A21">
        <v>7</v>
      </c>
      <c r="G21" s="5"/>
      <c r="H21" s="12"/>
      <c r="I21" s="5"/>
      <c r="J21" s="5"/>
      <c r="K21" s="11"/>
      <c r="L21" s="11"/>
      <c r="N21" s="8"/>
      <c r="O21" s="8"/>
      <c r="P21" s="8"/>
      <c r="Q21" s="8"/>
      <c r="S21" s="8"/>
      <c r="U21" s="8"/>
    </row>
    <row r="22" spans="1:21" x14ac:dyDescent="0.2">
      <c r="A22">
        <v>8</v>
      </c>
      <c r="C22" t="s">
        <v>18</v>
      </c>
      <c r="G22" s="6">
        <v>171796415.22547123</v>
      </c>
      <c r="H22" s="13">
        <v>0.44753999999999994</v>
      </c>
      <c r="I22" s="6">
        <v>289418</v>
      </c>
      <c r="J22" s="6">
        <v>172085833.22547123</v>
      </c>
      <c r="K22" s="8">
        <v>0.109</v>
      </c>
      <c r="L22" s="11">
        <f>ROUND(K22*H22,4)</f>
        <v>4.8800000000000003E-2</v>
      </c>
      <c r="N22" s="9">
        <v>4.8800000000000003E-2</v>
      </c>
      <c r="O22" s="9">
        <v>0</v>
      </c>
      <c r="P22" s="9">
        <f>P14*H22</f>
        <v>3.8040899999999996E-2</v>
      </c>
      <c r="Q22" s="9">
        <v>-1.0759100000000008E-2</v>
      </c>
      <c r="S22" s="9">
        <f>P22*Q30</f>
        <v>6.2713902910441849E-2</v>
      </c>
      <c r="U22" s="9">
        <f>L22*Q30</f>
        <v>8.0451263298964071E-2</v>
      </c>
    </row>
    <row r="23" spans="1:21" x14ac:dyDescent="0.2">
      <c r="A23">
        <v>9</v>
      </c>
      <c r="G23" s="5"/>
      <c r="H23" s="8"/>
      <c r="I23" s="5"/>
      <c r="J23" s="5"/>
      <c r="L23" s="11"/>
      <c r="N23" s="8"/>
      <c r="O23" s="8"/>
      <c r="P23" s="8"/>
      <c r="Q23" s="8"/>
    </row>
    <row r="24" spans="1:21" ht="15" thickBot="1" x14ac:dyDescent="0.25">
      <c r="A24">
        <v>10</v>
      </c>
      <c r="C24" t="s">
        <v>19</v>
      </c>
      <c r="G24" s="18">
        <v>383861685.78126323</v>
      </c>
      <c r="H24" s="19">
        <v>1</v>
      </c>
      <c r="I24" s="18">
        <v>646687</v>
      </c>
      <c r="J24" s="18">
        <v>384508372.78126323</v>
      </c>
      <c r="L24" s="20">
        <f>SUM(L16:L22)</f>
        <v>8.2000000000000003E-2</v>
      </c>
      <c r="N24" s="19">
        <v>8.1482385000000004E-2</v>
      </c>
      <c r="O24" s="8">
        <v>-5.1761499999999905E-4</v>
      </c>
      <c r="P24" s="19">
        <f>SUM(P15:P22)</f>
        <v>7.0723284999999997E-2</v>
      </c>
      <c r="Q24" s="8">
        <v>-1.0759100000000008E-2</v>
      </c>
      <c r="S24" s="20">
        <f>SUM(S16:S22)</f>
        <v>9.6275824400539584E-2</v>
      </c>
      <c r="U24" s="20">
        <f>SUM(U16:U22)</f>
        <v>0.1145345728828871</v>
      </c>
    </row>
    <row r="25" spans="1:21" ht="15" thickTop="1" x14ac:dyDescent="0.2">
      <c r="A25">
        <v>11</v>
      </c>
    </row>
    <row r="26" spans="1:21" x14ac:dyDescent="0.2">
      <c r="A26">
        <v>12</v>
      </c>
      <c r="C26" t="s">
        <v>20</v>
      </c>
      <c r="J26" s="4"/>
      <c r="O26" s="6">
        <v>385994705.47099298</v>
      </c>
      <c r="Q26" s="6">
        <f>O26</f>
        <v>385994705.47099298</v>
      </c>
    </row>
    <row r="27" spans="1:21" x14ac:dyDescent="0.2">
      <c r="A27">
        <v>13</v>
      </c>
      <c r="U27" s="26"/>
    </row>
    <row r="28" spans="1:21" x14ac:dyDescent="0.2">
      <c r="A28">
        <v>14</v>
      </c>
      <c r="C28" t="s">
        <v>21</v>
      </c>
      <c r="O28" s="5">
        <f>O26*O24</f>
        <v>-199796.64947236766</v>
      </c>
      <c r="P28" s="5"/>
      <c r="Q28" s="5">
        <f>Q26*Q24</f>
        <v>-4152955.6356329634</v>
      </c>
      <c r="U28" s="26"/>
    </row>
    <row r="29" spans="1:21" x14ac:dyDescent="0.2">
      <c r="A29">
        <v>15</v>
      </c>
    </row>
    <row r="30" spans="1:21" x14ac:dyDescent="0.2">
      <c r="A30">
        <v>16</v>
      </c>
      <c r="C30" t="s">
        <v>22</v>
      </c>
      <c r="E30" t="s">
        <v>105</v>
      </c>
      <c r="O30" s="16">
        <f>'WKP 6'!I33</f>
        <v>1.0072893826980953</v>
      </c>
      <c r="P30" s="15"/>
      <c r="Q30" s="16">
        <f>'WKP 6'!I31</f>
        <v>1.6485914610443457</v>
      </c>
      <c r="U30" s="26"/>
    </row>
    <row r="31" spans="1:21" x14ac:dyDescent="0.2">
      <c r="U31" s="26"/>
    </row>
    <row r="32" spans="1:21" ht="15" thickBot="1" x14ac:dyDescent="0.25">
      <c r="C32" t="s">
        <v>23</v>
      </c>
      <c r="O32" s="18">
        <f>O30*O28</f>
        <v>-201253.04371216896</v>
      </c>
      <c r="P32" s="5"/>
      <c r="Q32" s="18">
        <f>Q30*Q28</f>
        <v>-6846527.1990004964</v>
      </c>
    </row>
    <row r="33" ht="15" thickTop="1" x14ac:dyDescent="0.2"/>
  </sheetData>
  <mergeCells count="3">
    <mergeCell ref="C13:E13"/>
    <mergeCell ref="C14:E14"/>
    <mergeCell ref="S4:U4"/>
  </mergeCells>
  <pageMargins left="0.2" right="0" top="0.75" bottom="0.75" header="0.3" footer="0.3"/>
  <pageSetup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O33"/>
  <sheetViews>
    <sheetView topLeftCell="A6" workbookViewId="0">
      <selection activeCell="I8" sqref="I8"/>
    </sheetView>
  </sheetViews>
  <sheetFormatPr defaultRowHeight="14.25" x14ac:dyDescent="0.2"/>
  <cols>
    <col min="1" max="1" width="2.25" customWidth="1"/>
    <col min="2" max="2" width="4" customWidth="1"/>
    <col min="3" max="3" width="3.625" customWidth="1"/>
    <col min="5" max="5" width="32.25" customWidth="1"/>
    <col min="6" max="6" width="3.625" customWidth="1"/>
    <col min="7" max="7" width="11.375" bestFit="1" customWidth="1"/>
    <col min="8" max="8" width="3.625" customWidth="1"/>
    <col min="9" max="9" width="9.375" bestFit="1" customWidth="1"/>
    <col min="10" max="10" width="3.625" customWidth="1"/>
    <col min="11" max="11" width="10.5" customWidth="1"/>
    <col min="12" max="12" width="3.625" customWidth="1"/>
    <col min="13" max="13" width="10" customWidth="1"/>
    <col min="14" max="14" width="3.625" customWidth="1"/>
    <col min="15" max="15" width="13.875" customWidth="1"/>
  </cols>
  <sheetData>
    <row r="7" spans="2:15" x14ac:dyDescent="0.2">
      <c r="B7" t="s">
        <v>53</v>
      </c>
      <c r="I7" s="62" t="s">
        <v>124</v>
      </c>
      <c r="J7" s="62"/>
      <c r="K7" s="62"/>
    </row>
    <row r="8" spans="2:15" x14ac:dyDescent="0.2">
      <c r="B8" t="s">
        <v>52</v>
      </c>
    </row>
    <row r="9" spans="2:15" ht="15" x14ac:dyDescent="0.25">
      <c r="B9" s="25" t="s">
        <v>51</v>
      </c>
    </row>
    <row r="10" spans="2:15" x14ac:dyDescent="0.2">
      <c r="B10" t="s">
        <v>50</v>
      </c>
    </row>
    <row r="11" spans="2:15" x14ac:dyDescent="0.2">
      <c r="B11" t="s">
        <v>49</v>
      </c>
      <c r="O11" s="10"/>
    </row>
    <row r="12" spans="2:15" x14ac:dyDescent="0.2">
      <c r="O12" s="10"/>
    </row>
    <row r="13" spans="2:15" x14ac:dyDescent="0.2">
      <c r="G13" s="1"/>
      <c r="H13" s="1"/>
      <c r="I13" s="1" t="s">
        <v>48</v>
      </c>
      <c r="J13" s="1"/>
      <c r="K13" s="1" t="s">
        <v>46</v>
      </c>
      <c r="L13" s="1"/>
      <c r="M13" s="42"/>
      <c r="O13" s="10"/>
    </row>
    <row r="14" spans="2:15" x14ac:dyDescent="0.2">
      <c r="G14" s="1"/>
      <c r="H14" s="1"/>
      <c r="I14" s="1" t="s">
        <v>47</v>
      </c>
      <c r="J14" s="1"/>
      <c r="K14" s="1" t="s">
        <v>44</v>
      </c>
      <c r="L14" s="1"/>
      <c r="M14" s="42"/>
      <c r="O14" s="10"/>
    </row>
    <row r="15" spans="2:15" x14ac:dyDescent="0.2">
      <c r="B15" s="1" t="s">
        <v>4</v>
      </c>
      <c r="G15" s="1" t="s">
        <v>44</v>
      </c>
      <c r="H15" s="1"/>
      <c r="I15" s="1" t="s">
        <v>45</v>
      </c>
      <c r="J15" s="1"/>
      <c r="K15" s="1" t="s">
        <v>45</v>
      </c>
      <c r="L15" s="1"/>
      <c r="M15" s="42"/>
      <c r="O15" s="10"/>
    </row>
    <row r="16" spans="2:15" x14ac:dyDescent="0.2">
      <c r="B16" s="3" t="s">
        <v>43</v>
      </c>
      <c r="D16" t="s">
        <v>42</v>
      </c>
      <c r="G16" s="3" t="s">
        <v>41</v>
      </c>
      <c r="H16" s="1"/>
      <c r="I16" s="3" t="s">
        <v>40</v>
      </c>
      <c r="J16" s="1"/>
      <c r="K16" s="3" t="s">
        <v>54</v>
      </c>
      <c r="L16" s="1"/>
      <c r="M16" s="42"/>
      <c r="O16" s="10"/>
    </row>
    <row r="17" spans="2:15" x14ac:dyDescent="0.2">
      <c r="M17" s="10"/>
      <c r="O17" s="10"/>
    </row>
    <row r="18" spans="2:15" x14ac:dyDescent="0.2">
      <c r="B18">
        <v>1</v>
      </c>
      <c r="D18" t="s">
        <v>39</v>
      </c>
      <c r="I18" s="17">
        <v>1</v>
      </c>
      <c r="M18" s="10"/>
    </row>
    <row r="19" spans="2:15" x14ac:dyDescent="0.2">
      <c r="B19">
        <v>2</v>
      </c>
      <c r="D19" t="s">
        <v>38</v>
      </c>
      <c r="G19" s="14">
        <v>5.758632117148158E-3</v>
      </c>
      <c r="I19">
        <v>5.758632117148158E-3</v>
      </c>
      <c r="K19" s="8">
        <v>1.4637000000000001E-2</v>
      </c>
      <c r="M19" s="10"/>
    </row>
    <row r="20" spans="2:15" x14ac:dyDescent="0.2">
      <c r="B20">
        <v>3</v>
      </c>
      <c r="D20" t="s">
        <v>37</v>
      </c>
      <c r="G20" s="14">
        <v>1.4779999999999999E-3</v>
      </c>
      <c r="I20">
        <v>1.4779999999999999E-3</v>
      </c>
      <c r="K20" s="8">
        <v>3.7569999999999999E-3</v>
      </c>
      <c r="M20" s="10"/>
    </row>
    <row r="21" spans="2:15" ht="12.75" customHeight="1" x14ac:dyDescent="0.2">
      <c r="B21">
        <v>4</v>
      </c>
      <c r="D21" t="s">
        <v>104</v>
      </c>
      <c r="G21" s="14"/>
      <c r="I21">
        <f>I18-I19-I20</f>
        <v>0.99276336788285191</v>
      </c>
      <c r="K21" s="8"/>
      <c r="M21" s="10"/>
    </row>
    <row r="22" spans="2:15" x14ac:dyDescent="0.2">
      <c r="B22">
        <v>5</v>
      </c>
      <c r="G22" s="14"/>
      <c r="K22" s="8"/>
    </row>
    <row r="23" spans="2:15" x14ac:dyDescent="0.2">
      <c r="B23">
        <v>6</v>
      </c>
      <c r="G23" s="14"/>
      <c r="K23" s="8"/>
    </row>
    <row r="24" spans="2:15" x14ac:dyDescent="0.2">
      <c r="B24">
        <v>7</v>
      </c>
      <c r="D24" t="s">
        <v>36</v>
      </c>
      <c r="G24" s="14">
        <v>0.06</v>
      </c>
      <c r="I24">
        <v>5.9565802072971109E-2</v>
      </c>
      <c r="K24" s="8">
        <v>0.15140500000000001</v>
      </c>
    </row>
    <row r="25" spans="2:15" ht="30.75" customHeight="1" x14ac:dyDescent="0.2">
      <c r="B25">
        <v>9</v>
      </c>
      <c r="D25" s="63" t="s">
        <v>35</v>
      </c>
      <c r="E25" s="63"/>
      <c r="F25" s="50"/>
      <c r="G25" s="49"/>
      <c r="H25" s="47"/>
      <c r="I25">
        <f>I21-I24</f>
        <v>0.93319756580988078</v>
      </c>
      <c r="K25" s="8"/>
    </row>
    <row r="26" spans="2:15" x14ac:dyDescent="0.2">
      <c r="B26">
        <v>10</v>
      </c>
      <c r="G26" s="14"/>
      <c r="K26" s="8"/>
    </row>
    <row r="27" spans="2:15" x14ac:dyDescent="0.2">
      <c r="B27">
        <v>11</v>
      </c>
      <c r="D27" t="s">
        <v>34</v>
      </c>
      <c r="G27" s="14">
        <v>0.35</v>
      </c>
      <c r="I27">
        <v>0.32661914803345826</v>
      </c>
      <c r="K27" s="8">
        <v>0.83020099999999997</v>
      </c>
    </row>
    <row r="28" spans="2:15" x14ac:dyDescent="0.2">
      <c r="B28">
        <v>12</v>
      </c>
      <c r="K28" s="8"/>
    </row>
    <row r="29" spans="2:15" ht="42.75" customHeight="1" x14ac:dyDescent="0.2">
      <c r="B29">
        <v>13</v>
      </c>
      <c r="D29" s="63" t="s">
        <v>33</v>
      </c>
      <c r="E29" s="63"/>
      <c r="F29" s="50"/>
      <c r="I29">
        <f>I25-I27</f>
        <v>0.60657841777642252</v>
      </c>
      <c r="K29" s="8">
        <v>1</v>
      </c>
    </row>
    <row r="30" spans="2:15" x14ac:dyDescent="0.2">
      <c r="B30">
        <v>14</v>
      </c>
    </row>
    <row r="31" spans="2:15" x14ac:dyDescent="0.2">
      <c r="B31">
        <v>15</v>
      </c>
      <c r="D31" t="s">
        <v>32</v>
      </c>
      <c r="I31">
        <f>1/I29</f>
        <v>1.6485914610443457</v>
      </c>
    </row>
    <row r="32" spans="2:15" x14ac:dyDescent="0.2">
      <c r="B32">
        <v>16</v>
      </c>
    </row>
    <row r="33" spans="2:9" x14ac:dyDescent="0.2">
      <c r="B33">
        <v>17</v>
      </c>
      <c r="D33" t="s">
        <v>31</v>
      </c>
      <c r="I33">
        <f>1/I21</f>
        <v>1.0072893826980953</v>
      </c>
    </row>
  </sheetData>
  <mergeCells count="3">
    <mergeCell ref="D29:E29"/>
    <mergeCell ref="D25:E25"/>
    <mergeCell ref="I7:K7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2"/>
  <sheetViews>
    <sheetView workbookViewId="0">
      <selection activeCell="A3" sqref="A3:I5"/>
    </sheetView>
  </sheetViews>
  <sheetFormatPr defaultRowHeight="14.25" x14ac:dyDescent="0.2"/>
  <cols>
    <col min="1" max="1" width="6.125" customWidth="1"/>
    <col min="2" max="2" width="4.75" customWidth="1"/>
    <col min="3" max="3" width="1.25" customWidth="1"/>
    <col min="5" max="5" width="31.875" customWidth="1"/>
    <col min="7" max="7" width="13.75" bestFit="1" customWidth="1"/>
    <col min="9" max="9" width="11.25" customWidth="1"/>
  </cols>
  <sheetData>
    <row r="3" spans="2:9" x14ac:dyDescent="0.2">
      <c r="B3" t="s">
        <v>53</v>
      </c>
      <c r="H3" s="62" t="s">
        <v>108</v>
      </c>
      <c r="I3" s="62"/>
    </row>
    <row r="4" spans="2:9" x14ac:dyDescent="0.2">
      <c r="B4" t="s">
        <v>52</v>
      </c>
    </row>
    <row r="5" spans="2:9" x14ac:dyDescent="0.2">
      <c r="B5" t="s">
        <v>82</v>
      </c>
    </row>
    <row r="8" spans="2:9" x14ac:dyDescent="0.2">
      <c r="D8" s="64" t="s">
        <v>109</v>
      </c>
      <c r="E8" s="64"/>
      <c r="F8" s="64"/>
      <c r="G8" s="64"/>
      <c r="H8" s="64"/>
      <c r="I8" s="64"/>
    </row>
    <row r="9" spans="2:9" x14ac:dyDescent="0.2">
      <c r="F9" s="37"/>
      <c r="G9" s="37"/>
    </row>
    <row r="10" spans="2:9" x14ac:dyDescent="0.2">
      <c r="D10" t="s">
        <v>73</v>
      </c>
      <c r="F10" s="37"/>
      <c r="G10" s="64" t="s">
        <v>83</v>
      </c>
      <c r="H10" s="64"/>
      <c r="I10" s="64"/>
    </row>
    <row r="12" spans="2:9" x14ac:dyDescent="0.2">
      <c r="D12" t="s">
        <v>63</v>
      </c>
      <c r="F12" s="26"/>
      <c r="G12" s="26">
        <v>12568829.418868868</v>
      </c>
      <c r="I12" s="26">
        <v>12568829.418868868</v>
      </c>
    </row>
    <row r="13" spans="2:9" x14ac:dyDescent="0.2">
      <c r="D13" t="s">
        <v>74</v>
      </c>
      <c r="F13" s="26"/>
      <c r="G13" s="39">
        <v>1317171.9485556514</v>
      </c>
      <c r="I13" s="39">
        <v>1317171.9485556514</v>
      </c>
    </row>
    <row r="14" spans="2:9" x14ac:dyDescent="0.2">
      <c r="D14" t="s">
        <v>75</v>
      </c>
      <c r="F14" s="26"/>
      <c r="G14" s="26">
        <v>13886001.36742452</v>
      </c>
      <c r="I14" s="26">
        <v>13886001.36742452</v>
      </c>
    </row>
    <row r="15" spans="2:9" x14ac:dyDescent="0.2">
      <c r="F15" s="26"/>
      <c r="G15" s="26"/>
    </row>
    <row r="16" spans="2:9" x14ac:dyDescent="0.2">
      <c r="D16" t="s">
        <v>76</v>
      </c>
      <c r="F16" s="15"/>
      <c r="G16" s="16">
        <v>0.13212596838292051</v>
      </c>
      <c r="I16" s="16">
        <v>0.28765589738860803</v>
      </c>
    </row>
    <row r="18" spans="4:9" x14ac:dyDescent="0.2">
      <c r="D18" t="s">
        <v>77</v>
      </c>
      <c r="G18" s="29">
        <f>G14*G16</f>
        <v>1834701.377637523</v>
      </c>
      <c r="I18" s="29">
        <f>I16*I14</f>
        <v>3994390.1844859384</v>
      </c>
    </row>
    <row r="19" spans="4:9" ht="15" thickBot="1" x14ac:dyDescent="0.25"/>
    <row r="20" spans="4:9" ht="15" thickBot="1" x14ac:dyDescent="0.25">
      <c r="D20" t="s">
        <v>81</v>
      </c>
      <c r="G20" s="51">
        <f>G18/G12</f>
        <v>0.14597233493225634</v>
      </c>
      <c r="I20" s="52">
        <f>I18/G12</f>
        <v>0.31780128851851452</v>
      </c>
    </row>
    <row r="22" spans="4:9" x14ac:dyDescent="0.2">
      <c r="G22" s="41"/>
    </row>
  </sheetData>
  <mergeCells count="3">
    <mergeCell ref="D8:I8"/>
    <mergeCell ref="G10:I10"/>
    <mergeCell ref="H3:I3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2"/>
  <sheetViews>
    <sheetView workbookViewId="0">
      <selection activeCell="B3" sqref="B3:I5"/>
    </sheetView>
  </sheetViews>
  <sheetFormatPr defaultRowHeight="14.25" x14ac:dyDescent="0.2"/>
  <cols>
    <col min="2" max="2" width="14.625" customWidth="1"/>
    <col min="3" max="3" width="10.625" customWidth="1"/>
    <col min="4" max="4" width="11.875" customWidth="1"/>
    <col min="5" max="5" width="10.5" customWidth="1"/>
    <col min="6" max="6" width="7.375" customWidth="1"/>
    <col min="7" max="7" width="9.125" bestFit="1" customWidth="1"/>
  </cols>
  <sheetData>
    <row r="3" spans="2:9" x14ac:dyDescent="0.2">
      <c r="B3" t="s">
        <v>53</v>
      </c>
      <c r="H3" s="62" t="s">
        <v>125</v>
      </c>
      <c r="I3" s="62"/>
    </row>
    <row r="4" spans="2:9" x14ac:dyDescent="0.2">
      <c r="B4" t="s">
        <v>52</v>
      </c>
    </row>
    <row r="5" spans="2:9" x14ac:dyDescent="0.2">
      <c r="B5" t="s">
        <v>130</v>
      </c>
    </row>
    <row r="8" spans="2:9" x14ac:dyDescent="0.2">
      <c r="B8" s="62" t="s">
        <v>126</v>
      </c>
      <c r="C8" s="62"/>
      <c r="D8" s="62"/>
      <c r="E8" s="62"/>
      <c r="F8" s="62"/>
      <c r="G8" s="62"/>
    </row>
    <row r="9" spans="2:9" x14ac:dyDescent="0.2">
      <c r="B9" s="62" t="s">
        <v>127</v>
      </c>
      <c r="C9" s="62"/>
      <c r="D9" s="62"/>
      <c r="E9" s="62"/>
      <c r="F9" s="62"/>
      <c r="G9" s="62"/>
    </row>
    <row r="10" spans="2:9" x14ac:dyDescent="0.2">
      <c r="B10" s="38"/>
      <c r="C10" s="38"/>
      <c r="D10" s="38"/>
      <c r="E10" s="38"/>
      <c r="F10" s="38"/>
      <c r="G10" s="38"/>
    </row>
    <row r="11" spans="2:9" x14ac:dyDescent="0.2">
      <c r="B11" s="38" t="s">
        <v>128</v>
      </c>
      <c r="C11" s="40" t="s">
        <v>57</v>
      </c>
      <c r="D11" s="40" t="s">
        <v>59</v>
      </c>
      <c r="E11" s="40" t="s">
        <v>68</v>
      </c>
      <c r="F11" s="40" t="s">
        <v>69</v>
      </c>
      <c r="G11" s="40" t="s">
        <v>70</v>
      </c>
    </row>
    <row r="12" spans="2:9" x14ac:dyDescent="0.2">
      <c r="B12" s="38">
        <v>2005</v>
      </c>
      <c r="C12" s="58">
        <v>5.4060356516768131</v>
      </c>
      <c r="D12" s="58">
        <v>43.78560305775764</v>
      </c>
      <c r="E12" s="58">
        <v>3198.8690476190477</v>
      </c>
      <c r="F12" s="58">
        <v>265.42748618784532</v>
      </c>
      <c r="G12" s="58">
        <v>3703.4833333333336</v>
      </c>
    </row>
    <row r="13" spans="2:9" x14ac:dyDescent="0.2">
      <c r="B13" s="38">
        <v>2006</v>
      </c>
      <c r="C13" s="58">
        <v>5.1644048961120763</v>
      </c>
      <c r="D13" s="58">
        <v>42.245750812525166</v>
      </c>
      <c r="E13" s="58">
        <v>2733.2810218978102</v>
      </c>
      <c r="F13" s="58">
        <v>243.67657162487117</v>
      </c>
      <c r="G13" s="58">
        <v>3110.8160000000003</v>
      </c>
    </row>
    <row r="14" spans="2:9" x14ac:dyDescent="0.2">
      <c r="B14" s="38">
        <v>2007</v>
      </c>
      <c r="C14" s="58">
        <v>5.2614152493807511</v>
      </c>
      <c r="D14" s="58">
        <v>41.238816787622852</v>
      </c>
      <c r="E14" s="58">
        <v>3047.3690476190477</v>
      </c>
      <c r="F14" s="58">
        <v>272.99469450624679</v>
      </c>
      <c r="G14" s="58">
        <v>4065.9466666666667</v>
      </c>
    </row>
    <row r="15" spans="2:9" x14ac:dyDescent="0.2">
      <c r="B15" s="38">
        <v>2008</v>
      </c>
      <c r="C15" s="58">
        <v>5.0359742629255537</v>
      </c>
      <c r="D15" s="58">
        <v>39.520451677056641</v>
      </c>
      <c r="E15" s="58">
        <v>2436.4392156862746</v>
      </c>
      <c r="F15" s="58">
        <v>277.94096064042697</v>
      </c>
      <c r="G15" s="58">
        <v>3837.0222222222224</v>
      </c>
    </row>
    <row r="16" spans="2:9" x14ac:dyDescent="0.2">
      <c r="B16" s="38">
        <v>2009</v>
      </c>
      <c r="C16" s="58">
        <v>4.6257420715664805</v>
      </c>
      <c r="D16" s="58">
        <v>36.101766254002335</v>
      </c>
      <c r="E16" s="58">
        <v>1955.6564885496184</v>
      </c>
      <c r="F16" s="58">
        <v>231.62895337463317</v>
      </c>
      <c r="G16" s="58">
        <v>3239.4097222222222</v>
      </c>
    </row>
    <row r="17" spans="2:7" x14ac:dyDescent="0.2">
      <c r="B17" s="38">
        <v>2010</v>
      </c>
      <c r="C17" s="58">
        <v>4.7860278392387192</v>
      </c>
      <c r="D17" s="58">
        <v>38.671150062260587</v>
      </c>
      <c r="E17" s="58">
        <v>2086.2007299270072</v>
      </c>
      <c r="F17" s="58">
        <v>252.83782505910165</v>
      </c>
      <c r="G17" s="58">
        <v>3342.125</v>
      </c>
    </row>
    <row r="18" spans="2:7" x14ac:dyDescent="0.2">
      <c r="B18" s="38">
        <v>2011</v>
      </c>
      <c r="C18" s="58">
        <v>4.4622362456181133</v>
      </c>
      <c r="D18" s="58">
        <v>35.664360289708867</v>
      </c>
      <c r="E18" s="58">
        <v>1755.065934065934</v>
      </c>
      <c r="F18" s="58">
        <v>217.20812342569269</v>
      </c>
      <c r="G18" s="58">
        <v>2974.3310810810808</v>
      </c>
    </row>
    <row r="19" spans="2:7" x14ac:dyDescent="0.2">
      <c r="B19" s="38">
        <v>2012</v>
      </c>
      <c r="C19" s="58">
        <v>4.5784580293349046</v>
      </c>
      <c r="D19" s="58">
        <v>37.199588204038257</v>
      </c>
      <c r="E19" s="58">
        <v>1916.8961937716265</v>
      </c>
      <c r="F19" s="58">
        <v>229.57668231611893</v>
      </c>
      <c r="G19" s="58">
        <v>2940.2435897435894</v>
      </c>
    </row>
    <row r="20" spans="2:7" x14ac:dyDescent="0.2">
      <c r="B20" s="38"/>
      <c r="C20" s="58"/>
      <c r="D20" s="58"/>
      <c r="E20" s="58"/>
      <c r="F20" s="58"/>
      <c r="G20" s="58"/>
    </row>
    <row r="21" spans="2:7" x14ac:dyDescent="0.2">
      <c r="B21" s="38"/>
    </row>
    <row r="22" spans="2:7" ht="28.5" customHeight="1" x14ac:dyDescent="0.2">
      <c r="B22" s="48" t="s">
        <v>129</v>
      </c>
      <c r="C22" s="57">
        <v>4.4800000000000004</v>
      </c>
      <c r="D22" s="57">
        <v>36.020000000000003</v>
      </c>
      <c r="E22" s="57">
        <v>2091.98</v>
      </c>
      <c r="F22" s="57">
        <v>212.4</v>
      </c>
      <c r="G22" s="57">
        <v>2930.02</v>
      </c>
    </row>
  </sheetData>
  <mergeCells count="3">
    <mergeCell ref="H3:I3"/>
    <mergeCell ref="B8:G8"/>
    <mergeCell ref="B9:G9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46"/>
  <sheetViews>
    <sheetView topLeftCell="A14" workbookViewId="0">
      <selection activeCell="B45" sqref="B45"/>
    </sheetView>
  </sheetViews>
  <sheetFormatPr defaultRowHeight="14.25" x14ac:dyDescent="0.2"/>
  <cols>
    <col min="1" max="1" width="3.625" customWidth="1"/>
    <col min="4" max="4" width="20.25" customWidth="1"/>
    <col min="5" max="5" width="11.75" bestFit="1" customWidth="1"/>
    <col min="6" max="6" width="12.5" customWidth="1"/>
    <col min="7" max="7" width="4.875" customWidth="1"/>
    <col min="8" max="8" width="11.25" customWidth="1"/>
    <col min="9" max="9" width="3.125" customWidth="1"/>
    <col min="10" max="10" width="41.25" customWidth="1"/>
    <col min="11" max="11" width="3.625" customWidth="1"/>
    <col min="12" max="12" width="12.375" customWidth="1"/>
  </cols>
  <sheetData>
    <row r="3" spans="2:8" x14ac:dyDescent="0.2">
      <c r="B3" t="s">
        <v>53</v>
      </c>
      <c r="G3" s="65" t="s">
        <v>149</v>
      </c>
      <c r="H3" s="65"/>
    </row>
    <row r="4" spans="2:8" x14ac:dyDescent="0.2">
      <c r="B4" t="s">
        <v>52</v>
      </c>
    </row>
    <row r="5" spans="2:8" x14ac:dyDescent="0.2">
      <c r="B5" t="s">
        <v>150</v>
      </c>
    </row>
    <row r="8" spans="2:8" x14ac:dyDescent="0.2">
      <c r="B8" t="s">
        <v>151</v>
      </c>
      <c r="H8" s="40" t="s">
        <v>131</v>
      </c>
    </row>
    <row r="10" spans="2:8" x14ac:dyDescent="0.2">
      <c r="B10" t="s">
        <v>132</v>
      </c>
      <c r="F10" s="5">
        <v>12317702</v>
      </c>
    </row>
    <row r="11" spans="2:8" x14ac:dyDescent="0.2">
      <c r="F11" s="5"/>
    </row>
    <row r="12" spans="2:8" x14ac:dyDescent="0.2">
      <c r="B12" t="s">
        <v>133</v>
      </c>
    </row>
    <row r="13" spans="2:8" x14ac:dyDescent="0.2">
      <c r="C13" t="s">
        <v>134</v>
      </c>
      <c r="E13" s="5">
        <f>'WKP 5'!O32</f>
        <v>-201253.04371216896</v>
      </c>
      <c r="H13" s="38" t="s">
        <v>3</v>
      </c>
    </row>
    <row r="14" spans="2:8" x14ac:dyDescent="0.2">
      <c r="E14" s="5"/>
      <c r="H14" s="38"/>
    </row>
    <row r="15" spans="2:8" x14ac:dyDescent="0.2">
      <c r="C15" t="s">
        <v>135</v>
      </c>
      <c r="E15" s="5">
        <f>'WKP 5'!Q32</f>
        <v>-6846527.1990004964</v>
      </c>
      <c r="H15" s="38" t="s">
        <v>3</v>
      </c>
    </row>
    <row r="16" spans="2:8" x14ac:dyDescent="0.2">
      <c r="E16" s="5"/>
      <c r="H16" s="38"/>
    </row>
    <row r="17" spans="2:8" x14ac:dyDescent="0.2">
      <c r="B17" t="s">
        <v>136</v>
      </c>
      <c r="E17" s="5"/>
      <c r="H17" s="38"/>
    </row>
    <row r="18" spans="2:8" x14ac:dyDescent="0.2">
      <c r="C18" t="s">
        <v>137</v>
      </c>
      <c r="E18" s="5">
        <f>'WKP 1'!I12</f>
        <v>-377617.56342754315</v>
      </c>
      <c r="H18" s="38" t="s">
        <v>138</v>
      </c>
    </row>
    <row r="19" spans="2:8" x14ac:dyDescent="0.2">
      <c r="E19" s="5"/>
      <c r="H19" s="38"/>
    </row>
    <row r="20" spans="2:8" x14ac:dyDescent="0.2">
      <c r="C20" t="s">
        <v>139</v>
      </c>
      <c r="E20" s="5">
        <f>'WKP 1'!I14</f>
        <v>-379904.40308452921</v>
      </c>
      <c r="H20" s="38" t="s">
        <v>138</v>
      </c>
    </row>
    <row r="21" spans="2:8" x14ac:dyDescent="0.2">
      <c r="E21" s="5"/>
      <c r="H21" s="38"/>
    </row>
    <row r="22" spans="2:8" x14ac:dyDescent="0.2">
      <c r="B22" t="s">
        <v>147</v>
      </c>
      <c r="E22" s="5"/>
      <c r="H22" s="38"/>
    </row>
    <row r="23" spans="2:8" x14ac:dyDescent="0.2">
      <c r="C23" t="s">
        <v>140</v>
      </c>
      <c r="E23" s="59">
        <f>'WKP 2'!P26</f>
        <v>70370.713913826185</v>
      </c>
      <c r="H23" s="38" t="s">
        <v>138</v>
      </c>
    </row>
    <row r="24" spans="2:8" x14ac:dyDescent="0.2">
      <c r="E24" s="59"/>
    </row>
    <row r="25" spans="2:8" x14ac:dyDescent="0.2">
      <c r="C25" t="s">
        <v>141</v>
      </c>
      <c r="E25" s="59">
        <f>'WKP 2'!P24</f>
        <v>153206.45221000598</v>
      </c>
      <c r="H25" s="38" t="s">
        <v>138</v>
      </c>
    </row>
    <row r="26" spans="2:8" x14ac:dyDescent="0.2">
      <c r="H26" s="38"/>
    </row>
    <row r="27" spans="2:8" x14ac:dyDescent="0.2">
      <c r="B27" t="s">
        <v>142</v>
      </c>
      <c r="E27" s="59"/>
      <c r="H27" s="38"/>
    </row>
    <row r="28" spans="2:8" x14ac:dyDescent="0.2">
      <c r="C28" t="s">
        <v>148</v>
      </c>
      <c r="E28" s="59">
        <f>-'WKP 2'!P21</f>
        <v>-2230919.7284385907</v>
      </c>
      <c r="H28" s="38" t="s">
        <v>138</v>
      </c>
    </row>
    <row r="29" spans="2:8" x14ac:dyDescent="0.2">
      <c r="E29" s="38"/>
      <c r="H29" s="38"/>
    </row>
    <row r="30" spans="2:8" x14ac:dyDescent="0.2">
      <c r="C30" t="s">
        <v>143</v>
      </c>
      <c r="E30" s="61">
        <v>-21342</v>
      </c>
      <c r="H30" s="38" t="s">
        <v>144</v>
      </c>
    </row>
    <row r="31" spans="2:8" x14ac:dyDescent="0.2">
      <c r="E31" s="38"/>
    </row>
    <row r="32" spans="2:8" x14ac:dyDescent="0.2">
      <c r="C32" t="s">
        <v>145</v>
      </c>
      <c r="E32" s="38"/>
      <c r="F32" s="60">
        <f>SUM(E11:E31)</f>
        <v>-9833986.7715394963</v>
      </c>
    </row>
    <row r="34" spans="2:8" ht="15" thickBot="1" x14ac:dyDescent="0.25">
      <c r="B34" t="s">
        <v>153</v>
      </c>
      <c r="F34" s="23">
        <f>SUM(F9:F33)</f>
        <v>2483715.2284605037</v>
      </c>
      <c r="H34" s="33"/>
    </row>
    <row r="35" spans="2:8" ht="15" thickTop="1" x14ac:dyDescent="0.2"/>
    <row r="38" spans="2:8" x14ac:dyDescent="0.2">
      <c r="B38" t="s">
        <v>152</v>
      </c>
      <c r="F38" s="5">
        <v>81832138</v>
      </c>
    </row>
    <row r="39" spans="2:8" x14ac:dyDescent="0.2">
      <c r="B39" t="s">
        <v>154</v>
      </c>
      <c r="F39" s="60">
        <f>-(E28+E30)</f>
        <v>2252261.7284385907</v>
      </c>
    </row>
    <row r="40" spans="2:8" x14ac:dyDescent="0.2">
      <c r="F40" s="34"/>
    </row>
    <row r="41" spans="2:8" x14ac:dyDescent="0.2">
      <c r="B41" t="s">
        <v>155</v>
      </c>
      <c r="F41" s="33">
        <f>SUM(F38:F40)</f>
        <v>84084399.728438586</v>
      </c>
    </row>
    <row r="42" spans="2:8" x14ac:dyDescent="0.2">
      <c r="B42" t="s">
        <v>156</v>
      </c>
      <c r="F42" s="60">
        <f>F34</f>
        <v>2483715.2284605037</v>
      </c>
    </row>
    <row r="43" spans="2:8" x14ac:dyDescent="0.2">
      <c r="F43" s="33"/>
    </row>
    <row r="44" spans="2:8" ht="15" thickBot="1" x14ac:dyDescent="0.25">
      <c r="B44" t="s">
        <v>157</v>
      </c>
      <c r="F44" s="23">
        <f>SUM(F41:F42)</f>
        <v>86568114.956899092</v>
      </c>
    </row>
    <row r="45" spans="2:8" ht="15" thickTop="1" x14ac:dyDescent="0.2"/>
    <row r="46" spans="2:8" x14ac:dyDescent="0.2">
      <c r="B46" t="s">
        <v>146</v>
      </c>
      <c r="F46" s="8">
        <f>F34/F41</f>
        <v>2.9538359511181413E-2</v>
      </c>
    </row>
  </sheetData>
  <mergeCells count="1">
    <mergeCell ref="G3:H3"/>
  </mergeCells>
  <pageMargins left="0.63" right="0.64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WKP 1</vt:lpstr>
      <vt:lpstr>WKP 2</vt:lpstr>
      <vt:lpstr>WKP 3</vt:lpstr>
      <vt:lpstr>WKP 4</vt:lpstr>
      <vt:lpstr>WKP 5</vt:lpstr>
      <vt:lpstr>WKP 6</vt:lpstr>
      <vt:lpstr>WKP 7</vt:lpstr>
      <vt:lpstr>WKP 8</vt:lpstr>
      <vt:lpstr>WKP 9</vt:lpstr>
    </vt:vector>
  </TitlesOfParts>
  <Company>Brubaker &amp; Associates,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Rackers</dc:creator>
  <cp:lastModifiedBy>Spenard, David (KYOAG)</cp:lastModifiedBy>
  <cp:lastPrinted>2013-04-03T13:36:14Z</cp:lastPrinted>
  <dcterms:created xsi:type="dcterms:W3CDTF">2013-03-27T17:46:41Z</dcterms:created>
  <dcterms:modified xsi:type="dcterms:W3CDTF">2013-04-03T17:30:30Z</dcterms:modified>
</cp:coreProperties>
</file>