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0" yWindow="0" windowWidth="3180" windowHeight="1620" tabRatio="884"/>
  </bookViews>
  <sheets>
    <sheet name="Inputs" sheetId="183" r:id="rId1"/>
    <sheet name="Ex 1" sheetId="52" r:id="rId2"/>
    <sheet name="Ex 2" sheetId="240" r:id="rId3"/>
    <sheet name="Ex 3" sheetId="177" r:id="rId4"/>
    <sheet name="Supp Sch-Ex 3" sheetId="175" r:id="rId5"/>
    <sheet name="Ex 4 (Page1)" sheetId="224" r:id="rId6"/>
    <sheet name="Supp Sch-Ex 4 (Page2)" sheetId="260" r:id="rId7"/>
    <sheet name="Ex 5" sheetId="223" r:id="rId8"/>
    <sheet name="Ex 6" sheetId="208" r:id="rId9"/>
    <sheet name="Ex 7" sheetId="209" r:id="rId10"/>
    <sheet name="Ex 8" sheetId="164" r:id="rId11"/>
    <sheet name="Ex 9" sheetId="167" r:id="rId12"/>
    <sheet name="1.00" sheetId="12" r:id="rId13"/>
    <sheet name="1.01" sheetId="64" r:id="rId14"/>
    <sheet name="1.02" sheetId="198" r:id="rId15"/>
    <sheet name="1.03" sheetId="275" r:id="rId16"/>
    <sheet name="1.04" sheetId="272" r:id="rId17"/>
    <sheet name="1.05" sheetId="93" r:id="rId18"/>
    <sheet name="1.06" sheetId="76" r:id="rId19"/>
    <sheet name="1.07" sheetId="108" r:id="rId20"/>
    <sheet name="1.08" sheetId="14" r:id="rId21"/>
    <sheet name="1.09" sheetId="273" r:id="rId22"/>
    <sheet name="1.10" sheetId="16" r:id="rId23"/>
    <sheet name="1.11" sheetId="159" r:id="rId24"/>
    <sheet name="1.12" sheetId="262" r:id="rId25"/>
    <sheet name="1.13" sheetId="203" r:id="rId26"/>
    <sheet name="1.14" sheetId="186" r:id="rId27"/>
    <sheet name="1.15" sheetId="264" r:id="rId28"/>
    <sheet name="1.16" sheetId="122" r:id="rId29"/>
    <sheet name="1.17" sheetId="13" r:id="rId30"/>
    <sheet name="1.18" sheetId="270" r:id="rId31"/>
    <sheet name="1.19" sheetId="191" r:id="rId32"/>
    <sheet name="1.20" sheetId="201" r:id="rId33"/>
    <sheet name="1.21" sheetId="173" r:id="rId34"/>
    <sheet name="1.22" sheetId="271" r:id="rId35"/>
    <sheet name="1.23" sheetId="187" r:id="rId36"/>
    <sheet name="1.24" sheetId="193" r:id="rId37"/>
    <sheet name="1.25" sheetId="234" r:id="rId38"/>
    <sheet name="1.26" sheetId="101" r:id="rId39"/>
    <sheet name="1.27" sheetId="210" r:id="rId40"/>
    <sheet name="1.28" sheetId="274" r:id="rId41"/>
    <sheet name="1.29" sheetId="35" r:id="rId42"/>
    <sheet name="1.30" sheetId="241" r:id="rId43"/>
    <sheet name="1.31" sheetId="149" r:id="rId44"/>
    <sheet name="1.32" sheetId="276" r:id="rId45"/>
    <sheet name="1.33" sheetId="277" r:id="rId46"/>
    <sheet name="1.34" sheetId="56" r:id="rId47"/>
  </sheets>
  <definedNames>
    <definedName name="\\" localSheetId="14" hidden="1">#REF!</definedName>
    <definedName name="\\" localSheetId="15" hidden="1">#REF!</definedName>
    <definedName name="\\" localSheetId="16" hidden="1">#REF!</definedName>
    <definedName name="\\" localSheetId="21" hidden="1">#REF!</definedName>
    <definedName name="\\" localSheetId="24" hidden="1">#REF!</definedName>
    <definedName name="\\" localSheetId="27" hidden="1">#REF!</definedName>
    <definedName name="\\" localSheetId="30" hidden="1">#REF!</definedName>
    <definedName name="\\" localSheetId="31" hidden="1">#REF!</definedName>
    <definedName name="\\" localSheetId="34" hidden="1">#REF!</definedName>
    <definedName name="\\" localSheetId="35" hidden="1">#REF!</definedName>
    <definedName name="\\" localSheetId="36" hidden="1">#REF!</definedName>
    <definedName name="\\" localSheetId="39" hidden="1">#REF!</definedName>
    <definedName name="\\" localSheetId="40" hidden="1">#REF!</definedName>
    <definedName name="\\" localSheetId="43" hidden="1">#REF!</definedName>
    <definedName name="\\" localSheetId="44" hidden="1">#REF!</definedName>
    <definedName name="\\" localSheetId="45" hidden="1">#REF!</definedName>
    <definedName name="\\" hidden="1">#REF!</definedName>
    <definedName name="\\\" localSheetId="14" hidden="1">#REF!</definedName>
    <definedName name="\\\" localSheetId="15" hidden="1">#REF!</definedName>
    <definedName name="\\\" localSheetId="16" hidden="1">#REF!</definedName>
    <definedName name="\\\" localSheetId="21" hidden="1">#REF!</definedName>
    <definedName name="\\\" localSheetId="24" hidden="1">#REF!</definedName>
    <definedName name="\\\" localSheetId="27" hidden="1">#REF!</definedName>
    <definedName name="\\\" localSheetId="30" hidden="1">#REF!</definedName>
    <definedName name="\\\" localSheetId="31" hidden="1">#REF!</definedName>
    <definedName name="\\\" localSheetId="34" hidden="1">#REF!</definedName>
    <definedName name="\\\" localSheetId="35" hidden="1">#REF!</definedName>
    <definedName name="\\\" localSheetId="36" hidden="1">#REF!</definedName>
    <definedName name="\\\" localSheetId="39" hidden="1">#REF!</definedName>
    <definedName name="\\\" localSheetId="40" hidden="1">#REF!</definedName>
    <definedName name="\\\" localSheetId="43" hidden="1">#REF!</definedName>
    <definedName name="\\\" localSheetId="44" hidden="1">#REF!</definedName>
    <definedName name="\\\" localSheetId="45" hidden="1">#REF!</definedName>
    <definedName name="\\\" hidden="1">#REF!</definedName>
    <definedName name="\\\\" localSheetId="14" hidden="1">#REF!</definedName>
    <definedName name="\\\\" localSheetId="15" hidden="1">#REF!</definedName>
    <definedName name="\\\\" localSheetId="16" hidden="1">#REF!</definedName>
    <definedName name="\\\\" localSheetId="21" hidden="1">#REF!</definedName>
    <definedName name="\\\\" localSheetId="24" hidden="1">#REF!</definedName>
    <definedName name="\\\\" localSheetId="27" hidden="1">#REF!</definedName>
    <definedName name="\\\\" localSheetId="30" hidden="1">#REF!</definedName>
    <definedName name="\\\\" localSheetId="31" hidden="1">#REF!</definedName>
    <definedName name="\\\\" localSheetId="34" hidden="1">#REF!</definedName>
    <definedName name="\\\\" localSheetId="35" hidden="1">#REF!</definedName>
    <definedName name="\\\\" localSheetId="36" hidden="1">#REF!</definedName>
    <definedName name="\\\\" localSheetId="39" hidden="1">#REF!</definedName>
    <definedName name="\\\\" localSheetId="40" hidden="1">#REF!</definedName>
    <definedName name="\\\\" localSheetId="42" hidden="1">#REF!</definedName>
    <definedName name="\\\\" localSheetId="43" hidden="1">#REF!</definedName>
    <definedName name="\\\\" localSheetId="44" hidden="1">#REF!</definedName>
    <definedName name="\\\\" localSheetId="45" hidden="1">#REF!</definedName>
    <definedName name="\\\\" localSheetId="2" hidden="1">#REF!</definedName>
    <definedName name="\\\\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localSheetId="21" hidden="1">#REF!</definedName>
    <definedName name="__123Graph_A" localSheetId="24" hidden="1">#REF!</definedName>
    <definedName name="__123Graph_A" localSheetId="27" hidden="1">#REF!</definedName>
    <definedName name="__123Graph_A" localSheetId="30" hidden="1">#REF!</definedName>
    <definedName name="__123Graph_A" localSheetId="31" hidden="1">#REF!</definedName>
    <definedName name="__123Graph_A" localSheetId="34" hidden="1">#REF!</definedName>
    <definedName name="__123Graph_A" localSheetId="35" hidden="1">#REF!</definedName>
    <definedName name="__123Graph_A" localSheetId="36" hidden="1">#REF!</definedName>
    <definedName name="__123Graph_A" localSheetId="39" hidden="1">#REF!</definedName>
    <definedName name="__123Graph_A" localSheetId="40" hidden="1">#REF!</definedName>
    <definedName name="__123Graph_A" localSheetId="43" hidden="1">#REF!</definedName>
    <definedName name="__123Graph_A" localSheetId="44" hidden="1">#REF!</definedName>
    <definedName name="__123Graph_A" localSheetId="45" hidden="1">#REF!</definedName>
    <definedName name="__123Graph_A" localSheetId="1" hidden="1">'Ex 1'!#REF!</definedName>
    <definedName name="__123Graph_A" localSheetId="2" hidden="1">'Ex 2'!#REF!</definedName>
    <definedName name="__123Graph_A" hidden="1">#REF!</definedName>
    <definedName name="__123Graph_B" localSheetId="14" hidden="1">#REF!</definedName>
    <definedName name="__123Graph_B" localSheetId="15" hidden="1">#REF!</definedName>
    <definedName name="__123Graph_B" localSheetId="16" hidden="1">#REF!</definedName>
    <definedName name="__123Graph_B" localSheetId="21" hidden="1">#REF!</definedName>
    <definedName name="__123Graph_B" localSheetId="24" hidden="1">#REF!</definedName>
    <definedName name="__123Graph_B" localSheetId="27" hidden="1">#REF!</definedName>
    <definedName name="__123Graph_B" localSheetId="30" hidden="1">#REF!</definedName>
    <definedName name="__123Graph_B" localSheetId="31" hidden="1">#REF!</definedName>
    <definedName name="__123Graph_B" localSheetId="34" hidden="1">#REF!</definedName>
    <definedName name="__123Graph_B" localSheetId="35" hidden="1">#REF!</definedName>
    <definedName name="__123Graph_B" localSheetId="36" hidden="1">#REF!</definedName>
    <definedName name="__123Graph_B" localSheetId="39" hidden="1">#REF!</definedName>
    <definedName name="__123Graph_B" localSheetId="40" hidden="1">#REF!</definedName>
    <definedName name="__123Graph_B" localSheetId="43" hidden="1">#REF!</definedName>
    <definedName name="__123Graph_B" localSheetId="44" hidden="1">#REF!</definedName>
    <definedName name="__123Graph_B" localSheetId="45" hidden="1">#REF!</definedName>
    <definedName name="__123Graph_B" localSheetId="1" hidden="1">'Ex 1'!#REF!</definedName>
    <definedName name="__123Graph_B" localSheetId="2" hidden="1">'Ex 2'!#REF!</definedName>
    <definedName name="__123Graph_B" hidden="1">#REF!</definedName>
    <definedName name="__123Graph_C" localSheetId="14" hidden="1">#REF!</definedName>
    <definedName name="__123Graph_C" localSheetId="15" hidden="1">#REF!</definedName>
    <definedName name="__123Graph_C" localSheetId="16" hidden="1">#REF!</definedName>
    <definedName name="__123Graph_C" localSheetId="21" hidden="1">#REF!</definedName>
    <definedName name="__123Graph_C" localSheetId="24" hidden="1">#REF!</definedName>
    <definedName name="__123Graph_C" localSheetId="27" hidden="1">#REF!</definedName>
    <definedName name="__123Graph_C" localSheetId="30" hidden="1">#REF!</definedName>
    <definedName name="__123Graph_C" localSheetId="31" hidden="1">#REF!</definedName>
    <definedName name="__123Graph_C" localSheetId="34" hidden="1">#REF!</definedName>
    <definedName name="__123Graph_C" localSheetId="35" hidden="1">#REF!</definedName>
    <definedName name="__123Graph_C" localSheetId="36" hidden="1">#REF!</definedName>
    <definedName name="__123Graph_C" localSheetId="39" hidden="1">#REF!</definedName>
    <definedName name="__123Graph_C" localSheetId="40" hidden="1">#REF!</definedName>
    <definedName name="__123Graph_C" localSheetId="42" hidden="1">#REF!</definedName>
    <definedName name="__123Graph_C" localSheetId="43" hidden="1">#REF!</definedName>
    <definedName name="__123Graph_C" localSheetId="44" hidden="1">#REF!</definedName>
    <definedName name="__123Graph_C" localSheetId="45" hidden="1">#REF!</definedName>
    <definedName name="__123Graph_C" localSheetId="1" hidden="1">'Ex 1'!#REF!</definedName>
    <definedName name="__123Graph_C" localSheetId="2" hidden="1">'Ex 2'!#REF!</definedName>
    <definedName name="__123Graph_C" hidden="1">#REF!</definedName>
    <definedName name="__123Graph_D" localSheetId="14" hidden="1">#REF!</definedName>
    <definedName name="__123Graph_D" localSheetId="15" hidden="1">#REF!</definedName>
    <definedName name="__123Graph_D" localSheetId="16" hidden="1">#REF!</definedName>
    <definedName name="__123Graph_D" localSheetId="21" hidden="1">#REF!</definedName>
    <definedName name="__123Graph_D" localSheetId="24" hidden="1">#REF!</definedName>
    <definedName name="__123Graph_D" localSheetId="27" hidden="1">#REF!</definedName>
    <definedName name="__123Graph_D" localSheetId="30" hidden="1">#REF!</definedName>
    <definedName name="__123Graph_D" localSheetId="31" hidden="1">#REF!</definedName>
    <definedName name="__123Graph_D" localSheetId="34" hidden="1">#REF!</definedName>
    <definedName name="__123Graph_D" localSheetId="35" hidden="1">#REF!</definedName>
    <definedName name="__123Graph_D" localSheetId="36" hidden="1">#REF!</definedName>
    <definedName name="__123Graph_D" localSheetId="39" hidden="1">#REF!</definedName>
    <definedName name="__123Graph_D" localSheetId="40" hidden="1">#REF!</definedName>
    <definedName name="__123Graph_D" localSheetId="43" hidden="1">#REF!</definedName>
    <definedName name="__123Graph_D" localSheetId="44" hidden="1">#REF!</definedName>
    <definedName name="__123Graph_D" localSheetId="45" hidden="1">#REF!</definedName>
    <definedName name="__123Graph_D" localSheetId="1" hidden="1">'Ex 1'!#REF!</definedName>
    <definedName name="__123Graph_D" localSheetId="2" hidden="1">'Ex 2'!#REF!</definedName>
    <definedName name="__123Graph_D" hidden="1">#REF!</definedName>
    <definedName name="__123Graph_E" localSheetId="14" hidden="1">#REF!</definedName>
    <definedName name="__123Graph_E" localSheetId="15" hidden="1">#REF!</definedName>
    <definedName name="__123Graph_E" localSheetId="16" hidden="1">#REF!</definedName>
    <definedName name="__123Graph_E" localSheetId="21" hidden="1">#REF!</definedName>
    <definedName name="__123Graph_E" localSheetId="24" hidden="1">#REF!</definedName>
    <definedName name="__123Graph_E" localSheetId="27" hidden="1">#REF!</definedName>
    <definedName name="__123Graph_E" localSheetId="30" hidden="1">#REF!</definedName>
    <definedName name="__123Graph_E" localSheetId="31" hidden="1">#REF!</definedName>
    <definedName name="__123Graph_E" localSheetId="34" hidden="1">#REF!</definedName>
    <definedName name="__123Graph_E" localSheetId="35" hidden="1">#REF!</definedName>
    <definedName name="__123Graph_E" localSheetId="36" hidden="1">#REF!</definedName>
    <definedName name="__123Graph_E" localSheetId="39" hidden="1">#REF!</definedName>
    <definedName name="__123Graph_E" localSheetId="40" hidden="1">#REF!</definedName>
    <definedName name="__123Graph_E" localSheetId="42" hidden="1">#REF!</definedName>
    <definedName name="__123Graph_E" localSheetId="43" hidden="1">#REF!</definedName>
    <definedName name="__123Graph_E" localSheetId="44" hidden="1">#REF!</definedName>
    <definedName name="__123Graph_E" localSheetId="45" hidden="1">#REF!</definedName>
    <definedName name="__123Graph_E" localSheetId="1" hidden="1">'Ex 1'!#REF!</definedName>
    <definedName name="__123Graph_E" localSheetId="2" hidden="1">'Ex 2'!#REF!</definedName>
    <definedName name="__123Graph_E" hidden="1">#REF!</definedName>
    <definedName name="__123Graph_F" localSheetId="14" hidden="1">#REF!</definedName>
    <definedName name="__123Graph_F" localSheetId="15" hidden="1">#REF!</definedName>
    <definedName name="__123Graph_F" localSheetId="16" hidden="1">#REF!</definedName>
    <definedName name="__123Graph_F" localSheetId="21" hidden="1">#REF!</definedName>
    <definedName name="__123Graph_F" localSheetId="24" hidden="1">#REF!</definedName>
    <definedName name="__123Graph_F" localSheetId="27" hidden="1">#REF!</definedName>
    <definedName name="__123Graph_F" localSheetId="30" hidden="1">#REF!</definedName>
    <definedName name="__123Graph_F" localSheetId="31" hidden="1">#REF!</definedName>
    <definedName name="__123Graph_F" localSheetId="34" hidden="1">#REF!</definedName>
    <definedName name="__123Graph_F" localSheetId="35" hidden="1">#REF!</definedName>
    <definedName name="__123Graph_F" localSheetId="36" hidden="1">#REF!</definedName>
    <definedName name="__123Graph_F" localSheetId="39" hidden="1">#REF!</definedName>
    <definedName name="__123Graph_F" localSheetId="40" hidden="1">#REF!</definedName>
    <definedName name="__123Graph_F" localSheetId="43" hidden="1">#REF!</definedName>
    <definedName name="__123Graph_F" localSheetId="44" hidden="1">#REF!</definedName>
    <definedName name="__123Graph_F" localSheetId="45" hidden="1">#REF!</definedName>
    <definedName name="__123Graph_F" localSheetId="1" hidden="1">'Ex 1'!#REF!</definedName>
    <definedName name="__123Graph_F" localSheetId="2" hidden="1">'Ex 2'!#REF!</definedName>
    <definedName name="__123Graph_F" hidden="1">#REF!</definedName>
    <definedName name="__123Graph_X" localSheetId="14" hidden="1">#REF!</definedName>
    <definedName name="__123Graph_X" localSheetId="15" hidden="1">#REF!</definedName>
    <definedName name="__123Graph_X" localSheetId="16" hidden="1">#REF!</definedName>
    <definedName name="__123Graph_X" localSheetId="21" hidden="1">#REF!</definedName>
    <definedName name="__123Graph_X" localSheetId="24" hidden="1">#REF!</definedName>
    <definedName name="__123Graph_X" localSheetId="27" hidden="1">#REF!</definedName>
    <definedName name="__123Graph_X" localSheetId="30" hidden="1">#REF!</definedName>
    <definedName name="__123Graph_X" localSheetId="31" hidden="1">#REF!</definedName>
    <definedName name="__123Graph_X" localSheetId="34" hidden="1">#REF!</definedName>
    <definedName name="__123Graph_X" localSheetId="35" hidden="1">#REF!</definedName>
    <definedName name="__123Graph_X" localSheetId="36" hidden="1">#REF!</definedName>
    <definedName name="__123Graph_X" localSheetId="39" hidden="1">#REF!</definedName>
    <definedName name="__123Graph_X" localSheetId="40" hidden="1">#REF!</definedName>
    <definedName name="__123Graph_X" localSheetId="43" hidden="1">#REF!</definedName>
    <definedName name="__123Graph_X" localSheetId="44" hidden="1">#REF!</definedName>
    <definedName name="__123Graph_X" localSheetId="45" hidden="1">#REF!</definedName>
    <definedName name="__123Graph_X" localSheetId="1" hidden="1">'Ex 1'!#REF!</definedName>
    <definedName name="__123Graph_X" localSheetId="2" hidden="1">'Ex 2'!#REF!</definedName>
    <definedName name="__123Graph_X" hidden="1">#REF!</definedName>
    <definedName name="_Fill" localSheetId="15" hidden="1">#REF!</definedName>
    <definedName name="_Fill" localSheetId="16" hidden="1">#REF!</definedName>
    <definedName name="_Fill" localSheetId="21" hidden="1">#REF!</definedName>
    <definedName name="_Fill" localSheetId="30" hidden="1">#REF!</definedName>
    <definedName name="_Fill" localSheetId="34" hidden="1">#REF!</definedName>
    <definedName name="_Fill" localSheetId="40" hidden="1">#REF!</definedName>
    <definedName name="_Fill" hidden="1">#REF!</definedName>
    <definedName name="_Order1" hidden="1">0</definedName>
    <definedName name="_Order2" hidden="1">0</definedName>
    <definedName name="Choices_Wrapper" localSheetId="16">'1.04'!Choices_Wrapper</definedName>
    <definedName name="Choices_Wrapper" localSheetId="21">'1.09'!Choices_Wrapper</definedName>
    <definedName name="Choices_Wrapper">'1.04'!Choices_Wrapper</definedName>
    <definedName name="Comp" localSheetId="16">'1.04'!Comp</definedName>
    <definedName name="Comp" localSheetId="21">'1.09'!Comp</definedName>
    <definedName name="Comp">'1.04'!Comp</definedName>
    <definedName name="_xlnm.Print_Area" localSheetId="12">'1.00'!$A$3:$G$21</definedName>
    <definedName name="_xlnm.Print_Area" localSheetId="13">'1.01'!$A$3:$F$39</definedName>
    <definedName name="_xlnm.Print_Area" localSheetId="14">'1.02'!$A$3:$D$28</definedName>
    <definedName name="_xlnm.Print_Area" localSheetId="15">'1.03'!$A$3:$D$23</definedName>
    <definedName name="_xlnm.Print_Area" localSheetId="16">'1.04'!$A$3:$O$41</definedName>
    <definedName name="_xlnm.Print_Area" localSheetId="17">'1.05'!$A$3:$G$79</definedName>
    <definedName name="_xlnm.Print_Area" localSheetId="18">'1.06'!$A$3:$E$22</definedName>
    <definedName name="_xlnm.Print_Area" localSheetId="19">'1.07'!$A$3:$I$30</definedName>
    <definedName name="_xlnm.Print_Area" localSheetId="20">'1.08'!$A$3:$C$35</definedName>
    <definedName name="_xlnm.Print_Area" localSheetId="21">'1.09'!$A$3:$C$28</definedName>
    <definedName name="_xlnm.Print_Area" localSheetId="22">'1.10'!$A$3:$D$23</definedName>
    <definedName name="_xlnm.Print_Area" localSheetId="23">'1.11'!$A$3:$I$40</definedName>
    <definedName name="_xlnm.Print_Area" localSheetId="24">'1.12'!$A$3:$D$36</definedName>
    <definedName name="_xlnm.Print_Area" localSheetId="25">'1.13'!$A$3:$H$24,'1.13'!$A$39:$H$97,'1.13'!$A$100:$H$129,'1.13'!$A$136:$H$166</definedName>
    <definedName name="_xlnm.Print_Area" localSheetId="26">'1.14'!$A$3:$H$30</definedName>
    <definedName name="_xlnm.Print_Area" localSheetId="27">'1.15'!$A$3:$F$46</definedName>
    <definedName name="_xlnm.Print_Area" localSheetId="28">'1.16'!$A$3:$K$42</definedName>
    <definedName name="_xlnm.Print_Area" localSheetId="29">'1.17'!$A$3:$D$27</definedName>
    <definedName name="_xlnm.Print_Area" localSheetId="30">'1.18'!$A$3:$H$29</definedName>
    <definedName name="_xlnm.Print_Area" localSheetId="31">'1.19'!$A$3:$G$28</definedName>
    <definedName name="_xlnm.Print_Area" localSheetId="32">'1.20'!$A$3:$D$22</definedName>
    <definedName name="_xlnm.Print_Area" localSheetId="33">'1.21'!$A$3:$F$37</definedName>
    <definedName name="_xlnm.Print_Area" localSheetId="34">'1.22'!$A$3:$E$26</definedName>
    <definedName name="_xlnm.Print_Area" localSheetId="35">'1.23'!$A$3:$F$42</definedName>
    <definedName name="_xlnm.Print_Area" localSheetId="36">'1.24'!$A$3:$G$36</definedName>
    <definedName name="_xlnm.Print_Area" localSheetId="37">'1.25'!$A$3:$C$26</definedName>
    <definedName name="_xlnm.Print_Area" localSheetId="38">'1.26'!$A$3:$F$24</definedName>
    <definedName name="_xlnm.Print_Area" localSheetId="39">'1.27'!$A$3:$E$18</definedName>
    <definedName name="_xlnm.Print_Area" localSheetId="40">'1.28'!$A$3:$E$24</definedName>
    <definedName name="_xlnm.Print_Area" localSheetId="41">'1.29'!$A$3:$G$53</definedName>
    <definedName name="_xlnm.Print_Area" localSheetId="42">'1.30'!$A$3:$I$31</definedName>
    <definedName name="_xlnm.Print_Area" localSheetId="43">'1.31'!$A$3:$J$32</definedName>
    <definedName name="_xlnm.Print_Area" localSheetId="44">'1.32'!$A$3:$J$23</definedName>
    <definedName name="_xlnm.Print_Area" localSheetId="45">'1.33'!$A$3:$J$22</definedName>
    <definedName name="_xlnm.Print_Area" localSheetId="46">'1.34'!$A$3:$G$40</definedName>
    <definedName name="_xlnm.Print_Area" localSheetId="1">'Ex 1'!$A$1:$P$128</definedName>
    <definedName name="_xlnm.Print_Area" localSheetId="2">'Ex 2'!$A$1:$T$90</definedName>
    <definedName name="_xlnm.Print_Area" localSheetId="6">'Supp Sch-Ex 4 (Page2)'!$A$1:$N$46</definedName>
    <definedName name="test" localSheetId="16">'1.04'!test</definedName>
    <definedName name="test" localSheetId="21">'1.09'!test</definedName>
    <definedName name="test">'1.04'!test</definedName>
  </definedNames>
  <calcPr calcId="145621"/>
</workbook>
</file>

<file path=xl/calcChain.xml><?xml version="1.0" encoding="utf-8"?>
<calcChain xmlns="http://schemas.openxmlformats.org/spreadsheetml/2006/main">
  <c r="H150" i="203" l="1"/>
  <c r="B149" i="203"/>
  <c r="B150" i="203" s="1"/>
  <c r="B152" i="203" s="1"/>
  <c r="G36" i="159"/>
  <c r="H23" i="276" l="1"/>
  <c r="J22" i="277"/>
  <c r="H22" i="277"/>
  <c r="J23" i="276"/>
  <c r="N124" i="52" l="1"/>
  <c r="H124" i="52"/>
  <c r="A12" i="277"/>
  <c r="J5" i="277"/>
  <c r="J4" i="277"/>
  <c r="J3" i="277"/>
  <c r="N122" i="52"/>
  <c r="H122" i="52"/>
  <c r="A12" i="276"/>
  <c r="J5" i="276"/>
  <c r="J4" i="276"/>
  <c r="J3" i="276"/>
  <c r="P124" i="52" l="1"/>
  <c r="J124" i="52"/>
  <c r="P122" i="52"/>
  <c r="J122" i="52"/>
  <c r="G20" i="159" l="1"/>
  <c r="G30" i="159" l="1"/>
  <c r="G24" i="159"/>
  <c r="G22" i="159"/>
  <c r="G18" i="159"/>
  <c r="G65" i="175"/>
  <c r="K20" i="272" l="1"/>
  <c r="E22" i="274" l="1"/>
  <c r="H29" i="270" l="1"/>
  <c r="N72" i="52" s="1"/>
  <c r="F29" i="270"/>
  <c r="L72" i="52" s="1"/>
  <c r="D29" i="270"/>
  <c r="H72" i="52" s="1"/>
  <c r="B29" i="270"/>
  <c r="F72" i="52" s="1"/>
  <c r="H5" i="270"/>
  <c r="H4" i="270"/>
  <c r="H3" i="270"/>
  <c r="O25" i="175"/>
  <c r="E25" i="175"/>
  <c r="F34" i="64"/>
  <c r="D34" i="64"/>
  <c r="G19" i="56" l="1"/>
  <c r="F25" i="52" l="1"/>
  <c r="H25" i="52"/>
  <c r="D5" i="275"/>
  <c r="D4" i="275"/>
  <c r="A12" i="275"/>
  <c r="D23" i="275"/>
  <c r="B23" i="275"/>
  <c r="D3" i="275"/>
  <c r="P25" i="52"/>
  <c r="J25" i="52" l="1"/>
  <c r="G40" i="159" l="1"/>
  <c r="B20" i="273" l="1"/>
  <c r="M30" i="224" l="1"/>
  <c r="H75" i="203"/>
  <c r="H74" i="203"/>
  <c r="H69" i="203"/>
  <c r="H68" i="203"/>
  <c r="H66" i="203"/>
  <c r="H65" i="203"/>
  <c r="G164" i="203" l="1"/>
  <c r="G162" i="203"/>
  <c r="G127" i="203"/>
  <c r="G125" i="203"/>
  <c r="B115" i="203"/>
  <c r="B117" i="203" s="1"/>
  <c r="B119" i="203" s="1"/>
  <c r="B121" i="203" s="1"/>
  <c r="B123" i="203" s="1"/>
  <c r="H79" i="203"/>
  <c r="H73" i="203"/>
  <c r="H62" i="203"/>
  <c r="H56" i="203"/>
  <c r="H55" i="203"/>
  <c r="H54" i="203"/>
  <c r="B54" i="203"/>
  <c r="B55" i="203" s="1"/>
  <c r="B56" i="203" s="1"/>
  <c r="B57" i="203" l="1"/>
  <c r="B58" i="203" s="1"/>
  <c r="B60" i="203" s="1"/>
  <c r="B61" i="203" s="1"/>
  <c r="B62" i="203" s="1"/>
  <c r="B63" i="203" s="1"/>
  <c r="B64" i="203" s="1"/>
  <c r="B65" i="203" s="1"/>
  <c r="B66" i="203" s="1"/>
  <c r="B67" i="203" s="1"/>
  <c r="B68" i="203" s="1"/>
  <c r="B69" i="203" s="1"/>
  <c r="B70" i="203" s="1"/>
  <c r="B72" i="203" s="1"/>
  <c r="B73" i="203" s="1"/>
  <c r="B74" i="203" s="1"/>
  <c r="B75" i="203" s="1"/>
  <c r="B76" i="203" s="1"/>
  <c r="B77" i="203" s="1"/>
  <c r="B78" i="203" s="1"/>
  <c r="B79" i="203" s="1"/>
  <c r="B80" i="203" s="1"/>
  <c r="B82" i="203" s="1"/>
  <c r="B83" i="203" s="1"/>
  <c r="B86" i="203" s="1"/>
  <c r="B88" i="203" s="1"/>
  <c r="B90" i="203" s="1"/>
  <c r="B92" i="203" s="1"/>
  <c r="H76" i="203"/>
  <c r="H64" i="203"/>
  <c r="H67" i="203" l="1"/>
  <c r="H77" i="203" l="1"/>
  <c r="H70" i="203" l="1"/>
  <c r="H80" i="203" s="1"/>
  <c r="D84" i="203" s="1"/>
  <c r="D26" i="262" l="1"/>
  <c r="B26" i="262"/>
  <c r="D25" i="262"/>
  <c r="B25" i="262"/>
  <c r="B28" i="262" s="1"/>
  <c r="D23" i="262"/>
  <c r="B23" i="262"/>
  <c r="B31" i="262" l="1"/>
  <c r="H43" i="52" s="1"/>
  <c r="D28" i="262"/>
  <c r="D31" i="262" s="1"/>
  <c r="N43" i="52" s="1"/>
  <c r="I34" i="159"/>
  <c r="I40" i="159" s="1"/>
  <c r="A23" i="56" l="1"/>
  <c r="A29" i="56"/>
  <c r="H28" i="149" l="1"/>
  <c r="B103" i="52"/>
  <c r="P97" i="52"/>
  <c r="P72" i="52" l="1"/>
  <c r="J72" i="52"/>
  <c r="E5" i="274" l="1"/>
  <c r="E4" i="274"/>
  <c r="E24" i="274"/>
  <c r="N93" i="52" s="1"/>
  <c r="A12" i="274"/>
  <c r="E3" i="274"/>
  <c r="J93" i="52"/>
  <c r="A12" i="273"/>
  <c r="P93" i="52" l="1"/>
  <c r="B5" i="273"/>
  <c r="B4" i="273"/>
  <c r="P37" i="52"/>
  <c r="B22" i="273"/>
  <c r="B3" i="273"/>
  <c r="F26" i="173"/>
  <c r="F25" i="173"/>
  <c r="B24" i="273" l="1"/>
  <c r="F37" i="52" s="1"/>
  <c r="J37" i="52" s="1"/>
  <c r="E74" i="93"/>
  <c r="G74" i="93" s="1"/>
  <c r="E71" i="93"/>
  <c r="G71" i="93" s="1"/>
  <c r="E70" i="93"/>
  <c r="G70" i="93" s="1"/>
  <c r="E69" i="93"/>
  <c r="G69" i="93" s="1"/>
  <c r="E68" i="93"/>
  <c r="G68" i="93" s="1"/>
  <c r="E67" i="93"/>
  <c r="G67" i="93" s="1"/>
  <c r="E66" i="93"/>
  <c r="G66" i="93" s="1"/>
  <c r="E65" i="93"/>
  <c r="G65" i="93" s="1"/>
  <c r="E64" i="93"/>
  <c r="G64" i="93" s="1"/>
  <c r="E63" i="93"/>
  <c r="G63" i="93" s="1"/>
  <c r="I5" i="159" l="1"/>
  <c r="I4" i="159"/>
  <c r="F41" i="52"/>
  <c r="L41" i="52"/>
  <c r="P41" i="52" s="1"/>
  <c r="I3" i="159"/>
  <c r="A12" i="159"/>
  <c r="J41" i="52" l="1"/>
  <c r="A11" i="272" l="1"/>
  <c r="O5" i="272"/>
  <c r="O4" i="272"/>
  <c r="O3" i="272"/>
  <c r="G32" i="272"/>
  <c r="C32" i="272"/>
  <c r="R31" i="272"/>
  <c r="Q31" i="272"/>
  <c r="M30" i="272"/>
  <c r="K30" i="272"/>
  <c r="E30" i="272"/>
  <c r="M29" i="272"/>
  <c r="K29" i="272"/>
  <c r="E29" i="272"/>
  <c r="M28" i="272"/>
  <c r="K28" i="272"/>
  <c r="E28" i="272"/>
  <c r="M27" i="272"/>
  <c r="K27" i="272"/>
  <c r="M26" i="272"/>
  <c r="M25" i="272"/>
  <c r="K25" i="272"/>
  <c r="M24" i="272"/>
  <c r="K24" i="272"/>
  <c r="M23" i="272"/>
  <c r="K23" i="272"/>
  <c r="M22" i="272"/>
  <c r="K22" i="272"/>
  <c r="M21" i="272"/>
  <c r="K21" i="272"/>
  <c r="M20" i="272"/>
  <c r="M19" i="272"/>
  <c r="E32" i="272" l="1"/>
  <c r="M32" i="272"/>
  <c r="K32" i="272"/>
  <c r="I32" i="272"/>
  <c r="I34" i="272" s="1"/>
  <c r="F27" i="52" s="1"/>
  <c r="O32" i="272" l="1"/>
  <c r="O34" i="272" s="1"/>
  <c r="H27" i="52" s="1"/>
  <c r="E22" i="271"/>
  <c r="E26" i="271" s="1"/>
  <c r="N80" i="52" s="1"/>
  <c r="F5" i="187" l="1"/>
  <c r="F4" i="187"/>
  <c r="F31" i="187" l="1"/>
  <c r="D31" i="187"/>
  <c r="F38" i="187"/>
  <c r="D38" i="187"/>
  <c r="F33" i="187"/>
  <c r="D33" i="187"/>
  <c r="A12" i="187"/>
  <c r="F3" i="187"/>
  <c r="D5" i="201" l="1"/>
  <c r="D4" i="201"/>
  <c r="P76" i="52"/>
  <c r="D22" i="201"/>
  <c r="H76" i="52" s="1"/>
  <c r="J76" i="52" s="1"/>
  <c r="A12" i="201" l="1"/>
  <c r="A12" i="271"/>
  <c r="A12" i="234"/>
  <c r="D3" i="201"/>
  <c r="E5" i="271"/>
  <c r="E4" i="271"/>
  <c r="G5" i="191"/>
  <c r="G4" i="191"/>
  <c r="A12" i="191"/>
  <c r="G3" i="191"/>
  <c r="C22" i="271"/>
  <c r="C26" i="271" s="1"/>
  <c r="H80" i="52" s="1"/>
  <c r="E3" i="271"/>
  <c r="J80" i="52" l="1"/>
  <c r="P80" i="52"/>
  <c r="C5" i="234" l="1"/>
  <c r="C4" i="234"/>
  <c r="P86" i="52"/>
  <c r="C3" i="234"/>
  <c r="G5" i="193"/>
  <c r="G4" i="193"/>
  <c r="G28" i="193"/>
  <c r="G24" i="193"/>
  <c r="G20" i="193"/>
  <c r="G22" i="193" s="1"/>
  <c r="G26" i="193" s="1"/>
  <c r="G30" i="193" s="1"/>
  <c r="G3" i="193"/>
  <c r="P78" i="52"/>
  <c r="F35" i="173"/>
  <c r="F5" i="173" l="1"/>
  <c r="F4" i="173"/>
  <c r="F3" i="173"/>
  <c r="M68" i="175"/>
  <c r="K35" i="175"/>
  <c r="M35" i="175" s="1"/>
  <c r="K34" i="175"/>
  <c r="M34" i="175" s="1"/>
  <c r="K33" i="175"/>
  <c r="M33" i="175" s="1"/>
  <c r="K26" i="175"/>
  <c r="M26" i="175" s="1"/>
  <c r="K25" i="175"/>
  <c r="M25" i="175" s="1"/>
  <c r="K24" i="175"/>
  <c r="M24" i="175" s="1"/>
  <c r="K23" i="175"/>
  <c r="M23" i="175" s="1"/>
  <c r="K22" i="175"/>
  <c r="M22" i="175" s="1"/>
  <c r="K17" i="175"/>
  <c r="M17" i="175" s="1"/>
  <c r="K65" i="175" l="1"/>
  <c r="M65" i="175" s="1"/>
  <c r="G14" i="175"/>
  <c r="K14" i="175" s="1"/>
  <c r="M14" i="175" s="1"/>
  <c r="G4" i="56"/>
  <c r="J4" i="149"/>
  <c r="I4" i="241"/>
  <c r="F4" i="35"/>
  <c r="E4" i="210"/>
  <c r="F4" i="101"/>
  <c r="D4" i="13"/>
  <c r="K4" i="122"/>
  <c r="F4" i="264"/>
  <c r="H4" i="186"/>
  <c r="H4" i="203"/>
  <c r="D4" i="262"/>
  <c r="D4" i="16"/>
  <c r="E4" i="76"/>
  <c r="I4" i="108"/>
  <c r="B4" i="14"/>
  <c r="F4" i="93"/>
  <c r="D4" i="198"/>
  <c r="F4" i="64"/>
  <c r="G4" i="12"/>
  <c r="A12" i="149"/>
  <c r="A12" i="210"/>
  <c r="A12" i="270"/>
  <c r="A12" i="16"/>
  <c r="E5" i="76"/>
  <c r="C34" i="93"/>
  <c r="C35" i="93"/>
  <c r="C36" i="93"/>
  <c r="C73" i="93"/>
  <c r="E73" i="93" s="1"/>
  <c r="G73" i="93" s="1"/>
  <c r="D35" i="93" s="1"/>
  <c r="C72" i="93"/>
  <c r="D36" i="93"/>
  <c r="E72" i="93" l="1"/>
  <c r="G72" i="93" s="1"/>
  <c r="D34" i="93" s="1"/>
  <c r="A13" i="13"/>
  <c r="D66" i="264"/>
  <c r="D29" i="264" s="1"/>
  <c r="A12" i="264"/>
  <c r="A22" i="264"/>
  <c r="G5" i="56"/>
  <c r="J5" i="149"/>
  <c r="I5" i="241"/>
  <c r="F5" i="35"/>
  <c r="E5" i="210"/>
  <c r="F5" i="101"/>
  <c r="D5" i="13"/>
  <c r="K5" i="122"/>
  <c r="F5" i="264"/>
  <c r="H5" i="186"/>
  <c r="A13" i="203"/>
  <c r="H5" i="203"/>
  <c r="H41" i="203" s="1"/>
  <c r="A12" i="262"/>
  <c r="D5" i="262"/>
  <c r="D5" i="16"/>
  <c r="I5" i="108"/>
  <c r="B5" i="14"/>
  <c r="F5" i="93"/>
  <c r="G45" i="93" s="1"/>
  <c r="D5" i="198"/>
  <c r="F5" i="64"/>
  <c r="L2" i="209"/>
  <c r="A7" i="208"/>
  <c r="H2" i="208"/>
  <c r="I2" i="223"/>
  <c r="M2" i="260"/>
  <c r="Q2" i="224"/>
  <c r="G5" i="12"/>
  <c r="K2" i="167"/>
  <c r="G2" i="164"/>
  <c r="Q2" i="175"/>
  <c r="I2" i="177"/>
  <c r="T2" i="240"/>
  <c r="P2" i="52"/>
  <c r="P98" i="52" s="1"/>
  <c r="G20" i="108"/>
  <c r="M22" i="241"/>
  <c r="G3" i="56"/>
  <c r="J3" i="149"/>
  <c r="I3" i="241"/>
  <c r="F3" i="35"/>
  <c r="E3" i="210"/>
  <c r="F3" i="101"/>
  <c r="D3" i="13"/>
  <c r="K3" i="122"/>
  <c r="F3" i="264"/>
  <c r="H3" i="186"/>
  <c r="H3" i="203"/>
  <c r="H39" i="203" s="1"/>
  <c r="D3" i="262"/>
  <c r="D3" i="16"/>
  <c r="E3" i="76"/>
  <c r="I3" i="108"/>
  <c r="B3" i="14"/>
  <c r="F3" i="93"/>
  <c r="G43" i="93" s="1"/>
  <c r="D3" i="198"/>
  <c r="F3" i="64"/>
  <c r="G3" i="12"/>
  <c r="P52" i="52"/>
  <c r="G28" i="122" l="1"/>
  <c r="I28" i="122" s="1"/>
  <c r="I21" i="122" s="1"/>
  <c r="E29" i="264"/>
  <c r="F22" i="264" s="1"/>
  <c r="H138" i="203"/>
  <c r="H102" i="203"/>
  <c r="K28" i="122"/>
  <c r="F42" i="35"/>
  <c r="E23" i="35"/>
  <c r="K21" i="122" l="1"/>
  <c r="G44" i="93"/>
  <c r="D33" i="93" l="1"/>
  <c r="D32" i="93"/>
  <c r="D31" i="93"/>
  <c r="D30" i="93"/>
  <c r="D29" i="93"/>
  <c r="D28" i="93"/>
  <c r="D27" i="93"/>
  <c r="D26" i="93"/>
  <c r="D25" i="93" l="1"/>
  <c r="G75" i="93"/>
  <c r="D30" i="264" l="1"/>
  <c r="D38" i="93" l="1"/>
  <c r="C31" i="93"/>
  <c r="C32" i="93" l="1"/>
  <c r="E25" i="93" l="1"/>
  <c r="C33" i="93"/>
  <c r="J28" i="149" l="1"/>
  <c r="Q50" i="175" l="1"/>
  <c r="E21" i="56" l="1"/>
  <c r="G21" i="56" s="1"/>
  <c r="P53" i="52" l="1"/>
  <c r="E21" i="52"/>
  <c r="E23" i="56"/>
  <c r="E25" i="56" l="1"/>
  <c r="E27" i="56" s="1"/>
  <c r="G27" i="56" s="1"/>
  <c r="D24" i="198" l="1"/>
  <c r="B24" i="198"/>
  <c r="C25" i="93" l="1"/>
  <c r="C26" i="93" l="1"/>
  <c r="C27" i="93" l="1"/>
  <c r="C28" i="93" l="1"/>
  <c r="C29" i="93" l="1"/>
  <c r="C30" i="93" l="1"/>
  <c r="C37" i="93" s="1"/>
  <c r="T42" i="240" l="1"/>
  <c r="B81" i="240" l="1"/>
  <c r="J65" i="240" l="1"/>
  <c r="F22" i="187" l="1"/>
  <c r="F26" i="187" s="1"/>
  <c r="D22" i="187"/>
  <c r="D26" i="187" s="1"/>
  <c r="F40" i="187"/>
  <c r="D40" i="187"/>
  <c r="D42" i="187" l="1"/>
  <c r="H82" i="52" s="1"/>
  <c r="J82" i="52" s="1"/>
  <c r="F42" i="187"/>
  <c r="N82" i="52" s="1"/>
  <c r="P82" i="52" s="1"/>
  <c r="D38" i="264"/>
  <c r="D35" i="264"/>
  <c r="D31" i="264"/>
  <c r="D36" i="264"/>
  <c r="D32" i="264"/>
  <c r="D37" i="264"/>
  <c r="D33" i="264"/>
  <c r="D34" i="264"/>
  <c r="E34" i="264" l="1"/>
  <c r="G33" i="122"/>
  <c r="E36" i="264"/>
  <c r="G35" i="122"/>
  <c r="E30" i="264"/>
  <c r="G29" i="122"/>
  <c r="E32" i="264"/>
  <c r="G31" i="122"/>
  <c r="E38" i="264"/>
  <c r="G37" i="122"/>
  <c r="E37" i="264"/>
  <c r="G36" i="122"/>
  <c r="E35" i="264"/>
  <c r="G34" i="122"/>
  <c r="E33" i="264"/>
  <c r="G32" i="122"/>
  <c r="E31" i="264"/>
  <c r="G30" i="122"/>
  <c r="F23" i="173"/>
  <c r="F29" i="173" s="1"/>
  <c r="F33" i="173" s="1"/>
  <c r="A8" i="223"/>
  <c r="A8" i="224"/>
  <c r="F37" i="173" l="1"/>
  <c r="H78" i="52" s="1"/>
  <c r="J78" i="52" s="1"/>
  <c r="E39" i="264"/>
  <c r="E40" i="264" s="1"/>
  <c r="F19" i="264" s="1"/>
  <c r="F24" i="264" s="1"/>
  <c r="H49" i="52" s="1"/>
  <c r="I30" i="122"/>
  <c r="K30" i="122"/>
  <c r="K29" i="122"/>
  <c r="I29" i="122"/>
  <c r="A7" i="223"/>
  <c r="A7" i="224"/>
  <c r="A6" i="177"/>
  <c r="A7" i="177"/>
  <c r="A53" i="177"/>
  <c r="A16" i="223" l="1"/>
  <c r="A17" i="223" s="1"/>
  <c r="A19" i="223" s="1"/>
  <c r="A21" i="223" s="1"/>
  <c r="A22" i="223" s="1"/>
  <c r="A23" i="223" s="1"/>
  <c r="A24" i="223" s="1"/>
  <c r="A25" i="223" s="1"/>
  <c r="A26" i="223" s="1"/>
  <c r="A28" i="223" s="1"/>
  <c r="A30" i="223" s="1"/>
  <c r="A31" i="223" s="1"/>
  <c r="A32" i="223" s="1"/>
  <c r="A33" i="223" s="1"/>
  <c r="A34" i="223" s="1"/>
  <c r="A17" i="260"/>
  <c r="A18" i="260" s="1"/>
  <c r="A20" i="260" s="1"/>
  <c r="A22" i="260" s="1"/>
  <c r="A23" i="260" s="1"/>
  <c r="A24" i="260" s="1"/>
  <c r="A25" i="260" s="1"/>
  <c r="A26" i="260" s="1"/>
  <c r="A27" i="260" s="1"/>
  <c r="A29" i="260" s="1"/>
  <c r="A31" i="260" s="1"/>
  <c r="A32" i="260" s="1"/>
  <c r="A33" i="260" s="1"/>
  <c r="A34" i="260" s="1"/>
  <c r="A35" i="260" s="1"/>
  <c r="A18" i="224"/>
  <c r="A19" i="224" s="1"/>
  <c r="A21" i="224" s="1"/>
  <c r="A23" i="224" s="1"/>
  <c r="A24" i="224" s="1"/>
  <c r="A25" i="224" s="1"/>
  <c r="A26" i="224" s="1"/>
  <c r="A27" i="224" s="1"/>
  <c r="A15" i="177"/>
  <c r="A16" i="177" s="1"/>
  <c r="A18" i="177" s="1"/>
  <c r="A20" i="177" s="1"/>
  <c r="A21" i="177" s="1"/>
  <c r="A22" i="177" s="1"/>
  <c r="A23" i="177" s="1"/>
  <c r="A24" i="177" s="1"/>
  <c r="A25" i="177" s="1"/>
  <c r="A27" i="177" s="1"/>
  <c r="A29" i="177" s="1"/>
  <c r="A30" i="177" s="1"/>
  <c r="A31" i="177" s="1"/>
  <c r="A32" i="177" s="1"/>
  <c r="A33" i="177" s="1"/>
  <c r="A28" i="224" l="1"/>
  <c r="A30" i="224" s="1"/>
  <c r="A32" i="224" s="1"/>
  <c r="A33" i="224" s="1"/>
  <c r="A34" i="224" s="1"/>
  <c r="A35" i="224" s="1"/>
  <c r="A36" i="224" s="1"/>
  <c r="A35" i="177"/>
  <c r="A37" i="177" s="1"/>
  <c r="A39" i="177" s="1"/>
  <c r="A36" i="223"/>
  <c r="A38" i="223" s="1"/>
  <c r="A37" i="260"/>
  <c r="A39" i="260" s="1"/>
  <c r="E30" i="177"/>
  <c r="A38" i="224" l="1"/>
  <c r="A40" i="224" s="1"/>
  <c r="M24" i="260"/>
  <c r="M15" i="260"/>
  <c r="A7" i="260"/>
  <c r="D26" i="260"/>
  <c r="H54" i="208"/>
  <c r="H53" i="208"/>
  <c r="H52" i="208"/>
  <c r="H45" i="208"/>
  <c r="H44" i="208"/>
  <c r="H43" i="208"/>
  <c r="H36" i="208"/>
  <c r="H35" i="208"/>
  <c r="H30" i="208"/>
  <c r="H29" i="208"/>
  <c r="H28" i="208"/>
  <c r="H27" i="208"/>
  <c r="H26" i="208"/>
  <c r="H21" i="208"/>
  <c r="H20" i="208"/>
  <c r="H19" i="208"/>
  <c r="H18" i="208"/>
  <c r="H17" i="208"/>
  <c r="H16" i="208"/>
  <c r="H15" i="208"/>
  <c r="G17" i="223" l="1"/>
  <c r="E17" i="223"/>
  <c r="M32" i="260"/>
  <c r="M33" i="260"/>
  <c r="G29" i="260"/>
  <c r="K29" i="260" l="1"/>
  <c r="M23" i="260"/>
  <c r="H20" i="186" l="1"/>
  <c r="H17" i="186"/>
  <c r="F22" i="186"/>
  <c r="D23" i="16" l="1"/>
  <c r="B23" i="16"/>
  <c r="K18" i="260" l="1"/>
  <c r="M19" i="224" s="1"/>
  <c r="M21" i="224" s="1"/>
  <c r="G18" i="260" l="1"/>
  <c r="M18" i="260"/>
  <c r="M20" i="260" s="1"/>
  <c r="K20" i="260"/>
  <c r="G20" i="260" l="1"/>
  <c r="E15" i="260" l="1"/>
  <c r="I70" i="175"/>
  <c r="I28" i="175"/>
  <c r="I19" i="175"/>
  <c r="E18" i="260" l="1"/>
  <c r="I18" i="260" s="1"/>
  <c r="G19" i="224" s="1"/>
  <c r="I15" i="260"/>
  <c r="E24" i="260"/>
  <c r="I24" i="260" s="1"/>
  <c r="G25" i="224" s="1"/>
  <c r="G30" i="224" s="1"/>
  <c r="I30" i="175"/>
  <c r="I72" i="175"/>
  <c r="I74" i="175" s="1"/>
  <c r="B154" i="203"/>
  <c r="B156" i="203" s="1"/>
  <c r="B158" i="203" s="1"/>
  <c r="B160" i="203" s="1"/>
  <c r="B162" i="203" s="1"/>
  <c r="B164" i="203" s="1"/>
  <c r="B166" i="203" s="1"/>
  <c r="A146" i="203"/>
  <c r="A142" i="203"/>
  <c r="H137" i="203"/>
  <c r="H136" i="203"/>
  <c r="B125" i="203"/>
  <c r="B127" i="203" s="1"/>
  <c r="B129" i="203" s="1"/>
  <c r="A49" i="203"/>
  <c r="A110" i="203" s="1"/>
  <c r="A45" i="203"/>
  <c r="A106" i="203" s="1"/>
  <c r="H101" i="203"/>
  <c r="H100" i="203"/>
  <c r="A48" i="203"/>
  <c r="H40" i="203"/>
  <c r="N89" i="52"/>
  <c r="F23" i="52"/>
  <c r="C22" i="234"/>
  <c r="C26" i="234" s="1"/>
  <c r="H86" i="52" s="1"/>
  <c r="D25" i="13"/>
  <c r="D27" i="13" s="1"/>
  <c r="N70" i="52" s="1"/>
  <c r="P70" i="52" s="1"/>
  <c r="B25" i="13"/>
  <c r="B27" i="13" s="1"/>
  <c r="H70" i="52" s="1"/>
  <c r="J70" i="52" s="1"/>
  <c r="G38" i="56"/>
  <c r="H21" i="149"/>
  <c r="J21" i="149"/>
  <c r="H26" i="149"/>
  <c r="J26" i="149"/>
  <c r="A13" i="101"/>
  <c r="A19" i="101"/>
  <c r="A21" i="101"/>
  <c r="A12" i="173"/>
  <c r="G22" i="191"/>
  <c r="A12" i="122"/>
  <c r="A21" i="122"/>
  <c r="I31" i="122"/>
  <c r="A12" i="76"/>
  <c r="A12" i="186" s="1"/>
  <c r="B22" i="186"/>
  <c r="D22" i="186"/>
  <c r="A12" i="108"/>
  <c r="G28" i="108"/>
  <c r="G30" i="108" s="1"/>
  <c r="F33" i="52" s="1"/>
  <c r="J33" i="52" s="1"/>
  <c r="I28" i="108"/>
  <c r="I30" i="108" s="1"/>
  <c r="L33" i="52" s="1"/>
  <c r="P33" i="52" s="1"/>
  <c r="A12" i="14"/>
  <c r="B22" i="14"/>
  <c r="B24" i="14" s="1"/>
  <c r="B28" i="14"/>
  <c r="H35" i="52" s="1"/>
  <c r="A12" i="93"/>
  <c r="A52" i="93" s="1"/>
  <c r="B12" i="64"/>
  <c r="A12" i="198" s="1"/>
  <c r="L23" i="52"/>
  <c r="D36" i="64"/>
  <c r="F21" i="52" s="1"/>
  <c r="F36" i="64"/>
  <c r="H21" i="52" s="1"/>
  <c r="A17" i="12"/>
  <c r="A19" i="12"/>
  <c r="E21" i="12"/>
  <c r="F19" i="52" s="1"/>
  <c r="G21" i="12"/>
  <c r="E13" i="177"/>
  <c r="E16" i="177"/>
  <c r="E21" i="177"/>
  <c r="E22" i="177"/>
  <c r="E23" i="177"/>
  <c r="E24" i="177"/>
  <c r="E25" i="177"/>
  <c r="G23" i="177"/>
  <c r="G25" i="177"/>
  <c r="E31" i="177"/>
  <c r="G31" i="177"/>
  <c r="E32" i="177"/>
  <c r="G13" i="177"/>
  <c r="G16" i="177"/>
  <c r="G21" i="177"/>
  <c r="G22" i="177"/>
  <c r="G24" i="177"/>
  <c r="G30" i="177"/>
  <c r="G32" i="177"/>
  <c r="K42" i="167"/>
  <c r="A8" i="167"/>
  <c r="A48" i="167" s="1"/>
  <c r="H20" i="167"/>
  <c r="H22" i="167"/>
  <c r="K41" i="167"/>
  <c r="G30" i="164"/>
  <c r="A6" i="164"/>
  <c r="B23" i="164"/>
  <c r="G29" i="164"/>
  <c r="A34" i="164"/>
  <c r="A8" i="209"/>
  <c r="E16" i="224"/>
  <c r="E19" i="224"/>
  <c r="E24" i="224"/>
  <c r="I24" i="224" s="1"/>
  <c r="E25" i="224"/>
  <c r="E26" i="224"/>
  <c r="I26" i="224" s="1"/>
  <c r="E27" i="224"/>
  <c r="I27" i="224" s="1"/>
  <c r="E28" i="224"/>
  <c r="I28" i="224" s="1"/>
  <c r="E33" i="224"/>
  <c r="E34" i="224"/>
  <c r="I34" i="224" s="1"/>
  <c r="E35" i="224"/>
  <c r="I35" i="224" s="1"/>
  <c r="H39" i="52"/>
  <c r="K16" i="224"/>
  <c r="O16" i="224" s="1"/>
  <c r="K19" i="224"/>
  <c r="K24" i="224"/>
  <c r="O24" i="224" s="1"/>
  <c r="K25" i="224"/>
  <c r="O25" i="224" s="1"/>
  <c r="K26" i="224"/>
  <c r="O26" i="224" s="1"/>
  <c r="K27" i="224"/>
  <c r="O27" i="224" s="1"/>
  <c r="K28" i="224"/>
  <c r="O28" i="224" s="1"/>
  <c r="K33" i="224"/>
  <c r="O33" i="224" s="1"/>
  <c r="K34" i="224"/>
  <c r="O34" i="224" s="1"/>
  <c r="K35" i="224"/>
  <c r="O35" i="224" s="1"/>
  <c r="N39" i="52"/>
  <c r="E22" i="223"/>
  <c r="E23" i="223"/>
  <c r="E24" i="223"/>
  <c r="E25" i="223"/>
  <c r="E26" i="223"/>
  <c r="E31" i="223"/>
  <c r="E32" i="223"/>
  <c r="E33" i="223"/>
  <c r="G22" i="223"/>
  <c r="G23" i="223"/>
  <c r="G24" i="223"/>
  <c r="G25" i="223"/>
  <c r="G26" i="223"/>
  <c r="G31" i="223"/>
  <c r="G32" i="223"/>
  <c r="G33" i="223"/>
  <c r="H10" i="208"/>
  <c r="D23" i="208"/>
  <c r="F32" i="208"/>
  <c r="F62" i="208" s="1"/>
  <c r="D32" i="208"/>
  <c r="H32" i="208"/>
  <c r="F38" i="208"/>
  <c r="D38" i="208"/>
  <c r="H38" i="208"/>
  <c r="F47" i="208"/>
  <c r="D47" i="208"/>
  <c r="H47" i="208"/>
  <c r="D56" i="208"/>
  <c r="H56" i="208"/>
  <c r="D25" i="223"/>
  <c r="D27" i="224"/>
  <c r="A7" i="175"/>
  <c r="Q14" i="175"/>
  <c r="Q17" i="175"/>
  <c r="E19" i="175"/>
  <c r="G19" i="175"/>
  <c r="O19" i="175"/>
  <c r="Q22" i="175"/>
  <c r="Q23" i="175"/>
  <c r="K28" i="175"/>
  <c r="Q24" i="175"/>
  <c r="Q25" i="175"/>
  <c r="Q26" i="175"/>
  <c r="E28" i="175"/>
  <c r="G28" i="175"/>
  <c r="O28" i="175"/>
  <c r="Q33" i="175"/>
  <c r="Q34" i="175"/>
  <c r="Q35" i="175"/>
  <c r="Q51" i="175"/>
  <c r="A57" i="175"/>
  <c r="B65" i="175"/>
  <c r="Q65" i="175"/>
  <c r="M70" i="175"/>
  <c r="Q68" i="175"/>
  <c r="Q69" i="175"/>
  <c r="E70" i="175"/>
  <c r="E72" i="175" s="1"/>
  <c r="E74" i="175" s="1"/>
  <c r="G70" i="175"/>
  <c r="G72" i="175" s="1"/>
  <c r="G74" i="175" s="1"/>
  <c r="G36" i="175" s="1"/>
  <c r="K70" i="175"/>
  <c r="K72" i="175" s="1"/>
  <c r="K74" i="175" s="1"/>
  <c r="O70" i="175"/>
  <c r="O72" i="175" s="1"/>
  <c r="O74" i="175" s="1"/>
  <c r="O36" i="175" s="1"/>
  <c r="K36" i="224" s="1"/>
  <c r="I48" i="177"/>
  <c r="I47" i="177"/>
  <c r="B59" i="177"/>
  <c r="E59" i="177"/>
  <c r="G59" i="177"/>
  <c r="E62" i="177"/>
  <c r="I62" i="177" s="1"/>
  <c r="G63" i="177"/>
  <c r="I63" i="177" s="1"/>
  <c r="T43" i="240"/>
  <c r="A6" i="240"/>
  <c r="C14" i="240"/>
  <c r="C30" i="240"/>
  <c r="R30" i="240"/>
  <c r="H60" i="167" s="1"/>
  <c r="R32" i="240"/>
  <c r="H62" i="167" s="1"/>
  <c r="C34" i="240"/>
  <c r="R34" i="240"/>
  <c r="A47" i="240"/>
  <c r="H77" i="240"/>
  <c r="J77" i="240"/>
  <c r="N77" i="240"/>
  <c r="P77" i="240"/>
  <c r="F88" i="240"/>
  <c r="J15" i="52"/>
  <c r="H21" i="209" s="1"/>
  <c r="P15" i="52"/>
  <c r="A17" i="52"/>
  <c r="A19" i="52" s="1"/>
  <c r="A21" i="52" s="1"/>
  <c r="L19" i="52"/>
  <c r="P21" i="52"/>
  <c r="P27" i="52"/>
  <c r="P29" i="52"/>
  <c r="P35" i="52"/>
  <c r="F31" i="52"/>
  <c r="L31" i="52"/>
  <c r="F39" i="52"/>
  <c r="L39" i="52"/>
  <c r="P49" i="52"/>
  <c r="B58" i="52"/>
  <c r="J89" i="52"/>
  <c r="L89" i="52"/>
  <c r="J91" i="52"/>
  <c r="L91" i="52"/>
  <c r="J116" i="52"/>
  <c r="J117" i="52"/>
  <c r="P117" i="52"/>
  <c r="F24" i="101"/>
  <c r="I37" i="122"/>
  <c r="I36" i="122"/>
  <c r="K35" i="122"/>
  <c r="I34" i="122"/>
  <c r="I33" i="122"/>
  <c r="I32" i="122"/>
  <c r="I35" i="122"/>
  <c r="J43" i="52"/>
  <c r="D61" i="208" l="1"/>
  <c r="J30" i="149"/>
  <c r="F90" i="240"/>
  <c r="H65" i="240" s="1"/>
  <c r="H62" i="208"/>
  <c r="G14" i="223"/>
  <c r="G19" i="223" s="1"/>
  <c r="H30" i="149"/>
  <c r="D62" i="208"/>
  <c r="L95" i="52"/>
  <c r="L126" i="52" s="1"/>
  <c r="L128" i="52" s="1"/>
  <c r="J86" i="52"/>
  <c r="I36" i="175"/>
  <c r="I38" i="175" s="1"/>
  <c r="I40" i="175" s="1"/>
  <c r="P91" i="52"/>
  <c r="H32" i="149"/>
  <c r="H120" i="52" s="1"/>
  <c r="J120" i="52" s="1"/>
  <c r="I38" i="122"/>
  <c r="I39" i="122" s="1"/>
  <c r="I18" i="122" s="1"/>
  <c r="I23" i="122" s="1"/>
  <c r="G38" i="175"/>
  <c r="G34" i="223"/>
  <c r="G36" i="223" s="1"/>
  <c r="G33" i="177"/>
  <c r="G35" i="177" s="1"/>
  <c r="J32" i="149"/>
  <c r="N120" i="52" s="1"/>
  <c r="P120" i="52" s="1"/>
  <c r="I22" i="223"/>
  <c r="A23" i="52"/>
  <c r="A25" i="52" s="1"/>
  <c r="A27" i="52" s="1"/>
  <c r="O38" i="175"/>
  <c r="G28" i="223"/>
  <c r="Q28" i="224"/>
  <c r="Q24" i="224"/>
  <c r="I26" i="223"/>
  <c r="I19" i="224"/>
  <c r="I24" i="223"/>
  <c r="G27" i="177"/>
  <c r="Q19" i="175"/>
  <c r="O30" i="175"/>
  <c r="E30" i="175"/>
  <c r="I13" i="177"/>
  <c r="E64" i="177"/>
  <c r="E66" i="177" s="1"/>
  <c r="E68" i="177" s="1"/>
  <c r="Q26" i="224"/>
  <c r="E20" i="260"/>
  <c r="C32" i="240"/>
  <c r="C36" i="240" s="1"/>
  <c r="J21" i="209"/>
  <c r="L21" i="209" s="1"/>
  <c r="J19" i="52"/>
  <c r="Q27" i="224"/>
  <c r="E21" i="224"/>
  <c r="I21" i="177"/>
  <c r="P19" i="52"/>
  <c r="J21" i="52"/>
  <c r="G64" i="177"/>
  <c r="G66" i="177" s="1"/>
  <c r="G68" i="177" s="1"/>
  <c r="G30" i="175"/>
  <c r="E30" i="224"/>
  <c r="K30" i="224"/>
  <c r="I25" i="224"/>
  <c r="I30" i="224" s="1"/>
  <c r="I33" i="223"/>
  <c r="K33" i="122"/>
  <c r="I16" i="177"/>
  <c r="K34" i="122"/>
  <c r="I31" i="223"/>
  <c r="H22" i="186"/>
  <c r="H24" i="186" s="1"/>
  <c r="K37" i="122"/>
  <c r="K38" i="224"/>
  <c r="K31" i="122"/>
  <c r="P39" i="52"/>
  <c r="K21" i="224"/>
  <c r="I31" i="177"/>
  <c r="E28" i="223"/>
  <c r="Q74" i="175"/>
  <c r="E36" i="175"/>
  <c r="E27" i="260"/>
  <c r="I27" i="260" s="1"/>
  <c r="M27" i="260" s="1"/>
  <c r="E26" i="260"/>
  <c r="I26" i="260" s="1"/>
  <c r="M26" i="260" s="1"/>
  <c r="E25" i="260"/>
  <c r="I25" i="260" s="1"/>
  <c r="M25" i="260" s="1"/>
  <c r="G16" i="224"/>
  <c r="I20" i="260"/>
  <c r="E18" i="177"/>
  <c r="E34" i="260"/>
  <c r="I34" i="260" s="1"/>
  <c r="M34" i="260" s="1"/>
  <c r="E33" i="260"/>
  <c r="E32" i="260"/>
  <c r="E23" i="260"/>
  <c r="Q70" i="175"/>
  <c r="Q72" i="175" s="1"/>
  <c r="Q28" i="175"/>
  <c r="B30" i="14"/>
  <c r="F35" i="52"/>
  <c r="J35" i="52" s="1"/>
  <c r="I32" i="223"/>
  <c r="I25" i="223"/>
  <c r="I23" i="223"/>
  <c r="I17" i="223"/>
  <c r="F56" i="208"/>
  <c r="D40" i="208"/>
  <c r="D49" i="208" s="1"/>
  <c r="I30" i="177"/>
  <c r="I24" i="177"/>
  <c r="I32" i="177"/>
  <c r="I25" i="177"/>
  <c r="I23" i="177"/>
  <c r="E27" i="177"/>
  <c r="P23" i="52"/>
  <c r="J23" i="52"/>
  <c r="K36" i="122"/>
  <c r="G18" i="177"/>
  <c r="J39" i="52"/>
  <c r="I59" i="177"/>
  <c r="B51" i="164"/>
  <c r="M19" i="175"/>
  <c r="M72" i="175"/>
  <c r="M74" i="175" s="1"/>
  <c r="K19" i="175"/>
  <c r="K30" i="175" s="1"/>
  <c r="I64" i="177"/>
  <c r="O30" i="224"/>
  <c r="Q34" i="224"/>
  <c r="I22" i="177"/>
  <c r="P89" i="52"/>
  <c r="E22" i="76"/>
  <c r="N31" i="52"/>
  <c r="H31" i="52"/>
  <c r="J31" i="52" s="1"/>
  <c r="C22" i="76"/>
  <c r="K32" i="122"/>
  <c r="P43" i="52"/>
  <c r="O19" i="224"/>
  <c r="Q35" i="224"/>
  <c r="C24" i="240"/>
  <c r="H67" i="52" l="1"/>
  <c r="J67" i="52" s="1"/>
  <c r="D64" i="208"/>
  <c r="K36" i="175"/>
  <c r="K38" i="175" s="1"/>
  <c r="K40" i="175" s="1"/>
  <c r="L82" i="240" s="1"/>
  <c r="I16" i="224"/>
  <c r="I21" i="224" s="1"/>
  <c r="G21" i="224"/>
  <c r="M29" i="260"/>
  <c r="A29" i="52"/>
  <c r="A31" i="52" s="1"/>
  <c r="A33" i="52" s="1"/>
  <c r="A35" i="52" s="1"/>
  <c r="A37" i="52" s="1"/>
  <c r="A39" i="52" s="1"/>
  <c r="K38" i="122"/>
  <c r="K39" i="122" s="1"/>
  <c r="K18" i="122" s="1"/>
  <c r="K23" i="122" s="1"/>
  <c r="H26" i="186"/>
  <c r="N47" i="52" s="1"/>
  <c r="P47" i="52" s="1"/>
  <c r="G40" i="175"/>
  <c r="E23" i="52"/>
  <c r="O40" i="175"/>
  <c r="M28" i="175"/>
  <c r="M30" i="175" s="1"/>
  <c r="I68" i="177"/>
  <c r="Q30" i="175"/>
  <c r="G38" i="223"/>
  <c r="J19" i="209" s="1"/>
  <c r="J26" i="209" s="1"/>
  <c r="P31" i="52"/>
  <c r="G37" i="177"/>
  <c r="J15" i="209" s="1"/>
  <c r="J24" i="209" s="1"/>
  <c r="Q25" i="224"/>
  <c r="Q30" i="224" s="1"/>
  <c r="D58" i="208"/>
  <c r="K40" i="224"/>
  <c r="I28" i="223"/>
  <c r="H47" i="52"/>
  <c r="J47" i="52" s="1"/>
  <c r="E29" i="260"/>
  <c r="I23" i="260"/>
  <c r="I29" i="260" s="1"/>
  <c r="I32" i="260"/>
  <c r="G33" i="224" s="1"/>
  <c r="I33" i="224" s="1"/>
  <c r="Q33" i="224" s="1"/>
  <c r="E33" i="177"/>
  <c r="E34" i="223"/>
  <c r="E36" i="224"/>
  <c r="E38" i="224" s="1"/>
  <c r="E40" i="224" s="1"/>
  <c r="Q36" i="175"/>
  <c r="Q38" i="175" s="1"/>
  <c r="E38" i="175"/>
  <c r="E40" i="175" s="1"/>
  <c r="I27" i="177"/>
  <c r="I66" i="177"/>
  <c r="I18" i="177"/>
  <c r="I33" i="260"/>
  <c r="O21" i="224"/>
  <c r="Q19" i="224"/>
  <c r="F20" i="240"/>
  <c r="F30" i="240"/>
  <c r="F18" i="240"/>
  <c r="F32" i="240"/>
  <c r="E35" i="260" l="1"/>
  <c r="E37" i="260" s="1"/>
  <c r="E39" i="260" s="1"/>
  <c r="M36" i="175"/>
  <c r="M38" i="175" s="1"/>
  <c r="M40" i="175" s="1"/>
  <c r="Q16" i="224"/>
  <c r="Q21" i="224" s="1"/>
  <c r="N67" i="52"/>
  <c r="P67" i="52" s="1"/>
  <c r="E25" i="52"/>
  <c r="N65" i="240"/>
  <c r="H28" i="186"/>
  <c r="Q40" i="175"/>
  <c r="J49" i="52"/>
  <c r="I34" i="223"/>
  <c r="I36" i="223" s="1"/>
  <c r="E36" i="223"/>
  <c r="I33" i="177"/>
  <c r="I35" i="177" s="1"/>
  <c r="I37" i="177" s="1"/>
  <c r="G39" i="177" s="1"/>
  <c r="E26" i="191" s="1"/>
  <c r="G26" i="191" s="1"/>
  <c r="N74" i="52" s="1"/>
  <c r="P74" i="52" s="1"/>
  <c r="E35" i="177"/>
  <c r="J27" i="52"/>
  <c r="F22" i="240"/>
  <c r="F24" i="240" s="1"/>
  <c r="F34" i="240"/>
  <c r="F36" i="240" s="1"/>
  <c r="E27" i="52" l="1"/>
  <c r="E29" i="52" s="1"/>
  <c r="E31" i="52" s="1"/>
  <c r="A41" i="52"/>
  <c r="A43" i="52" s="1"/>
  <c r="A45" i="52" s="1"/>
  <c r="A47" i="52" s="1"/>
  <c r="A49" i="52" s="1"/>
  <c r="Q42" i="175"/>
  <c r="I42" i="175"/>
  <c r="G42" i="175"/>
  <c r="O42" i="175"/>
  <c r="Q23" i="241" s="1"/>
  <c r="Q24" i="241" s="1"/>
  <c r="Q27" i="241" s="1"/>
  <c r="I24" i="241" s="1"/>
  <c r="M42" i="175"/>
  <c r="E42" i="175"/>
  <c r="O23" i="241" s="1"/>
  <c r="K42" i="175"/>
  <c r="M25" i="241" s="1"/>
  <c r="E37" i="177"/>
  <c r="H15" i="209" s="1"/>
  <c r="E34" i="193"/>
  <c r="G34" i="193" s="1"/>
  <c r="N84" i="52" s="1"/>
  <c r="H30" i="240"/>
  <c r="J30" i="240" s="1"/>
  <c r="E33" i="52" l="1"/>
  <c r="A67" i="52"/>
  <c r="A69" i="52" s="1"/>
  <c r="A72" i="52" s="1"/>
  <c r="A74" i="52" s="1"/>
  <c r="P84" i="52"/>
  <c r="M23" i="241"/>
  <c r="O24" i="241"/>
  <c r="M24" i="241" s="1"/>
  <c r="M26" i="241" s="1"/>
  <c r="O26" i="241" s="1"/>
  <c r="O27" i="241" s="1"/>
  <c r="G24" i="241" s="1"/>
  <c r="H24" i="209"/>
  <c r="L15" i="209"/>
  <c r="L24" i="209" s="1"/>
  <c r="E39" i="177"/>
  <c r="E24" i="191" s="1"/>
  <c r="G24" i="191" s="1"/>
  <c r="H32" i="240"/>
  <c r="H34" i="240"/>
  <c r="E35" i="52" l="1"/>
  <c r="H74" i="52"/>
  <c r="J74" i="52" s="1"/>
  <c r="G28" i="191"/>
  <c r="J32" i="240"/>
  <c r="J34" i="240"/>
  <c r="C75" i="240" s="1"/>
  <c r="E32" i="193"/>
  <c r="G32" i="193" s="1"/>
  <c r="H84" i="52" s="1"/>
  <c r="H18" i="240"/>
  <c r="J18" i="240" s="1"/>
  <c r="I39" i="177"/>
  <c r="C71" i="240"/>
  <c r="E37" i="52" l="1"/>
  <c r="J84" i="52"/>
  <c r="J36" i="240"/>
  <c r="C73" i="240"/>
  <c r="C77" i="240" s="1"/>
  <c r="F73" i="240" s="1"/>
  <c r="L73" i="240" s="1"/>
  <c r="R73" i="240" s="1"/>
  <c r="G36" i="193"/>
  <c r="H20" i="240"/>
  <c r="H22" i="240"/>
  <c r="C59" i="240"/>
  <c r="E39" i="52" l="1"/>
  <c r="E41" i="52" s="1"/>
  <c r="J22" i="240"/>
  <c r="C63" i="240" s="1"/>
  <c r="F71" i="240"/>
  <c r="L71" i="240" s="1"/>
  <c r="R71" i="240" s="1"/>
  <c r="J20" i="240"/>
  <c r="C61" i="240" s="1"/>
  <c r="F25" i="93"/>
  <c r="E26" i="93"/>
  <c r="E43" i="52" l="1"/>
  <c r="F75" i="240"/>
  <c r="L75" i="240" s="1"/>
  <c r="R75" i="240" s="1"/>
  <c r="C65" i="240"/>
  <c r="F61" i="240" s="1"/>
  <c r="J24" i="240"/>
  <c r="F26" i="93"/>
  <c r="E27" i="93"/>
  <c r="N61" i="240" l="1"/>
  <c r="F77" i="240"/>
  <c r="P61" i="240"/>
  <c r="H61" i="240"/>
  <c r="F59" i="240"/>
  <c r="J61" i="240"/>
  <c r="L61" i="240"/>
  <c r="F27" i="93"/>
  <c r="E28" i="93"/>
  <c r="R61" i="240" l="1"/>
  <c r="L59" i="240"/>
  <c r="L63" i="240" s="1"/>
  <c r="F63" i="240"/>
  <c r="J59" i="240"/>
  <c r="P59" i="240"/>
  <c r="N59" i="240"/>
  <c r="N63" i="240" s="1"/>
  <c r="H59" i="240"/>
  <c r="F28" i="93"/>
  <c r="E29" i="93"/>
  <c r="R59" i="240" l="1"/>
  <c r="J63" i="240"/>
  <c r="H63" i="240"/>
  <c r="F65" i="240"/>
  <c r="P63" i="240"/>
  <c r="F29" i="93"/>
  <c r="E30" i="93"/>
  <c r="R63" i="240" l="1"/>
  <c r="F30" i="93"/>
  <c r="E31" i="93"/>
  <c r="E45" i="52"/>
  <c r="E32" i="93" l="1"/>
  <c r="F31" i="93"/>
  <c r="E47" i="52"/>
  <c r="E49" i="52" s="1"/>
  <c r="E67" i="52" l="1"/>
  <c r="E33" i="93"/>
  <c r="F32" i="93"/>
  <c r="E70" i="52" l="1"/>
  <c r="F33" i="93"/>
  <c r="E34" i="93"/>
  <c r="E72" i="52" l="1"/>
  <c r="E35" i="93"/>
  <c r="F34" i="93"/>
  <c r="E74" i="52" l="1"/>
  <c r="E36" i="93"/>
  <c r="F36" i="93" s="1"/>
  <c r="F35" i="93"/>
  <c r="E118" i="52"/>
  <c r="E120" i="52" s="1"/>
  <c r="E122" i="52" s="1"/>
  <c r="E124" i="52" s="1"/>
  <c r="F23" i="208"/>
  <c r="F61" i="208" s="1"/>
  <c r="H23" i="208"/>
  <c r="H61" i="208" l="1"/>
  <c r="E14" i="223"/>
  <c r="E76" i="52"/>
  <c r="A76" i="52"/>
  <c r="A78" i="52" s="1"/>
  <c r="A80" i="52" s="1"/>
  <c r="F37" i="93"/>
  <c r="F40" i="93" s="1"/>
  <c r="F29" i="52" s="1"/>
  <c r="F95" i="52" s="1"/>
  <c r="H64" i="208"/>
  <c r="F64" i="208" s="1"/>
  <c r="F40" i="208"/>
  <c r="H40" i="208"/>
  <c r="H49" i="208" s="1"/>
  <c r="E78" i="52" l="1"/>
  <c r="A82" i="52"/>
  <c r="A84" i="52" s="1"/>
  <c r="F126" i="52"/>
  <c r="F128" i="52" s="1"/>
  <c r="J29" i="52"/>
  <c r="F49" i="208"/>
  <c r="H58" i="208"/>
  <c r="F58" i="208" s="1"/>
  <c r="I14" i="223"/>
  <c r="I19" i="223" s="1"/>
  <c r="I38" i="223" s="1"/>
  <c r="E19" i="223"/>
  <c r="E38" i="223" s="1"/>
  <c r="E80" i="52" l="1"/>
  <c r="A86" i="52"/>
  <c r="H19" i="209"/>
  <c r="E82" i="52" l="1"/>
  <c r="A88" i="52"/>
  <c r="A91" i="52" s="1"/>
  <c r="A93" i="52" s="1"/>
  <c r="A95" i="52" s="1"/>
  <c r="A112" i="52" s="1"/>
  <c r="A116" i="52" s="1"/>
  <c r="A120" i="52" s="1"/>
  <c r="H26" i="209"/>
  <c r="L19" i="209"/>
  <c r="A122" i="52" l="1"/>
  <c r="A124" i="52" s="1"/>
  <c r="A126" i="52" s="1"/>
  <c r="A128" i="52" s="1"/>
  <c r="E84" i="52"/>
  <c r="L26" i="209"/>
  <c r="E86" i="52" l="1"/>
  <c r="E89" i="52" l="1"/>
  <c r="E91" i="52" l="1"/>
  <c r="F44" i="35"/>
  <c r="F48" i="35" s="1"/>
  <c r="F18" i="35" s="1"/>
  <c r="E93" i="52" l="1"/>
  <c r="F20" i="35"/>
  <c r="C34" i="35"/>
  <c r="F24" i="35" l="1"/>
  <c r="G25" i="56" l="1"/>
  <c r="G29" i="56"/>
  <c r="F26" i="35"/>
  <c r="F28" i="35" s="1"/>
  <c r="G31" i="56" l="1"/>
  <c r="G33" i="56" s="1"/>
  <c r="G36" i="56" s="1"/>
  <c r="G40" i="56" s="1"/>
  <c r="G23" i="164" s="1"/>
  <c r="G51" i="164" s="1"/>
  <c r="C33" i="35"/>
  <c r="C35" i="35" s="1"/>
  <c r="G28" i="241" s="1"/>
  <c r="F30" i="35"/>
  <c r="C114" i="52" s="1"/>
  <c r="I28" i="241" l="1"/>
  <c r="D31" i="209"/>
  <c r="L18" i="240" l="1"/>
  <c r="N18" i="240" s="1"/>
  <c r="D20" i="167" l="1"/>
  <c r="L20" i="240"/>
  <c r="N20" i="240" s="1"/>
  <c r="D22" i="167" l="1"/>
  <c r="L22" i="240"/>
  <c r="N22" i="240" s="1"/>
  <c r="R65" i="240"/>
  <c r="L24" i="240" l="1"/>
  <c r="D24" i="167"/>
  <c r="D26" i="167" s="1"/>
  <c r="N24" i="240"/>
  <c r="F22" i="167" l="1"/>
  <c r="J22" i="167" s="1"/>
  <c r="F20" i="167"/>
  <c r="P18" i="240"/>
  <c r="G18" i="241"/>
  <c r="P20" i="240"/>
  <c r="T20" i="240" s="1"/>
  <c r="G14" i="164"/>
  <c r="J20" i="167" l="1"/>
  <c r="F24" i="167"/>
  <c r="F26" i="167" s="1"/>
  <c r="P22" i="240"/>
  <c r="P24" i="240" s="1"/>
  <c r="T18" i="240"/>
  <c r="G20" i="241" l="1"/>
  <c r="G22" i="241" s="1"/>
  <c r="G26" i="241" s="1"/>
  <c r="G31" i="241" s="1"/>
  <c r="H118" i="52" s="1"/>
  <c r="T22" i="240"/>
  <c r="T24" i="240" s="1"/>
  <c r="G16" i="164" s="1"/>
  <c r="G18" i="164" s="1"/>
  <c r="J118" i="52" l="1"/>
  <c r="L30" i="240" l="1"/>
  <c r="N30" i="240" s="1"/>
  <c r="D60" i="167" l="1"/>
  <c r="L32" i="240"/>
  <c r="N32" i="240" s="1"/>
  <c r="D62" i="167" l="1"/>
  <c r="L34" i="240"/>
  <c r="N34" i="240" s="1"/>
  <c r="R77" i="240"/>
  <c r="L36" i="240" l="1"/>
  <c r="N36" i="240"/>
  <c r="D64" i="167"/>
  <c r="D66" i="167" s="1"/>
  <c r="G42" i="164" l="1"/>
  <c r="P32" i="240"/>
  <c r="T32" i="240" s="1"/>
  <c r="I18" i="241"/>
  <c r="P30" i="240"/>
  <c r="F62" i="167"/>
  <c r="J62" i="167" s="1"/>
  <c r="F60" i="167"/>
  <c r="J60" i="167" l="1"/>
  <c r="F64" i="167"/>
  <c r="F66" i="167" s="1"/>
  <c r="T30" i="240"/>
  <c r="P34" i="240"/>
  <c r="T34" i="240" l="1"/>
  <c r="T36" i="240" s="1"/>
  <c r="G44" i="164" s="1"/>
  <c r="G46" i="164" s="1"/>
  <c r="I20" i="241"/>
  <c r="I22" i="241" s="1"/>
  <c r="I26" i="241" s="1"/>
  <c r="I31" i="241" s="1"/>
  <c r="N118" i="52" s="1"/>
  <c r="P36" i="240"/>
  <c r="P118" i="52" l="1"/>
  <c r="G57" i="203" l="1"/>
  <c r="H57" i="203"/>
  <c r="H149" i="203" s="1"/>
  <c r="H152" i="203" s="1"/>
  <c r="F57" i="203"/>
  <c r="G58" i="203" l="1"/>
  <c r="H82" i="203"/>
  <c r="F58" i="203"/>
  <c r="H156" i="203"/>
  <c r="F84" i="203" l="1"/>
  <c r="H84" i="203" s="1"/>
  <c r="H86" i="203" s="1"/>
  <c r="H58" i="203"/>
  <c r="H113" i="203" l="1"/>
  <c r="H90" i="203"/>
  <c r="G21" i="203" s="1"/>
  <c r="H88" i="203"/>
  <c r="F21" i="203" l="1"/>
  <c r="H92" i="203"/>
  <c r="H158" i="203" s="1"/>
  <c r="H160" i="203" s="1"/>
  <c r="H117" i="203"/>
  <c r="H121" i="203" s="1"/>
  <c r="H119" i="203"/>
  <c r="H123" i="203" l="1"/>
  <c r="H125" i="203" s="1"/>
  <c r="H164" i="203"/>
  <c r="G23" i="203" s="1"/>
  <c r="H162" i="203"/>
  <c r="H21" i="203"/>
  <c r="H127" i="203" l="1"/>
  <c r="G22" i="203" s="1"/>
  <c r="G24" i="203" s="1"/>
  <c r="N45" i="52" s="1"/>
  <c r="P45" i="52" s="1"/>
  <c r="F22" i="203"/>
  <c r="H129" i="203"/>
  <c r="H166" i="203"/>
  <c r="F23" i="203"/>
  <c r="H23" i="203" s="1"/>
  <c r="N95" i="52" l="1"/>
  <c r="K35" i="260" s="1"/>
  <c r="P95" i="52"/>
  <c r="H22" i="203"/>
  <c r="H24" i="203" s="1"/>
  <c r="F24" i="203"/>
  <c r="H45" i="52" s="1"/>
  <c r="H95" i="52" l="1"/>
  <c r="J45" i="52"/>
  <c r="M36" i="224"/>
  <c r="M35" i="260"/>
  <c r="M37" i="260" s="1"/>
  <c r="M39" i="260" s="1"/>
  <c r="K37" i="260"/>
  <c r="K39" i="260" s="1"/>
  <c r="N114" i="52"/>
  <c r="G35" i="260" l="1"/>
  <c r="J95" i="52"/>
  <c r="M38" i="224"/>
  <c r="M40" i="224" s="1"/>
  <c r="O36" i="224"/>
  <c r="O38" i="224" s="1"/>
  <c r="O40" i="224" s="1"/>
  <c r="J17" i="209" s="1"/>
  <c r="J25" i="209" s="1"/>
  <c r="P114" i="52"/>
  <c r="P126" i="52" s="1"/>
  <c r="P128" i="52" s="1"/>
  <c r="N126" i="52"/>
  <c r="N128" i="52" s="1"/>
  <c r="J29" i="209" l="1"/>
  <c r="G48" i="164"/>
  <c r="H114" i="52"/>
  <c r="I35" i="260"/>
  <c r="G37" i="260"/>
  <c r="G39" i="260" s="1"/>
  <c r="J69" i="167" l="1"/>
  <c r="J71" i="167" s="1"/>
  <c r="J64" i="167" s="1"/>
  <c r="G50" i="164"/>
  <c r="G53" i="164" s="1"/>
  <c r="J30" i="209" s="1"/>
  <c r="J31" i="209" s="1"/>
  <c r="J114" i="52"/>
  <c r="J126" i="52" s="1"/>
  <c r="J128" i="52" s="1"/>
  <c r="H126" i="52"/>
  <c r="H128" i="52" s="1"/>
  <c r="G36" i="224"/>
  <c r="I37" i="260"/>
  <c r="I39" i="260" s="1"/>
  <c r="J33" i="209" l="1"/>
  <c r="J36" i="209" s="1"/>
  <c r="H29" i="209"/>
  <c r="G20" i="164"/>
  <c r="H64" i="167"/>
  <c r="J66" i="167"/>
  <c r="I36" i="224"/>
  <c r="G38" i="224"/>
  <c r="G40" i="224" s="1"/>
  <c r="J37" i="209" l="1"/>
  <c r="J38" i="209"/>
  <c r="G22" i="164"/>
  <c r="G25" i="164" s="1"/>
  <c r="H30" i="209" s="1"/>
  <c r="J29" i="167"/>
  <c r="J31" i="167" s="1"/>
  <c r="J24" i="167" s="1"/>
  <c r="Q36" i="224"/>
  <c r="Q38" i="224" s="1"/>
  <c r="Q40" i="224" s="1"/>
  <c r="I38" i="224"/>
  <c r="I40" i="224" s="1"/>
  <c r="H17" i="209" s="1"/>
  <c r="L29" i="209"/>
  <c r="L30" i="209" l="1"/>
  <c r="H31" i="209"/>
  <c r="L31" i="209" s="1"/>
  <c r="H24" i="167"/>
  <c r="J26" i="167"/>
  <c r="L17" i="209"/>
  <c r="L25" i="209" s="1"/>
  <c r="H25" i="209"/>
  <c r="H33" i="209" l="1"/>
  <c r="H37" i="209" s="1"/>
  <c r="L33" i="209"/>
  <c r="L36" i="209" s="1"/>
  <c r="H36" i="209" l="1"/>
  <c r="H38" i="209"/>
  <c r="L37" i="209"/>
  <c r="L38" i="209"/>
</calcChain>
</file>

<file path=xl/sharedStrings.xml><?xml version="1.0" encoding="utf-8"?>
<sst xmlns="http://schemas.openxmlformats.org/spreadsheetml/2006/main" count="1481" uniqueCount="777">
  <si>
    <t>Adjustment to reflect annualized depreciation expenses</t>
  </si>
  <si>
    <t>Exhibit 1</t>
  </si>
  <si>
    <t>20.</t>
  </si>
  <si>
    <t>Adjustment for injuries and damages FERC account 925</t>
  </si>
  <si>
    <t xml:space="preserve">  1.  ECR Accrued Revenue in Accounts 440-445</t>
  </si>
  <si>
    <t>Ten Year Average</t>
  </si>
  <si>
    <t>State Income Tax Calculation</t>
  </si>
  <si>
    <t xml:space="preserve">3.  Taxable income for State income tax </t>
  </si>
  <si>
    <t>4.  State Tax Rate</t>
  </si>
  <si>
    <t>5.  State Income Tax</t>
  </si>
  <si>
    <t>5.  Taxable income for Federal income tax (Line 3 - Line 4)</t>
  </si>
  <si>
    <t>6.  Federal income tax at 35% (Line 5 x 35%)</t>
  </si>
  <si>
    <t>7.  Total State and Federal income taxes (Line 2 + Line 6)</t>
  </si>
  <si>
    <t>8.  Therefore, the composite rate is:</t>
  </si>
  <si>
    <t>9.            Federal</t>
  </si>
  <si>
    <t>10.          State</t>
  </si>
  <si>
    <t>11.          Total</t>
  </si>
  <si>
    <t xml:space="preserve">     Production Rate</t>
  </si>
  <si>
    <t xml:space="preserve">     Allocated Production Rate</t>
  </si>
  <si>
    <t>5. Taxable income for State income tax</t>
  </si>
  <si>
    <t>6.  State income tax at 6.00%</t>
  </si>
  <si>
    <t xml:space="preserve">  6.  Total Adjustment</t>
  </si>
  <si>
    <t>2.  Amortization period in years</t>
  </si>
  <si>
    <t>Adjustment to eliminate Environmental Surcharge revenues and expenses</t>
  </si>
  <si>
    <t>LOUISVILLE GAS &amp; ELECTRIC COMPANY</t>
  </si>
  <si>
    <t>Estimated Reproduction (or Current) Cost of Utility Plant</t>
  </si>
  <si>
    <t>Original Cost</t>
  </si>
  <si>
    <t xml:space="preserve">Effect of </t>
  </si>
  <si>
    <t xml:space="preserve">At </t>
  </si>
  <si>
    <t>Changing Prices (a)</t>
  </si>
  <si>
    <t>Plant in Service</t>
  </si>
  <si>
    <t>Electric Plant:</t>
  </si>
  <si>
    <t xml:space="preserve">   Steam Production</t>
  </si>
  <si>
    <t xml:space="preserve">   Hydraulic Production</t>
  </si>
  <si>
    <t xml:space="preserve">   Other Production</t>
  </si>
  <si>
    <t xml:space="preserve">   Transmission </t>
  </si>
  <si>
    <t xml:space="preserve">   Distribution</t>
  </si>
  <si>
    <t xml:space="preserve">   General</t>
  </si>
  <si>
    <t xml:space="preserve">   Intangible</t>
  </si>
  <si>
    <t>Gas Plant:</t>
  </si>
  <si>
    <t xml:space="preserve">   Storage Underground</t>
  </si>
  <si>
    <t xml:space="preserve">   Transmission</t>
  </si>
  <si>
    <t>Common Plant:</t>
  </si>
  <si>
    <t>Total Plant in Service</t>
  </si>
  <si>
    <t xml:space="preserve">   Electric</t>
  </si>
  <si>
    <t>Construction Work In Progress:</t>
  </si>
  <si>
    <t xml:space="preserve">   Gas</t>
  </si>
  <si>
    <t xml:space="preserve">   Common</t>
  </si>
  <si>
    <t>Total Utility Plant</t>
  </si>
  <si>
    <t>Less Reserve for Depreciation:</t>
  </si>
  <si>
    <t>Total Reserve for Depreciation</t>
  </si>
  <si>
    <t>Total Utility Plant less Reserve for Depreciation</t>
  </si>
  <si>
    <t xml:space="preserve">(a)  Based on Handy -Whitman Index </t>
  </si>
  <si>
    <t>Rates of Return - Actual and Requested</t>
  </si>
  <si>
    <t>Pro-Formed for the Rate Increase</t>
  </si>
  <si>
    <t>Net Original Cost Rate Base - Exhibit 3</t>
  </si>
  <si>
    <t>Net Operating Income - Actual - Exhibit 1</t>
  </si>
  <si>
    <t>Rate of Return (Actual):</t>
  </si>
  <si>
    <t xml:space="preserve">    On Net Original Cost Rate Base</t>
  </si>
  <si>
    <t xml:space="preserve">    On Reproduction Cost Rate Base</t>
  </si>
  <si>
    <t>Adjusted Net Operating Income - Exhibit 1</t>
  </si>
  <si>
    <t>Adjusted Net Operating Income Pro-formed for Rate Increase</t>
  </si>
  <si>
    <t>Exhibit 6</t>
  </si>
  <si>
    <t>Exhibit 8</t>
  </si>
  <si>
    <t>Adjustment to Revenues for Temperature Normalization</t>
  </si>
  <si>
    <t>Total ECR</t>
  </si>
  <si>
    <t>Net ECR</t>
  </si>
  <si>
    <t>1.  Revenues</t>
  </si>
  <si>
    <t xml:space="preserve">               regulated trading sales activities.</t>
  </si>
  <si>
    <t>6.  Total Adjustment</t>
  </si>
  <si>
    <t>Pro Forma</t>
  </si>
  <si>
    <t>Total Pro Forma Rate Base</t>
  </si>
  <si>
    <t>Utility Plant at Original Cost</t>
  </si>
  <si>
    <t xml:space="preserve">  Reserve for Depreciation</t>
  </si>
  <si>
    <t xml:space="preserve">  Accumulated Deferred Income Taxes</t>
  </si>
  <si>
    <t xml:space="preserve">  Materials and Supplies</t>
  </si>
  <si>
    <t xml:space="preserve">  Gas Stored Underground</t>
  </si>
  <si>
    <t xml:space="preserve">  Prepayments</t>
  </si>
  <si>
    <t xml:space="preserve">  Cash Working Capital</t>
  </si>
  <si>
    <t>(4 + 7)</t>
  </si>
  <si>
    <t>(5 + 6)</t>
  </si>
  <si>
    <t>(2 + 3)</t>
  </si>
  <si>
    <t>Exhibit 9</t>
  </si>
  <si>
    <t>Pro Forma Rate Base - Exhibit 4</t>
  </si>
  <si>
    <t>Reproduction Cost Rate Base - Exhibit 5</t>
  </si>
  <si>
    <t xml:space="preserve">    On Pro Forma Rate Base</t>
  </si>
  <si>
    <t>Revenue Increase Applied For - Exhibit 8</t>
  </si>
  <si>
    <t>CPI</t>
  </si>
  <si>
    <t>2008</t>
  </si>
  <si>
    <t>(Col 6, Pg 1)</t>
  </si>
  <si>
    <t>Pension</t>
  </si>
  <si>
    <t>Post Retirement</t>
  </si>
  <si>
    <t>3.  Increase/(Decrease) in book revenues due to unbilled revenues</t>
  </si>
  <si>
    <t>1.  Property Insurance expense in test year</t>
  </si>
  <si>
    <t>4.  Electric Adjustment</t>
  </si>
  <si>
    <t>5.  Gas Adjustment</t>
  </si>
  <si>
    <t>To Eliminate DSM Revenues and Expenses</t>
  </si>
  <si>
    <t/>
  </si>
  <si>
    <t>2007</t>
  </si>
  <si>
    <t>Off-system sales revenue adjustment for the ECR calculation</t>
  </si>
  <si>
    <t>Net Operating Income Found Reasonable (Line 1 x Line 2)</t>
  </si>
  <si>
    <t>Remainder (Line 1 - Line 5)</t>
  </si>
  <si>
    <t>Cash Working Capital (12 1/2% of Line 6)</t>
  </si>
  <si>
    <t>Date:</t>
  </si>
  <si>
    <t>Investments</t>
  </si>
  <si>
    <t>(Col 2 x Col 3 Line 4)</t>
  </si>
  <si>
    <t>(Col 2 x Col 4 Line 4)</t>
  </si>
  <si>
    <t>(Col 2 x Col 5 Line 4)</t>
  </si>
  <si>
    <t>(Col 2 x Col 6 Line 4)</t>
  </si>
  <si>
    <t>(Col 2 x Col 7 Line 4)</t>
  </si>
  <si>
    <t xml:space="preserve"> 2.  Weighted Cost of Debt - Exhibit 2</t>
  </si>
  <si>
    <t>(a) - Column 4, Line 3 / Column 2, Line 3</t>
  </si>
  <si>
    <t>Page 2 of 4</t>
  </si>
  <si>
    <t>Construction/</t>
  </si>
  <si>
    <t>Operating</t>
  </si>
  <si>
    <t>Other</t>
  </si>
  <si>
    <t>Base</t>
  </si>
  <si>
    <t>Overtime and Premium</t>
  </si>
  <si>
    <t>Total Operating and Construction/Other %</t>
  </si>
  <si>
    <t>Exempt LG&amp;E</t>
  </si>
  <si>
    <t>Exempt Servco (allocated to LG&amp;E)</t>
  </si>
  <si>
    <t>Non-Exempt Servco (allocated to LG&amp;E)</t>
  </si>
  <si>
    <t>Operating Labor based on annualized labor</t>
  </si>
  <si>
    <t>x</t>
  </si>
  <si>
    <t>Represents actual numbers taken from the Company's financial records for</t>
  </si>
  <si>
    <t>Page 3 of 4</t>
  </si>
  <si>
    <t xml:space="preserve">Adjustments to Reflect Increases in Payroll Taxes </t>
  </si>
  <si>
    <t>Percentage of wages that do not exceed Social Security (OASDI) limit</t>
  </si>
  <si>
    <t>Operating Labor increase subject to Social Security tax (Line 1 x Line 2)</t>
  </si>
  <si>
    <t>Medicare Tax (Line 1 x 1.45%)</t>
  </si>
  <si>
    <t>Social Security Tax (Line 3 x 6.2%)</t>
  </si>
  <si>
    <t>Payroll Tax adjustment (Line 4 + Line 5)</t>
  </si>
  <si>
    <t>Page 4 of 4</t>
  </si>
  <si>
    <t>Adjustment to Reflect Increases in Company Contribution to 401(k)</t>
  </si>
  <si>
    <t xml:space="preserve">(b) - Column 4, Line 4 - Line 1 - Line 2 </t>
  </si>
  <si>
    <t>Electric Rate of Return on Common Equity</t>
  </si>
  <si>
    <t>(Exhibit 2 Col 8)</t>
  </si>
  <si>
    <t xml:space="preserve">Total of above adjustments </t>
  </si>
  <si>
    <t>Total adjustments</t>
  </si>
  <si>
    <t>2009</t>
  </si>
  <si>
    <t>Pro-forma Net Operating Income</t>
  </si>
  <si>
    <t xml:space="preserve">Net Operating Income Deficiency/(Sufficiency) </t>
  </si>
  <si>
    <t>Overall Revenue Deficiency/(Sufficiency)</t>
  </si>
  <si>
    <t>Page 1 of 1</t>
  </si>
  <si>
    <t xml:space="preserve">Pro-forma Net Operating Income </t>
  </si>
  <si>
    <t>Net Operating Income Deficiency/(Sufficiency)</t>
  </si>
  <si>
    <t>Gas Rate of Return on Common Equity</t>
  </si>
  <si>
    <t xml:space="preserve">  Asset Retirement Obligation-Net Assets</t>
  </si>
  <si>
    <t xml:space="preserve">  Asset Retirement Obligation-Regulatory Liabilities</t>
  </si>
  <si>
    <t>(Col 2 x Col 3)</t>
  </si>
  <si>
    <t>Exhibit 4</t>
  </si>
  <si>
    <t xml:space="preserve">     upon ten year average</t>
  </si>
  <si>
    <t>1. Injury/Damage provision based upon ten year</t>
  </si>
  <si>
    <t>Percentage of Rate Base to Total Company Rate Base</t>
  </si>
  <si>
    <t>Exhibit 2</t>
  </si>
  <si>
    <t>Exhibit 5</t>
  </si>
  <si>
    <t>2.  State income tax at 6.00%</t>
  </si>
  <si>
    <t>Advanced Coal</t>
  </si>
  <si>
    <t>Investment</t>
  </si>
  <si>
    <t>Tax Credit</t>
  </si>
  <si>
    <t>Title of Account</t>
  </si>
  <si>
    <t>Total Electric</t>
  </si>
  <si>
    <t>Base Electric</t>
  </si>
  <si>
    <t>Operating and maintenance expense for the</t>
  </si>
  <si>
    <t>Exhibit 3</t>
  </si>
  <si>
    <t>Consumers</t>
  </si>
  <si>
    <t xml:space="preserve">  2.  Account No. 913 Advertising Expenses</t>
  </si>
  <si>
    <t xml:space="preserve"> 1.  Adjusted Capitalization - Exhibit 2</t>
  </si>
  <si>
    <t>Line 8</t>
  </si>
  <si>
    <t>1.  Revenue adjustment</t>
  </si>
  <si>
    <t>2.  Expense adjustment</t>
  </si>
  <si>
    <t>3.  Net adjustment</t>
  </si>
  <si>
    <t xml:space="preserve">    average</t>
  </si>
  <si>
    <t>2. Injury/Damage expenses incurred during the 12</t>
  </si>
  <si>
    <t xml:space="preserve">* NOTE : Expenses are recovered in the second succeeding month. For example, </t>
  </si>
  <si>
    <t>Off-System Sales Revenue Adjustment for the ECR Calculation</t>
  </si>
  <si>
    <t>CPI-All Urban</t>
  </si>
  <si>
    <t>From "Interest Synchronization"</t>
  </si>
  <si>
    <t xml:space="preserve"> 3.  "Interest Synchronization"</t>
  </si>
  <si>
    <t xml:space="preserve">       Synchronization"</t>
  </si>
  <si>
    <t>Adjustment for Prior Period Income Tax True-Ups and Adjustments</t>
  </si>
  <si>
    <t>Adjustment to Reflect Increases in Labor and Labor-Related Costs</t>
  </si>
  <si>
    <t>Adjustment</t>
  </si>
  <si>
    <t>1.  DSM revenue adjustment</t>
  </si>
  <si>
    <t>2.  DSM expense adjustment</t>
  </si>
  <si>
    <t xml:space="preserve">  4.  Adjustment</t>
  </si>
  <si>
    <t xml:space="preserve">  7.  Total adjustment (Line 4 - Line 6)</t>
  </si>
  <si>
    <t>Includes emission allowances.</t>
  </si>
  <si>
    <t>Emission Allowances</t>
  </si>
  <si>
    <t>May</t>
  </si>
  <si>
    <t>Rate of Return (Pro-forma):</t>
  </si>
  <si>
    <t>Total Electric Plant</t>
  </si>
  <si>
    <t>Total Gas Plant</t>
  </si>
  <si>
    <t>Total Common Plant</t>
  </si>
  <si>
    <t>By Departments:</t>
  </si>
  <si>
    <t>Total Construction Work In Progress</t>
  </si>
  <si>
    <t>(d) - Column 4, Line 5 divided by Column 1, Line 4</t>
  </si>
  <si>
    <t>Total Company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</si>
  <si>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</si>
  <si>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</si>
  <si>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</si>
  <si>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</si>
  <si>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</si>
  <si>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</si>
  <si>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</si>
  <si>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</si>
  <si>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</si>
  <si>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Percent</t>
  </si>
  <si>
    <t>Weighted</t>
  </si>
  <si>
    <t>Cost of</t>
  </si>
  <si>
    <t>(b)</t>
  </si>
  <si>
    <t>Net Operating Income / Total Capitalization</t>
  </si>
  <si>
    <t>Notes:</t>
  </si>
  <si>
    <t>Total</t>
  </si>
  <si>
    <t>Wages (Page 2)</t>
  </si>
  <si>
    <t>Payroll Taxes  (Page 3)</t>
  </si>
  <si>
    <t>401(k) (Page 4)</t>
  </si>
  <si>
    <t>5.  Amortization per year</t>
  </si>
  <si>
    <t>2. Amortization period in years</t>
  </si>
  <si>
    <t>3. Annual amortization</t>
  </si>
  <si>
    <t>Electric</t>
  </si>
  <si>
    <t>Gas</t>
  </si>
  <si>
    <t>LOUISVILLE GAS AND ELECTRIC COMPANY</t>
  </si>
  <si>
    <t>Electric Department</t>
  </si>
  <si>
    <t>Gas Department</t>
  </si>
  <si>
    <t xml:space="preserve"> Net </t>
  </si>
  <si>
    <t xml:space="preserve">   Net </t>
  </si>
  <si>
    <t>Reference</t>
  </si>
  <si>
    <t xml:space="preserve">   Operating</t>
  </si>
  <si>
    <t xml:space="preserve"> Operating</t>
  </si>
  <si>
    <t xml:space="preserve">  Operating</t>
  </si>
  <si>
    <t>Schedule</t>
  </si>
  <si>
    <t xml:space="preserve">  Revenues</t>
  </si>
  <si>
    <t>Expenses</t>
  </si>
  <si>
    <t>Income</t>
  </si>
  <si>
    <t xml:space="preserve"> Revenues</t>
  </si>
  <si>
    <t xml:space="preserve"> Expenses</t>
  </si>
  <si>
    <t xml:space="preserve"> Income</t>
  </si>
  <si>
    <t>(1)</t>
  </si>
  <si>
    <t xml:space="preserve">   (2)</t>
  </si>
  <si>
    <t xml:space="preserve"> (3)</t>
  </si>
  <si>
    <t xml:space="preserve"> (4)</t>
  </si>
  <si>
    <t>%</t>
  </si>
  <si>
    <t>Adjustments</t>
  </si>
  <si>
    <t>Per Books</t>
  </si>
  <si>
    <t>(c)</t>
  </si>
  <si>
    <t xml:space="preserve">            Page 1 of 2</t>
  </si>
  <si>
    <t>Cost</t>
  </si>
  <si>
    <t>of</t>
  </si>
  <si>
    <t>Annual</t>
  </si>
  <si>
    <t>Capital</t>
  </si>
  <si>
    <t>Adjusted</t>
  </si>
  <si>
    <t>Rate</t>
  </si>
  <si>
    <t>(2)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</si>
  <si>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</si>
  <si>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</si>
  <si>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</si>
  <si>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</si>
  <si>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</si>
  <si>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</si>
  <si>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</si>
  <si>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</si>
  <si>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</si>
  <si>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</si>
  <si>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</si>
  <si>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</si>
  <si>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</si>
  <si>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</si>
  <si>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</si>
  <si>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</si>
  <si>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</si>
  <si>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Total Capitalization</t>
  </si>
  <si>
    <t>(a)</t>
  </si>
  <si>
    <t>Page 2 of 2</t>
  </si>
  <si>
    <t>Stores</t>
  </si>
  <si>
    <t>Coal</t>
  </si>
  <si>
    <t>Limestone</t>
  </si>
  <si>
    <t>Fuel Oil</t>
  </si>
  <si>
    <t>Stores Expense</t>
  </si>
  <si>
    <t>Total Trimble County Inventories</t>
  </si>
  <si>
    <t>Multiplied by Disallowed Portion</t>
  </si>
  <si>
    <t>Pursuant to Commission Rule 807 KAR 5:016</t>
  </si>
  <si>
    <t xml:space="preserve">  1.  Uniform System of Accounts -</t>
  </si>
  <si>
    <t xml:space="preserve">  3.  Total</t>
  </si>
  <si>
    <t xml:space="preserve">          </t>
  </si>
  <si>
    <t>Adjustment to Revenues and Expenses to Eliminate</t>
  </si>
  <si>
    <t>Gas Supply Cost Recoveries and Gas Supply Expenses</t>
  </si>
  <si>
    <t xml:space="preserve">1. Assume pre-tax income of </t>
  </si>
  <si>
    <t>Page 1 of 2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</si>
  <si>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</si>
  <si>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</si>
  <si>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</si>
  <si>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</si>
  <si>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</si>
  <si>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FAS 109 Deferred Income Taxes</t>
  </si>
  <si>
    <t xml:space="preserve">     Total Deductions</t>
  </si>
  <si>
    <t>Net Plant Deductions</t>
  </si>
  <si>
    <t>Add:</t>
  </si>
  <si>
    <t xml:space="preserve">  Cash Working Capital (page 2)</t>
  </si>
  <si>
    <t>18.</t>
  </si>
  <si>
    <t xml:space="preserve">     Total Additions</t>
  </si>
  <si>
    <t>Total Net Original Cost Rate Base</t>
  </si>
  <si>
    <t>Average for 13 months.</t>
  </si>
  <si>
    <t>Amount</t>
  </si>
  <si>
    <t xml:space="preserve">       Account No. 930.1 General</t>
  </si>
  <si>
    <t xml:space="preserve">       Advertising Expenses</t>
  </si>
  <si>
    <t>Average</t>
  </si>
  <si>
    <t xml:space="preserve">Calculation of Revenue Gross Up Factor </t>
  </si>
  <si>
    <t>Income Tax Rate</t>
  </si>
  <si>
    <t>Calculation of Composite Federal and Kentucky</t>
  </si>
  <si>
    <t>19.</t>
  </si>
  <si>
    <t>Capitalization</t>
  </si>
  <si>
    <t>Adjustments to Electric and Gas Operating Revenues, Operating Expenses and Net Operating Income</t>
  </si>
  <si>
    <t>Calculation of Cash Working Capital</t>
  </si>
  <si>
    <t>Short Term Debt</t>
  </si>
  <si>
    <t>Long Term Debt</t>
  </si>
  <si>
    <t>Common Equity</t>
  </si>
  <si>
    <t>Rate Base</t>
  </si>
  <si>
    <t>Percentage</t>
  </si>
  <si>
    <t>(d)</t>
  </si>
  <si>
    <t>Excludes PSC fees.</t>
  </si>
  <si>
    <t>ELECTRIC</t>
  </si>
  <si>
    <t>to</t>
  </si>
  <si>
    <t>GAS</t>
  </si>
  <si>
    <t xml:space="preserve">            Page 2 of 2</t>
  </si>
  <si>
    <t>Trimble County</t>
  </si>
  <si>
    <t>Trimble County Inv. Disallowed</t>
  </si>
  <si>
    <t>JDIC</t>
  </si>
  <si>
    <t>Environmental</t>
  </si>
  <si>
    <t>Surcharge</t>
  </si>
  <si>
    <t>To Capital</t>
  </si>
  <si>
    <t xml:space="preserve">Capital </t>
  </si>
  <si>
    <t>Structure</t>
  </si>
  <si>
    <t>Amount per books</t>
  </si>
  <si>
    <t>Adjusted Net Operating Income</t>
  </si>
  <si>
    <t>To adjust mismatch in fuel cost recovery</t>
  </si>
  <si>
    <t>Adjustment to Eliminate Unbilled Revenues</t>
  </si>
  <si>
    <t>Adjustment to Reflect Normalized Storm Damage Expense</t>
  </si>
  <si>
    <t>1.  Storm damage provision based</t>
  </si>
  <si>
    <t>2.  Storm damage expenses incurred during</t>
  </si>
  <si>
    <t xml:space="preserve">3.  Adjustment </t>
  </si>
  <si>
    <t>Year</t>
  </si>
  <si>
    <t>Expense</t>
  </si>
  <si>
    <t>Adjustment to Eliminate Advertising Expenses</t>
  </si>
  <si>
    <t xml:space="preserve">  Gas Supply Expenses</t>
  </si>
  <si>
    <t>Prior income tax true-ups and adjustments</t>
  </si>
  <si>
    <t>3.  Amortization per year</t>
  </si>
  <si>
    <t xml:space="preserve">  3.  Total adjustment (Line 2 - Line 1)</t>
  </si>
  <si>
    <t>Adjustment to Eliminate Environmental Surcharge Revenues and Expenses</t>
  </si>
  <si>
    <t>Calculation of Current Tax Adjustment Resulting</t>
  </si>
  <si>
    <t xml:space="preserve"> </t>
  </si>
  <si>
    <t>Adjustments for known changes and to eliminate unrepresentative conditions:</t>
  </si>
  <si>
    <t>(3)</t>
  </si>
  <si>
    <t>LG&amp;E</t>
  </si>
  <si>
    <t>Off-System</t>
  </si>
  <si>
    <t>Sales</t>
  </si>
  <si>
    <t>Revenue</t>
  </si>
  <si>
    <t>Factor</t>
  </si>
  <si>
    <t xml:space="preserve">  Electric Power Purchased</t>
  </si>
  <si>
    <t>(e)</t>
  </si>
  <si>
    <t>Form A</t>
  </si>
  <si>
    <t>Form A*</t>
  </si>
  <si>
    <t>Month</t>
  </si>
  <si>
    <t>Page 4 of 5</t>
  </si>
  <si>
    <t>Line 3</t>
  </si>
  <si>
    <t>(4)</t>
  </si>
  <si>
    <t>*</t>
  </si>
  <si>
    <t>Adjustment for Injuries and Damages FERC Account 925</t>
  </si>
  <si>
    <t>Federal and state income taxes corresponding</t>
  </si>
  <si>
    <t>to base revenue and expense adjustments</t>
  </si>
  <si>
    <t xml:space="preserve">and above adjustments - </t>
  </si>
  <si>
    <t>year-end interest expense</t>
  </si>
  <si>
    <t>to annualization and adjustment of</t>
  </si>
  <si>
    <t>To Adjust Mismatch in Fuel Cost Recovery</t>
  </si>
  <si>
    <t>Adjustment to Annualize Year-End Customers</t>
  </si>
  <si>
    <t xml:space="preserve">Year </t>
  </si>
  <si>
    <t>Adjustment to eliminate unbilled revenues</t>
  </si>
  <si>
    <t xml:space="preserve"> 4.  Interest per books (excluding other interest)</t>
  </si>
  <si>
    <t>Page 1 of 4</t>
  </si>
  <si>
    <t xml:space="preserve">Adjustment to eliminate advertising expenses pursuant to Commission </t>
  </si>
  <si>
    <t>Rule 807 KAR 5:016</t>
  </si>
  <si>
    <t>Adjustment to revenues and expenses to eliminate gas supply cost</t>
  </si>
  <si>
    <t>recoveries and gas supply expenses</t>
  </si>
  <si>
    <t>3.  Taxable income for Federal income tax before production deduction</t>
  </si>
  <si>
    <t xml:space="preserve">     Allocation to Production Income</t>
  </si>
  <si>
    <t>3.  Total Adjustment (Line 2 - Line 1)</t>
  </si>
  <si>
    <t>1.  Prior Year Income Tax True-up:</t>
  </si>
  <si>
    <t>2.     Federal Tax expense (benefit)</t>
  </si>
  <si>
    <t xml:space="preserve">3.     State Tax expense (benefit) </t>
  </si>
  <si>
    <t>4.  Total Income Tax True-up</t>
  </si>
  <si>
    <t>5.  Other Tax adjustments:</t>
  </si>
  <si>
    <t>7.  Total Other Tax adjustments:</t>
  </si>
  <si>
    <t>8.  Federal benefit for State Tax adjustments</t>
  </si>
  <si>
    <t>9.  Total adjustments (Line 4 + Line 7 + Line 8)</t>
  </si>
  <si>
    <t>Eliminate ECR</t>
  </si>
  <si>
    <t>(Col. 1 * 3)</t>
  </si>
  <si>
    <t xml:space="preserve"> 5. "Interest Synchronization" adjustment (Line 4 - 3 )</t>
  </si>
  <si>
    <t xml:space="preserve"> 6.  Composite Federal and State tax rate</t>
  </si>
  <si>
    <t xml:space="preserve"> 7.  Current tax adjustment from "Interest</t>
  </si>
  <si>
    <t>Post Employment</t>
  </si>
  <si>
    <t xml:space="preserve">  2.  Pension, Post Retirement, and Post Employment expenses annualized for</t>
  </si>
  <si>
    <t xml:space="preserve">  1.  Pension, Post Retirement and Post Employment expenses in test year</t>
  </si>
  <si>
    <t>Compliance Plans</t>
  </si>
  <si>
    <t>Compliance</t>
  </si>
  <si>
    <t>Total Gas</t>
  </si>
  <si>
    <t>Supporting Schedule-Exhibit 3</t>
  </si>
  <si>
    <t>Supporting Schedule-Exhibit 4</t>
  </si>
  <si>
    <t>Environmental Compliance Plans:</t>
  </si>
  <si>
    <t>Exhibit 3, Column 2</t>
  </si>
  <si>
    <t>Adjustment to remove Environmental Compliance Plans (Exhibit 2, Page 2 of 2, Col 6).</t>
  </si>
  <si>
    <t>Electric (a)</t>
  </si>
  <si>
    <t>Adjustments (b)</t>
  </si>
  <si>
    <t>Gas (c)</t>
  </si>
  <si>
    <t>Adjustments (d)</t>
  </si>
  <si>
    <t>in OVEC and Other</t>
  </si>
  <si>
    <t xml:space="preserve">Adjustment To Reflect Annualized Depreciation Expenses </t>
  </si>
  <si>
    <t>Utility Plant at Estimated Reproduction Cost (a)</t>
  </si>
  <si>
    <t>Total Net Reproduction Cost Rate Base</t>
  </si>
  <si>
    <t xml:space="preserve">3.  Net Adjustment </t>
  </si>
  <si>
    <t xml:space="preserve">      All other years expenses are for calendar year.</t>
  </si>
  <si>
    <t>Exhibit 3, Column 3</t>
  </si>
  <si>
    <t xml:space="preserve">  Accumulated Deferred Income Taxes (a)</t>
  </si>
  <si>
    <t xml:space="preserve">  Materials and Supplies (b)(d)(e)</t>
  </si>
  <si>
    <t xml:space="preserve">  Gas Stored Underground (b)</t>
  </si>
  <si>
    <t xml:space="preserve">  Prepayments (b)(c)</t>
  </si>
  <si>
    <t>10.  Total Adjustment</t>
  </si>
  <si>
    <t>Excludes 25% of Trimble County inventories disallowed.</t>
  </si>
  <si>
    <t>To Eliminate Net Brokered and Financial Swap Revenues and Expenses</t>
  </si>
  <si>
    <t xml:space="preserve">  1.  Brokered and Financial Swap Revenues</t>
  </si>
  <si>
    <t xml:space="preserve">  2.  Brokered and Financial Swap Expenses recorded in revenues</t>
  </si>
  <si>
    <t xml:space="preserve">  3.  Net Brokered and Financial Swap Revenues</t>
  </si>
  <si>
    <t xml:space="preserve">  4.  Net Brokered and Financial Swap Revenues adjustment</t>
  </si>
  <si>
    <t xml:space="preserve">  5.  Operating Expenses related to Brokered and Financial Swap</t>
  </si>
  <si>
    <t xml:space="preserve">  6.  Net Brokered and Financial Swap Operating Expenses adjustment</t>
  </si>
  <si>
    <t>3.  Net Adjustment</t>
  </si>
  <si>
    <t xml:space="preserve">  4.  Electric Department (a)                                            80%</t>
  </si>
  <si>
    <t>Louisville Gas and Electric Company</t>
  </si>
  <si>
    <t>Adjustment to federal and state income taxes resulting from interest synchronization</t>
  </si>
  <si>
    <t>Adjustment to reflect increases in labor and labor related costs</t>
  </si>
  <si>
    <t>Adjustment to reflect normalized storm damage expense</t>
  </si>
  <si>
    <t>2011</t>
  </si>
  <si>
    <t>2010</t>
  </si>
  <si>
    <t>Jan</t>
  </si>
  <si>
    <t>Dec</t>
  </si>
  <si>
    <t xml:space="preserve">      and 2011 Summer storm expenses that were recorded as regulatory assets.</t>
  </si>
  <si>
    <t xml:space="preserve">  1.  Adjustment to base rate revenues to reflect a full year of the </t>
  </si>
  <si>
    <t xml:space="preserve">  2.  Adjustment to FAC revenues to reflect a full year of the </t>
  </si>
  <si>
    <t xml:space="preserve">  3.  Net adjustment </t>
  </si>
  <si>
    <t>To Adjust Base Rates and FAC to Reflect a Full Year of the FAC Roll-In</t>
  </si>
  <si>
    <t>8.  Taxable income for Federal income tax</t>
  </si>
  <si>
    <t>9.  Federal income tax at 35%</t>
  </si>
  <si>
    <t>10.  Total Bad Debt, PSC Assessment, State and Federal income taxes</t>
  </si>
  <si>
    <t xml:space="preserve">     (Line 2 + Line 3 + Line 6 + Line 9)</t>
  </si>
  <si>
    <t xml:space="preserve">11.  Assume pre-tax income of </t>
  </si>
  <si>
    <t>12.  Gross Up Revenue Factor</t>
  </si>
  <si>
    <t xml:space="preserve">             the amount of domestic production activities deduction calculated at six percent (6%) as allowed in </t>
  </si>
  <si>
    <t xml:space="preserve">             Section 199(a)(2) of the Internal Revenue Code for taxable years beginning before 2010.</t>
  </si>
  <si>
    <t xml:space="preserve">Notes: (1) Pursuant to KRS 141.010(11)(c) and (13)(c), for taxable years beginning on or after January 1, 2010, </t>
  </si>
  <si>
    <t xml:space="preserve">  3.  DSM Accrued Revenue in Accounts 440-445</t>
  </si>
  <si>
    <t xml:space="preserve">  4.  DSM Accrued Revenue in Accounts 480-482</t>
  </si>
  <si>
    <t xml:space="preserve">  5.  FAC Accrued Revenue in Accounts 440-445</t>
  </si>
  <si>
    <t>Union LG&amp;E</t>
  </si>
  <si>
    <t>of total</t>
  </si>
  <si>
    <t>Non-Exempt LG&amp;E</t>
  </si>
  <si>
    <t>Union KU (allocated to LG&amp;E)</t>
  </si>
  <si>
    <t>Exempt KU (allocated to LG&amp;E)</t>
  </si>
  <si>
    <t>Non-Exempt KU (allocated to LG&amp;E)</t>
  </si>
  <si>
    <t>Hourly KU (allocated to LG&amp;E)</t>
  </si>
  <si>
    <t>Overtime &amp; Premiums (a) (increases allocated as above):</t>
  </si>
  <si>
    <t xml:space="preserve">3. PSC Assessment at .1529% </t>
  </si>
  <si>
    <t>(Col 8, Pg 2)</t>
  </si>
  <si>
    <t>(Col 1 x Col 3)</t>
  </si>
  <si>
    <t>(Col 4 + Col 5)</t>
  </si>
  <si>
    <t>(Col 8 x Col 7)</t>
  </si>
  <si>
    <t>Calculation of Composite Federal and Kentucky Income tax rate</t>
  </si>
  <si>
    <t>Common utility plant and the reserve for depreciation are allocated 71% to the Electric Department and 29% to the Gas Department.</t>
  </si>
  <si>
    <t>(Based on Law in Effect January 1, 2012)</t>
  </si>
  <si>
    <t>To adjust base rates and FAC to reflect a full year of the FAC roll-in</t>
  </si>
  <si>
    <t>Adjustment to annualize year-end customers</t>
  </si>
  <si>
    <t>Adjustment for pension, post retirement and post employment costs</t>
  </si>
  <si>
    <t>Adjustment to revenues for temperature normalization</t>
  </si>
  <si>
    <t>Environmental Compliance</t>
  </si>
  <si>
    <t>Revenues Collected in</t>
  </si>
  <si>
    <t xml:space="preserve">  2.  MSR and VDT Accrued Revenue in Accounts 440-445</t>
  </si>
  <si>
    <t>of Total</t>
  </si>
  <si>
    <t>All labor related to the 2011 Windstorm restoration is assumed to be overtime and premiums.</t>
  </si>
  <si>
    <t xml:space="preserve">  5.  Gas Department (a)                                                   20%</t>
  </si>
  <si>
    <t>Adjustment to remove out-of-period items</t>
  </si>
  <si>
    <t>Adjustment to Remove Out-of-Period Items</t>
  </si>
  <si>
    <t>To eliminate rate mechanism revenue accruals</t>
  </si>
  <si>
    <t>To Eliminate Rate Mechanism Revenue Accruals</t>
  </si>
  <si>
    <t>Inventories (c)</t>
  </si>
  <si>
    <t>Plans (d)</t>
  </si>
  <si>
    <t>Jurisdictional</t>
  </si>
  <si>
    <t xml:space="preserve">       2012 Mercer Study</t>
  </si>
  <si>
    <t xml:space="preserve">       FAC Roll-In (a)</t>
  </si>
  <si>
    <t xml:space="preserve">(a) FAC roll-in pursuant to Commission's Order dated May 31, 2011 in Case No. 2010-00493. </t>
  </si>
  <si>
    <t>Base Rates (a)</t>
  </si>
  <si>
    <t>Environmental Surcharge (b)</t>
  </si>
  <si>
    <t>E(m) (a)</t>
  </si>
  <si>
    <t xml:space="preserve">  (a)  ES Form 1.10</t>
  </si>
  <si>
    <t>Adjustment to eliminate advertising expenses pursuant to Commission Rule 807 KAR 5:016</t>
  </si>
  <si>
    <t>(a) Percentages taken from Reference Schedule 1.10.</t>
  </si>
  <si>
    <t>SUPPORT FOR PER BOOKS INTEREST CALCULATION</t>
  </si>
  <si>
    <t>Total Interest per books (a)</t>
  </si>
  <si>
    <t>Less: Customer Deposits Interest</t>
  </si>
  <si>
    <t>Less: Other Tax Deficiences Interest</t>
  </si>
  <si>
    <t>Less: Interest on DSM Recovery</t>
  </si>
  <si>
    <t>Total Interest per books excluding other interest</t>
  </si>
  <si>
    <t>Electric and Gas Allocation Percent (b)</t>
  </si>
  <si>
    <t>Interest per books</t>
  </si>
  <si>
    <t>ECR Allocation Percent (b)</t>
  </si>
  <si>
    <t>ECR Interest per books</t>
  </si>
  <si>
    <t>Interest per books excluding ECR interest</t>
  </si>
  <si>
    <t>(a) Financial Report page 12</t>
  </si>
  <si>
    <t>March 31, 2012</t>
  </si>
  <si>
    <t>March 31, 2011</t>
  </si>
  <si>
    <t>For the Twelve Months Ended March 31, 2012</t>
  </si>
  <si>
    <t>Sponsoring Witness:</t>
  </si>
  <si>
    <t>Blake</t>
  </si>
  <si>
    <t>Exhibit 7</t>
  </si>
  <si>
    <t>Bellar</t>
  </si>
  <si>
    <t>Conroy</t>
  </si>
  <si>
    <t>Scott</t>
  </si>
  <si>
    <t>Arbough</t>
  </si>
  <si>
    <t>(b) 2008, 2009, and 2011 expenses do not include 2008 Wind storm, 2009 Winter storm,</t>
  </si>
  <si>
    <t>TME Mar 2012</t>
  </si>
  <si>
    <t>2012</t>
  </si>
  <si>
    <t>Gas (a)</t>
  </si>
  <si>
    <t>(a) 2012 expense is for 12 months ended March 31, 2012.</t>
  </si>
  <si>
    <t xml:space="preserve">                 January 2012 would be reflected in March 2012.</t>
  </si>
  <si>
    <t>1.00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</si>
  <si>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</si>
  <si>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</si>
  <si>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</si>
  <si>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</si>
  <si>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</si>
  <si>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</si>
  <si>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</si>
  <si>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</si>
  <si>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</si>
  <si>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</si>
  <si>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</si>
  <si>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</si>
  <si>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</si>
  <si>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</si>
  <si>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</si>
  <si>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1.18</t>
  </si>
  <si>
    <t>1.19</t>
  </si>
  <si>
    <t>1.20</t>
  </si>
  <si>
    <t>1.21</t>
  </si>
  <si>
    <t>1.16</t>
  </si>
  <si>
    <t>1.17</t>
  </si>
  <si>
    <t>Recommended Rate of Return on Common Equity</t>
  </si>
  <si>
    <t>Embedded cost as of March 31, 2012</t>
  </si>
  <si>
    <t>'05 and '06 Plans</t>
  </si>
  <si>
    <t>(3 - 4)</t>
  </si>
  <si>
    <t>(2 - 5)</t>
  </si>
  <si>
    <t>(5 + 6 + 7)</t>
  </si>
  <si>
    <t>1.22</t>
  </si>
  <si>
    <t>1.  MISO Exit Fee Regulatory Asset at March 31, 2012</t>
  </si>
  <si>
    <t>2.  Cumulative MISO Exit Fee Refund Regulatory Liability at March 31, 2012</t>
  </si>
  <si>
    <t xml:space="preserve">     at December 31, 2012 (Line 3 - Line 4 - Line 5)</t>
  </si>
  <si>
    <t>4.  Less Amortization accrual for post test year (April 2012 - December 2012)</t>
  </si>
  <si>
    <t>5.  Less Regulatory Liability accrual for post test year (April 2012 - December 2012)</t>
  </si>
  <si>
    <t>7.  Amortization period in years</t>
  </si>
  <si>
    <t>8.  Amortization per year</t>
  </si>
  <si>
    <t>9. Less Amortization recorded in test year (April 2011 - March 2012)</t>
  </si>
  <si>
    <t>10. Adjustment to Test Year Amortization</t>
  </si>
  <si>
    <t>Adjustment for MISO exit regulatory asset / liability</t>
  </si>
  <si>
    <t>Adjustment for Swap Termination Regulatory Asset</t>
  </si>
  <si>
    <t>1.  Swap Termination Regulatory Asset at March 31, 2012</t>
  </si>
  <si>
    <t>2.  Less Amortization accrual for post test year (April 2012 - December 2012)</t>
  </si>
  <si>
    <t>4.  Remaining period to amortize  (24.75 years - 2.42 years)</t>
  </si>
  <si>
    <t>3.  Net Swap Termination Regulatory Asset at December 31, 2012</t>
  </si>
  <si>
    <t>8.  Electric Adjustment</t>
  </si>
  <si>
    <t>9.  Gas Adjustment</t>
  </si>
  <si>
    <t>7.  Adjustment to Test Year Amortization</t>
  </si>
  <si>
    <t>10.  Adjustment to Test Year Amortization</t>
  </si>
  <si>
    <t>1.23</t>
  </si>
  <si>
    <t xml:space="preserve">Adjustment for Swap Termination regulatory asset </t>
  </si>
  <si>
    <t>Adjustment for 2011 Windstorm Regulatory Asset</t>
  </si>
  <si>
    <t>1.  2011 Windstorm Regulatory Asset</t>
  </si>
  <si>
    <t>Adjustment for Swap termination regulatory asset</t>
  </si>
  <si>
    <t>1.24</t>
  </si>
  <si>
    <t>Adjustment for 2011 Windstorm regulatory asset</t>
  </si>
  <si>
    <t xml:space="preserve">Adjustment for 2011 Windstorm regulatory asset </t>
  </si>
  <si>
    <t>Adjustment for General Management Audit Regulatory Asset</t>
  </si>
  <si>
    <t>1.  General Management Audit Regulatory Asset</t>
  </si>
  <si>
    <t>2.  Property Insurance renewal premium for 2012/2013</t>
  </si>
  <si>
    <t>Adjustment to reflect increase in property insurance expense</t>
  </si>
  <si>
    <t>1.25</t>
  </si>
  <si>
    <t xml:space="preserve">Adjustment for General Management audit regulatory asset </t>
  </si>
  <si>
    <t>1.26</t>
  </si>
  <si>
    <t>Adjustment for Transfer of Independent Transmission Operator Functions</t>
  </si>
  <si>
    <t>1.  SPP ITO Expenses in test year</t>
  </si>
  <si>
    <t>2.  TranServ ITO Expenses (12 months)</t>
  </si>
  <si>
    <t>Adjustment for transfer of Independent Transmission Operator functions</t>
  </si>
  <si>
    <t>1.27</t>
  </si>
  <si>
    <t>1. Total Estimated cost of 2012 Rate Case</t>
  </si>
  <si>
    <t>4. 2012 Rate Case amortization included in test year</t>
  </si>
  <si>
    <t>5. Net Adjustment for 2012 Rate Case expenses</t>
  </si>
  <si>
    <t>6. 2009 Rate Case Annual amortization</t>
  </si>
  <si>
    <t>7. 2009 Rate Case Annual amortization included in test year</t>
  </si>
  <si>
    <t>8. Net Adjustment for 2009 Rate Case expenses</t>
  </si>
  <si>
    <t>9. 2008 Rate Case Annual amortization</t>
  </si>
  <si>
    <t>10. 2008 Rate Case Annual amortization included in test year</t>
  </si>
  <si>
    <t>11. Net Adjustment for 2008 Rate Case expenses</t>
  </si>
  <si>
    <t>12. Total Adjustment (Line 5 + Line 8 + Line 11)</t>
  </si>
  <si>
    <t>Adjustment for rate case expense amortization</t>
  </si>
  <si>
    <t>1.28</t>
  </si>
  <si>
    <t xml:space="preserve"> 2005-2006 Environmental</t>
  </si>
  <si>
    <t>Net Revenues</t>
  </si>
  <si>
    <t>Total Expenses</t>
  </si>
  <si>
    <t>Net Expenses</t>
  </si>
  <si>
    <t xml:space="preserve">Expense  </t>
  </si>
  <si>
    <t>O&amp;M Expenses</t>
  </si>
  <si>
    <t>Jurisdictional Revenues (c)</t>
  </si>
  <si>
    <t>Compliance Plans (d)</t>
  </si>
  <si>
    <t>2005 Plan</t>
  </si>
  <si>
    <t>2006 Plan</t>
  </si>
  <si>
    <t>(Col. 1 + 2 - 3)</t>
  </si>
  <si>
    <t>(Col. 5 - 6)</t>
  </si>
  <si>
    <t xml:space="preserve">  (a)  ES Form 1.10, Line 13 for Apr-Nov; Line 17 for Dec, Line 13 for Jan-Mar expense month filings.</t>
  </si>
  <si>
    <t xml:space="preserve">  (b)  ES Form 3.00, Column 5 for Apr-Nov, Column 6 for Dec-Mar expense month filings.</t>
  </si>
  <si>
    <t xml:space="preserve">  (d)  ES Form 2.00, Total Pollution Control Operations Expense and Net Beneficial Reuse Operations Expense </t>
  </si>
  <si>
    <t xml:space="preserve">          less Proceeds from By-Product and Allowance Sales.  </t>
  </si>
  <si>
    <t>1.29</t>
  </si>
  <si>
    <t xml:space="preserve"> '05-'06 Environmental</t>
  </si>
  <si>
    <t>Net</t>
  </si>
  <si>
    <t>E(m)</t>
  </si>
  <si>
    <t>(Col. 1 - 2)</t>
  </si>
  <si>
    <t>(Col. 3 / 4)</t>
  </si>
  <si>
    <t>(5)</t>
  </si>
  <si>
    <t>(Page 2, Col. 5)</t>
  </si>
  <si>
    <t>*NOTE: Reflects 1.62% of total labor and labor related costs from</t>
  </si>
  <si>
    <t>1.30</t>
  </si>
  <si>
    <t>Adjustment to Remove Gas Supply Uncollectible Accounts Expense</t>
  </si>
  <si>
    <t>Adjustment to remove gas supply uncollectible accounts expense</t>
  </si>
  <si>
    <t>1.31</t>
  </si>
  <si>
    <t xml:space="preserve">                 Page 2 of 3</t>
  </si>
  <si>
    <t xml:space="preserve">                 Page 3 of 3</t>
  </si>
  <si>
    <t xml:space="preserve">                 Page 1 of 3</t>
  </si>
  <si>
    <t>6.     Removal of expired federal credit</t>
  </si>
  <si>
    <t xml:space="preserve">  (c)  ES Form 1.10 (Apr-11 through Dec-11); ES Form 3.00 (Jan-12 through Mar-12)</t>
  </si>
  <si>
    <t>Revenues (b)</t>
  </si>
  <si>
    <t>R(m) (c)</t>
  </si>
  <si>
    <t>Expenses (c)</t>
  </si>
  <si>
    <t>Expense (a)</t>
  </si>
  <si>
    <t>1.  Rate Switch - to RS</t>
  </si>
  <si>
    <t xml:space="preserve">  1. Annualized direct depreciation expense under proposed rates</t>
  </si>
  <si>
    <t xml:space="preserve">  2. Annualized depreciation for 2005 and 2006 ECR plans to be eliminated</t>
  </si>
  <si>
    <t>(1) Common plant depreciation was allocated 71% to electric and 29% to gas pursuant to common utility study.</t>
  </si>
  <si>
    <t>(2) Reflects the elimination of the 2005 and 2006 ECR Plans.  Only reflects ECR plan amounts which will continue</t>
  </si>
  <si>
    <t xml:space="preserve">      after effective date of new base rates in this proceeding.</t>
  </si>
  <si>
    <t>Labor for 12 months ended March 31, 2012:</t>
  </si>
  <si>
    <t>Less: labor related to Regulatory Asset (J242, 244, 222, 225 &amp; 226 included)</t>
  </si>
  <si>
    <t>Annualized base labor at March 31, 2012:</t>
  </si>
  <si>
    <t>the 12 months ended March 31, 2012.</t>
  </si>
  <si>
    <t>Less:  Wage Increase Applied to Labor Related to 2011 Windstorm Restoration Regulatory Asset  (522586.00) x 2.5%</t>
  </si>
  <si>
    <t>Less: Storm Labor Related to 2011 Windstorm Restoration Regulatory Asset (b)</t>
  </si>
  <si>
    <t>Total 401(k) Company Contribution for 12 months ended 03/31/2012</t>
  </si>
  <si>
    <t>To Adjust Off-System Sales Margins</t>
  </si>
  <si>
    <t>To adjust Off-system sales margins</t>
  </si>
  <si>
    <t xml:space="preserve">  3.  Off-System Sales Margins in test year</t>
  </si>
  <si>
    <t xml:space="preserve">  4.  Off-System Sales Margins adjustment (Line 2 - Line 3)</t>
  </si>
  <si>
    <t xml:space="preserve">  2.  Annualized Off-System Sales Margins for 2012 (Line 1 x 4)</t>
  </si>
  <si>
    <t>(Exhibit 3 Line 19)</t>
  </si>
  <si>
    <t>Electric (Including 71% Common)</t>
  </si>
  <si>
    <t>Gas (Including 29% Common)</t>
  </si>
  <si>
    <t>Department and 29% to the Gas Department.</t>
  </si>
  <si>
    <t>Reproduction Cost from Exhibit 6 plus Common utility plant and the reserve for depreciation are allocated 71% to the Electric</t>
  </si>
  <si>
    <t xml:space="preserve">     (Line 1 + Line 2)</t>
  </si>
  <si>
    <t>3.  Net MISO Exit Fee Regulatory Asset / (Liability) at March 31, 2012</t>
  </si>
  <si>
    <t>6.  Net MISO Exit Fee Regulatory Asset / (Liability) (before amortization)</t>
  </si>
  <si>
    <t>Supporting Schedule-Exhibit 3, Line 19, Column 5</t>
  </si>
  <si>
    <t>Total Cost of Capital (Exhibit 2, Col 9)</t>
  </si>
  <si>
    <t>Adjusted Electric Capitalization (Exhibit 2, Col 6)</t>
  </si>
  <si>
    <t>Adjusted Gas Capitalization (Exhibit 2, Col 6)</t>
  </si>
  <si>
    <t>(Exhibit 2 Col 6)</t>
  </si>
  <si>
    <t>(b) Supporting Schedule-Exhibit 3, Page 1, Line 20</t>
  </si>
  <si>
    <t>3-31-2012</t>
  </si>
  <si>
    <t>4.  Less Amortization recorded in test year</t>
  </si>
  <si>
    <t>5. Adjustment to Test Year Amortization</t>
  </si>
  <si>
    <t>6.  Less Amortization recorded in test year (April 2011 - March 2012)</t>
  </si>
  <si>
    <t>2.  Rate Switch - to GS</t>
  </si>
  <si>
    <t>3.  Rate Switch - to PS</t>
  </si>
  <si>
    <t>4.  Rate Switch - to CTODS</t>
  </si>
  <si>
    <t>5.  Rate Switch - to CTODP</t>
  </si>
  <si>
    <t>6.  Rate Switch - to ITODS</t>
  </si>
  <si>
    <t>7.  Rate Switch - to ITODP</t>
  </si>
  <si>
    <t>8.  Rate Switch - to LE</t>
  </si>
  <si>
    <t>9.  Rate switch - to Rate FT</t>
  </si>
  <si>
    <t xml:space="preserve">Adjustment to reflect changes to FAC calculations </t>
  </si>
  <si>
    <t>1.32</t>
  </si>
  <si>
    <t>Adjustment to reflect changes to FAC calculations</t>
  </si>
  <si>
    <t>Adjustment to Reflect Changes to FAC Calculations</t>
  </si>
  <si>
    <t>2. Bad Debt at .3800%</t>
  </si>
  <si>
    <t>Income Taxes - Exhibit 1, Reference Schedule 1.29</t>
  </si>
  <si>
    <t>Adjustment to reflect annualized depreciation expenses (Reference Schedule 1.12).</t>
  </si>
  <si>
    <t xml:space="preserve">  3. Common plant allocated annualized depreciation expense (1)</t>
  </si>
  <si>
    <t xml:space="preserve">  4. Total annualized depreciation expense</t>
  </si>
  <si>
    <t xml:space="preserve">  5. Depreciation expense per books for test year</t>
  </si>
  <si>
    <t xml:space="preserve">  6. Depreciation expense for asset retirement costs (ARO)</t>
  </si>
  <si>
    <t xml:space="preserve">  7. Depreciation for environmental cost recovery (ECR) plans (2)</t>
  </si>
  <si>
    <t xml:space="preserve">  8. Depreciation expense per books excluding ARO and ECR</t>
  </si>
  <si>
    <t xml:space="preserve">      (Line 4 - Line 8)</t>
  </si>
  <si>
    <t xml:space="preserve">  9. Total Adjustment to reflect annualized depreciation expense</t>
  </si>
  <si>
    <t>Supporting Schedule-Exhibit 4, Column 4</t>
  </si>
  <si>
    <t>Supporting Schedule-Exhibit 4, Column 6</t>
  </si>
  <si>
    <t>(c) - Exhibit 1, Line 37, Column 4</t>
  </si>
  <si>
    <t>(c) - Exhibit 1, Line 37, Column 7</t>
  </si>
  <si>
    <t>To Adjust for Customer Rate Switching and Bill Adjustments</t>
  </si>
  <si>
    <t>To adjust for customer rate switching and bill adjustments</t>
  </si>
  <si>
    <t>2.  Less: Production tax deduction (6% x 0.4785) (1)</t>
  </si>
  <si>
    <t>4.  Less: Production tax deduction (4.31% of Line 3)</t>
  </si>
  <si>
    <t>1.  Out of Period adjustments:</t>
  </si>
  <si>
    <t>2.  Air Emmission Fee payment</t>
  </si>
  <si>
    <t>3.  Reclassify Gas Charges to Electric</t>
  </si>
  <si>
    <t>4.  Injuries and Damages</t>
  </si>
  <si>
    <t>5.  Prepaid Insurance</t>
  </si>
  <si>
    <t>6.  Transportation Management System</t>
  </si>
  <si>
    <t>7.  Reclassify from Capital to O&amp;M</t>
  </si>
  <si>
    <t>8.  Other</t>
  </si>
  <si>
    <t>9.  Total Adjustment</t>
  </si>
  <si>
    <t>Wage increase applied to LG&amp;E union overtime annualized (04/01/11 -11/13/2011 OT labor x 2.5%)</t>
  </si>
  <si>
    <t>Wage increase applied to LG&amp;E non-exempt overtime annualized (04/01/11 - 02/19/12 OT Labor x 3.0%)</t>
  </si>
  <si>
    <t>Wage increase applied to Servco non-exempt overtime annualized (04/01/11 - 02/19/12 OT Labor x 3.0%)</t>
  </si>
  <si>
    <t>Wage increase applied to KU union and hourly overtime annualized (04/01/11 - 07/16/11 OT Labor x 3.0%)</t>
  </si>
  <si>
    <t>Wage increase applied to KU non-exempt overtime annualized (04/01/11 - 02/25/12 OT Labor x 3.0%)</t>
  </si>
  <si>
    <t xml:space="preserve">  1.  Off-System Sales Margins for 2012 (January - March 2012)</t>
  </si>
  <si>
    <t>State</t>
  </si>
  <si>
    <t>Federal</t>
  </si>
  <si>
    <t>1.  Total Gas Uncollectible Expense for the test year (Account 904)</t>
  </si>
  <si>
    <t>2.  Percent Gas Supply Cost Revenue to Total Gas Billed Revenue</t>
  </si>
  <si>
    <t>3.  Gas Supply Uncollectible Expense for the test year (Line 1 x Line 2)</t>
  </si>
  <si>
    <t>4.  Adjustment to Remove Gas Supply Uncollectible Expense</t>
  </si>
  <si>
    <t>and purchase power expense, transmission costs, environmental costs, and cost of losses.</t>
  </si>
  <si>
    <t>NOTE: Off-System sales margins defined as Total OSS revenues less assigned fuel</t>
  </si>
  <si>
    <t>Using the 1/8th formula and change in Operation and Maintenance Expenses less GSC expense adjustments ((Exhibit 1 Col 6, Line 32 - Line 15 - Line 29) / 8) .</t>
  </si>
  <si>
    <t>Using the 1/8th formula and change in Operation and Maintenance Expenses adjusted for FAC roll-in and ECR expense adjustments ((Exhibit 1 Col 3, Line 32 - Line 7 - Line 15 - Ref Sch 1.02 Line 2) / 8).</t>
  </si>
  <si>
    <t>To eliminate net brokered and financial swap revenues and expenses</t>
  </si>
  <si>
    <t>To eliminate DSM revenues and expenses</t>
  </si>
  <si>
    <t>Adjustment for Pension, Post Retirement and Post Employment Costs</t>
  </si>
  <si>
    <t>Adjustment to Reflect Increase in Property Insurance Expense</t>
  </si>
  <si>
    <t>Adjustment for MISO Exit Regulatory Asset / Liability</t>
  </si>
  <si>
    <t>Adjustment for Rate Case Expense Amortization</t>
  </si>
  <si>
    <t xml:space="preserve">  6.  Total Accrued Revenues</t>
  </si>
  <si>
    <t xml:space="preserve">  7.  Total Adjustment</t>
  </si>
  <si>
    <t>Adjustment for tax basis depreciation reduction</t>
  </si>
  <si>
    <t>Adjustment for amortization of investment tax credit</t>
  </si>
  <si>
    <t>1.33</t>
  </si>
  <si>
    <t>1.34</t>
  </si>
  <si>
    <t xml:space="preserve">Adjustment for Tax Basis Depreciation Reduction </t>
  </si>
  <si>
    <t xml:space="preserve">  1.  Permanent difference due to loss of depreciable tax basis</t>
  </si>
  <si>
    <t>Adjustment for Amortization of Investment Tax Credit (ITC)</t>
  </si>
  <si>
    <t xml:space="preserve">  2.  Permanent diff. due to loss of depreciable tax basis in test year</t>
  </si>
  <si>
    <t xml:space="preserve">  1.  Normalized amortization of ITC  </t>
  </si>
  <si>
    <t xml:space="preserve">  2.  ITC amortization in the test year</t>
  </si>
  <si>
    <t xml:space="preserve">  3.  Total Adjustment (Line 1 - Line 2)</t>
  </si>
  <si>
    <t>10. Bill Adjustments</t>
  </si>
  <si>
    <t>11. Special Contract Cancellation</t>
  </si>
  <si>
    <t>12. Total Adjustment</t>
  </si>
  <si>
    <t>Total Labor (Sum of Lines 2 - 4)</t>
  </si>
  <si>
    <t>Total Annualized Base Labor (Sum of Lines 8 - 16)</t>
  </si>
  <si>
    <t>Total Annualized Labor (Sum of Lines 17 - 25)</t>
  </si>
  <si>
    <t>Operating Labor for 12 months ended March 31, 2012 (Line 5)</t>
  </si>
  <si>
    <t>Labor Adjustment Total (Line 28 - Line 27)</t>
  </si>
  <si>
    <t>Operating Labor increase (Page 2 Line 29)</t>
  </si>
  <si>
    <t>Total Labor (Page 2 Line 5)</t>
  </si>
  <si>
    <t>Total TIA for 12 months ended 03/31/2012</t>
  </si>
  <si>
    <t>Direct total payroll for 12 months ended 03/31/12 (Line 1 + Line 2)</t>
  </si>
  <si>
    <r>
      <t xml:space="preserve">401(k) Company Contribution as a percent of payroll (Line 4 </t>
    </r>
    <r>
      <rPr>
        <sz val="12"/>
        <rFont val="Arial"/>
        <family val="2"/>
      </rPr>
      <t>÷</t>
    </r>
    <r>
      <rPr>
        <sz val="12"/>
        <rFont val="Times New Roman"/>
        <family val="1"/>
      </rPr>
      <t xml:space="preserve"> Line 3)</t>
    </r>
  </si>
  <si>
    <t>401(k) Company Contribution operating increase (Line 5 x Line 6)</t>
  </si>
  <si>
    <t xml:space="preserve">  (c)  Conroy Exhibit P4, Page 2, Lines 18 and 19</t>
  </si>
  <si>
    <t xml:space="preserve">  (b)  Conroy Exhibit P4, Page 2, Line 18</t>
  </si>
  <si>
    <t>Charnas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</si>
</sst>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0%"/>
    <numFmt numFmtId="166" formatCode="#,##0.0000_);\(#,##0.000\)"/>
    <numFmt numFmtId="167" formatCode="_(* #,##0_);_(* \(#,##0\);_(* &quot;-&quot;??_);_(@_)"/>
    <numFmt numFmtId="168" formatCode="#,##0.0000_);\(#,##0.0000\)"/>
    <numFmt numFmtId="169" formatCode="_(&quot;$&quot;* #,##0_);_(&quot;$&quot;* \(#,##0\);_(&quot;$&quot;* &quot;-&quot;??_);_(@_)"/>
    <numFmt numFmtId="170" formatCode="0.0%"/>
    <numFmt numFmtId="171" formatCode="_(* #,##0.0000_);_(* \(#,##0.0000\);_(* &quot;-&quot;??_);_(@_)"/>
    <numFmt numFmtId="172" formatCode="_(* #,##0.000000_);_(* \(#,##0.000000\);_(* &quot;-&quot;??_);_(@_)"/>
    <numFmt numFmtId="173" formatCode="_(&quot;$&quot;* #,##0.0000_);_(&quot;$&quot;* \(#,##0.0000\);_(&quot;$&quot;* &quot;-&quot;??_);_(@_)"/>
    <numFmt numFmtId="174" formatCode="\1."/>
    <numFmt numFmtId="175" formatCode="0."/>
    <numFmt numFmtId="176" formatCode="0.00;[Red]0.00"/>
    <numFmt numFmtId="177" formatCode="#,##0.00000000_);\(#,##0.00000000\)"/>
    <numFmt numFmtId="178" formatCode="_(* #,##0.00000000_);_(* \(#,##0.00000000\);_(* &quot;-&quot;??_);_(@_)"/>
    <numFmt numFmtId="179" formatCode="_(&quot;$&quot;* #,##0.000000_);_(&quot;$&quot;* \(#,##0.000000\);_(&quot;$&quot;* &quot;-&quot;??_);_(@_)"/>
    <numFmt numFmtId="180" formatCode="0.000%"/>
    <numFmt numFmtId="181" formatCode="#,##0.00000_);\(#,##0.00000\)"/>
    <numFmt numFmtId="182" formatCode="[$-409]mmm\-yy;@"/>
    <numFmt numFmtId="183" formatCode="[$-409]mmmm\-yy;@"/>
    <numFmt numFmtId="184" formatCode="#,##0.000000_);\(#,##0.000000\)"/>
    <numFmt numFmtId="185" formatCode="_([$€-2]* #,##0.00_);_([$€-2]* \(#,##0.00\);_([$€-2]* &quot;-&quot;??_)"/>
    <numFmt numFmtId="186" formatCode="&quot;$&quot;#,##0\ ;\(&quot;$&quot;#,##0\)"/>
    <numFmt numFmtId="187" formatCode="."/>
    <numFmt numFmtId="188" formatCode="_(* #,##0.00000_);_(* \(#,##0.00000\);_(* &quot;-&quot;??_);_(@_)"/>
    <numFmt numFmtId="189" formatCode="0.0000"/>
    <numFmt numFmtId="190" formatCode="0\ 00\ 000\ 000"/>
    <numFmt numFmtId="191" formatCode="0.00000%"/>
    <numFmt numFmtId="192" formatCode="#,##0.0000000_);\(#,##0.0000000\)"/>
    <numFmt numFmtId="193" formatCode="0.000000%"/>
  </numFmts>
  <fonts count="12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Helv"/>
    </font>
    <font>
      <sz val="8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indexed="63"/>
      <name val="Times New Roman"/>
      <family val="1"/>
    </font>
    <font>
      <sz val="8"/>
      <name val="Courier"/>
      <family val="3"/>
    </font>
    <font>
      <sz val="9"/>
      <name val="Times New Roman"/>
      <family val="1"/>
    </font>
    <font>
      <sz val="12"/>
      <color indexed="9"/>
      <name val="Times New Roman"/>
      <family val="1"/>
    </font>
    <font>
      <u/>
      <sz val="10"/>
      <name val="Courier"/>
      <family val="3"/>
    </font>
    <font>
      <b/>
      <sz val="18"/>
      <name val="Arial"/>
      <family val="2"/>
    </font>
    <font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color indexed="56"/>
      <name val="Times New Roman"/>
      <family val="1"/>
    </font>
    <font>
      <sz val="8"/>
      <name val="Courier"/>
      <family val="3"/>
    </font>
    <font>
      <b/>
      <sz val="12"/>
      <color indexed="10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30"/>
      <color indexed="10"/>
      <name val="Times New Roman"/>
      <family val="1"/>
    </font>
    <font>
      <sz val="11"/>
      <color rgb="FF1F497D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17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  <font>
      <sz val="11"/>
      <name val="Times New Roman"/>
      <family val="1"/>
    </font>
    <font>
      <sz val="12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49"/>
      </patternFill>
    </fill>
    <fill>
      <patternFill patternType="lightUp">
        <fgColor indexed="48"/>
        <bgColor indexed="19"/>
      </patternFill>
    </fill>
    <fill>
      <patternFill patternType="solid">
        <fgColor indexed="53"/>
      </patternFill>
    </fill>
    <fill>
      <patternFill patternType="solid">
        <fgColor indexed="54"/>
        <bgColor indexed="64"/>
      </patternFill>
    </fill>
    <fill>
      <patternFill patternType="solid">
        <fgColor indexed="16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105">
    <xf numFmtId="37" fontId="0" fillId="0" borderId="0"/>
    <xf numFmtId="167" fontId="51" fillId="0" borderId="1"/>
    <xf numFmtId="0" fontId="36" fillId="5" borderId="0">
      <alignment horizontal="left"/>
    </xf>
    <xf numFmtId="0" fontId="37" fillId="5" borderId="0">
      <alignment horizontal="right"/>
    </xf>
    <xf numFmtId="0" fontId="38" fillId="4" borderId="0">
      <alignment horizontal="center"/>
    </xf>
    <xf numFmtId="0" fontId="37" fillId="5" borderId="0">
      <alignment horizontal="right"/>
    </xf>
    <xf numFmtId="0" fontId="39" fillId="4" borderId="0">
      <alignment horizontal="left"/>
    </xf>
    <xf numFmtId="43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" fillId="0" borderId="0" applyProtection="0"/>
    <xf numFmtId="0" fontId="17" fillId="0" borderId="0" applyProtection="0"/>
    <xf numFmtId="0" fontId="18" fillId="0" borderId="0" applyProtection="0"/>
    <xf numFmtId="0" fontId="15" fillId="0" borderId="0" applyProtection="0"/>
    <xf numFmtId="0" fontId="4" fillId="0" borderId="0" applyProtection="0"/>
    <xf numFmtId="0" fontId="3" fillId="0" borderId="0" applyProtection="0"/>
    <xf numFmtId="0" fontId="19" fillId="0" borderId="0" applyProtection="0"/>
    <xf numFmtId="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5" borderId="0">
      <alignment horizontal="left"/>
    </xf>
    <xf numFmtId="0" fontId="40" fillId="4" borderId="0">
      <alignment horizontal="left"/>
    </xf>
    <xf numFmtId="0" fontId="4" fillId="0" borderId="0"/>
    <xf numFmtId="0" fontId="16" fillId="0" borderId="0"/>
    <xf numFmtId="0" fontId="16" fillId="0" borderId="0"/>
    <xf numFmtId="37" fontId="14" fillId="0" borderId="0"/>
    <xf numFmtId="0" fontId="4" fillId="0" borderId="0"/>
    <xf numFmtId="37" fontId="14" fillId="0" borderId="0"/>
    <xf numFmtId="0" fontId="4" fillId="0" borderId="0"/>
    <xf numFmtId="0" fontId="15" fillId="0" borderId="0"/>
    <xf numFmtId="0" fontId="23" fillId="0" borderId="0"/>
    <xf numFmtId="39" fontId="12" fillId="0" borderId="0"/>
    <xf numFmtId="37" fontId="14" fillId="0" borderId="0"/>
    <xf numFmtId="37" fontId="14" fillId="0" borderId="0"/>
    <xf numFmtId="4" fontId="41" fillId="6" borderId="0">
      <alignment horizontal="right"/>
    </xf>
    <xf numFmtId="0" fontId="42" fillId="6" borderId="0">
      <alignment horizontal="center" vertical="center"/>
    </xf>
    <xf numFmtId="0" fontId="40" fillId="6" borderId="2"/>
    <xf numFmtId="0" fontId="42" fillId="6" borderId="0" applyBorder="0">
      <alignment horizontal="centerContinuous"/>
    </xf>
    <xf numFmtId="0" fontId="43" fillId="6" borderId="0" applyBorder="0">
      <alignment horizontal="centerContinuous"/>
    </xf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3" fillId="0" borderId="3">
      <alignment horizontal="center"/>
    </xf>
    <xf numFmtId="3" fontId="52" fillId="0" borderId="0" applyFont="0" applyFill="0" applyBorder="0" applyAlignment="0" applyProtection="0"/>
    <xf numFmtId="0" fontId="52" fillId="7" borderId="0" applyNumberFormat="0" applyFont="0" applyBorder="0" applyAlignment="0" applyProtection="0"/>
    <xf numFmtId="0" fontId="40" fillId="3" borderId="0">
      <alignment horizontal="center"/>
    </xf>
    <xf numFmtId="49" fontId="44" fillId="4" borderId="0">
      <alignment horizontal="center"/>
    </xf>
    <xf numFmtId="0" fontId="37" fillId="5" borderId="0">
      <alignment horizontal="center"/>
    </xf>
    <xf numFmtId="0" fontId="37" fillId="5" borderId="0">
      <alignment horizontal="centerContinuous"/>
    </xf>
    <xf numFmtId="0" fontId="45" fillId="4" borderId="0">
      <alignment horizontal="left"/>
    </xf>
    <xf numFmtId="49" fontId="45" fillId="4" borderId="0">
      <alignment horizontal="center"/>
    </xf>
    <xf numFmtId="0" fontId="36" fillId="5" borderId="0">
      <alignment horizontal="left"/>
    </xf>
    <xf numFmtId="49" fontId="45" fillId="4" borderId="0">
      <alignment horizontal="left"/>
    </xf>
    <xf numFmtId="0" fontId="36" fillId="5" borderId="0">
      <alignment horizontal="centerContinuous"/>
    </xf>
    <xf numFmtId="0" fontId="36" fillId="5" borderId="0">
      <alignment horizontal="right"/>
    </xf>
    <xf numFmtId="49" fontId="40" fillId="4" borderId="0">
      <alignment horizontal="left"/>
    </xf>
    <xf numFmtId="0" fontId="37" fillId="5" borderId="0">
      <alignment horizontal="right"/>
    </xf>
    <xf numFmtId="0" fontId="45" fillId="2" borderId="0">
      <alignment horizontal="center"/>
    </xf>
    <xf numFmtId="0" fontId="46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4" applyNumberFormat="0" applyFont="0" applyFill="0" applyAlignment="0" applyProtection="0"/>
    <xf numFmtId="0" fontId="47" fillId="4" borderId="0">
      <alignment horizont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44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9" borderId="0"/>
    <xf numFmtId="190" fontId="59" fillId="0" borderId="2" applyBorder="0">
      <alignment horizontal="center" vertical="center"/>
    </xf>
    <xf numFmtId="0" fontId="57" fillId="10" borderId="9" applyNumberFormat="0" applyFont="0" applyAlignment="0">
      <protection locked="0"/>
    </xf>
    <xf numFmtId="4" fontId="3" fillId="11" borderId="10" applyNumberFormat="0" applyProtection="0">
      <alignment vertical="center"/>
    </xf>
    <xf numFmtId="4" fontId="60" fillId="11" borderId="11" applyNumberFormat="0" applyProtection="0">
      <alignment vertical="center"/>
    </xf>
    <xf numFmtId="4" fontId="3" fillId="11" borderId="10" applyNumberFormat="0" applyProtection="0">
      <alignment horizontal="left" vertical="center" indent="1"/>
    </xf>
    <xf numFmtId="0" fontId="3" fillId="12" borderId="11" applyNumberFormat="0" applyProtection="0">
      <alignment horizontal="left" vertical="top" indent="1"/>
    </xf>
    <xf numFmtId="4" fontId="3" fillId="13" borderId="0" applyNumberFormat="0" applyProtection="0">
      <alignment horizontal="left" vertical="center" indent="1"/>
    </xf>
    <xf numFmtId="4" fontId="4" fillId="11" borderId="11" applyNumberFormat="0" applyProtection="0">
      <alignment horizontal="right" vertical="center"/>
    </xf>
    <xf numFmtId="4" fontId="61" fillId="14" borderId="11" applyNumberFormat="0" applyProtection="0">
      <alignment horizontal="right" vertical="center"/>
    </xf>
    <xf numFmtId="4" fontId="61" fillId="15" borderId="11" applyNumberFormat="0" applyProtection="0">
      <alignment horizontal="right" vertical="center"/>
    </xf>
    <xf numFmtId="4" fontId="4" fillId="3" borderId="11" applyNumberFormat="0" applyProtection="0">
      <alignment horizontal="right" vertical="center"/>
    </xf>
    <xf numFmtId="4" fontId="4" fillId="16" borderId="11" applyNumberFormat="0" applyProtection="0">
      <alignment horizontal="right" vertical="center"/>
    </xf>
    <xf numFmtId="4" fontId="4" fillId="17" borderId="11" applyNumberFormat="0" applyProtection="0">
      <alignment horizontal="right" vertical="center"/>
    </xf>
    <xf numFmtId="4" fontId="61" fillId="18" borderId="11" applyNumberFormat="0" applyProtection="0">
      <alignment horizontal="right" vertical="center"/>
    </xf>
    <xf numFmtId="4" fontId="61" fillId="19" borderId="11" applyNumberFormat="0" applyProtection="0">
      <alignment horizontal="right" vertical="center"/>
    </xf>
    <xf numFmtId="4" fontId="4" fillId="20" borderId="11" applyNumberFormat="0" applyProtection="0">
      <alignment horizontal="right" vertical="center"/>
    </xf>
    <xf numFmtId="4" fontId="3" fillId="21" borderId="0" applyNumberFormat="0" applyProtection="0">
      <alignment horizontal="left" vertical="center" indent="1"/>
    </xf>
    <xf numFmtId="4" fontId="4" fillId="22" borderId="0" applyNumberFormat="0" applyProtection="0">
      <alignment horizontal="left" vertical="center" indent="1"/>
    </xf>
    <xf numFmtId="4" fontId="62" fillId="23" borderId="0" applyNumberFormat="0" applyProtection="0">
      <alignment horizontal="left" vertical="center" indent="1"/>
    </xf>
    <xf numFmtId="4" fontId="4" fillId="22" borderId="10" applyNumberFormat="0" applyProtection="0">
      <alignment horizontal="right" vertical="center"/>
    </xf>
    <xf numFmtId="4" fontId="4" fillId="22" borderId="0" applyNumberFormat="0" applyProtection="0">
      <alignment horizontal="left" vertical="center" indent="1"/>
    </xf>
    <xf numFmtId="4" fontId="4" fillId="12" borderId="0" applyNumberFormat="0" applyProtection="0">
      <alignment horizontal="left" vertical="center" indent="1"/>
    </xf>
    <xf numFmtId="0" fontId="57" fillId="22" borderId="10" applyNumberFormat="0" applyProtection="0">
      <alignment horizontal="left" vertical="center" indent="1"/>
    </xf>
    <xf numFmtId="0" fontId="57" fillId="22" borderId="11" applyNumberFormat="0" applyProtection="0">
      <alignment horizontal="left" vertical="top" indent="1"/>
    </xf>
    <xf numFmtId="0" fontId="57" fillId="22" borderId="10" applyNumberFormat="0" applyProtection="0">
      <alignment horizontal="left" vertical="center" indent="1"/>
    </xf>
    <xf numFmtId="0" fontId="57" fillId="22" borderId="11" applyNumberFormat="0" applyProtection="0">
      <alignment horizontal="left" vertical="top" indent="1"/>
    </xf>
    <xf numFmtId="0" fontId="57" fillId="22" borderId="10" applyNumberFormat="0" applyProtection="0">
      <alignment horizontal="left" vertical="center" indent="1"/>
    </xf>
    <xf numFmtId="0" fontId="57" fillId="22" borderId="11" applyNumberFormat="0" applyProtection="0">
      <alignment horizontal="left" vertical="top" indent="1"/>
    </xf>
    <xf numFmtId="0" fontId="57" fillId="22" borderId="10" applyNumberFormat="0" applyProtection="0">
      <alignment horizontal="left" vertical="center" indent="1"/>
    </xf>
    <xf numFmtId="0" fontId="57" fillId="22" borderId="11" applyNumberFormat="0" applyProtection="0">
      <alignment horizontal="left" vertical="top" indent="1"/>
    </xf>
    <xf numFmtId="4" fontId="41" fillId="8" borderId="11" applyNumberFormat="0" applyProtection="0">
      <alignment vertical="center"/>
    </xf>
    <xf numFmtId="4" fontId="63" fillId="8" borderId="11" applyNumberFormat="0" applyProtection="0">
      <alignment vertical="center"/>
    </xf>
    <xf numFmtId="4" fontId="4" fillId="22" borderId="11" applyNumberFormat="0" applyProtection="0">
      <alignment horizontal="left" vertical="center" indent="1"/>
    </xf>
    <xf numFmtId="0" fontId="4" fillId="22" borderId="11" applyNumberFormat="0" applyProtection="0">
      <alignment horizontal="left" vertical="top" indent="1"/>
    </xf>
    <xf numFmtId="4" fontId="4" fillId="24" borderId="10" applyNumberFormat="0" applyProtection="0">
      <alignment horizontal="right" vertical="center"/>
    </xf>
    <xf numFmtId="4" fontId="3" fillId="24" borderId="10" applyNumberFormat="0" applyProtection="0">
      <alignment horizontal="right" vertical="center"/>
    </xf>
    <xf numFmtId="4" fontId="4" fillId="22" borderId="10" applyNumberFormat="0" applyProtection="0">
      <alignment horizontal="left" vertical="center" indent="1"/>
    </xf>
    <xf numFmtId="0" fontId="4" fillId="22" borderId="10" applyNumberFormat="0" applyProtection="0">
      <alignment horizontal="left" vertical="top" indent="1"/>
    </xf>
    <xf numFmtId="4" fontId="64" fillId="0" borderId="0" applyNumberFormat="0" applyProtection="0">
      <alignment horizontal="left" vertical="center" indent="1"/>
    </xf>
    <xf numFmtId="4" fontId="4" fillId="0" borderId="11" applyNumberFormat="0" applyProtection="0">
      <alignment horizontal="right" vertical="center"/>
    </xf>
    <xf numFmtId="0" fontId="4" fillId="0" borderId="12" applyNumberFormat="0" applyFont="0" applyFill="0" applyBorder="0" applyAlignment="0" applyProtection="0"/>
    <xf numFmtId="0" fontId="57" fillId="0" borderId="0"/>
    <xf numFmtId="0" fontId="58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NumberFormat="0" applyFill="0" applyBorder="0" applyAlignment="0" applyProtection="0"/>
    <xf numFmtId="0" fontId="67" fillId="0" borderId="0"/>
    <xf numFmtId="3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66" fillId="0" borderId="0" applyProtection="0"/>
    <xf numFmtId="0" fontId="69" fillId="0" borderId="0" applyProtection="0"/>
    <xf numFmtId="0" fontId="70" fillId="0" borderId="0" applyProtection="0"/>
    <xf numFmtId="0" fontId="68" fillId="0" borderId="0" applyProtection="0"/>
    <xf numFmtId="0" fontId="67" fillId="0" borderId="0" applyProtection="0"/>
    <xf numFmtId="0" fontId="66" fillId="0" borderId="0" applyProtection="0"/>
    <xf numFmtId="0" fontId="71" fillId="0" borderId="0" applyProtection="0"/>
    <xf numFmtId="2" fontId="6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0" borderId="0"/>
    <xf numFmtId="0" fontId="73" fillId="0" borderId="0" applyNumberFormat="0" applyFill="0" applyBorder="0" applyAlignment="0" applyProtection="0"/>
    <xf numFmtId="2" fontId="67" fillId="0" borderId="0" applyFont="0" applyFill="0" applyBorder="0" applyAlignment="0" applyProtection="0"/>
    <xf numFmtId="0" fontId="71" fillId="0" borderId="0" applyProtection="0"/>
    <xf numFmtId="0" fontId="66" fillId="0" borderId="0" applyProtection="0"/>
    <xf numFmtId="0" fontId="67" fillId="0" borderId="0" applyProtection="0"/>
    <xf numFmtId="0" fontId="68" fillId="0" borderId="0" applyProtection="0"/>
    <xf numFmtId="0" fontId="70" fillId="0" borderId="0" applyProtection="0"/>
    <xf numFmtId="0" fontId="69" fillId="0" borderId="0" applyProtection="0"/>
    <xf numFmtId="0" fontId="66" fillId="0" borderId="0" applyProtection="0"/>
    <xf numFmtId="185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4" applyNumberFormat="0" applyFont="0" applyFill="0" applyAlignment="0" applyProtection="0"/>
    <xf numFmtId="0" fontId="5" fillId="25" borderId="13" applyNumberFormat="0" applyFont="0" applyAlignment="0" applyProtection="0"/>
    <xf numFmtId="0" fontId="5" fillId="25" borderId="13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4" applyNumberFormat="0" applyFont="0" applyFill="0" applyAlignment="0" applyProtection="0"/>
    <xf numFmtId="0" fontId="4" fillId="0" borderId="0"/>
    <xf numFmtId="0" fontId="75" fillId="0" borderId="0"/>
    <xf numFmtId="43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37" fontId="14" fillId="0" borderId="0"/>
    <xf numFmtId="37" fontId="14" fillId="0" borderId="0"/>
    <xf numFmtId="0" fontId="4" fillId="0" borderId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182" fontId="91" fillId="34" borderId="0" applyNumberFormat="0" applyBorder="0" applyAlignment="0" applyProtection="0"/>
    <xf numFmtId="182" fontId="91" fillId="34" borderId="0" applyNumberFormat="0" applyBorder="0" applyAlignment="0" applyProtection="0"/>
    <xf numFmtId="0" fontId="2" fillId="34" borderId="0" applyNumberFormat="0" applyBorder="0" applyAlignment="0" applyProtection="0"/>
    <xf numFmtId="183" fontId="90" fillId="57" borderId="0" applyNumberFormat="0" applyBorder="0" applyAlignment="0" applyProtection="0"/>
    <xf numFmtId="183" fontId="90" fillId="57" borderId="0" applyNumberFormat="0" applyBorder="0" applyAlignment="0" applyProtection="0"/>
    <xf numFmtId="183" fontId="90" fillId="57" borderId="0" applyNumberFormat="0" applyBorder="0" applyAlignment="0" applyProtection="0"/>
    <xf numFmtId="183" fontId="90" fillId="57" borderId="0" applyNumberFormat="0" applyBorder="0" applyAlignment="0" applyProtection="0"/>
    <xf numFmtId="183" fontId="90" fillId="57" borderId="0" applyNumberFormat="0" applyBorder="0" applyAlignment="0" applyProtection="0"/>
    <xf numFmtId="183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182" fontId="91" fillId="38" borderId="0" applyNumberFormat="0" applyBorder="0" applyAlignment="0" applyProtection="0"/>
    <xf numFmtId="182" fontId="91" fillId="38" borderId="0" applyNumberFormat="0" applyBorder="0" applyAlignment="0" applyProtection="0"/>
    <xf numFmtId="0" fontId="2" fillId="38" borderId="0" applyNumberFormat="0" applyBorder="0" applyAlignment="0" applyProtection="0"/>
    <xf numFmtId="183" fontId="90" fillId="17" borderId="0" applyNumberFormat="0" applyBorder="0" applyAlignment="0" applyProtection="0"/>
    <xf numFmtId="183" fontId="90" fillId="17" borderId="0" applyNumberFormat="0" applyBorder="0" applyAlignment="0" applyProtection="0"/>
    <xf numFmtId="183" fontId="90" fillId="17" borderId="0" applyNumberFormat="0" applyBorder="0" applyAlignment="0" applyProtection="0"/>
    <xf numFmtId="183" fontId="90" fillId="17" borderId="0" applyNumberFormat="0" applyBorder="0" applyAlignment="0" applyProtection="0"/>
    <xf numFmtId="183" fontId="90" fillId="17" borderId="0" applyNumberFormat="0" applyBorder="0" applyAlignment="0" applyProtection="0"/>
    <xf numFmtId="183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58" borderId="0" applyNumberFormat="0" applyBorder="0" applyAlignment="0" applyProtection="0"/>
    <xf numFmtId="0" fontId="90" fillId="58" borderId="0" applyNumberFormat="0" applyBorder="0" applyAlignment="0" applyProtection="0"/>
    <xf numFmtId="0" fontId="90" fillId="58" borderId="0" applyNumberFormat="0" applyBorder="0" applyAlignment="0" applyProtection="0"/>
    <xf numFmtId="0" fontId="90" fillId="58" borderId="0" applyNumberFormat="0" applyBorder="0" applyAlignment="0" applyProtection="0"/>
    <xf numFmtId="0" fontId="90" fillId="58" borderId="0" applyNumberFormat="0" applyBorder="0" applyAlignment="0" applyProtection="0"/>
    <xf numFmtId="182" fontId="91" fillId="42" borderId="0" applyNumberFormat="0" applyBorder="0" applyAlignment="0" applyProtection="0"/>
    <xf numFmtId="182" fontId="91" fillId="42" borderId="0" applyNumberFormat="0" applyBorder="0" applyAlignment="0" applyProtection="0"/>
    <xf numFmtId="0" fontId="2" fillId="42" borderId="0" applyNumberFormat="0" applyBorder="0" applyAlignment="0" applyProtection="0"/>
    <xf numFmtId="183" fontId="90" fillId="58" borderId="0" applyNumberFormat="0" applyBorder="0" applyAlignment="0" applyProtection="0"/>
    <xf numFmtId="183" fontId="90" fillId="58" borderId="0" applyNumberFormat="0" applyBorder="0" applyAlignment="0" applyProtection="0"/>
    <xf numFmtId="183" fontId="90" fillId="58" borderId="0" applyNumberFormat="0" applyBorder="0" applyAlignment="0" applyProtection="0"/>
    <xf numFmtId="183" fontId="90" fillId="58" borderId="0" applyNumberFormat="0" applyBorder="0" applyAlignment="0" applyProtection="0"/>
    <xf numFmtId="183" fontId="90" fillId="58" borderId="0" applyNumberFormat="0" applyBorder="0" applyAlignment="0" applyProtection="0"/>
    <xf numFmtId="183" fontId="90" fillId="58" borderId="0" applyNumberFormat="0" applyBorder="0" applyAlignment="0" applyProtection="0"/>
    <xf numFmtId="0" fontId="90" fillId="58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182" fontId="91" fillId="46" borderId="0" applyNumberFormat="0" applyBorder="0" applyAlignment="0" applyProtection="0"/>
    <xf numFmtId="182" fontId="91" fillId="46" borderId="0" applyNumberFormat="0" applyBorder="0" applyAlignment="0" applyProtection="0"/>
    <xf numFmtId="0" fontId="2" fillId="46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182" fontId="91" fillId="50" borderId="0" applyNumberFormat="0" applyBorder="0" applyAlignment="0" applyProtection="0"/>
    <xf numFmtId="182" fontId="91" fillId="50" borderId="0" applyNumberFormat="0" applyBorder="0" applyAlignment="0" applyProtection="0"/>
    <xf numFmtId="0" fontId="2" fillId="50" borderId="0" applyNumberFormat="0" applyBorder="0" applyAlignment="0" applyProtection="0"/>
    <xf numFmtId="183" fontId="90" fillId="60" borderId="0" applyNumberFormat="0" applyBorder="0" applyAlignment="0" applyProtection="0"/>
    <xf numFmtId="183" fontId="90" fillId="60" borderId="0" applyNumberFormat="0" applyBorder="0" applyAlignment="0" applyProtection="0"/>
    <xf numFmtId="183" fontId="90" fillId="60" borderId="0" applyNumberFormat="0" applyBorder="0" applyAlignment="0" applyProtection="0"/>
    <xf numFmtId="183" fontId="90" fillId="60" borderId="0" applyNumberFormat="0" applyBorder="0" applyAlignment="0" applyProtection="0"/>
    <xf numFmtId="183" fontId="90" fillId="60" borderId="0" applyNumberFormat="0" applyBorder="0" applyAlignment="0" applyProtection="0"/>
    <xf numFmtId="183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182" fontId="91" fillId="54" borderId="0" applyNumberFormat="0" applyBorder="0" applyAlignment="0" applyProtection="0"/>
    <xf numFmtId="182" fontId="91" fillId="54" borderId="0" applyNumberFormat="0" applyBorder="0" applyAlignment="0" applyProtection="0"/>
    <xf numFmtId="0" fontId="2" fillId="54" borderId="0" applyNumberFormat="0" applyBorder="0" applyAlignment="0" applyProtection="0"/>
    <xf numFmtId="183" fontId="90" fillId="2" borderId="0" applyNumberFormat="0" applyBorder="0" applyAlignment="0" applyProtection="0"/>
    <xf numFmtId="183" fontId="90" fillId="2" borderId="0" applyNumberFormat="0" applyBorder="0" applyAlignment="0" applyProtection="0"/>
    <xf numFmtId="183" fontId="90" fillId="2" borderId="0" applyNumberFormat="0" applyBorder="0" applyAlignment="0" applyProtection="0"/>
    <xf numFmtId="183" fontId="90" fillId="2" borderId="0" applyNumberFormat="0" applyBorder="0" applyAlignment="0" applyProtection="0"/>
    <xf numFmtId="183" fontId="90" fillId="2" borderId="0" applyNumberFormat="0" applyBorder="0" applyAlignment="0" applyProtection="0"/>
    <xf numFmtId="183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182" fontId="91" fillId="35" borderId="0" applyNumberFormat="0" applyBorder="0" applyAlignment="0" applyProtection="0"/>
    <xf numFmtId="182" fontId="91" fillId="35" borderId="0" applyNumberFormat="0" applyBorder="0" applyAlignment="0" applyProtection="0"/>
    <xf numFmtId="0" fontId="2" fillId="35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61" borderId="0" applyNumberFormat="0" applyBorder="0" applyAlignment="0" applyProtection="0"/>
    <xf numFmtId="0" fontId="90" fillId="61" borderId="0" applyNumberFormat="0" applyBorder="0" applyAlignment="0" applyProtection="0"/>
    <xf numFmtId="0" fontId="90" fillId="61" borderId="0" applyNumberFormat="0" applyBorder="0" applyAlignment="0" applyProtection="0"/>
    <xf numFmtId="0" fontId="90" fillId="61" borderId="0" applyNumberFormat="0" applyBorder="0" applyAlignment="0" applyProtection="0"/>
    <xf numFmtId="0" fontId="90" fillId="61" borderId="0" applyNumberFormat="0" applyBorder="0" applyAlignment="0" applyProtection="0"/>
    <xf numFmtId="182" fontId="91" fillId="39" borderId="0" applyNumberFormat="0" applyBorder="0" applyAlignment="0" applyProtection="0"/>
    <xf numFmtId="182" fontId="91" fillId="39" borderId="0" applyNumberFormat="0" applyBorder="0" applyAlignment="0" applyProtection="0"/>
    <xf numFmtId="0" fontId="2" fillId="39" borderId="0" applyNumberFormat="0" applyBorder="0" applyAlignment="0" applyProtection="0"/>
    <xf numFmtId="183" fontId="90" fillId="61" borderId="0" applyNumberFormat="0" applyBorder="0" applyAlignment="0" applyProtection="0"/>
    <xf numFmtId="183" fontId="90" fillId="61" borderId="0" applyNumberFormat="0" applyBorder="0" applyAlignment="0" applyProtection="0"/>
    <xf numFmtId="183" fontId="90" fillId="61" borderId="0" applyNumberFormat="0" applyBorder="0" applyAlignment="0" applyProtection="0"/>
    <xf numFmtId="183" fontId="90" fillId="61" borderId="0" applyNumberFormat="0" applyBorder="0" applyAlignment="0" applyProtection="0"/>
    <xf numFmtId="183" fontId="90" fillId="61" borderId="0" applyNumberFormat="0" applyBorder="0" applyAlignment="0" applyProtection="0"/>
    <xf numFmtId="183" fontId="90" fillId="61" borderId="0" applyNumberFormat="0" applyBorder="0" applyAlignment="0" applyProtection="0"/>
    <xf numFmtId="0" fontId="90" fillId="61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0" borderId="0" applyNumberFormat="0" applyBorder="0" applyAlignment="0" applyProtection="0"/>
    <xf numFmtId="182" fontId="91" fillId="43" borderId="0" applyNumberFormat="0" applyBorder="0" applyAlignment="0" applyProtection="0"/>
    <xf numFmtId="182" fontId="91" fillId="43" borderId="0" applyNumberFormat="0" applyBorder="0" applyAlignment="0" applyProtection="0"/>
    <xf numFmtId="0" fontId="2" fillId="43" borderId="0" applyNumberFormat="0" applyBorder="0" applyAlignment="0" applyProtection="0"/>
    <xf numFmtId="183" fontId="90" fillId="10" borderId="0" applyNumberFormat="0" applyBorder="0" applyAlignment="0" applyProtection="0"/>
    <xf numFmtId="183" fontId="90" fillId="10" borderId="0" applyNumberFormat="0" applyBorder="0" applyAlignment="0" applyProtection="0"/>
    <xf numFmtId="183" fontId="90" fillId="10" borderId="0" applyNumberFormat="0" applyBorder="0" applyAlignment="0" applyProtection="0"/>
    <xf numFmtId="183" fontId="90" fillId="10" borderId="0" applyNumberFormat="0" applyBorder="0" applyAlignment="0" applyProtection="0"/>
    <xf numFmtId="183" fontId="90" fillId="10" borderId="0" applyNumberFormat="0" applyBorder="0" applyAlignment="0" applyProtection="0"/>
    <xf numFmtId="183" fontId="9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182" fontId="91" fillId="47" borderId="0" applyNumberFormat="0" applyBorder="0" applyAlignment="0" applyProtection="0"/>
    <xf numFmtId="182" fontId="91" fillId="47" borderId="0" applyNumberFormat="0" applyBorder="0" applyAlignment="0" applyProtection="0"/>
    <xf numFmtId="0" fontId="2" fillId="47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183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16" borderId="0" applyNumberFormat="0" applyBorder="0" applyAlignment="0" applyProtection="0"/>
    <xf numFmtId="182" fontId="91" fillId="51" borderId="0" applyNumberFormat="0" applyBorder="0" applyAlignment="0" applyProtection="0"/>
    <xf numFmtId="182" fontId="91" fillId="51" borderId="0" applyNumberFormat="0" applyBorder="0" applyAlignment="0" applyProtection="0"/>
    <xf numFmtId="0" fontId="2" fillId="51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183" fontId="90" fillId="16" borderId="0" applyNumberFormat="0" applyBorder="0" applyAlignment="0" applyProtection="0"/>
    <xf numFmtId="0" fontId="90" fillId="16" borderId="0" applyNumberFormat="0" applyBorder="0" applyAlignment="0" applyProtection="0"/>
    <xf numFmtId="0" fontId="90" fillId="62" borderId="0" applyNumberFormat="0" applyBorder="0" applyAlignment="0" applyProtection="0"/>
    <xf numFmtId="0" fontId="90" fillId="62" borderId="0" applyNumberFormat="0" applyBorder="0" applyAlignment="0" applyProtection="0"/>
    <xf numFmtId="0" fontId="90" fillId="62" borderId="0" applyNumberFormat="0" applyBorder="0" applyAlignment="0" applyProtection="0"/>
    <xf numFmtId="0" fontId="90" fillId="62" borderId="0" applyNumberFormat="0" applyBorder="0" applyAlignment="0" applyProtection="0"/>
    <xf numFmtId="0" fontId="90" fillId="62" borderId="0" applyNumberFormat="0" applyBorder="0" applyAlignment="0" applyProtection="0"/>
    <xf numFmtId="182" fontId="91" fillId="55" borderId="0" applyNumberFormat="0" applyBorder="0" applyAlignment="0" applyProtection="0"/>
    <xf numFmtId="182" fontId="91" fillId="55" borderId="0" applyNumberFormat="0" applyBorder="0" applyAlignment="0" applyProtection="0"/>
    <xf numFmtId="0" fontId="2" fillId="55" borderId="0" applyNumberFormat="0" applyBorder="0" applyAlignment="0" applyProtection="0"/>
    <xf numFmtId="183" fontId="90" fillId="62" borderId="0" applyNumberFormat="0" applyBorder="0" applyAlignment="0" applyProtection="0"/>
    <xf numFmtId="183" fontId="90" fillId="62" borderId="0" applyNumberFormat="0" applyBorder="0" applyAlignment="0" applyProtection="0"/>
    <xf numFmtId="183" fontId="90" fillId="62" borderId="0" applyNumberFormat="0" applyBorder="0" applyAlignment="0" applyProtection="0"/>
    <xf numFmtId="183" fontId="90" fillId="62" borderId="0" applyNumberFormat="0" applyBorder="0" applyAlignment="0" applyProtection="0"/>
    <xf numFmtId="183" fontId="90" fillId="62" borderId="0" applyNumberFormat="0" applyBorder="0" applyAlignment="0" applyProtection="0"/>
    <xf numFmtId="183" fontId="90" fillId="62" borderId="0" applyNumberFormat="0" applyBorder="0" applyAlignment="0" applyProtection="0"/>
    <xf numFmtId="0" fontId="90" fillId="62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182" fontId="93" fillId="36" borderId="0" applyNumberFormat="0" applyBorder="0" applyAlignment="0" applyProtection="0"/>
    <xf numFmtId="182" fontId="93" fillId="36" borderId="0" applyNumberFormat="0" applyBorder="0" applyAlignment="0" applyProtection="0"/>
    <xf numFmtId="0" fontId="89" fillId="36" borderId="0" applyNumberFormat="0" applyBorder="0" applyAlignment="0" applyProtection="0"/>
    <xf numFmtId="183" fontId="92" fillId="63" borderId="0" applyNumberFormat="0" applyBorder="0" applyAlignment="0" applyProtection="0"/>
    <xf numFmtId="183" fontId="92" fillId="63" borderId="0" applyNumberFormat="0" applyBorder="0" applyAlignment="0" applyProtection="0"/>
    <xf numFmtId="183" fontId="92" fillId="63" borderId="0" applyNumberFormat="0" applyBorder="0" applyAlignment="0" applyProtection="0"/>
    <xf numFmtId="183" fontId="92" fillId="63" borderId="0" applyNumberFormat="0" applyBorder="0" applyAlignment="0" applyProtection="0"/>
    <xf numFmtId="183" fontId="92" fillId="63" borderId="0" applyNumberFormat="0" applyBorder="0" applyAlignment="0" applyProtection="0"/>
    <xf numFmtId="183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61" borderId="0" applyNumberFormat="0" applyBorder="0" applyAlignment="0" applyProtection="0"/>
    <xf numFmtId="182" fontId="93" fillId="40" borderId="0" applyNumberFormat="0" applyBorder="0" applyAlignment="0" applyProtection="0"/>
    <xf numFmtId="182" fontId="93" fillId="40" borderId="0" applyNumberFormat="0" applyBorder="0" applyAlignment="0" applyProtection="0"/>
    <xf numFmtId="0" fontId="89" fillId="40" borderId="0" applyNumberFormat="0" applyBorder="0" applyAlignment="0" applyProtection="0"/>
    <xf numFmtId="183" fontId="92" fillId="61" borderId="0" applyNumberFormat="0" applyBorder="0" applyAlignment="0" applyProtection="0"/>
    <xf numFmtId="183" fontId="92" fillId="61" borderId="0" applyNumberFormat="0" applyBorder="0" applyAlignment="0" applyProtection="0"/>
    <xf numFmtId="183" fontId="92" fillId="61" borderId="0" applyNumberFormat="0" applyBorder="0" applyAlignment="0" applyProtection="0"/>
    <xf numFmtId="183" fontId="92" fillId="61" borderId="0" applyNumberFormat="0" applyBorder="0" applyAlignment="0" applyProtection="0"/>
    <xf numFmtId="183" fontId="92" fillId="61" borderId="0" applyNumberFormat="0" applyBorder="0" applyAlignment="0" applyProtection="0"/>
    <xf numFmtId="183" fontId="92" fillId="61" borderId="0" applyNumberFormat="0" applyBorder="0" applyAlignment="0" applyProtection="0"/>
    <xf numFmtId="0" fontId="92" fillId="6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182" fontId="93" fillId="44" borderId="0" applyNumberFormat="0" applyBorder="0" applyAlignment="0" applyProtection="0"/>
    <xf numFmtId="182" fontId="93" fillId="44" borderId="0" applyNumberFormat="0" applyBorder="0" applyAlignment="0" applyProtection="0"/>
    <xf numFmtId="0" fontId="89" fillId="44" borderId="0" applyNumberFormat="0" applyBorder="0" applyAlignment="0" applyProtection="0"/>
    <xf numFmtId="183" fontId="92" fillId="10" borderId="0" applyNumberFormat="0" applyBorder="0" applyAlignment="0" applyProtection="0"/>
    <xf numFmtId="183" fontId="92" fillId="10" borderId="0" applyNumberFormat="0" applyBorder="0" applyAlignment="0" applyProtection="0"/>
    <xf numFmtId="183" fontId="92" fillId="10" borderId="0" applyNumberFormat="0" applyBorder="0" applyAlignment="0" applyProtection="0"/>
    <xf numFmtId="183" fontId="92" fillId="10" borderId="0" applyNumberFormat="0" applyBorder="0" applyAlignment="0" applyProtection="0"/>
    <xf numFmtId="183" fontId="92" fillId="10" borderId="0" applyNumberFormat="0" applyBorder="0" applyAlignment="0" applyProtection="0"/>
    <xf numFmtId="183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182" fontId="93" fillId="48" borderId="0" applyNumberFormat="0" applyBorder="0" applyAlignment="0" applyProtection="0"/>
    <xf numFmtId="182" fontId="93" fillId="48" borderId="0" applyNumberFormat="0" applyBorder="0" applyAlignment="0" applyProtection="0"/>
    <xf numFmtId="0" fontId="89" fillId="48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182" fontId="93" fillId="52" borderId="0" applyNumberFormat="0" applyBorder="0" applyAlignment="0" applyProtection="0"/>
    <xf numFmtId="182" fontId="93" fillId="52" borderId="0" applyNumberFormat="0" applyBorder="0" applyAlignment="0" applyProtection="0"/>
    <xf numFmtId="0" fontId="89" fillId="52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182" fontId="93" fillId="56" borderId="0" applyNumberFormat="0" applyBorder="0" applyAlignment="0" applyProtection="0"/>
    <xf numFmtId="182" fontId="93" fillId="56" borderId="0" applyNumberFormat="0" applyBorder="0" applyAlignment="0" applyProtection="0"/>
    <xf numFmtId="0" fontId="89" fillId="56" borderId="0" applyNumberFormat="0" applyBorder="0" applyAlignment="0" applyProtection="0"/>
    <xf numFmtId="183" fontId="92" fillId="19" borderId="0" applyNumberFormat="0" applyBorder="0" applyAlignment="0" applyProtection="0"/>
    <xf numFmtId="183" fontId="92" fillId="19" borderId="0" applyNumberFormat="0" applyBorder="0" applyAlignment="0" applyProtection="0"/>
    <xf numFmtId="183" fontId="92" fillId="19" borderId="0" applyNumberFormat="0" applyBorder="0" applyAlignment="0" applyProtection="0"/>
    <xf numFmtId="183" fontId="92" fillId="19" borderId="0" applyNumberFormat="0" applyBorder="0" applyAlignment="0" applyProtection="0"/>
    <xf numFmtId="183" fontId="92" fillId="19" borderId="0" applyNumberFormat="0" applyBorder="0" applyAlignment="0" applyProtection="0"/>
    <xf numFmtId="183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92" fillId="65" borderId="0" applyNumberFormat="0" applyBorder="0" applyAlignment="0" applyProtection="0"/>
    <xf numFmtId="182" fontId="93" fillId="33" borderId="0" applyNumberFormat="0" applyBorder="0" applyAlignment="0" applyProtection="0"/>
    <xf numFmtId="182" fontId="93" fillId="33" borderId="0" applyNumberFormat="0" applyBorder="0" applyAlignment="0" applyProtection="0"/>
    <xf numFmtId="0" fontId="89" fillId="33" borderId="0" applyNumberFormat="0" applyBorder="0" applyAlignment="0" applyProtection="0"/>
    <xf numFmtId="183" fontId="92" fillId="65" borderId="0" applyNumberFormat="0" applyBorder="0" applyAlignment="0" applyProtection="0"/>
    <xf numFmtId="183" fontId="92" fillId="65" borderId="0" applyNumberFormat="0" applyBorder="0" applyAlignment="0" applyProtection="0"/>
    <xf numFmtId="183" fontId="92" fillId="65" borderId="0" applyNumberFormat="0" applyBorder="0" applyAlignment="0" applyProtection="0"/>
    <xf numFmtId="183" fontId="92" fillId="65" borderId="0" applyNumberFormat="0" applyBorder="0" applyAlignment="0" applyProtection="0"/>
    <xf numFmtId="183" fontId="92" fillId="65" borderId="0" applyNumberFormat="0" applyBorder="0" applyAlignment="0" applyProtection="0"/>
    <xf numFmtId="183" fontId="92" fillId="65" borderId="0" applyNumberFormat="0" applyBorder="0" applyAlignment="0" applyProtection="0"/>
    <xf numFmtId="0" fontId="92" fillId="65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182" fontId="93" fillId="37" borderId="0" applyNumberFormat="0" applyBorder="0" applyAlignment="0" applyProtection="0"/>
    <xf numFmtId="182" fontId="93" fillId="37" borderId="0" applyNumberFormat="0" applyBorder="0" applyAlignment="0" applyProtection="0"/>
    <xf numFmtId="0" fontId="89" fillId="37" borderId="0" applyNumberFormat="0" applyBorder="0" applyAlignment="0" applyProtection="0"/>
    <xf numFmtId="183" fontId="92" fillId="18" borderId="0" applyNumberFormat="0" applyBorder="0" applyAlignment="0" applyProtection="0"/>
    <xf numFmtId="183" fontId="92" fillId="18" borderId="0" applyNumberFormat="0" applyBorder="0" applyAlignment="0" applyProtection="0"/>
    <xf numFmtId="183" fontId="92" fillId="18" borderId="0" applyNumberFormat="0" applyBorder="0" applyAlignment="0" applyProtection="0"/>
    <xf numFmtId="183" fontId="92" fillId="18" borderId="0" applyNumberFormat="0" applyBorder="0" applyAlignment="0" applyProtection="0"/>
    <xf numFmtId="183" fontId="92" fillId="18" borderId="0" applyNumberFormat="0" applyBorder="0" applyAlignment="0" applyProtection="0"/>
    <xf numFmtId="183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182" fontId="93" fillId="41" borderId="0" applyNumberFormat="0" applyBorder="0" applyAlignment="0" applyProtection="0"/>
    <xf numFmtId="182" fontId="93" fillId="41" borderId="0" applyNumberFormat="0" applyBorder="0" applyAlignment="0" applyProtection="0"/>
    <xf numFmtId="0" fontId="89" fillId="41" borderId="0" applyNumberFormat="0" applyBorder="0" applyAlignment="0" applyProtection="0"/>
    <xf numFmtId="183" fontId="92" fillId="66" borderId="0" applyNumberFormat="0" applyBorder="0" applyAlignment="0" applyProtection="0"/>
    <xf numFmtId="183" fontId="92" fillId="66" borderId="0" applyNumberFormat="0" applyBorder="0" applyAlignment="0" applyProtection="0"/>
    <xf numFmtId="183" fontId="92" fillId="66" borderId="0" applyNumberFormat="0" applyBorder="0" applyAlignment="0" applyProtection="0"/>
    <xf numFmtId="183" fontId="92" fillId="66" borderId="0" applyNumberFormat="0" applyBorder="0" applyAlignment="0" applyProtection="0"/>
    <xf numFmtId="183" fontId="92" fillId="66" borderId="0" applyNumberFormat="0" applyBorder="0" applyAlignment="0" applyProtection="0"/>
    <xf numFmtId="183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64" borderId="0" applyNumberFormat="0" applyBorder="0" applyAlignment="0" applyProtection="0"/>
    <xf numFmtId="182" fontId="93" fillId="45" borderId="0" applyNumberFormat="0" applyBorder="0" applyAlignment="0" applyProtection="0"/>
    <xf numFmtId="182" fontId="93" fillId="45" borderId="0" applyNumberFormat="0" applyBorder="0" applyAlignment="0" applyProtection="0"/>
    <xf numFmtId="0" fontId="89" fillId="45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183" fontId="92" fillId="64" borderId="0" applyNumberFormat="0" applyBorder="0" applyAlignment="0" applyProtection="0"/>
    <xf numFmtId="0" fontId="92" fillId="64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182" fontId="93" fillId="49" borderId="0" applyNumberFormat="0" applyBorder="0" applyAlignment="0" applyProtection="0"/>
    <xf numFmtId="182" fontId="93" fillId="49" borderId="0" applyNumberFormat="0" applyBorder="0" applyAlignment="0" applyProtection="0"/>
    <xf numFmtId="0" fontId="89" fillId="49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183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182" fontId="93" fillId="53" borderId="0" applyNumberFormat="0" applyBorder="0" applyAlignment="0" applyProtection="0"/>
    <xf numFmtId="182" fontId="93" fillId="53" borderId="0" applyNumberFormat="0" applyBorder="0" applyAlignment="0" applyProtection="0"/>
    <xf numFmtId="0" fontId="89" fillId="53" borderId="0" applyNumberFormat="0" applyBorder="0" applyAlignment="0" applyProtection="0"/>
    <xf numFmtId="183" fontId="92" fillId="22" borderId="0" applyNumberFormat="0" applyBorder="0" applyAlignment="0" applyProtection="0"/>
    <xf numFmtId="183" fontId="92" fillId="22" borderId="0" applyNumberFormat="0" applyBorder="0" applyAlignment="0" applyProtection="0"/>
    <xf numFmtId="183" fontId="92" fillId="22" borderId="0" applyNumberFormat="0" applyBorder="0" applyAlignment="0" applyProtection="0"/>
    <xf numFmtId="183" fontId="92" fillId="22" borderId="0" applyNumberFormat="0" applyBorder="0" applyAlignment="0" applyProtection="0"/>
    <xf numFmtId="183" fontId="92" fillId="22" borderId="0" applyNumberFormat="0" applyBorder="0" applyAlignment="0" applyProtection="0"/>
    <xf numFmtId="183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82" fontId="95" fillId="27" borderId="0" applyNumberFormat="0" applyBorder="0" applyAlignment="0" applyProtection="0"/>
    <xf numFmtId="182" fontId="95" fillId="27" borderId="0" applyNumberFormat="0" applyBorder="0" applyAlignment="0" applyProtection="0"/>
    <xf numFmtId="0" fontId="80" fillId="27" borderId="0" applyNumberFormat="0" applyBorder="0" applyAlignment="0" applyProtection="0"/>
    <xf numFmtId="183" fontId="94" fillId="17" borderId="0" applyNumberFormat="0" applyBorder="0" applyAlignment="0" applyProtection="0"/>
    <xf numFmtId="183" fontId="94" fillId="17" borderId="0" applyNumberFormat="0" applyBorder="0" applyAlignment="0" applyProtection="0"/>
    <xf numFmtId="183" fontId="94" fillId="17" borderId="0" applyNumberFormat="0" applyBorder="0" applyAlignment="0" applyProtection="0"/>
    <xf numFmtId="183" fontId="94" fillId="17" borderId="0" applyNumberFormat="0" applyBorder="0" applyAlignment="0" applyProtection="0"/>
    <xf numFmtId="183" fontId="94" fillId="17" borderId="0" applyNumberFormat="0" applyBorder="0" applyAlignment="0" applyProtection="0"/>
    <xf numFmtId="183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6" fillId="67" borderId="20" applyNumberFormat="0" applyAlignment="0" applyProtection="0"/>
    <xf numFmtId="0" fontId="96" fillId="67" borderId="20" applyNumberFormat="0" applyAlignment="0" applyProtection="0"/>
    <xf numFmtId="0" fontId="96" fillId="67" borderId="20" applyNumberFormat="0" applyAlignment="0" applyProtection="0"/>
    <xf numFmtId="0" fontId="96" fillId="67" borderId="20" applyNumberFormat="0" applyAlignment="0" applyProtection="0"/>
    <xf numFmtId="0" fontId="96" fillId="67" borderId="20" applyNumberFormat="0" applyAlignment="0" applyProtection="0"/>
    <xf numFmtId="182" fontId="97" fillId="30" borderId="15" applyNumberFormat="0" applyAlignment="0" applyProtection="0"/>
    <xf numFmtId="182" fontId="97" fillId="30" borderId="15" applyNumberFormat="0" applyAlignment="0" applyProtection="0"/>
    <xf numFmtId="0" fontId="84" fillId="30" borderId="15" applyNumberFormat="0" applyAlignment="0" applyProtection="0"/>
    <xf numFmtId="183" fontId="96" fillId="67" borderId="20" applyNumberFormat="0" applyAlignment="0" applyProtection="0"/>
    <xf numFmtId="183" fontId="96" fillId="67" borderId="20" applyNumberFormat="0" applyAlignment="0" applyProtection="0"/>
    <xf numFmtId="183" fontId="96" fillId="67" borderId="20" applyNumberFormat="0" applyAlignment="0" applyProtection="0"/>
    <xf numFmtId="183" fontId="96" fillId="67" borderId="20" applyNumberFormat="0" applyAlignment="0" applyProtection="0"/>
    <xf numFmtId="183" fontId="96" fillId="67" borderId="20" applyNumberFormat="0" applyAlignment="0" applyProtection="0"/>
    <xf numFmtId="183" fontId="96" fillId="67" borderId="20" applyNumberFormat="0" applyAlignment="0" applyProtection="0"/>
    <xf numFmtId="0" fontId="96" fillId="67" borderId="20" applyNumberFormat="0" applyAlignment="0" applyProtection="0"/>
    <xf numFmtId="0" fontId="98" fillId="68" borderId="21" applyNumberFormat="0" applyAlignment="0" applyProtection="0"/>
    <xf numFmtId="0" fontId="98" fillId="68" borderId="21" applyNumberFormat="0" applyAlignment="0" applyProtection="0"/>
    <xf numFmtId="0" fontId="98" fillId="68" borderId="21" applyNumberFormat="0" applyAlignment="0" applyProtection="0"/>
    <xf numFmtId="0" fontId="98" fillId="68" borderId="21" applyNumberFormat="0" applyAlignment="0" applyProtection="0"/>
    <xf numFmtId="0" fontId="98" fillId="68" borderId="21" applyNumberFormat="0" applyAlignment="0" applyProtection="0"/>
    <xf numFmtId="182" fontId="99" fillId="31" borderId="18" applyNumberFormat="0" applyAlignment="0" applyProtection="0"/>
    <xf numFmtId="182" fontId="99" fillId="31" borderId="18" applyNumberFormat="0" applyAlignment="0" applyProtection="0"/>
    <xf numFmtId="0" fontId="86" fillId="31" borderId="18" applyNumberFormat="0" applyAlignment="0" applyProtection="0"/>
    <xf numFmtId="183" fontId="98" fillId="68" borderId="21" applyNumberFormat="0" applyAlignment="0" applyProtection="0"/>
    <xf numFmtId="183" fontId="98" fillId="68" borderId="21" applyNumberFormat="0" applyAlignment="0" applyProtection="0"/>
    <xf numFmtId="183" fontId="98" fillId="68" borderId="21" applyNumberFormat="0" applyAlignment="0" applyProtection="0"/>
    <xf numFmtId="183" fontId="98" fillId="68" borderId="21" applyNumberFormat="0" applyAlignment="0" applyProtection="0"/>
    <xf numFmtId="183" fontId="98" fillId="68" borderId="21" applyNumberFormat="0" applyAlignment="0" applyProtection="0"/>
    <xf numFmtId="183" fontId="98" fillId="68" borderId="21" applyNumberFormat="0" applyAlignment="0" applyProtection="0"/>
    <xf numFmtId="0" fontId="98" fillId="68" borderId="21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69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82" fontId="101" fillId="0" borderId="0" applyNumberFormat="0" applyFill="0" applyBorder="0" applyAlignment="0" applyProtection="0"/>
    <xf numFmtId="182" fontId="10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3" fontId="100" fillId="0" borderId="0" applyNumberFormat="0" applyFill="0" applyBorder="0" applyAlignment="0" applyProtection="0"/>
    <xf numFmtId="183" fontId="100" fillId="0" borderId="0" applyNumberFormat="0" applyFill="0" applyBorder="0" applyAlignment="0" applyProtection="0"/>
    <xf numFmtId="183" fontId="100" fillId="0" borderId="0" applyNumberFormat="0" applyFill="0" applyBorder="0" applyAlignment="0" applyProtection="0"/>
    <xf numFmtId="183" fontId="100" fillId="0" borderId="0" applyNumberFormat="0" applyFill="0" applyBorder="0" applyAlignment="0" applyProtection="0"/>
    <xf numFmtId="183" fontId="100" fillId="0" borderId="0" applyNumberFormat="0" applyFill="0" applyBorder="0" applyAlignment="0" applyProtection="0"/>
    <xf numFmtId="183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82" fontId="3" fillId="0" borderId="0" applyProtection="0"/>
    <xf numFmtId="182" fontId="3" fillId="0" borderId="0" applyProtection="0"/>
    <xf numFmtId="0" fontId="3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182" fontId="17" fillId="0" borderId="0" applyProtection="0"/>
    <xf numFmtId="182" fontId="17" fillId="0" borderId="0" applyProtection="0"/>
    <xf numFmtId="0" fontId="17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82" fontId="18" fillId="0" borderId="0" applyProtection="0"/>
    <xf numFmtId="182" fontId="18" fillId="0" borderId="0" applyProtection="0"/>
    <xf numFmtId="0" fontId="18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182" fontId="15" fillId="0" borderId="0" applyProtection="0"/>
    <xf numFmtId="182" fontId="15" fillId="0" borderId="0" applyProtection="0"/>
    <xf numFmtId="0" fontId="1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2" fontId="4" fillId="0" borderId="0" applyProtection="0"/>
    <xf numFmtId="182" fontId="4" fillId="0" borderId="0" applyProtection="0"/>
    <xf numFmtId="0" fontId="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82" fontId="3" fillId="0" borderId="0" applyProtection="0"/>
    <xf numFmtId="182" fontId="3" fillId="0" borderId="0" applyProtection="0"/>
    <xf numFmtId="0" fontId="3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82" fontId="19" fillId="0" borderId="0" applyProtection="0"/>
    <xf numFmtId="182" fontId="19" fillId="0" borderId="0" applyProtection="0"/>
    <xf numFmtId="0" fontId="19" fillId="0" borderId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2" fillId="58" borderId="0" applyNumberFormat="0" applyBorder="0" applyAlignment="0" applyProtection="0"/>
    <xf numFmtId="182" fontId="103" fillId="26" borderId="0" applyNumberFormat="0" applyBorder="0" applyAlignment="0" applyProtection="0"/>
    <xf numFmtId="182" fontId="103" fillId="26" borderId="0" applyNumberFormat="0" applyBorder="0" applyAlignment="0" applyProtection="0"/>
    <xf numFmtId="0" fontId="79" fillId="26" borderId="0" applyNumberFormat="0" applyBorder="0" applyAlignment="0" applyProtection="0"/>
    <xf numFmtId="183" fontId="102" fillId="58" borderId="0" applyNumberFormat="0" applyBorder="0" applyAlignment="0" applyProtection="0"/>
    <xf numFmtId="183" fontId="102" fillId="58" borderId="0" applyNumberFormat="0" applyBorder="0" applyAlignment="0" applyProtection="0"/>
    <xf numFmtId="183" fontId="102" fillId="58" borderId="0" applyNumberFormat="0" applyBorder="0" applyAlignment="0" applyProtection="0"/>
    <xf numFmtId="183" fontId="102" fillId="58" borderId="0" applyNumberFormat="0" applyBorder="0" applyAlignment="0" applyProtection="0"/>
    <xf numFmtId="183" fontId="102" fillId="58" borderId="0" applyNumberFormat="0" applyBorder="0" applyAlignment="0" applyProtection="0"/>
    <xf numFmtId="183" fontId="102" fillId="58" borderId="0" applyNumberFormat="0" applyBorder="0" applyAlignment="0" applyProtection="0"/>
    <xf numFmtId="0" fontId="102" fillId="58" borderId="0" applyNumberFormat="0" applyBorder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82" fontId="105" fillId="0" borderId="23" applyNumberFormat="0" applyFill="0" applyAlignment="0" applyProtection="0"/>
    <xf numFmtId="182" fontId="105" fillId="0" borderId="23" applyNumberFormat="0" applyFill="0" applyAlignment="0" applyProtection="0"/>
    <xf numFmtId="183" fontId="104" fillId="0" borderId="22" applyNumberFormat="0" applyFill="0" applyAlignment="0" applyProtection="0"/>
    <xf numFmtId="183" fontId="104" fillId="0" borderId="22" applyNumberFormat="0" applyFill="0" applyAlignment="0" applyProtection="0"/>
    <xf numFmtId="183" fontId="104" fillId="0" borderId="22" applyNumberFormat="0" applyFill="0" applyAlignment="0" applyProtection="0"/>
    <xf numFmtId="183" fontId="104" fillId="0" borderId="22" applyNumberFormat="0" applyFill="0" applyAlignment="0" applyProtection="0"/>
    <xf numFmtId="183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182" fontId="107" fillId="0" borderId="25" applyNumberFormat="0" applyFill="0" applyAlignment="0" applyProtection="0"/>
    <xf numFmtId="182" fontId="107" fillId="0" borderId="25" applyNumberFormat="0" applyFill="0" applyAlignment="0" applyProtection="0"/>
    <xf numFmtId="183" fontId="106" fillId="0" borderId="24" applyNumberFormat="0" applyFill="0" applyAlignment="0" applyProtection="0"/>
    <xf numFmtId="183" fontId="106" fillId="0" borderId="24" applyNumberFormat="0" applyFill="0" applyAlignment="0" applyProtection="0"/>
    <xf numFmtId="183" fontId="106" fillId="0" borderId="24" applyNumberFormat="0" applyFill="0" applyAlignment="0" applyProtection="0"/>
    <xf numFmtId="183" fontId="106" fillId="0" borderId="24" applyNumberFormat="0" applyFill="0" applyAlignment="0" applyProtection="0"/>
    <xf numFmtId="183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26" applyNumberFormat="0" applyFill="0" applyAlignment="0" applyProtection="0"/>
    <xf numFmtId="182" fontId="109" fillId="0" borderId="14" applyNumberFormat="0" applyFill="0" applyAlignment="0" applyProtection="0"/>
    <xf numFmtId="182" fontId="109" fillId="0" borderId="14" applyNumberFormat="0" applyFill="0" applyAlignment="0" applyProtection="0"/>
    <xf numFmtId="0" fontId="78" fillId="0" borderId="14" applyNumberFormat="0" applyFill="0" applyAlignment="0" applyProtection="0"/>
    <xf numFmtId="183" fontId="108" fillId="0" borderId="26" applyNumberFormat="0" applyFill="0" applyAlignment="0" applyProtection="0"/>
    <xf numFmtId="183" fontId="108" fillId="0" borderId="26" applyNumberFormat="0" applyFill="0" applyAlignment="0" applyProtection="0"/>
    <xf numFmtId="183" fontId="108" fillId="0" borderId="26" applyNumberFormat="0" applyFill="0" applyAlignment="0" applyProtection="0"/>
    <xf numFmtId="183" fontId="108" fillId="0" borderId="26" applyNumberFormat="0" applyFill="0" applyAlignment="0" applyProtection="0"/>
    <xf numFmtId="183" fontId="108" fillId="0" borderId="26" applyNumberFormat="0" applyFill="0" applyAlignment="0" applyProtection="0"/>
    <xf numFmtId="183" fontId="108" fillId="0" borderId="26" applyNumberFormat="0" applyFill="0" applyAlignment="0" applyProtection="0"/>
    <xf numFmtId="0" fontId="108" fillId="0" borderId="26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82" fontId="109" fillId="0" borderId="0" applyNumberFormat="0" applyFill="0" applyBorder="0" applyAlignment="0" applyProtection="0"/>
    <xf numFmtId="182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108" fillId="0" borderId="0" applyNumberFormat="0" applyFill="0" applyBorder="0" applyAlignment="0" applyProtection="0"/>
    <xf numFmtId="183" fontId="108" fillId="0" borderId="0" applyNumberFormat="0" applyFill="0" applyBorder="0" applyAlignment="0" applyProtection="0"/>
    <xf numFmtId="183" fontId="108" fillId="0" borderId="0" applyNumberFormat="0" applyFill="0" applyBorder="0" applyAlignment="0" applyProtection="0"/>
    <xf numFmtId="183" fontId="108" fillId="0" borderId="0" applyNumberFormat="0" applyFill="0" applyBorder="0" applyAlignment="0" applyProtection="0"/>
    <xf numFmtId="183" fontId="108" fillId="0" borderId="0" applyNumberFormat="0" applyFill="0" applyBorder="0" applyAlignment="0" applyProtection="0"/>
    <xf numFmtId="183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2" borderId="20" applyNumberFormat="0" applyAlignment="0" applyProtection="0"/>
    <xf numFmtId="0" fontId="110" fillId="2" borderId="20" applyNumberFormat="0" applyAlignment="0" applyProtection="0"/>
    <xf numFmtId="0" fontId="110" fillId="2" borderId="20" applyNumberFormat="0" applyAlignment="0" applyProtection="0"/>
    <xf numFmtId="0" fontId="110" fillId="2" borderId="20" applyNumberFormat="0" applyAlignment="0" applyProtection="0"/>
    <xf numFmtId="0" fontId="110" fillId="2" borderId="20" applyNumberFormat="0" applyAlignment="0" applyProtection="0"/>
    <xf numFmtId="182" fontId="111" fillId="29" borderId="15" applyNumberFormat="0" applyAlignment="0" applyProtection="0"/>
    <xf numFmtId="182" fontId="111" fillId="29" borderId="15" applyNumberFormat="0" applyAlignment="0" applyProtection="0"/>
    <xf numFmtId="0" fontId="82" fillId="29" borderId="15" applyNumberFormat="0" applyAlignment="0" applyProtection="0"/>
    <xf numFmtId="183" fontId="110" fillId="2" borderId="20" applyNumberFormat="0" applyAlignment="0" applyProtection="0"/>
    <xf numFmtId="183" fontId="110" fillId="2" borderId="20" applyNumberFormat="0" applyAlignment="0" applyProtection="0"/>
    <xf numFmtId="183" fontId="110" fillId="2" borderId="20" applyNumberFormat="0" applyAlignment="0" applyProtection="0"/>
    <xf numFmtId="183" fontId="110" fillId="2" borderId="20" applyNumberFormat="0" applyAlignment="0" applyProtection="0"/>
    <xf numFmtId="183" fontId="110" fillId="2" borderId="20" applyNumberFormat="0" applyAlignment="0" applyProtection="0"/>
    <xf numFmtId="183" fontId="110" fillId="2" borderId="20" applyNumberFormat="0" applyAlignment="0" applyProtection="0"/>
    <xf numFmtId="0" fontId="110" fillId="2" borderId="20" applyNumberFormat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2" fillId="0" borderId="27" applyNumberFormat="0" applyFill="0" applyAlignment="0" applyProtection="0"/>
    <xf numFmtId="182" fontId="113" fillId="0" borderId="17" applyNumberFormat="0" applyFill="0" applyAlignment="0" applyProtection="0"/>
    <xf numFmtId="182" fontId="113" fillId="0" borderId="17" applyNumberFormat="0" applyFill="0" applyAlignment="0" applyProtection="0"/>
    <xf numFmtId="0" fontId="85" fillId="0" borderId="17" applyNumberFormat="0" applyFill="0" applyAlignment="0" applyProtection="0"/>
    <xf numFmtId="183" fontId="112" fillId="0" borderId="27" applyNumberFormat="0" applyFill="0" applyAlignment="0" applyProtection="0"/>
    <xf numFmtId="183" fontId="112" fillId="0" borderId="27" applyNumberFormat="0" applyFill="0" applyAlignment="0" applyProtection="0"/>
    <xf numFmtId="183" fontId="112" fillId="0" borderId="27" applyNumberFormat="0" applyFill="0" applyAlignment="0" applyProtection="0"/>
    <xf numFmtId="183" fontId="112" fillId="0" borderId="27" applyNumberFormat="0" applyFill="0" applyAlignment="0" applyProtection="0"/>
    <xf numFmtId="183" fontId="112" fillId="0" borderId="27" applyNumberFormat="0" applyFill="0" applyAlignment="0" applyProtection="0"/>
    <xf numFmtId="183" fontId="112" fillId="0" borderId="27" applyNumberFormat="0" applyFill="0" applyAlignment="0" applyProtection="0"/>
    <xf numFmtId="0" fontId="112" fillId="0" borderId="27" applyNumberFormat="0" applyFill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182" fontId="115" fillId="28" borderId="0" applyNumberFormat="0" applyBorder="0" applyAlignment="0" applyProtection="0"/>
    <xf numFmtId="182" fontId="115" fillId="28" borderId="0" applyNumberFormat="0" applyBorder="0" applyAlignment="0" applyProtection="0"/>
    <xf numFmtId="0" fontId="81" fillId="28" borderId="0" applyNumberFormat="0" applyBorder="0" applyAlignment="0" applyProtection="0"/>
    <xf numFmtId="183" fontId="114" fillId="3" borderId="0" applyNumberFormat="0" applyBorder="0" applyAlignment="0" applyProtection="0"/>
    <xf numFmtId="183" fontId="114" fillId="3" borderId="0" applyNumberFormat="0" applyBorder="0" applyAlignment="0" applyProtection="0"/>
    <xf numFmtId="183" fontId="114" fillId="3" borderId="0" applyNumberFormat="0" applyBorder="0" applyAlignment="0" applyProtection="0"/>
    <xf numFmtId="183" fontId="114" fillId="3" borderId="0" applyNumberFormat="0" applyBorder="0" applyAlignment="0" applyProtection="0"/>
    <xf numFmtId="183" fontId="114" fillId="3" borderId="0" applyNumberFormat="0" applyBorder="0" applyAlignment="0" applyProtection="0"/>
    <xf numFmtId="183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2" fontId="4" fillId="0" borderId="0"/>
    <xf numFmtId="182" fontId="4" fillId="0" borderId="0"/>
    <xf numFmtId="0" fontId="5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52" fillId="0" borderId="0"/>
    <xf numFmtId="183" fontId="52" fillId="0" borderId="0"/>
    <xf numFmtId="183" fontId="52" fillId="0" borderId="0"/>
    <xf numFmtId="183" fontId="52" fillId="0" borderId="0"/>
    <xf numFmtId="183" fontId="52" fillId="0" borderId="0"/>
    <xf numFmtId="182" fontId="91" fillId="0" borderId="0"/>
    <xf numFmtId="182" fontId="91" fillId="0" borderId="0"/>
    <xf numFmtId="0" fontId="5" fillId="0" borderId="0"/>
    <xf numFmtId="0" fontId="4" fillId="0" borderId="0"/>
    <xf numFmtId="183" fontId="52" fillId="0" borderId="0"/>
    <xf numFmtId="183" fontId="52" fillId="0" borderId="0"/>
    <xf numFmtId="183" fontId="52" fillId="0" borderId="0"/>
    <xf numFmtId="183" fontId="52" fillId="0" borderId="0"/>
    <xf numFmtId="183" fontId="52" fillId="0" borderId="0"/>
    <xf numFmtId="183" fontId="52" fillId="0" borderId="0"/>
    <xf numFmtId="183" fontId="52" fillId="0" borderId="0"/>
    <xf numFmtId="183" fontId="52" fillId="0" borderId="0"/>
    <xf numFmtId="0" fontId="4" fillId="0" borderId="0"/>
    <xf numFmtId="182" fontId="91" fillId="0" borderId="0"/>
    <xf numFmtId="0" fontId="4" fillId="0" borderId="0"/>
    <xf numFmtId="182" fontId="91" fillId="0" borderId="0"/>
    <xf numFmtId="182" fontId="91" fillId="0" borderId="0"/>
    <xf numFmtId="0" fontId="4" fillId="0" borderId="0"/>
    <xf numFmtId="182" fontId="91" fillId="0" borderId="0"/>
    <xf numFmtId="0" fontId="2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182" fontId="91" fillId="0" borderId="0"/>
    <xf numFmtId="0" fontId="116" fillId="25" borderId="13" applyNumberFormat="0" applyFont="0" applyAlignment="0" applyProtection="0"/>
    <xf numFmtId="0" fontId="116" fillId="25" borderId="13" applyNumberFormat="0" applyFont="0" applyAlignment="0" applyProtection="0"/>
    <xf numFmtId="0" fontId="116" fillId="25" borderId="13" applyNumberFormat="0" applyFont="0" applyAlignment="0" applyProtection="0"/>
    <xf numFmtId="0" fontId="116" fillId="25" borderId="13" applyNumberFormat="0" applyFont="0" applyAlignment="0" applyProtection="0"/>
    <xf numFmtId="0" fontId="116" fillId="25" borderId="13" applyNumberFormat="0" applyFont="0" applyAlignment="0" applyProtection="0"/>
    <xf numFmtId="182" fontId="116" fillId="32" borderId="19" applyNumberFormat="0" applyFont="0" applyAlignment="0" applyProtection="0"/>
    <xf numFmtId="182" fontId="116" fillId="32" borderId="19" applyNumberFormat="0" applyFont="0" applyAlignment="0" applyProtection="0"/>
    <xf numFmtId="182" fontId="116" fillId="32" borderId="19" applyNumberFormat="0" applyFont="0" applyAlignment="0" applyProtection="0"/>
    <xf numFmtId="182" fontId="116" fillId="32" borderId="19" applyNumberFormat="0" applyFont="0" applyAlignment="0" applyProtection="0"/>
    <xf numFmtId="183" fontId="116" fillId="25" borderId="13" applyNumberFormat="0" applyFont="0" applyAlignment="0" applyProtection="0"/>
    <xf numFmtId="182" fontId="116" fillId="32" borderId="19" applyNumberFormat="0" applyFont="0" applyAlignment="0" applyProtection="0"/>
    <xf numFmtId="182" fontId="116" fillId="32" borderId="19" applyNumberFormat="0" applyFont="0" applyAlignment="0" applyProtection="0"/>
    <xf numFmtId="183" fontId="116" fillId="25" borderId="13" applyNumberFormat="0" applyFont="0" applyAlignment="0" applyProtection="0"/>
    <xf numFmtId="182" fontId="116" fillId="32" borderId="19" applyNumberFormat="0" applyFont="0" applyAlignment="0" applyProtection="0"/>
    <xf numFmtId="182" fontId="116" fillId="32" borderId="19" applyNumberFormat="0" applyFont="0" applyAlignment="0" applyProtection="0"/>
    <xf numFmtId="183" fontId="116" fillId="25" borderId="13" applyNumberFormat="0" applyFont="0" applyAlignment="0" applyProtection="0"/>
    <xf numFmtId="182" fontId="116" fillId="32" borderId="19" applyNumberFormat="0" applyFont="0" applyAlignment="0" applyProtection="0"/>
    <xf numFmtId="182" fontId="116" fillId="32" borderId="19" applyNumberFormat="0" applyFont="0" applyAlignment="0" applyProtection="0"/>
    <xf numFmtId="183" fontId="116" fillId="25" borderId="13" applyNumberFormat="0" applyFont="0" applyAlignment="0" applyProtection="0"/>
    <xf numFmtId="182" fontId="116" fillId="32" borderId="19" applyNumberFormat="0" applyFont="0" applyAlignment="0" applyProtection="0"/>
    <xf numFmtId="182" fontId="116" fillId="32" borderId="19" applyNumberFormat="0" applyFont="0" applyAlignment="0" applyProtection="0"/>
    <xf numFmtId="183" fontId="116" fillId="25" borderId="13" applyNumberFormat="0" applyFont="0" applyAlignment="0" applyProtection="0"/>
    <xf numFmtId="182" fontId="116" fillId="32" borderId="19" applyNumberFormat="0" applyFont="0" applyAlignment="0" applyProtection="0"/>
    <xf numFmtId="182" fontId="116" fillId="32" borderId="19" applyNumberFormat="0" applyFont="0" applyAlignment="0" applyProtection="0"/>
    <xf numFmtId="0" fontId="116" fillId="25" borderId="13" applyNumberFormat="0" applyFont="0" applyAlignment="0" applyProtection="0"/>
    <xf numFmtId="0" fontId="117" fillId="67" borderId="28" applyNumberFormat="0" applyAlignment="0" applyProtection="0"/>
    <xf numFmtId="0" fontId="117" fillId="67" borderId="28" applyNumberFormat="0" applyAlignment="0" applyProtection="0"/>
    <xf numFmtId="0" fontId="117" fillId="67" borderId="28" applyNumberFormat="0" applyAlignment="0" applyProtection="0"/>
    <xf numFmtId="0" fontId="117" fillId="67" borderId="28" applyNumberFormat="0" applyAlignment="0" applyProtection="0"/>
    <xf numFmtId="0" fontId="117" fillId="67" borderId="28" applyNumberFormat="0" applyAlignment="0" applyProtection="0"/>
    <xf numFmtId="182" fontId="118" fillId="30" borderId="16" applyNumberFormat="0" applyAlignment="0" applyProtection="0"/>
    <xf numFmtId="182" fontId="118" fillId="30" borderId="16" applyNumberFormat="0" applyAlignment="0" applyProtection="0"/>
    <xf numFmtId="0" fontId="83" fillId="30" borderId="16" applyNumberFormat="0" applyAlignment="0" applyProtection="0"/>
    <xf numFmtId="183" fontId="117" fillId="67" borderId="28" applyNumberFormat="0" applyAlignment="0" applyProtection="0"/>
    <xf numFmtId="183" fontId="117" fillId="67" borderId="28" applyNumberFormat="0" applyAlignment="0" applyProtection="0"/>
    <xf numFmtId="183" fontId="117" fillId="67" borderId="28" applyNumberFormat="0" applyAlignment="0" applyProtection="0"/>
    <xf numFmtId="183" fontId="117" fillId="67" borderId="28" applyNumberFormat="0" applyAlignment="0" applyProtection="0"/>
    <xf numFmtId="183" fontId="117" fillId="67" borderId="28" applyNumberFormat="0" applyAlignment="0" applyProtection="0"/>
    <xf numFmtId="183" fontId="117" fillId="67" borderId="28" applyNumberFormat="0" applyAlignment="0" applyProtection="0"/>
    <xf numFmtId="0" fontId="117" fillId="67" borderId="28" applyNumberFormat="0" applyAlignment="0" applyProtection="0"/>
    <xf numFmtId="0" fontId="42" fillId="6" borderId="0">
      <alignment horizontal="center" vertical="center"/>
    </xf>
    <xf numFmtId="0" fontId="42" fillId="6" borderId="0">
      <alignment horizontal="center" vertical="center"/>
    </xf>
    <xf numFmtId="0" fontId="42" fillId="6" borderId="0">
      <alignment horizontal="center" vertical="center"/>
    </xf>
    <xf numFmtId="0" fontId="42" fillId="6" borderId="0">
      <alignment horizontal="center" vertical="center"/>
    </xf>
    <xf numFmtId="0" fontId="42" fillId="6" borderId="0">
      <alignment horizontal="center" vertical="center"/>
    </xf>
    <xf numFmtId="0" fontId="42" fillId="6" borderId="0">
      <alignment horizontal="center" vertical="center"/>
    </xf>
    <xf numFmtId="182" fontId="42" fillId="6" borderId="0">
      <alignment horizontal="center" vertical="center"/>
    </xf>
    <xf numFmtId="182" fontId="42" fillId="6" borderId="0">
      <alignment horizontal="center" vertical="center"/>
    </xf>
    <xf numFmtId="0" fontId="42" fillId="6" borderId="0">
      <alignment horizontal="center" vertical="center"/>
    </xf>
    <xf numFmtId="0" fontId="40" fillId="6" borderId="2"/>
    <xf numFmtId="0" fontId="40" fillId="6" borderId="2"/>
    <xf numFmtId="0" fontId="40" fillId="6" borderId="2"/>
    <xf numFmtId="0" fontId="40" fillId="6" borderId="2"/>
    <xf numFmtId="0" fontId="40" fillId="6" borderId="2"/>
    <xf numFmtId="0" fontId="40" fillId="6" borderId="2"/>
    <xf numFmtId="182" fontId="40" fillId="6" borderId="2"/>
    <xf numFmtId="182" fontId="40" fillId="6" borderId="2"/>
    <xf numFmtId="0" fontId="40" fillId="6" borderId="2"/>
    <xf numFmtId="0" fontId="42" fillId="6" borderId="0" applyBorder="0">
      <alignment horizontal="centerContinuous"/>
    </xf>
    <xf numFmtId="0" fontId="42" fillId="6" borderId="0" applyBorder="0">
      <alignment horizontal="centerContinuous"/>
    </xf>
    <xf numFmtId="0" fontId="42" fillId="6" borderId="0" applyBorder="0">
      <alignment horizontal="centerContinuous"/>
    </xf>
    <xf numFmtId="0" fontId="42" fillId="6" borderId="0" applyBorder="0">
      <alignment horizontal="centerContinuous"/>
    </xf>
    <xf numFmtId="0" fontId="42" fillId="6" borderId="0" applyBorder="0">
      <alignment horizontal="centerContinuous"/>
    </xf>
    <xf numFmtId="0" fontId="42" fillId="6" borderId="0" applyBorder="0">
      <alignment horizontal="centerContinuous"/>
    </xf>
    <xf numFmtId="182" fontId="42" fillId="6" borderId="0" applyBorder="0">
      <alignment horizontal="centerContinuous"/>
    </xf>
    <xf numFmtId="182" fontId="42" fillId="6" borderId="0" applyBorder="0">
      <alignment horizontal="centerContinuous"/>
    </xf>
    <xf numFmtId="0" fontId="42" fillId="6" borderId="0" applyBorder="0">
      <alignment horizontal="centerContinuous"/>
    </xf>
    <xf numFmtId="0" fontId="43" fillId="6" borderId="0" applyBorder="0">
      <alignment horizontal="centerContinuous"/>
    </xf>
    <xf numFmtId="0" fontId="43" fillId="6" borderId="0" applyBorder="0">
      <alignment horizontal="centerContinuous"/>
    </xf>
    <xf numFmtId="0" fontId="43" fillId="6" borderId="0" applyBorder="0">
      <alignment horizontal="centerContinuous"/>
    </xf>
    <xf numFmtId="0" fontId="43" fillId="6" borderId="0" applyBorder="0">
      <alignment horizontal="centerContinuous"/>
    </xf>
    <xf numFmtId="0" fontId="43" fillId="6" borderId="0" applyBorder="0">
      <alignment horizontal="centerContinuous"/>
    </xf>
    <xf numFmtId="0" fontId="43" fillId="6" borderId="0" applyBorder="0">
      <alignment horizontal="centerContinuous"/>
    </xf>
    <xf numFmtId="182" fontId="43" fillId="6" borderId="0" applyBorder="0">
      <alignment horizontal="centerContinuous"/>
    </xf>
    <xf numFmtId="182" fontId="43" fillId="6" borderId="0" applyBorder="0">
      <alignment horizontal="centerContinuous"/>
    </xf>
    <xf numFmtId="0" fontId="43" fillId="6" borderId="0" applyBorder="0">
      <alignment horizontal="centerContinuous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82" fontId="77" fillId="0" borderId="0" applyNumberFormat="0" applyFill="0" applyBorder="0" applyAlignment="0" applyProtection="0"/>
    <xf numFmtId="18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3" fontId="119" fillId="0" borderId="0" applyNumberFormat="0" applyFill="0" applyBorder="0" applyAlignment="0" applyProtection="0"/>
    <xf numFmtId="183" fontId="119" fillId="0" borderId="0" applyNumberFormat="0" applyFill="0" applyBorder="0" applyAlignment="0" applyProtection="0"/>
    <xf numFmtId="183" fontId="119" fillId="0" borderId="0" applyNumberFormat="0" applyFill="0" applyBorder="0" applyAlignment="0" applyProtection="0"/>
    <xf numFmtId="183" fontId="119" fillId="0" borderId="0" applyNumberFormat="0" applyFill="0" applyBorder="0" applyAlignment="0" applyProtection="0"/>
    <xf numFmtId="183" fontId="119" fillId="0" borderId="0" applyNumberFormat="0" applyFill="0" applyBorder="0" applyAlignment="0" applyProtection="0"/>
    <xf numFmtId="183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29" applyNumberFormat="0" applyFill="0" applyAlignment="0" applyProtection="0"/>
    <xf numFmtId="0" fontId="120" fillId="0" borderId="29" applyNumberFormat="0" applyFill="0" applyAlignment="0" applyProtection="0"/>
    <xf numFmtId="0" fontId="120" fillId="0" borderId="29" applyNumberFormat="0" applyFill="0" applyAlignment="0" applyProtection="0"/>
    <xf numFmtId="0" fontId="120" fillId="0" borderId="29" applyNumberFormat="0" applyFill="0" applyAlignment="0" applyProtection="0"/>
    <xf numFmtId="0" fontId="120" fillId="0" borderId="29" applyNumberFormat="0" applyFill="0" applyAlignment="0" applyProtection="0"/>
    <xf numFmtId="182" fontId="121" fillId="0" borderId="30" applyNumberFormat="0" applyFill="0" applyAlignment="0" applyProtection="0"/>
    <xf numFmtId="182" fontId="121" fillId="0" borderId="30" applyNumberFormat="0" applyFill="0" applyAlignment="0" applyProtection="0"/>
    <xf numFmtId="183" fontId="120" fillId="0" borderId="29" applyNumberFormat="0" applyFill="0" applyAlignment="0" applyProtection="0"/>
    <xf numFmtId="183" fontId="120" fillId="0" borderId="29" applyNumberFormat="0" applyFill="0" applyAlignment="0" applyProtection="0"/>
    <xf numFmtId="183" fontId="120" fillId="0" borderId="29" applyNumberFormat="0" applyFill="0" applyAlignment="0" applyProtection="0"/>
    <xf numFmtId="183" fontId="120" fillId="0" borderId="29" applyNumberFormat="0" applyFill="0" applyAlignment="0" applyProtection="0"/>
    <xf numFmtId="183" fontId="120" fillId="0" borderId="29" applyNumberFormat="0" applyFill="0" applyAlignment="0" applyProtection="0"/>
    <xf numFmtId="0" fontId="120" fillId="0" borderId="29" applyNumberFormat="0" applyFill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2" fontId="123" fillId="0" borderId="0" applyNumberFormat="0" applyFill="0" applyBorder="0" applyAlignment="0" applyProtection="0"/>
    <xf numFmtId="182" fontId="12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3" fontId="122" fillId="0" borderId="0" applyNumberFormat="0" applyFill="0" applyBorder="0" applyAlignment="0" applyProtection="0"/>
    <xf numFmtId="183" fontId="122" fillId="0" borderId="0" applyNumberFormat="0" applyFill="0" applyBorder="0" applyAlignment="0" applyProtection="0"/>
    <xf numFmtId="183" fontId="122" fillId="0" borderId="0" applyNumberFormat="0" applyFill="0" applyBorder="0" applyAlignment="0" applyProtection="0"/>
    <xf numFmtId="183" fontId="122" fillId="0" borderId="0" applyNumberFormat="0" applyFill="0" applyBorder="0" applyAlignment="0" applyProtection="0"/>
    <xf numFmtId="183" fontId="122" fillId="0" borderId="0" applyNumberFormat="0" applyFill="0" applyBorder="0" applyAlignment="0" applyProtection="0"/>
    <xf numFmtId="183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" fillId="9" borderId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10" borderId="9" applyNumberFormat="0" applyFont="0" applyAlignment="0">
      <protection locked="0"/>
    </xf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" fillId="0" borderId="0" applyProtection="0"/>
    <xf numFmtId="0" fontId="3" fillId="0" borderId="0" applyProtection="0"/>
    <xf numFmtId="0" fontId="17" fillId="0" borderId="0" applyProtection="0"/>
    <xf numFmtId="0" fontId="17" fillId="0" borderId="0" applyProtection="0"/>
    <xf numFmtId="0" fontId="18" fillId="0" borderId="0" applyProtection="0"/>
    <xf numFmtId="0" fontId="18" fillId="0" borderId="0" applyProtection="0"/>
    <xf numFmtId="0" fontId="15" fillId="0" borderId="0" applyProtection="0"/>
    <xf numFmtId="0" fontId="15" fillId="0" borderId="0" applyProtection="0"/>
    <xf numFmtId="0" fontId="4" fillId="0" borderId="0" applyProtection="0"/>
    <xf numFmtId="0" fontId="4" fillId="0" borderId="0" applyProtection="0"/>
    <xf numFmtId="0" fontId="3" fillId="0" borderId="0" applyProtection="0"/>
    <xf numFmtId="0" fontId="3" fillId="0" borderId="0" applyProtection="0"/>
    <xf numFmtId="0" fontId="19" fillId="0" borderId="0" applyProtection="0"/>
    <xf numFmtId="0" fontId="19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4" fillId="23" borderId="0" applyNumberFormat="0" applyProtection="0">
      <alignment horizontal="left" vertical="center" indent="1"/>
    </xf>
    <xf numFmtId="0" fontId="4" fillId="22" borderId="10" applyNumberFormat="0" applyProtection="0">
      <alignment horizontal="left" vertical="center" indent="1"/>
    </xf>
    <xf numFmtId="0" fontId="4" fillId="22" borderId="11" applyNumberFormat="0" applyProtection="0">
      <alignment horizontal="left" vertical="top" indent="1"/>
    </xf>
    <xf numFmtId="0" fontId="4" fillId="22" borderId="10" applyNumberFormat="0" applyProtection="0">
      <alignment horizontal="left" vertical="center" indent="1"/>
    </xf>
    <xf numFmtId="0" fontId="4" fillId="22" borderId="11" applyNumberFormat="0" applyProtection="0">
      <alignment horizontal="left" vertical="top" indent="1"/>
    </xf>
    <xf numFmtId="0" fontId="4" fillId="22" borderId="10" applyNumberFormat="0" applyProtection="0">
      <alignment horizontal="left" vertical="center" indent="1"/>
    </xf>
    <xf numFmtId="0" fontId="4" fillId="22" borderId="11" applyNumberFormat="0" applyProtection="0">
      <alignment horizontal="left" vertical="top" indent="1"/>
    </xf>
    <xf numFmtId="0" fontId="4" fillId="22" borderId="10" applyNumberFormat="0" applyProtection="0">
      <alignment horizontal="left" vertical="center" indent="1"/>
    </xf>
    <xf numFmtId="0" fontId="4" fillId="22" borderId="11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4" applyNumberFormat="0" applyFont="0" applyFill="0" applyAlignment="0" applyProtection="0"/>
    <xf numFmtId="0" fontId="4" fillId="0" borderId="4" applyNumberFormat="0" applyFont="0" applyFill="0" applyAlignment="0" applyProtection="0"/>
    <xf numFmtId="0" fontId="14" fillId="0" borderId="0"/>
  </cellStyleXfs>
  <cellXfs count="734">
    <xf numFmtId="37" fontId="0" fillId="0" borderId="0" xfId="0"/>
    <xf numFmtId="37" fontId="5" fillId="0" borderId="0" xfId="0" applyFont="1" applyAlignment="1">
      <alignment horizontal="left"/>
    </xf>
    <xf numFmtId="37" fontId="5" fillId="0" borderId="0" xfId="0" applyFont="1"/>
    <xf numFmtId="37" fontId="5" fillId="0" borderId="0" xfId="0" applyFont="1" applyAlignment="1">
      <alignment horizontal="right"/>
    </xf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7" fillId="0" borderId="0" xfId="0" applyFont="1" applyAlignment="1">
      <alignment horizontal="right"/>
    </xf>
    <xf numFmtId="37" fontId="5" fillId="0" borderId="0" xfId="0" applyFont="1" applyAlignment="1">
      <alignment horizontal="center"/>
    </xf>
    <xf numFmtId="37" fontId="5" fillId="0" borderId="0" xfId="0" applyNumberFormat="1" applyFont="1" applyProtection="1"/>
    <xf numFmtId="37" fontId="5" fillId="0" borderId="0" xfId="0" applyFont="1" applyAlignment="1">
      <alignment horizontal="fill"/>
    </xf>
    <xf numFmtId="37" fontId="7" fillId="0" borderId="0" xfId="0" quotePrefix="1" applyFont="1" applyAlignment="1">
      <alignment horizontal="right"/>
    </xf>
    <xf numFmtId="37" fontId="5" fillId="0" borderId="0" xfId="0" quotePrefix="1" applyFont="1" applyAlignment="1">
      <alignment horizontal="left"/>
    </xf>
    <xf numFmtId="37" fontId="8" fillId="0" borderId="0" xfId="0" applyFont="1" applyAlignment="1">
      <alignment horizontal="centerContinuous"/>
    </xf>
    <xf numFmtId="37" fontId="6" fillId="0" borderId="0" xfId="0" quotePrefix="1" applyFont="1" applyAlignment="1">
      <alignment horizontal="centerContinuous"/>
    </xf>
    <xf numFmtId="37" fontId="5" fillId="0" borderId="5" xfId="0" applyFont="1" applyBorder="1" applyAlignment="1">
      <alignment horizontal="center"/>
    </xf>
    <xf numFmtId="37" fontId="5" fillId="0" borderId="5" xfId="0" applyFont="1" applyBorder="1"/>
    <xf numFmtId="37" fontId="5" fillId="0" borderId="0" xfId="0" applyFont="1" applyBorder="1" applyAlignment="1">
      <alignment horizontal="center"/>
    </xf>
    <xf numFmtId="37" fontId="8" fillId="0" borderId="0" xfId="0" applyFont="1" applyAlignment="1">
      <alignment horizontal="right"/>
    </xf>
    <xf numFmtId="37" fontId="5" fillId="0" borderId="0" xfId="0" applyNumberFormat="1" applyFont="1" applyBorder="1" applyProtection="1"/>
    <xf numFmtId="37" fontId="5" fillId="0" borderId="0" xfId="0" applyFont="1" applyBorder="1" applyAlignment="1">
      <alignment horizontal="right"/>
    </xf>
    <xf numFmtId="37" fontId="5" fillId="0" borderId="0" xfId="0" applyFont="1" applyBorder="1"/>
    <xf numFmtId="37" fontId="5" fillId="0" borderId="0" xfId="0" applyFont="1" applyBorder="1" applyAlignment="1">
      <alignment horizontal="left"/>
    </xf>
    <xf numFmtId="37" fontId="8" fillId="0" borderId="0" xfId="0" quotePrefix="1" applyFont="1" applyAlignment="1">
      <alignment horizontal="right"/>
    </xf>
    <xf numFmtId="167" fontId="5" fillId="0" borderId="0" xfId="7" applyNumberFormat="1" applyFont="1" applyProtection="1"/>
    <xf numFmtId="167" fontId="5" fillId="0" borderId="5" xfId="7" applyNumberFormat="1" applyFont="1" applyBorder="1" applyProtection="1"/>
    <xf numFmtId="37" fontId="5" fillId="0" borderId="0" xfId="0" quotePrefix="1" applyFont="1" applyBorder="1" applyAlignment="1">
      <alignment horizontal="left"/>
    </xf>
    <xf numFmtId="167" fontId="5" fillId="0" borderId="0" xfId="7" applyNumberFormat="1" applyFont="1" applyBorder="1" applyAlignment="1">
      <alignment horizontal="centerContinuous"/>
    </xf>
    <xf numFmtId="167" fontId="9" fillId="0" borderId="0" xfId="7" applyNumberFormat="1" applyFont="1" applyBorder="1" applyAlignment="1">
      <alignment horizontal="centerContinuous"/>
    </xf>
    <xf numFmtId="167" fontId="5" fillId="0" borderId="0" xfId="7" applyNumberFormat="1" applyFont="1" applyBorder="1"/>
    <xf numFmtId="167" fontId="5" fillId="0" borderId="0" xfId="7" applyNumberFormat="1" applyFont="1" applyBorder="1" applyProtection="1"/>
    <xf numFmtId="167" fontId="5" fillId="0" borderId="0" xfId="7" applyNumberFormat="1" applyFont="1" applyBorder="1" applyAlignment="1">
      <alignment horizontal="right"/>
    </xf>
    <xf numFmtId="169" fontId="5" fillId="0" borderId="0" xfId="12" applyNumberFormat="1" applyFont="1"/>
    <xf numFmtId="169" fontId="5" fillId="0" borderId="0" xfId="12" applyNumberFormat="1" applyFont="1" applyProtection="1"/>
    <xf numFmtId="169" fontId="5" fillId="0" borderId="6" xfId="12" applyNumberFormat="1" applyFont="1" applyBorder="1" applyProtection="1"/>
    <xf numFmtId="169" fontId="5" fillId="0" borderId="0" xfId="12" applyNumberFormat="1" applyFont="1" applyBorder="1"/>
    <xf numFmtId="167" fontId="5" fillId="0" borderId="5" xfId="7" applyNumberFormat="1" applyFont="1" applyBorder="1"/>
    <xf numFmtId="167" fontId="5" fillId="0" borderId="0" xfId="7" applyNumberFormat="1" applyFont="1"/>
    <xf numFmtId="43" fontId="11" fillId="0" borderId="0" xfId="7" applyFont="1" applyAlignment="1">
      <alignment horizontal="center"/>
    </xf>
    <xf numFmtId="43" fontId="11" fillId="0" borderId="0" xfId="7" applyFont="1"/>
    <xf numFmtId="169" fontId="5" fillId="0" borderId="6" xfId="12" applyNumberFormat="1" applyFont="1" applyBorder="1"/>
    <xf numFmtId="169" fontId="5" fillId="0" borderId="0" xfId="12" applyNumberFormat="1" applyFont="1" applyBorder="1" applyProtection="1"/>
    <xf numFmtId="43" fontId="11" fillId="0" borderId="0" xfId="7" applyFont="1" applyBorder="1" applyAlignment="1">
      <alignment horizontal="center"/>
    </xf>
    <xf numFmtId="43" fontId="11" fillId="0" borderId="0" xfId="7" applyFont="1" applyBorder="1"/>
    <xf numFmtId="164" fontId="5" fillId="0" borderId="0" xfId="0" applyNumberFormat="1" applyFont="1"/>
    <xf numFmtId="164" fontId="5" fillId="0" borderId="0" xfId="0" applyNumberFormat="1" applyFont="1" applyProtection="1"/>
    <xf numFmtId="173" fontId="5" fillId="0" borderId="0" xfId="12" applyNumberFormat="1" applyFont="1"/>
    <xf numFmtId="173" fontId="5" fillId="0" borderId="0" xfId="0" applyNumberFormat="1" applyFont="1" applyProtection="1"/>
    <xf numFmtId="173" fontId="5" fillId="0" borderId="6" xfId="0" applyNumberFormat="1" applyFont="1" applyBorder="1"/>
    <xf numFmtId="165" fontId="5" fillId="0" borderId="0" xfId="46" applyNumberFormat="1" applyFont="1" applyBorder="1"/>
    <xf numFmtId="165" fontId="5" fillId="0" borderId="5" xfId="46" applyNumberFormat="1" applyFont="1" applyBorder="1"/>
    <xf numFmtId="43" fontId="5" fillId="0" borderId="5" xfId="7" applyFont="1" applyBorder="1" applyAlignment="1">
      <alignment horizontal="center"/>
    </xf>
    <xf numFmtId="167" fontId="5" fillId="0" borderId="0" xfId="7" applyNumberFormat="1" applyFont="1" applyBorder="1" applyProtection="1">
      <protection locked="0"/>
    </xf>
    <xf numFmtId="37" fontId="6" fillId="0" borderId="0" xfId="0" applyFont="1" applyAlignment="1">
      <alignment horizontal="center"/>
    </xf>
    <xf numFmtId="167" fontId="5" fillId="0" borderId="0" xfId="7" applyNumberFormat="1" applyFont="1" applyProtection="1">
      <protection locked="0"/>
    </xf>
    <xf numFmtId="43" fontId="5" fillId="0" borderId="0" xfId="7" applyFont="1" applyBorder="1" applyAlignment="1">
      <alignment horizontal="center"/>
    </xf>
    <xf numFmtId="10" fontId="5" fillId="0" borderId="0" xfId="46" applyNumberFormat="1" applyFont="1" applyBorder="1" applyAlignment="1">
      <alignment horizontal="center"/>
    </xf>
    <xf numFmtId="167" fontId="5" fillId="0" borderId="0" xfId="7" applyNumberFormat="1" applyFont="1" applyAlignment="1">
      <alignment horizontal="right"/>
    </xf>
    <xf numFmtId="167" fontId="5" fillId="0" borderId="0" xfId="7" applyNumberFormat="1" applyFont="1" applyFill="1"/>
    <xf numFmtId="10" fontId="5" fillId="0" borderId="0" xfId="46" applyNumberFormat="1" applyFont="1" applyAlignment="1">
      <alignment horizontal="center"/>
    </xf>
    <xf numFmtId="37" fontId="6" fillId="0" borderId="0" xfId="0" quotePrefix="1" applyFont="1" applyAlignment="1">
      <alignment horizontal="center"/>
    </xf>
    <xf numFmtId="37" fontId="7" fillId="0" borderId="0" xfId="0" applyFont="1" applyAlignment="1">
      <alignment horizontal="center"/>
    </xf>
    <xf numFmtId="0" fontId="5" fillId="0" borderId="0" xfId="35" applyFont="1"/>
    <xf numFmtId="0" fontId="5" fillId="0" borderId="0" xfId="35" applyFont="1" applyAlignment="1">
      <alignment horizontal="right"/>
    </xf>
    <xf numFmtId="0" fontId="7" fillId="0" borderId="0" xfId="35" applyFont="1" applyAlignment="1">
      <alignment horizontal="center"/>
    </xf>
    <xf numFmtId="0" fontId="5" fillId="0" borderId="0" xfId="35" applyFont="1" applyAlignment="1">
      <alignment horizontal="center"/>
    </xf>
    <xf numFmtId="0" fontId="5" fillId="0" borderId="0" xfId="35" applyFont="1" applyAlignment="1"/>
    <xf numFmtId="169" fontId="5" fillId="0" borderId="0" xfId="12" applyNumberFormat="1" applyFont="1" applyBorder="1" applyAlignment="1">
      <alignment horizontal="left"/>
    </xf>
    <xf numFmtId="169" fontId="5" fillId="0" borderId="0" xfId="12" applyNumberFormat="1" applyFont="1" applyBorder="1" applyAlignment="1">
      <alignment horizontal="fill"/>
    </xf>
    <xf numFmtId="10" fontId="5" fillId="0" borderId="0" xfId="46" applyNumberFormat="1" applyFont="1" applyFill="1"/>
    <xf numFmtId="167" fontId="5" fillId="0" borderId="7" xfId="7" applyNumberFormat="1" applyFont="1" applyBorder="1" applyProtection="1"/>
    <xf numFmtId="169" fontId="5" fillId="0" borderId="0" xfId="12" applyNumberFormat="1" applyFont="1" applyFill="1"/>
    <xf numFmtId="10" fontId="5" fillId="0" borderId="0" xfId="35" applyNumberFormat="1" applyFont="1" applyAlignment="1">
      <alignment horizontal="center"/>
    </xf>
    <xf numFmtId="0" fontId="5" fillId="0" borderId="0" xfId="35" applyFont="1" applyBorder="1" applyAlignment="1">
      <alignment horizontal="right"/>
    </xf>
    <xf numFmtId="169" fontId="5" fillId="0" borderId="8" xfId="12" applyNumberFormat="1" applyFont="1" applyBorder="1"/>
    <xf numFmtId="0" fontId="5" fillId="0" borderId="0" xfId="35" quotePrefix="1" applyFont="1" applyAlignment="1">
      <alignment horizontal="center"/>
    </xf>
    <xf numFmtId="0" fontId="5" fillId="0" borderId="5" xfId="35" applyFont="1" applyBorder="1" applyAlignment="1">
      <alignment horizontal="center"/>
    </xf>
    <xf numFmtId="165" fontId="5" fillId="0" borderId="8" xfId="46" applyNumberFormat="1" applyFont="1" applyBorder="1"/>
    <xf numFmtId="171" fontId="5" fillId="0" borderId="5" xfId="7" applyNumberFormat="1" applyFont="1" applyBorder="1" applyProtection="1"/>
    <xf numFmtId="171" fontId="5" fillId="0" borderId="0" xfId="7" applyNumberFormat="1" applyFont="1" applyProtection="1"/>
    <xf numFmtId="171" fontId="5" fillId="0" borderId="0" xfId="7" applyNumberFormat="1" applyFont="1" applyBorder="1" applyProtection="1"/>
    <xf numFmtId="37" fontId="14" fillId="0" borderId="0" xfId="0" applyFont="1"/>
    <xf numFmtId="164" fontId="14" fillId="0" borderId="0" xfId="0" applyNumberFormat="1" applyFont="1"/>
    <xf numFmtId="37" fontId="14" fillId="0" borderId="0" xfId="0" applyFont="1" applyBorder="1"/>
    <xf numFmtId="9" fontId="14" fillId="0" borderId="0" xfId="46" applyFont="1"/>
    <xf numFmtId="9" fontId="14" fillId="0" borderId="0" xfId="46" applyFont="1" applyFill="1"/>
    <xf numFmtId="169" fontId="5" fillId="0" borderId="8" xfId="12" applyNumberFormat="1" applyFont="1" applyFill="1" applyBorder="1"/>
    <xf numFmtId="179" fontId="5" fillId="0" borderId="0" xfId="12" applyNumberFormat="1" applyFont="1"/>
    <xf numFmtId="179" fontId="5" fillId="0" borderId="0" xfId="0" applyNumberFormat="1" applyFont="1" applyProtection="1"/>
    <xf numFmtId="179" fontId="5" fillId="0" borderId="0" xfId="7" applyNumberFormat="1" applyFont="1" applyBorder="1"/>
    <xf numFmtId="179" fontId="5" fillId="0" borderId="0" xfId="0" applyNumberFormat="1" applyFont="1" applyBorder="1"/>
    <xf numFmtId="177" fontId="7" fillId="0" borderId="0" xfId="0" applyNumberFormat="1" applyFont="1" applyAlignment="1">
      <alignment horizontal="right"/>
    </xf>
    <xf numFmtId="177" fontId="5" fillId="0" borderId="0" xfId="0" applyNumberFormat="1" applyFont="1"/>
    <xf numFmtId="177" fontId="14" fillId="0" borderId="0" xfId="0" applyNumberFormat="1" applyFont="1"/>
    <xf numFmtId="179" fontId="5" fillId="0" borderId="5" xfId="12" applyNumberFormat="1" applyFont="1" applyBorder="1"/>
    <xf numFmtId="179" fontId="14" fillId="0" borderId="0" xfId="0" applyNumberFormat="1" applyFont="1"/>
    <xf numFmtId="172" fontId="5" fillId="0" borderId="0" xfId="7" applyNumberFormat="1" applyFont="1" applyProtection="1"/>
    <xf numFmtId="172" fontId="5" fillId="0" borderId="5" xfId="7" applyNumberFormat="1" applyFont="1" applyBorder="1" applyProtection="1"/>
    <xf numFmtId="172" fontId="5" fillId="0" borderId="0" xfId="7" applyNumberFormat="1" applyFont="1" applyBorder="1" applyProtection="1"/>
    <xf numFmtId="172" fontId="5" fillId="0" borderId="0" xfId="7" applyNumberFormat="1" applyFont="1" applyBorder="1"/>
    <xf numFmtId="180" fontId="5" fillId="0" borderId="0" xfId="46" applyNumberFormat="1" applyFont="1" applyFill="1"/>
    <xf numFmtId="180" fontId="5" fillId="0" borderId="0" xfId="46" applyNumberFormat="1" applyFont="1" applyFill="1" applyBorder="1" applyAlignment="1">
      <alignment horizontal="right"/>
    </xf>
    <xf numFmtId="37" fontId="5" fillId="0" borderId="0" xfId="40" applyFont="1" applyAlignment="1">
      <alignment horizontal="left"/>
    </xf>
    <xf numFmtId="180" fontId="5" fillId="0" borderId="0" xfId="46" applyNumberFormat="1" applyFont="1" applyBorder="1" applyProtection="1"/>
    <xf numFmtId="37" fontId="6" fillId="0" borderId="0" xfId="0" applyFont="1" applyBorder="1" applyAlignment="1">
      <alignment horizontal="centerContinuous"/>
    </xf>
    <xf numFmtId="10" fontId="5" fillId="0" borderId="0" xfId="46" applyNumberFormat="1" applyFont="1" applyFill="1" applyAlignment="1">
      <alignment horizontal="center"/>
    </xf>
    <xf numFmtId="37" fontId="5" fillId="0" borderId="0" xfId="0" applyFont="1" applyFill="1"/>
    <xf numFmtId="10" fontId="5" fillId="0" borderId="5" xfId="46" quotePrefix="1" applyNumberFormat="1" applyFont="1" applyFill="1" applyBorder="1"/>
    <xf numFmtId="172" fontId="5" fillId="0" borderId="6" xfId="7" applyNumberFormat="1" applyFont="1" applyBorder="1"/>
    <xf numFmtId="37" fontId="5" fillId="0" borderId="0" xfId="7" applyNumberFormat="1" applyFont="1" applyFill="1"/>
    <xf numFmtId="37" fontId="5" fillId="0" borderId="0" xfId="7" applyNumberFormat="1" applyFont="1" applyFill="1" applyProtection="1">
      <protection locked="0"/>
    </xf>
    <xf numFmtId="167" fontId="5" fillId="0" borderId="0" xfId="7" applyNumberFormat="1" applyFont="1" applyFill="1" applyBorder="1"/>
    <xf numFmtId="167" fontId="5" fillId="0" borderId="0" xfId="7" applyNumberFormat="1" applyFont="1" applyFill="1" applyProtection="1"/>
    <xf numFmtId="167" fontId="5" fillId="0" borderId="0" xfId="7" applyNumberFormat="1" applyFont="1" applyFill="1" applyBorder="1" applyAlignment="1">
      <alignment horizontal="right"/>
    </xf>
    <xf numFmtId="37" fontId="14" fillId="0" borderId="0" xfId="0" applyFont="1" applyFill="1"/>
    <xf numFmtId="175" fontId="5" fillId="0" borderId="0" xfId="0" applyNumberFormat="1" applyFont="1" applyFill="1" applyBorder="1"/>
    <xf numFmtId="37" fontId="8" fillId="0" borderId="0" xfId="0" applyFont="1" applyFill="1" applyAlignment="1">
      <alignment horizontal="left"/>
    </xf>
    <xf numFmtId="37" fontId="5" fillId="0" borderId="0" xfId="0" applyNumberFormat="1" applyFont="1" applyFill="1"/>
    <xf numFmtId="37" fontId="7" fillId="0" borderId="0" xfId="0" applyFont="1" applyFill="1" applyAlignment="1">
      <alignment horizontal="right"/>
    </xf>
    <xf numFmtId="37" fontId="5" fillId="0" borderId="0" xfId="0" applyFont="1" applyFill="1" applyBorder="1"/>
    <xf numFmtId="37" fontId="7" fillId="0" borderId="0" xfId="0" applyFont="1" applyFill="1" applyAlignment="1">
      <alignment horizontal="centerContinuous"/>
    </xf>
    <xf numFmtId="37" fontId="7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0" applyFont="1" applyFill="1" applyAlignment="1">
      <alignment horizontal="centerContinuous"/>
    </xf>
    <xf numFmtId="37" fontId="7" fillId="0" borderId="0" xfId="0" quotePrefix="1" applyFont="1" applyFill="1" applyAlignment="1">
      <alignment horizontal="right"/>
    </xf>
    <xf numFmtId="37" fontId="8" fillId="0" borderId="0" xfId="0" applyFont="1" applyFill="1"/>
    <xf numFmtId="37" fontId="5" fillId="0" borderId="0" xfId="0" applyNumberFormat="1" applyFont="1" applyFill="1" applyAlignment="1">
      <alignment horizontal="left"/>
    </xf>
    <xf numFmtId="37" fontId="8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0" xfId="0" applyFont="1" applyFill="1" applyAlignment="1">
      <alignment horizontal="right"/>
    </xf>
    <xf numFmtId="174" fontId="8" fillId="0" borderId="0" xfId="0" applyNumberFormat="1" applyFont="1" applyFill="1"/>
    <xf numFmtId="37" fontId="5" fillId="0" borderId="5" xfId="0" applyNumberFormat="1" applyFont="1" applyFill="1" applyBorder="1" applyAlignment="1">
      <alignment horizontal="centerContinuous"/>
    </xf>
    <xf numFmtId="37" fontId="5" fillId="0" borderId="5" xfId="0" applyFont="1" applyFill="1" applyBorder="1" applyAlignment="1">
      <alignment horizontal="centerContinuous"/>
    </xf>
    <xf numFmtId="37" fontId="5" fillId="0" borderId="0" xfId="0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5" xfId="0" quotePrefix="1" applyFont="1" applyFill="1" applyBorder="1" applyAlignment="1">
      <alignment horizontal="center"/>
    </xf>
    <xf numFmtId="37" fontId="5" fillId="0" borderId="5" xfId="0" applyNumberFormat="1" applyFont="1" applyFill="1" applyBorder="1" applyAlignment="1">
      <alignment horizontal="center"/>
    </xf>
    <xf numFmtId="37" fontId="5" fillId="0" borderId="5" xfId="0" applyFont="1" applyFill="1" applyBorder="1" applyAlignment="1">
      <alignment horizontal="center"/>
    </xf>
    <xf numFmtId="37" fontId="5" fillId="0" borderId="5" xfId="0" quotePrefix="1" applyNumberFormat="1" applyFont="1" applyFill="1" applyBorder="1" applyAlignment="1">
      <alignment horizontal="center"/>
    </xf>
    <xf numFmtId="37" fontId="5" fillId="0" borderId="0" xfId="0" applyFont="1" applyFill="1" applyAlignment="1">
      <alignment horizontal="left"/>
    </xf>
    <xf numFmtId="37" fontId="5" fillId="0" borderId="0" xfId="0" applyNumberFormat="1" applyFont="1" applyFill="1" applyProtection="1">
      <protection locked="0"/>
    </xf>
    <xf numFmtId="5" fontId="5" fillId="0" borderId="0" xfId="0" applyNumberFormat="1" applyFont="1" applyFill="1" applyProtection="1">
      <protection locked="0"/>
    </xf>
    <xf numFmtId="5" fontId="5" fillId="0" borderId="0" xfId="0" applyNumberFormat="1" applyFont="1" applyFill="1" applyProtection="1"/>
    <xf numFmtId="37" fontId="5" fillId="0" borderId="0" xfId="0" applyNumberFormat="1" applyFont="1" applyFill="1" applyBorder="1" applyAlignment="1">
      <alignment horizontal="right"/>
    </xf>
    <xf numFmtId="37" fontId="5" fillId="0" borderId="0" xfId="0" applyFont="1" applyFill="1" applyBorder="1" applyAlignment="1">
      <alignment horizontal="right"/>
    </xf>
    <xf numFmtId="176" fontId="5" fillId="0" borderId="0" xfId="7" applyNumberFormat="1" applyFont="1" applyFill="1" applyAlignment="1">
      <alignment horizontal="center"/>
    </xf>
    <xf numFmtId="167" fontId="5" fillId="0" borderId="0" xfId="7" applyNumberFormat="1" applyFont="1" applyFill="1" applyProtection="1">
      <protection locked="0"/>
    </xf>
    <xf numFmtId="37" fontId="5" fillId="0" borderId="0" xfId="7" applyNumberFormat="1" applyFont="1" applyFill="1" applyBorder="1" applyAlignment="1">
      <alignment horizontal="right"/>
    </xf>
    <xf numFmtId="37" fontId="5" fillId="0" borderId="0" xfId="0" quotePrefix="1" applyFont="1" applyFill="1" applyAlignment="1">
      <alignment horizontal="left"/>
    </xf>
    <xf numFmtId="37" fontId="8" fillId="0" borderId="0" xfId="0" applyFont="1" applyFill="1" applyAlignment="1">
      <alignment horizontal="fill"/>
    </xf>
    <xf numFmtId="37" fontId="5" fillId="0" borderId="0" xfId="0" applyFont="1" applyFill="1" applyAlignment="1">
      <alignment horizontal="fill"/>
    </xf>
    <xf numFmtId="37" fontId="5" fillId="0" borderId="0" xfId="0" applyNumberFormat="1" applyFont="1" applyFill="1" applyAlignment="1">
      <alignment horizontal="fill"/>
    </xf>
    <xf numFmtId="37" fontId="5" fillId="0" borderId="0" xfId="0" quotePrefix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0" xfId="0" quotePrefix="1" applyNumberFormat="1" applyFont="1" applyFill="1" applyBorder="1" applyAlignment="1">
      <alignment horizontal="center"/>
    </xf>
    <xf numFmtId="37" fontId="5" fillId="0" borderId="0" xfId="12" applyNumberFormat="1" applyFont="1" applyFill="1" applyProtection="1"/>
    <xf numFmtId="169" fontId="5" fillId="0" borderId="0" xfId="12" applyNumberFormat="1" applyFont="1" applyFill="1" applyProtection="1"/>
    <xf numFmtId="169" fontId="5" fillId="0" borderId="1" xfId="12" applyNumberFormat="1" applyFont="1" applyFill="1" applyBorder="1" applyProtection="1"/>
    <xf numFmtId="37" fontId="5" fillId="0" borderId="0" xfId="0" applyNumberFormat="1" applyFont="1" applyFill="1" applyProtection="1"/>
    <xf numFmtId="37" fontId="5" fillId="0" borderId="5" xfId="7" applyNumberFormat="1" applyFont="1" applyFill="1" applyBorder="1" applyAlignment="1">
      <alignment horizontal="right"/>
    </xf>
    <xf numFmtId="37" fontId="5" fillId="0" borderId="0" xfId="7" applyNumberFormat="1" applyFont="1" applyFill="1" applyAlignment="1">
      <alignment horizontal="right"/>
    </xf>
    <xf numFmtId="167" fontId="5" fillId="0" borderId="0" xfId="7" applyNumberFormat="1" applyFont="1" applyFill="1" applyAlignment="1">
      <alignment horizontal="right"/>
    </xf>
    <xf numFmtId="167" fontId="5" fillId="0" borderId="5" xfId="7" applyNumberFormat="1" applyFont="1" applyFill="1" applyBorder="1" applyAlignment="1">
      <alignment horizontal="right"/>
    </xf>
    <xf numFmtId="37" fontId="5" fillId="0" borderId="5" xfId="12" applyNumberFormat="1" applyFont="1" applyFill="1" applyBorder="1" applyProtection="1"/>
    <xf numFmtId="37" fontId="5" fillId="0" borderId="6" xfId="12" applyNumberFormat="1" applyFont="1" applyFill="1" applyBorder="1" applyProtection="1"/>
    <xf numFmtId="169" fontId="5" fillId="0" borderId="6" xfId="12" applyNumberFormat="1" applyFont="1" applyFill="1" applyBorder="1" applyProtection="1"/>
    <xf numFmtId="169" fontId="5" fillId="0" borderId="0" xfId="12" applyNumberFormat="1" applyFont="1" applyFill="1" applyBorder="1" applyProtection="1"/>
    <xf numFmtId="37" fontId="5" fillId="0" borderId="0" xfId="0" applyNumberFormat="1" applyFont="1" applyFill="1" applyBorder="1"/>
    <xf numFmtId="37" fontId="7" fillId="0" borderId="0" xfId="0" applyFont="1" applyFill="1"/>
    <xf numFmtId="43" fontId="11" fillId="0" borderId="0" xfId="7" applyFont="1" applyFill="1" applyAlignment="1">
      <alignment horizontal="left"/>
    </xf>
    <xf numFmtId="37" fontId="5" fillId="0" borderId="0" xfId="0" quotePrefix="1" applyFont="1" applyFill="1" applyAlignment="1">
      <alignment horizontal="center"/>
    </xf>
    <xf numFmtId="37" fontId="6" fillId="0" borderId="0" xfId="0" applyFont="1" applyFill="1"/>
    <xf numFmtId="37" fontId="5" fillId="0" borderId="0" xfId="0" applyNumberFormat="1" applyFont="1" applyFill="1" applyAlignment="1" applyProtection="1">
      <alignment horizontal="right"/>
    </xf>
    <xf numFmtId="169" fontId="5" fillId="0" borderId="0" xfId="12" applyNumberFormat="1" applyFont="1" applyFill="1" applyBorder="1"/>
    <xf numFmtId="10" fontId="5" fillId="0" borderId="0" xfId="46" applyNumberFormat="1" applyFont="1" applyFill="1" applyBorder="1"/>
    <xf numFmtId="10" fontId="5" fillId="0" borderId="8" xfId="46" applyNumberFormat="1" applyFont="1" applyFill="1" applyBorder="1"/>
    <xf numFmtId="0" fontId="5" fillId="0" borderId="0" xfId="46" applyNumberFormat="1" applyFont="1" applyFill="1" applyBorder="1"/>
    <xf numFmtId="43" fontId="11" fillId="0" borderId="0" xfId="7" applyFont="1" applyFill="1" applyBorder="1" applyAlignment="1">
      <alignment horizontal="center"/>
    </xf>
    <xf numFmtId="10" fontId="11" fillId="0" borderId="0" xfId="46" applyNumberFormat="1" applyFont="1" applyFill="1" applyBorder="1" applyAlignment="1">
      <alignment horizontal="center"/>
    </xf>
    <xf numFmtId="37" fontId="7" fillId="0" borderId="0" xfId="0" applyFont="1" applyFill="1" applyBorder="1"/>
    <xf numFmtId="10" fontId="5" fillId="0" borderId="0" xfId="46" applyNumberFormat="1" applyFont="1" applyFill="1" applyBorder="1" applyAlignment="1">
      <alignment horizontal="center"/>
    </xf>
    <xf numFmtId="169" fontId="5" fillId="0" borderId="0" xfId="12" applyNumberFormat="1" applyFont="1" applyFill="1" applyBorder="1" applyAlignment="1">
      <alignment horizontal="right"/>
    </xf>
    <xf numFmtId="43" fontId="11" fillId="0" borderId="0" xfId="7" applyFont="1" applyFill="1" applyAlignment="1">
      <alignment horizontal="center"/>
    </xf>
    <xf numFmtId="37" fontId="21" fillId="0" borderId="0" xfId="0" applyFont="1" applyFill="1" applyAlignment="1">
      <alignment horizontal="center"/>
    </xf>
    <xf numFmtId="37" fontId="13" fillId="0" borderId="0" xfId="0" quotePrefix="1" applyFont="1" applyFill="1" applyAlignment="1">
      <alignment horizontal="center"/>
    </xf>
    <xf numFmtId="183" fontId="5" fillId="0" borderId="0" xfId="0" applyNumberFormat="1" applyFont="1" applyFill="1"/>
    <xf numFmtId="184" fontId="5" fillId="0" borderId="0" xfId="0" applyNumberFormat="1" applyFont="1" applyFill="1"/>
    <xf numFmtId="169" fontId="5" fillId="0" borderId="0" xfId="12" applyNumberFormat="1" applyFont="1" applyFill="1" applyBorder="1" applyAlignment="1">
      <alignment horizontal="center"/>
    </xf>
    <xf numFmtId="43" fontId="5" fillId="0" borderId="0" xfId="7" applyFont="1" applyFill="1"/>
    <xf numFmtId="169" fontId="5" fillId="0" borderId="0" xfId="0" applyNumberFormat="1" applyFont="1" applyFill="1"/>
    <xf numFmtId="43" fontId="5" fillId="0" borderId="0" xfId="7" applyFont="1" applyFill="1" applyBorder="1" applyAlignment="1">
      <alignment horizontal="center"/>
    </xf>
    <xf numFmtId="43" fontId="5" fillId="0" borderId="0" xfId="7" applyFont="1" applyFill="1" applyBorder="1"/>
    <xf numFmtId="37" fontId="5" fillId="0" borderId="0" xfId="0" quotePrefix="1" applyFont="1" applyFill="1" applyBorder="1"/>
    <xf numFmtId="39" fontId="5" fillId="0" borderId="0" xfId="0" applyNumberFormat="1" applyFont="1" applyFill="1" applyBorder="1"/>
    <xf numFmtId="37" fontId="5" fillId="0" borderId="0" xfId="0" quotePrefix="1" applyFont="1" applyFill="1" applyBorder="1" applyAlignment="1">
      <alignment horizontal="right"/>
    </xf>
    <xf numFmtId="37" fontId="9" fillId="0" borderId="0" xfId="0" applyFont="1" applyFill="1" applyBorder="1" applyAlignment="1">
      <alignment horizontal="center"/>
    </xf>
    <xf numFmtId="37" fontId="0" fillId="0" borderId="0" xfId="0" applyFill="1"/>
    <xf numFmtId="169" fontId="5" fillId="0" borderId="7" xfId="12" applyNumberFormat="1" applyFont="1" applyFill="1" applyBorder="1"/>
    <xf numFmtId="169" fontId="20" fillId="0" borderId="0" xfId="12" applyNumberFormat="1" applyFont="1" applyFill="1"/>
    <xf numFmtId="37" fontId="20" fillId="0" borderId="0" xfId="0" applyFont="1" applyFill="1"/>
    <xf numFmtId="37" fontId="32" fillId="0" borderId="0" xfId="0" applyFont="1"/>
    <xf numFmtId="37" fontId="34" fillId="0" borderId="0" xfId="0" applyFont="1"/>
    <xf numFmtId="37" fontId="33" fillId="0" borderId="0" xfId="0" quotePrefix="1" applyFont="1" applyAlignment="1">
      <alignment horizontal="center"/>
    </xf>
    <xf numFmtId="37" fontId="5" fillId="0" borderId="0" xfId="0" quotePrefix="1" applyFont="1" applyBorder="1" applyAlignment="1">
      <alignment horizontal="center"/>
    </xf>
    <xf numFmtId="169" fontId="5" fillId="0" borderId="0" xfId="12" applyNumberFormat="1" applyFont="1" applyFill="1" applyBorder="1" applyProtection="1">
      <protection locked="0"/>
    </xf>
    <xf numFmtId="169" fontId="20" fillId="0" borderId="0" xfId="12" applyNumberFormat="1" applyFont="1" applyFill="1" applyProtection="1">
      <protection locked="0"/>
    </xf>
    <xf numFmtId="37" fontId="5" fillId="0" borderId="0" xfId="0" applyFont="1" applyFill="1" applyProtection="1">
      <protection locked="0"/>
    </xf>
    <xf numFmtId="37" fontId="5" fillId="0" borderId="5" xfId="0" applyFont="1" applyFill="1" applyBorder="1"/>
    <xf numFmtId="37" fontId="14" fillId="0" borderId="0" xfId="0" applyFont="1" applyFill="1" applyBorder="1"/>
    <xf numFmtId="169" fontId="20" fillId="0" borderId="0" xfId="12" applyNumberFormat="1" applyFont="1" applyFill="1" applyBorder="1"/>
    <xf numFmtId="37" fontId="20" fillId="0" borderId="0" xfId="0" applyFont="1" applyFill="1" applyBorder="1"/>
    <xf numFmtId="169" fontId="5" fillId="0" borderId="0" xfId="12" applyNumberFormat="1" applyFont="1" applyFill="1" applyProtection="1">
      <protection locked="0"/>
    </xf>
    <xf numFmtId="37" fontId="5" fillId="0" borderId="0" xfId="0" applyFont="1" applyFill="1" applyBorder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33" fillId="0" borderId="0" xfId="0" quotePrefix="1" applyFont="1" applyAlignment="1">
      <alignment horizontal="left"/>
    </xf>
    <xf numFmtId="37" fontId="9" fillId="0" borderId="0" xfId="34" applyFont="1"/>
    <xf numFmtId="37" fontId="5" fillId="0" borderId="0" xfId="34" applyFont="1" applyBorder="1"/>
    <xf numFmtId="37" fontId="5" fillId="0" borderId="0" xfId="34" applyFont="1" applyBorder="1" applyAlignment="1">
      <alignment horizontal="left"/>
    </xf>
    <xf numFmtId="37" fontId="5" fillId="0" borderId="0" xfId="34" quotePrefix="1" applyFont="1" applyBorder="1" applyAlignment="1">
      <alignment horizontal="left"/>
    </xf>
    <xf numFmtId="173" fontId="5" fillId="0" borderId="0" xfId="34" applyNumberFormat="1" applyFont="1" applyProtection="1"/>
    <xf numFmtId="165" fontId="5" fillId="0" borderId="5" xfId="46" applyNumberFormat="1" applyFont="1" applyBorder="1" applyProtection="1"/>
    <xf numFmtId="171" fontId="5" fillId="0" borderId="6" xfId="7" applyNumberFormat="1" applyFont="1" applyBorder="1" applyProtection="1"/>
    <xf numFmtId="9" fontId="5" fillId="0" borderId="0" xfId="7" applyNumberFormat="1" applyFont="1" applyBorder="1" applyProtection="1"/>
    <xf numFmtId="10" fontId="5" fillId="0" borderId="0" xfId="46" applyNumberFormat="1" applyFont="1" applyBorder="1" applyProtection="1"/>
    <xf numFmtId="37" fontId="5" fillId="0" borderId="0" xfId="34" quotePrefix="1" applyFont="1" applyAlignment="1">
      <alignment horizontal="left"/>
    </xf>
    <xf numFmtId="167" fontId="5" fillId="0" borderId="0" xfId="7" applyNumberFormat="1" applyFont="1" applyFill="1" applyBorder="1" applyProtection="1">
      <protection locked="0"/>
    </xf>
    <xf numFmtId="37" fontId="6" fillId="0" borderId="0" xfId="0" quotePrefix="1" applyFont="1" applyAlignment="1">
      <alignment horizontal="left"/>
    </xf>
    <xf numFmtId="17" fontId="5" fillId="0" borderId="0" xfId="0" applyNumberFormat="1" applyFont="1" applyAlignment="1">
      <alignment horizontal="right"/>
    </xf>
    <xf numFmtId="37" fontId="5" fillId="0" borderId="0" xfId="0" quotePrefix="1" applyFont="1" applyFill="1" applyBorder="1" applyAlignment="1">
      <alignment horizontal="left"/>
    </xf>
    <xf numFmtId="37" fontId="7" fillId="0" borderId="0" xfId="0" quotePrefix="1" applyFont="1" applyFill="1" applyBorder="1" applyAlignment="1">
      <alignment horizontal="left"/>
    </xf>
    <xf numFmtId="0" fontId="5" fillId="0" borderId="0" xfId="36" quotePrefix="1" applyFont="1" applyAlignment="1">
      <alignment horizontal="left"/>
    </xf>
    <xf numFmtId="37" fontId="5" fillId="0" borderId="0" xfId="0" quotePrefix="1" applyFont="1" applyFill="1" applyAlignment="1">
      <alignment horizontal="fill"/>
    </xf>
    <xf numFmtId="0" fontId="5" fillId="0" borderId="5" xfId="35" quotePrefix="1" applyFont="1" applyBorder="1" applyAlignment="1">
      <alignment horizontal="center"/>
    </xf>
    <xf numFmtId="37" fontId="7" fillId="0" borderId="0" xfId="0" applyFont="1" applyFill="1" applyBorder="1" applyAlignment="1">
      <alignment horizontal="centerContinuous"/>
    </xf>
    <xf numFmtId="37" fontId="13" fillId="0" borderId="0" xfId="0" quotePrefix="1" applyFont="1" applyFill="1" applyBorder="1" applyAlignment="1">
      <alignment horizontal="center"/>
    </xf>
    <xf numFmtId="167" fontId="5" fillId="0" borderId="0" xfId="0" applyNumberFormat="1" applyFont="1" applyFill="1"/>
    <xf numFmtId="169" fontId="5" fillId="0" borderId="0" xfId="29" applyNumberFormat="1" applyFont="1" applyAlignment="1">
      <alignment horizontal="left"/>
    </xf>
    <xf numFmtId="167" fontId="5" fillId="0" borderId="5" xfId="29" applyNumberFormat="1" applyFont="1" applyBorder="1" applyAlignment="1">
      <alignment horizontal="left"/>
    </xf>
    <xf numFmtId="9" fontId="5" fillId="0" borderId="0" xfId="46" applyNumberFormat="1" applyFont="1" applyBorder="1"/>
    <xf numFmtId="9" fontId="5" fillId="0" borderId="0" xfId="29" applyNumberFormat="1" applyFont="1"/>
    <xf numFmtId="9" fontId="5" fillId="0" borderId="0" xfId="12" applyNumberFormat="1" applyFont="1" applyBorder="1"/>
    <xf numFmtId="10" fontId="5" fillId="0" borderId="0" xfId="0" applyNumberFormat="1" applyFont="1" applyFill="1"/>
    <xf numFmtId="10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8" xfId="46" quotePrefix="1" applyNumberFormat="1" applyFont="1" applyFill="1" applyBorder="1" applyAlignment="1">
      <alignment horizontal="center"/>
    </xf>
    <xf numFmtId="0" fontId="7" fillId="0" borderId="0" xfId="35" applyFont="1" applyFill="1"/>
    <xf numFmtId="169" fontId="5" fillId="0" borderId="0" xfId="12" applyNumberFormat="1" applyFont="1" applyFill="1" applyAlignment="1">
      <alignment horizontal="left"/>
    </xf>
    <xf numFmtId="169" fontId="5" fillId="0" borderId="6" xfId="12" applyNumberFormat="1" applyFont="1" applyFill="1" applyBorder="1"/>
    <xf numFmtId="37" fontId="5" fillId="0" borderId="0" xfId="39" applyFont="1" applyFill="1" applyBorder="1"/>
    <xf numFmtId="37" fontId="5" fillId="0" borderId="0" xfId="39" applyFont="1" applyFill="1"/>
    <xf numFmtId="37" fontId="5" fillId="0" borderId="5" xfId="0" applyNumberFormat="1" applyFont="1" applyFill="1" applyBorder="1" applyProtection="1"/>
    <xf numFmtId="0" fontId="5" fillId="0" borderId="0" xfId="33" applyFont="1" applyFill="1"/>
    <xf numFmtId="0" fontId="5" fillId="0" borderId="0" xfId="35" applyFont="1" applyFill="1"/>
    <xf numFmtId="10" fontId="5" fillId="0" borderId="0" xfId="37" applyNumberFormat="1" applyFont="1" applyFill="1" applyBorder="1" applyAlignment="1" applyProtection="1">
      <alignment horizontal="center"/>
    </xf>
    <xf numFmtId="180" fontId="20" fillId="0" borderId="0" xfId="46" applyNumberFormat="1" applyFont="1" applyFill="1" applyBorder="1"/>
    <xf numFmtId="49" fontId="5" fillId="0" borderId="0" xfId="0" applyNumberFormat="1" applyFont="1" applyFill="1" applyAlignment="1">
      <alignment horizontal="fill"/>
    </xf>
    <xf numFmtId="49" fontId="5" fillId="0" borderId="0" xfId="0" applyNumberFormat="1" applyFont="1" applyFill="1"/>
    <xf numFmtId="49" fontId="6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37" fontId="5" fillId="0" borderId="0" xfId="0" quotePrefix="1" applyFont="1" applyFill="1"/>
    <xf numFmtId="37" fontId="28" fillId="0" borderId="0" xfId="0" applyFont="1" applyFill="1"/>
    <xf numFmtId="49" fontId="5" fillId="0" borderId="0" xfId="0" quotePrefix="1" applyNumberFormat="1" applyFont="1" applyFill="1" applyAlignment="1">
      <alignment horizontal="right"/>
    </xf>
    <xf numFmtId="37" fontId="21" fillId="0" borderId="0" xfId="0" applyFont="1" applyFill="1"/>
    <xf numFmtId="43" fontId="20" fillId="0" borderId="0" xfId="7" applyFont="1" applyFill="1"/>
    <xf numFmtId="10" fontId="5" fillId="0" borderId="6" xfId="46" applyNumberFormat="1" applyFont="1" applyFill="1" applyBorder="1"/>
    <xf numFmtId="0" fontId="5" fillId="0" borderId="0" xfId="36" quotePrefix="1" applyFont="1" applyFill="1" applyAlignment="1">
      <alignment horizontal="left"/>
    </xf>
    <xf numFmtId="168" fontId="5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39" fontId="5" fillId="0" borderId="0" xfId="38" applyFont="1" applyFill="1" applyAlignment="1">
      <alignment horizontal="left"/>
    </xf>
    <xf numFmtId="167" fontId="5" fillId="0" borderId="0" xfId="7" applyNumberFormat="1" applyFont="1" applyFill="1" applyBorder="1" applyProtection="1"/>
    <xf numFmtId="37" fontId="20" fillId="0" borderId="5" xfId="0" applyFont="1" applyFill="1" applyBorder="1"/>
    <xf numFmtId="14" fontId="5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37" fontId="5" fillId="0" borderId="0" xfId="0" applyFont="1" applyFill="1" applyAlignment="1"/>
    <xf numFmtId="3" fontId="5" fillId="0" borderId="0" xfId="0" applyNumberFormat="1" applyFont="1" applyFill="1"/>
    <xf numFmtId="3" fontId="5" fillId="0" borderId="5" xfId="0" applyNumberFormat="1" applyFont="1" applyFill="1" applyBorder="1"/>
    <xf numFmtId="167" fontId="5" fillId="0" borderId="7" xfId="7" applyNumberFormat="1" applyFont="1" applyFill="1" applyBorder="1"/>
    <xf numFmtId="167" fontId="5" fillId="0" borderId="5" xfId="7" applyNumberFormat="1" applyFont="1" applyFill="1" applyBorder="1"/>
    <xf numFmtId="37" fontId="5" fillId="0" borderId="0" xfId="0" applyFont="1" applyFill="1" applyAlignment="1">
      <alignment horizontal="left" indent="2"/>
    </xf>
    <xf numFmtId="43" fontId="5" fillId="0" borderId="0" xfId="0" applyNumberFormat="1" applyFont="1" applyFill="1"/>
    <xf numFmtId="49" fontId="7" fillId="0" borderId="0" xfId="0" applyNumberFormat="1" applyFont="1" applyFill="1" applyAlignment="1">
      <alignment horizontal="centerContinuous"/>
    </xf>
    <xf numFmtId="37" fontId="5" fillId="0" borderId="7" xfId="0" applyFont="1" applyFill="1" applyBorder="1"/>
    <xf numFmtId="37" fontId="7" fillId="0" borderId="0" xfId="0" quotePrefix="1" applyFont="1" applyFill="1" applyBorder="1" applyAlignment="1">
      <alignment horizontal="center"/>
    </xf>
    <xf numFmtId="37" fontId="7" fillId="0" borderId="0" xfId="0" applyFont="1" applyFill="1" applyBorder="1" applyAlignment="1">
      <alignment horizontal="center"/>
    </xf>
    <xf numFmtId="37" fontId="8" fillId="0" borderId="0" xfId="0" applyFont="1" applyFill="1" applyBorder="1" applyAlignment="1">
      <alignment horizontal="center"/>
    </xf>
    <xf numFmtId="0" fontId="7" fillId="0" borderId="0" xfId="37" applyFont="1" applyFill="1" applyBorder="1" applyAlignment="1">
      <alignment horizontal="center"/>
    </xf>
    <xf numFmtId="167" fontId="5" fillId="0" borderId="5" xfId="7" applyNumberFormat="1" applyFont="1" applyFill="1" applyBorder="1" applyAlignment="1" applyProtection="1">
      <alignment horizontal="center"/>
      <protection locked="0"/>
    </xf>
    <xf numFmtId="178" fontId="5" fillId="0" borderId="0" xfId="7" applyNumberFormat="1" applyFont="1" applyFill="1"/>
    <xf numFmtId="37" fontId="8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23" fillId="0" borderId="0" xfId="37" applyFill="1"/>
    <xf numFmtId="0" fontId="23" fillId="0" borderId="0" xfId="37" applyFill="1" applyBorder="1" applyAlignment="1">
      <alignment horizontal="right"/>
    </xf>
    <xf numFmtId="0" fontId="23" fillId="0" borderId="0" xfId="37" applyFill="1" applyBorder="1"/>
    <xf numFmtId="0" fontId="23" fillId="0" borderId="0" xfId="37" applyFill="1" applyBorder="1" applyAlignment="1">
      <alignment horizontal="center"/>
    </xf>
    <xf numFmtId="0" fontId="23" fillId="0" borderId="0" xfId="37" applyFont="1" applyFill="1" applyBorder="1" applyAlignment="1">
      <alignment horizontal="center"/>
    </xf>
    <xf numFmtId="14" fontId="5" fillId="0" borderId="0" xfId="37" applyNumberFormat="1" applyFont="1" applyFill="1" applyBorder="1" applyAlignment="1" applyProtection="1">
      <alignment horizontal="center"/>
      <protection locked="0"/>
    </xf>
    <xf numFmtId="0" fontId="27" fillId="0" borderId="0" xfId="37" quotePrefix="1" applyFont="1" applyFill="1" applyBorder="1" applyAlignment="1">
      <alignment horizontal="center"/>
    </xf>
    <xf numFmtId="0" fontId="27" fillId="0" borderId="0" xfId="37" applyFont="1" applyFill="1" applyBorder="1" applyAlignment="1">
      <alignment horizontal="center"/>
    </xf>
    <xf numFmtId="14" fontId="5" fillId="0" borderId="5" xfId="37" applyNumberFormat="1" applyFont="1" applyFill="1" applyBorder="1" applyAlignment="1" applyProtection="1">
      <alignment horizontal="center"/>
      <protection locked="0"/>
    </xf>
    <xf numFmtId="14" fontId="20" fillId="0" borderId="0" xfId="37" applyNumberFormat="1" applyFont="1" applyFill="1" applyBorder="1" applyAlignment="1" applyProtection="1">
      <alignment horizontal="center"/>
      <protection locked="0"/>
    </xf>
    <xf numFmtId="0" fontId="5" fillId="0" borderId="0" xfId="37" quotePrefix="1" applyFont="1" applyFill="1" applyBorder="1" applyAlignment="1">
      <alignment horizontal="right"/>
    </xf>
    <xf numFmtId="0" fontId="5" fillId="0" borderId="0" xfId="37" applyFont="1" applyFill="1" applyBorder="1" applyAlignment="1"/>
    <xf numFmtId="5" fontId="25" fillId="0" borderId="0" xfId="37" applyNumberFormat="1" applyFont="1" applyFill="1" applyBorder="1" applyAlignment="1" applyProtection="1">
      <alignment horizontal="center"/>
      <protection locked="0"/>
    </xf>
    <xf numFmtId="180" fontId="5" fillId="0" borderId="0" xfId="37" applyNumberFormat="1" applyFont="1" applyFill="1" applyBorder="1" applyAlignment="1"/>
    <xf numFmtId="10" fontId="5" fillId="0" borderId="0" xfId="37" applyNumberFormat="1" applyFont="1" applyFill="1" applyBorder="1" applyAlignment="1" applyProtection="1">
      <protection locked="0"/>
    </xf>
    <xf numFmtId="5" fontId="23" fillId="0" borderId="0" xfId="37" applyNumberFormat="1" applyFill="1" applyBorder="1"/>
    <xf numFmtId="10" fontId="25" fillId="0" borderId="0" xfId="37" applyNumberFormat="1" applyFont="1" applyFill="1" applyBorder="1" applyAlignment="1" applyProtection="1"/>
    <xf numFmtId="10" fontId="5" fillId="0" borderId="0" xfId="37" quotePrefix="1" applyNumberFormat="1" applyFont="1" applyFill="1" applyBorder="1" applyAlignment="1" applyProtection="1">
      <alignment horizontal="center"/>
    </xf>
    <xf numFmtId="10" fontId="5" fillId="0" borderId="0" xfId="37" applyNumberFormat="1" applyFont="1" applyFill="1" applyBorder="1" applyAlignment="1" applyProtection="1"/>
    <xf numFmtId="0" fontId="5" fillId="0" borderId="0" xfId="37" applyFont="1" applyFill="1" applyBorder="1" applyAlignment="1">
      <alignment horizontal="right"/>
    </xf>
    <xf numFmtId="180" fontId="20" fillId="0" borderId="0" xfId="37" applyNumberFormat="1" applyFont="1" applyFill="1" applyBorder="1" applyAlignment="1" applyProtection="1">
      <alignment horizontal="center"/>
      <protection locked="0"/>
    </xf>
    <xf numFmtId="17" fontId="5" fillId="0" borderId="0" xfId="37" applyNumberFormat="1" applyFont="1" applyFill="1" applyBorder="1" applyAlignment="1" applyProtection="1">
      <alignment horizontal="center"/>
      <protection locked="0"/>
    </xf>
    <xf numFmtId="10" fontId="20" fillId="0" borderId="0" xfId="37" applyNumberFormat="1" applyFont="1" applyFill="1" applyBorder="1" applyAlignment="1" applyProtection="1"/>
    <xf numFmtId="5" fontId="20" fillId="0" borderId="0" xfId="37" applyNumberFormat="1" applyFont="1" applyFill="1" applyBorder="1" applyAlignment="1" applyProtection="1"/>
    <xf numFmtId="10" fontId="5" fillId="0" borderId="5" xfId="37" applyNumberFormat="1" applyFont="1" applyFill="1" applyBorder="1" applyAlignment="1" applyProtection="1">
      <protection locked="0"/>
    </xf>
    <xf numFmtId="10" fontId="5" fillId="0" borderId="5" xfId="37" applyNumberFormat="1" applyFont="1" applyFill="1" applyBorder="1" applyAlignment="1" applyProtection="1"/>
    <xf numFmtId="0" fontId="23" fillId="0" borderId="0" xfId="37" quotePrefix="1" applyFont="1" applyFill="1" applyBorder="1"/>
    <xf numFmtId="0" fontId="23" fillId="0" borderId="7" xfId="37" applyFill="1" applyBorder="1"/>
    <xf numFmtId="5" fontId="5" fillId="0" borderId="0" xfId="37" applyNumberFormat="1" applyFont="1" applyFill="1" applyBorder="1" applyAlignment="1" applyProtection="1"/>
    <xf numFmtId="180" fontId="5" fillId="0" borderId="0" xfId="37" applyNumberFormat="1" applyFont="1" applyFill="1" applyBorder="1" applyAlignment="1" applyProtection="1">
      <alignment horizontal="center"/>
    </xf>
    <xf numFmtId="5" fontId="23" fillId="0" borderId="6" xfId="37" applyNumberFormat="1" applyFill="1" applyBorder="1" applyAlignment="1">
      <alignment horizontal="center"/>
    </xf>
    <xf numFmtId="10" fontId="23" fillId="0" borderId="6" xfId="46" applyNumberFormat="1" applyFont="1" applyFill="1" applyBorder="1" applyAlignment="1">
      <alignment horizontal="center"/>
    </xf>
    <xf numFmtId="5" fontId="5" fillId="0" borderId="0" xfId="37" applyNumberFormat="1" applyFont="1" applyFill="1" applyBorder="1" applyAlignment="1" applyProtection="1">
      <alignment horizontal="center"/>
    </xf>
    <xf numFmtId="10" fontId="5" fillId="0" borderId="6" xfId="37" applyNumberFormat="1" applyFont="1" applyFill="1" applyBorder="1" applyAlignment="1" applyProtection="1"/>
    <xf numFmtId="180" fontId="5" fillId="0" borderId="0" xfId="37" applyNumberFormat="1" applyFont="1" applyFill="1" applyBorder="1" applyAlignment="1" applyProtection="1"/>
    <xf numFmtId="5" fontId="5" fillId="0" borderId="0" xfId="37" applyNumberFormat="1" applyFont="1" applyFill="1" applyBorder="1" applyAlignment="1" applyProtection="1">
      <alignment horizontal="center"/>
      <protection locked="0"/>
    </xf>
    <xf numFmtId="5" fontId="20" fillId="0" borderId="0" xfId="37" applyNumberFormat="1" applyFont="1" applyFill="1" applyBorder="1" applyAlignment="1" applyProtection="1">
      <alignment horizontal="center"/>
      <protection locked="0"/>
    </xf>
    <xf numFmtId="0" fontId="23" fillId="0" borderId="0" xfId="37" quotePrefix="1" applyFont="1" applyFill="1" applyBorder="1" applyAlignment="1">
      <alignment horizontal="left"/>
    </xf>
    <xf numFmtId="0" fontId="23" fillId="0" borderId="0" xfId="37" applyFill="1" applyAlignment="1">
      <alignment horizontal="right"/>
    </xf>
    <xf numFmtId="0" fontId="23" fillId="0" borderId="0" xfId="37" quotePrefix="1" applyFont="1" applyFill="1" applyAlignment="1">
      <alignment horizontal="left"/>
    </xf>
    <xf numFmtId="10" fontId="23" fillId="0" borderId="0" xfId="37" applyNumberFormat="1" applyFill="1"/>
    <xf numFmtId="37" fontId="6" fillId="0" borderId="0" xfId="0" applyFont="1" applyFill="1" applyAlignment="1"/>
    <xf numFmtId="37" fontId="8" fillId="0" borderId="0" xfId="0" quotePrefix="1" applyFont="1" applyFill="1" applyAlignment="1">
      <alignment horizontal="right"/>
    </xf>
    <xf numFmtId="167" fontId="5" fillId="0" borderId="0" xfId="7" applyNumberFormat="1" applyFont="1" applyFill="1" applyBorder="1" applyAlignment="1">
      <alignment horizontal="centerContinuous"/>
    </xf>
    <xf numFmtId="167" fontId="9" fillId="0" borderId="0" xfId="7" applyNumberFormat="1" applyFont="1" applyFill="1" applyBorder="1" applyAlignment="1">
      <alignment horizontal="centerContinuous"/>
    </xf>
    <xf numFmtId="169" fontId="5" fillId="0" borderId="0" xfId="12" applyNumberFormat="1" applyFont="1" applyFill="1" applyBorder="1" applyAlignment="1">
      <alignment horizontal="left"/>
    </xf>
    <xf numFmtId="169" fontId="5" fillId="0" borderId="0" xfId="12" applyNumberFormat="1" applyFont="1" applyFill="1" applyBorder="1" applyAlignment="1">
      <alignment horizontal="fill"/>
    </xf>
    <xf numFmtId="37" fontId="14" fillId="0" borderId="0" xfId="0" quotePrefix="1" applyFont="1" applyFill="1"/>
    <xf numFmtId="37" fontId="5" fillId="0" borderId="0" xfId="0" applyFont="1" applyFill="1" applyBorder="1" applyAlignment="1">
      <alignment horizontal="left"/>
    </xf>
    <xf numFmtId="37" fontId="6" fillId="0" borderId="0" xfId="0" quotePrefix="1" applyFont="1" applyFill="1" applyAlignment="1">
      <alignment horizontal="centerContinuous"/>
    </xf>
    <xf numFmtId="37" fontId="5" fillId="0" borderId="0" xfId="0" applyNumberFormat="1" applyFont="1" applyFill="1" applyBorder="1" applyProtection="1"/>
    <xf numFmtId="37" fontId="35" fillId="0" borderId="0" xfId="0" quotePrefix="1" applyFont="1" applyFill="1" applyAlignment="1">
      <alignment horizontal="left"/>
    </xf>
    <xf numFmtId="0" fontId="5" fillId="0" borderId="0" xfId="36" applyFont="1" applyFill="1"/>
    <xf numFmtId="0" fontId="5" fillId="0" borderId="0" xfId="36" applyFont="1" applyFill="1" applyBorder="1" applyAlignment="1">
      <alignment horizontal="center"/>
    </xf>
    <xf numFmtId="0" fontId="5" fillId="0" borderId="0" xfId="36" applyFont="1" applyFill="1" applyAlignment="1">
      <alignment horizontal="center"/>
    </xf>
    <xf numFmtId="0" fontId="5" fillId="0" borderId="5" xfId="36" applyFont="1" applyFill="1" applyBorder="1" applyAlignment="1">
      <alignment horizontal="center"/>
    </xf>
    <xf numFmtId="17" fontId="5" fillId="0" borderId="0" xfId="36" applyNumberFormat="1" applyFont="1" applyFill="1" applyAlignment="1">
      <alignment horizontal="center"/>
    </xf>
    <xf numFmtId="37" fontId="8" fillId="0" borderId="0" xfId="0" quotePrefix="1" applyFont="1" applyFill="1" applyAlignment="1">
      <alignment horizontal="centerContinuous"/>
    </xf>
    <xf numFmtId="167" fontId="5" fillId="0" borderId="7" xfId="7" applyNumberFormat="1" applyFont="1" applyFill="1" applyBorder="1" applyProtection="1"/>
    <xf numFmtId="37" fontId="29" fillId="0" borderId="0" xfId="0" applyFont="1" applyFill="1" applyBorder="1"/>
    <xf numFmtId="43" fontId="14" fillId="0" borderId="0" xfId="7" applyFont="1" applyFill="1"/>
    <xf numFmtId="0" fontId="6" fillId="0" borderId="0" xfId="33" applyFont="1" applyFill="1" applyAlignment="1">
      <alignment horizontal="centerContinuous"/>
    </xf>
    <xf numFmtId="0" fontId="8" fillId="0" borderId="0" xfId="33" applyFont="1" applyFill="1" applyAlignment="1">
      <alignment horizontal="centerContinuous"/>
    </xf>
    <xf numFmtId="0" fontId="8" fillId="0" borderId="0" xfId="33" quotePrefix="1" applyFont="1" applyFill="1" applyAlignment="1">
      <alignment horizontal="centerContinuous"/>
    </xf>
    <xf numFmtId="0" fontId="5" fillId="0" borderId="0" xfId="33" applyFont="1" applyFill="1" applyAlignment="1">
      <alignment horizontal="right"/>
    </xf>
    <xf numFmtId="0" fontId="5" fillId="0" borderId="0" xfId="33" applyFont="1" applyFill="1" applyAlignment="1">
      <alignment horizontal="left"/>
    </xf>
    <xf numFmtId="0" fontId="5" fillId="0" borderId="0" xfId="33" quotePrefix="1" applyFont="1" applyFill="1" applyAlignment="1">
      <alignment horizontal="left"/>
    </xf>
    <xf numFmtId="167" fontId="5" fillId="0" borderId="5" xfId="7" applyNumberFormat="1" applyFont="1" applyFill="1" applyBorder="1" applyProtection="1"/>
    <xf numFmtId="41" fontId="5" fillId="0" borderId="5" xfId="0" applyNumberFormat="1" applyFont="1" applyFill="1" applyBorder="1"/>
    <xf numFmtId="42" fontId="5" fillId="0" borderId="6" xfId="7" applyNumberFormat="1" applyFont="1" applyFill="1" applyBorder="1" applyProtection="1"/>
    <xf numFmtId="42" fontId="5" fillId="0" borderId="0" xfId="7" applyNumberFormat="1" applyFont="1" applyFill="1" applyBorder="1" applyProtection="1"/>
    <xf numFmtId="42" fontId="5" fillId="0" borderId="0" xfId="46" applyNumberFormat="1" applyFont="1" applyFill="1" applyBorder="1"/>
    <xf numFmtId="41" fontId="5" fillId="0" borderId="5" xfId="12" applyNumberFormat="1" applyFont="1" applyFill="1" applyBorder="1"/>
    <xf numFmtId="42" fontId="5" fillId="0" borderId="6" xfId="33" applyNumberFormat="1" applyFont="1" applyFill="1" applyBorder="1"/>
    <xf numFmtId="37" fontId="5" fillId="0" borderId="5" xfId="0" applyNumberFormat="1" applyFont="1" applyFill="1" applyBorder="1" applyProtection="1">
      <protection locked="0"/>
    </xf>
    <xf numFmtId="0" fontId="5" fillId="0" borderId="0" xfId="0" applyNumberFormat="1" applyFont="1" applyFill="1" applyAlignment="1">
      <alignment horizontal="center"/>
    </xf>
    <xf numFmtId="169" fontId="5" fillId="0" borderId="0" xfId="12" applyNumberFormat="1" applyFont="1" applyFill="1" applyAlignment="1">
      <alignment horizontal="right"/>
    </xf>
    <xf numFmtId="5" fontId="5" fillId="0" borderId="0" xfId="0" applyNumberFormat="1" applyFont="1" applyFill="1" applyBorder="1" applyProtection="1"/>
    <xf numFmtId="169" fontId="5" fillId="0" borderId="8" xfId="12" applyNumberFormat="1" applyFont="1" applyFill="1" applyBorder="1" applyAlignment="1">
      <alignment horizontal="right"/>
    </xf>
    <xf numFmtId="169" fontId="5" fillId="0" borderId="6" xfId="12" applyNumberFormat="1" applyFont="1" applyFill="1" applyBorder="1" applyAlignment="1">
      <alignment horizontal="right"/>
    </xf>
    <xf numFmtId="37" fontId="5" fillId="0" borderId="0" xfId="0" applyFont="1" applyFill="1" applyBorder="1" applyAlignment="1">
      <alignment horizontal="centerContinuous"/>
    </xf>
    <xf numFmtId="37" fontId="7" fillId="0" borderId="0" xfId="0" quotePrefix="1" applyFont="1" applyFill="1" applyAlignment="1">
      <alignment horizontal="centerContinuous"/>
    </xf>
    <xf numFmtId="43" fontId="11" fillId="0" borderId="0" xfId="7" applyFont="1" applyFill="1" applyBorder="1"/>
    <xf numFmtId="43" fontId="11" fillId="0" borderId="0" xfId="7" applyFont="1" applyFill="1"/>
    <xf numFmtId="43" fontId="5" fillId="0" borderId="5" xfId="7" applyFont="1" applyFill="1" applyBorder="1" applyAlignment="1">
      <alignment horizontal="center"/>
    </xf>
    <xf numFmtId="181" fontId="5" fillId="0" borderId="0" xfId="0" applyNumberFormat="1" applyFont="1" applyFill="1"/>
    <xf numFmtId="37" fontId="6" fillId="0" borderId="0" xfId="39" quotePrefix="1" applyFont="1" applyFill="1" applyAlignment="1">
      <alignment horizontal="centerContinuous"/>
    </xf>
    <xf numFmtId="37" fontId="8" fillId="0" borderId="0" xfId="39" applyFont="1" applyFill="1" applyAlignment="1">
      <alignment horizontal="centerContinuous"/>
    </xf>
    <xf numFmtId="37" fontId="8" fillId="0" borderId="0" xfId="39" quotePrefix="1" applyFont="1" applyFill="1" applyAlignment="1">
      <alignment horizontal="centerContinuous"/>
    </xf>
    <xf numFmtId="37" fontId="7" fillId="0" borderId="0" xfId="39" applyFont="1" applyFill="1" applyAlignment="1">
      <alignment horizontal="centerContinuous"/>
    </xf>
    <xf numFmtId="37" fontId="6" fillId="0" borderId="0" xfId="39" applyFont="1" applyFill="1" applyAlignment="1">
      <alignment horizontal="centerContinuous"/>
    </xf>
    <xf numFmtId="37" fontId="5" fillId="0" borderId="0" xfId="39" applyFont="1" applyFill="1" applyAlignment="1">
      <alignment horizontal="left"/>
    </xf>
    <xf numFmtId="37" fontId="5" fillId="0" borderId="0" xfId="39" applyFont="1" applyFill="1" applyAlignment="1">
      <alignment horizontal="center"/>
    </xf>
    <xf numFmtId="37" fontId="5" fillId="0" borderId="0" xfId="39" applyNumberFormat="1" applyFont="1" applyFill="1" applyBorder="1" applyProtection="1"/>
    <xf numFmtId="37" fontId="5" fillId="0" borderId="7" xfId="39" applyNumberFormat="1" applyFont="1" applyFill="1" applyBorder="1" applyProtection="1"/>
    <xf numFmtId="37" fontId="5" fillId="0" borderId="0" xfId="39" applyFont="1" applyFill="1" applyBorder="1" applyAlignment="1">
      <alignment horizontal="right"/>
    </xf>
    <xf numFmtId="37" fontId="7" fillId="0" borderId="0" xfId="39" applyFont="1" applyFill="1" applyBorder="1" applyAlignment="1">
      <alignment horizontal="left"/>
    </xf>
    <xf numFmtId="37" fontId="8" fillId="0" borderId="0" xfId="39" applyFont="1" applyFill="1" applyBorder="1" applyAlignment="1">
      <alignment horizontal="centerContinuous"/>
    </xf>
    <xf numFmtId="37" fontId="6" fillId="0" borderId="0" xfId="39" applyFont="1" applyFill="1" applyBorder="1" applyAlignment="1">
      <alignment horizontal="centerContinuous"/>
    </xf>
    <xf numFmtId="37" fontId="5" fillId="0" borderId="0" xfId="39" applyFont="1" applyFill="1" applyBorder="1" applyAlignment="1">
      <alignment horizontal="left"/>
    </xf>
    <xf numFmtId="37" fontId="5" fillId="0" borderId="0" xfId="39" applyFont="1" applyFill="1" applyBorder="1" applyAlignment="1">
      <alignment horizontal="center"/>
    </xf>
    <xf numFmtId="37" fontId="14" fillId="0" borderId="0" xfId="39" applyFont="1" applyFill="1" applyBorder="1"/>
    <xf numFmtId="10" fontId="5" fillId="0" borderId="0" xfId="39" applyNumberFormat="1" applyFont="1" applyFill="1" applyBorder="1" applyProtection="1"/>
    <xf numFmtId="165" fontId="5" fillId="0" borderId="0" xfId="39" applyNumberFormat="1" applyFont="1" applyFill="1" applyBorder="1" applyProtection="1"/>
    <xf numFmtId="5" fontId="5" fillId="0" borderId="0" xfId="39" applyNumberFormat="1" applyFont="1" applyFill="1" applyBorder="1" applyProtection="1"/>
    <xf numFmtId="167" fontId="5" fillId="0" borderId="5" xfId="7" applyNumberFormat="1" applyFont="1" applyFill="1" applyBorder="1" applyProtection="1">
      <protection locked="0"/>
    </xf>
    <xf numFmtId="5" fontId="5" fillId="0" borderId="0" xfId="0" applyNumberFormat="1" applyFont="1" applyFill="1" applyBorder="1" applyProtection="1">
      <protection locked="0"/>
    </xf>
    <xf numFmtId="10" fontId="5" fillId="0" borderId="5" xfId="46" applyNumberFormat="1" applyFont="1" applyFill="1" applyBorder="1" applyProtection="1"/>
    <xf numFmtId="5" fontId="20" fillId="0" borderId="0" xfId="0" applyNumberFormat="1" applyFont="1" applyFill="1" applyBorder="1" applyProtection="1"/>
    <xf numFmtId="167" fontId="5" fillId="0" borderId="5" xfId="7" quotePrefix="1" applyNumberFormat="1" applyFont="1" applyFill="1" applyBorder="1" applyProtection="1"/>
    <xf numFmtId="10" fontId="5" fillId="0" borderId="0" xfId="0" applyNumberFormat="1" applyFont="1" applyFill="1" applyBorder="1" applyProtection="1"/>
    <xf numFmtId="10" fontId="5" fillId="0" borderId="0" xfId="0" applyNumberFormat="1" applyFont="1" applyFill="1" applyProtection="1"/>
    <xf numFmtId="165" fontId="5" fillId="0" borderId="5" xfId="0" applyNumberFormat="1" applyFont="1" applyFill="1" applyBorder="1" applyProtection="1"/>
    <xf numFmtId="165" fontId="5" fillId="0" borderId="0" xfId="0" applyNumberFormat="1" applyFont="1" applyFill="1" applyBorder="1" applyProtection="1"/>
    <xf numFmtId="37" fontId="5" fillId="0" borderId="0" xfId="39" quotePrefix="1" applyFont="1" applyFill="1" applyAlignment="1">
      <alignment horizontal="fill"/>
    </xf>
    <xf numFmtId="180" fontId="5" fillId="0" borderId="0" xfId="46" applyNumberFormat="1" applyFont="1" applyFill="1" applyBorder="1" applyProtection="1"/>
    <xf numFmtId="37" fontId="6" fillId="0" borderId="0" xfId="33" applyNumberFormat="1" applyFont="1" applyFill="1" applyAlignment="1">
      <alignment horizontal="centerContinuous"/>
    </xf>
    <xf numFmtId="10" fontId="20" fillId="0" borderId="0" xfId="46" applyNumberFormat="1" applyFont="1" applyFill="1" applyAlignment="1">
      <alignment horizontal="center"/>
    </xf>
    <xf numFmtId="10" fontId="21" fillId="0" borderId="0" xfId="46" applyNumberFormat="1" applyFont="1" applyFill="1" applyAlignment="1">
      <alignment horizontal="center"/>
    </xf>
    <xf numFmtId="10" fontId="48" fillId="0" borderId="0" xfId="46" quotePrefix="1" applyNumberFormat="1" applyFont="1" applyFill="1" applyAlignment="1">
      <alignment horizontal="center"/>
    </xf>
    <xf numFmtId="167" fontId="5" fillId="0" borderId="5" xfId="7" applyNumberFormat="1" applyFont="1" applyFill="1" applyBorder="1" applyAlignment="1">
      <alignment horizontal="center"/>
    </xf>
    <xf numFmtId="0" fontId="14" fillId="0" borderId="0" xfId="0" applyNumberFormat="1" applyFont="1"/>
    <xf numFmtId="37" fontId="50" fillId="0" borderId="0" xfId="0" applyFont="1" applyFill="1" applyAlignment="1">
      <alignment horizontal="center"/>
    </xf>
    <xf numFmtId="37" fontId="20" fillId="0" borderId="0" xfId="0" applyNumberFormat="1" applyFont="1" applyFill="1" applyProtection="1">
      <protection locked="0"/>
    </xf>
    <xf numFmtId="169" fontId="20" fillId="0" borderId="8" xfId="12" applyNumberFormat="1" applyFont="1" applyFill="1" applyBorder="1"/>
    <xf numFmtId="182" fontId="14" fillId="0" borderId="0" xfId="0" applyNumberFormat="1" applyFont="1" applyFill="1"/>
    <xf numFmtId="43" fontId="14" fillId="0" borderId="0" xfId="0" applyNumberFormat="1" applyFont="1" applyFill="1"/>
    <xf numFmtId="169" fontId="5" fillId="0" borderId="5" xfId="12" applyNumberFormat="1" applyFont="1" applyBorder="1"/>
    <xf numFmtId="37" fontId="5" fillId="0" borderId="5" xfId="12" applyNumberFormat="1" applyFont="1" applyFill="1" applyBorder="1"/>
    <xf numFmtId="169" fontId="5" fillId="0" borderId="5" xfId="12" applyNumberFormat="1" applyFont="1" applyFill="1" applyBorder="1"/>
    <xf numFmtId="37" fontId="5" fillId="0" borderId="0" xfId="40" quotePrefix="1" applyFont="1" applyAlignment="1">
      <alignment horizontal="left"/>
    </xf>
    <xf numFmtId="37" fontId="5" fillId="0" borderId="0" xfId="40" applyFont="1"/>
    <xf numFmtId="37" fontId="5" fillId="0" borderId="0" xfId="40" applyFont="1" applyBorder="1" applyAlignment="1">
      <alignment horizontal="right"/>
    </xf>
    <xf numFmtId="37" fontId="5" fillId="0" borderId="0" xfId="40" applyFont="1" applyBorder="1"/>
    <xf numFmtId="37" fontId="5" fillId="0" borderId="0" xfId="40" quotePrefix="1" applyFont="1" applyBorder="1" applyAlignment="1">
      <alignment horizontal="left"/>
    </xf>
    <xf numFmtId="37" fontId="5" fillId="0" borderId="0" xfId="40" applyNumberFormat="1" applyFont="1" applyBorder="1" applyProtection="1"/>
    <xf numFmtId="37" fontId="5" fillId="0" borderId="0" xfId="32" applyFont="1"/>
    <xf numFmtId="37" fontId="7" fillId="0" borderId="0" xfId="32" applyFont="1" applyAlignment="1">
      <alignment horizontal="centerContinuous"/>
    </xf>
    <xf numFmtId="37" fontId="6" fillId="0" borderId="0" xfId="32" applyFont="1" applyAlignment="1">
      <alignment horizontal="centerContinuous"/>
    </xf>
    <xf numFmtId="37" fontId="5" fillId="0" borderId="0" xfId="32" applyFont="1" applyAlignment="1">
      <alignment horizontal="left"/>
    </xf>
    <xf numFmtId="37" fontId="5" fillId="0" borderId="0" xfId="32" applyFont="1" applyAlignment="1">
      <alignment horizontal="right"/>
    </xf>
    <xf numFmtId="37" fontId="5" fillId="0" borderId="0" xfId="32" quotePrefix="1" applyFont="1" applyAlignment="1">
      <alignment horizontal="left"/>
    </xf>
    <xf numFmtId="37" fontId="5" fillId="0" borderId="0" xfId="32" applyFont="1" applyBorder="1"/>
    <xf numFmtId="37" fontId="5" fillId="0" borderId="0" xfId="32" applyFont="1" applyBorder="1" applyAlignment="1">
      <alignment horizontal="left"/>
    </xf>
    <xf numFmtId="37" fontId="5" fillId="0" borderId="0" xfId="0" quotePrefix="1" applyFont="1" applyBorder="1"/>
    <xf numFmtId="167" fontId="5" fillId="0" borderId="5" xfId="7" applyNumberFormat="1" applyFont="1" applyBorder="1" applyAlignment="1">
      <alignment horizontal="center"/>
    </xf>
    <xf numFmtId="37" fontId="14" fillId="0" borderId="0" xfId="0" applyFont="1" applyAlignment="1">
      <alignment horizontal="center"/>
    </xf>
    <xf numFmtId="169" fontId="5" fillId="0" borderId="0" xfId="12" applyNumberFormat="1" applyFont="1" applyBorder="1" applyAlignment="1">
      <alignment horizontal="center"/>
    </xf>
    <xf numFmtId="169" fontId="14" fillId="0" borderId="0" xfId="12" applyNumberFormat="1" applyFont="1"/>
    <xf numFmtId="167" fontId="5" fillId="0" borderId="0" xfId="7" applyNumberFormat="1" applyFont="1" applyBorder="1" applyAlignment="1">
      <alignment horizontal="center"/>
    </xf>
    <xf numFmtId="43" fontId="14" fillId="0" borderId="0" xfId="0" applyNumberFormat="1" applyFont="1"/>
    <xf numFmtId="37" fontId="5" fillId="0" borderId="0" xfId="0" quotePrefix="1" applyFont="1" applyAlignment="1"/>
    <xf numFmtId="37" fontId="5" fillId="0" borderId="5" xfId="0" quotePrefix="1" applyFont="1" applyFill="1" applyBorder="1" applyAlignment="1">
      <alignment horizontal="center"/>
    </xf>
    <xf numFmtId="37" fontId="6" fillId="0" borderId="0" xfId="0" quotePrefix="1" applyFont="1" applyAlignment="1">
      <alignment horizontal="center"/>
    </xf>
    <xf numFmtId="0" fontId="5" fillId="0" borderId="5" xfId="35" applyFont="1" applyFill="1" applyBorder="1" applyAlignment="1">
      <alignment horizontal="center"/>
    </xf>
    <xf numFmtId="167" fontId="5" fillId="0" borderId="0" xfId="7" quotePrefix="1" applyNumberFormat="1" applyFont="1" applyFill="1" applyBorder="1" applyAlignment="1">
      <alignment horizontal="center"/>
    </xf>
    <xf numFmtId="0" fontId="5" fillId="0" borderId="0" xfId="0" quotePrefix="1" applyNumberFormat="1" applyFont="1" applyAlignment="1">
      <alignment horizontal="left"/>
    </xf>
    <xf numFmtId="37" fontId="5" fillId="0" borderId="5" xfId="0" applyFont="1" applyFill="1" applyBorder="1" applyAlignment="1">
      <alignment horizontal="center"/>
    </xf>
    <xf numFmtId="177" fontId="7" fillId="0" borderId="0" xfId="0" quotePrefix="1" applyNumberFormat="1" applyFont="1" applyAlignment="1">
      <alignment horizontal="right"/>
    </xf>
    <xf numFmtId="43" fontId="11" fillId="0" borderId="0" xfId="7" applyFont="1" applyAlignment="1">
      <alignment horizontal="center"/>
    </xf>
    <xf numFmtId="37" fontId="56" fillId="0" borderId="0" xfId="0" applyFont="1"/>
    <xf numFmtId="37" fontId="5" fillId="0" borderId="5" xfId="0" quotePrefix="1" applyFont="1" applyFill="1" applyBorder="1" applyAlignment="1">
      <alignment horizontal="center"/>
    </xf>
    <xf numFmtId="37" fontId="5" fillId="0" borderId="5" xfId="0" applyFont="1" applyFill="1" applyBorder="1" applyAlignment="1">
      <alignment horizontal="center"/>
    </xf>
    <xf numFmtId="37" fontId="5" fillId="0" borderId="0" xfId="0" quotePrefix="1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0" xfId="0" quotePrefix="1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0" xfId="76" applyNumberFormat="1" applyFont="1" applyFill="1"/>
    <xf numFmtId="37" fontId="5" fillId="0" borderId="0" xfId="77" applyNumberFormat="1" applyFont="1" applyFill="1"/>
    <xf numFmtId="37" fontId="5" fillId="0" borderId="0" xfId="78" applyNumberFormat="1" applyFont="1" applyFill="1"/>
    <xf numFmtId="37" fontId="5" fillId="0" borderId="0" xfId="79" applyNumberFormat="1" applyFont="1" applyFill="1"/>
    <xf numFmtId="37" fontId="5" fillId="0" borderId="0" xfId="80" applyNumberFormat="1" applyFont="1" applyFill="1"/>
    <xf numFmtId="37" fontId="5" fillId="0" borderId="0" xfId="82" applyNumberFormat="1" applyFont="1" applyFill="1"/>
    <xf numFmtId="37" fontId="5" fillId="0" borderId="0" xfId="84" applyNumberFormat="1" applyFont="1" applyFill="1"/>
    <xf numFmtId="37" fontId="5" fillId="0" borderId="0" xfId="85" applyNumberFormat="1" applyFont="1" applyFill="1"/>
    <xf numFmtId="37" fontId="5" fillId="0" borderId="0" xfId="86" applyNumberFormat="1" applyFont="1" applyFill="1"/>
    <xf numFmtId="37" fontId="5" fillId="0" borderId="0" xfId="87" applyNumberFormat="1" applyFont="1" applyFill="1"/>
    <xf numFmtId="37" fontId="5" fillId="0" borderId="0" xfId="88" applyNumberFormat="1" applyFont="1" applyFill="1" applyBorder="1"/>
    <xf numFmtId="37" fontId="5" fillId="0" borderId="0" xfId="89" applyNumberFormat="1" applyFont="1" applyFill="1" applyBorder="1"/>
    <xf numFmtId="37" fontId="5" fillId="0" borderId="0" xfId="90" applyNumberFormat="1" applyFont="1" applyFill="1" applyBorder="1"/>
    <xf numFmtId="37" fontId="5" fillId="0" borderId="0" xfId="91" applyNumberFormat="1" applyFont="1" applyFill="1" applyBorder="1"/>
    <xf numFmtId="37" fontId="5" fillId="0" borderId="0" xfId="92" applyNumberFormat="1" applyFont="1" applyFill="1" applyBorder="1"/>
    <xf numFmtId="37" fontId="5" fillId="0" borderId="0" xfId="93" applyNumberFormat="1" applyFont="1" applyFill="1" applyBorder="1"/>
    <xf numFmtId="37" fontId="5" fillId="0" borderId="0" xfId="94" applyNumberFormat="1" applyFont="1" applyFill="1" applyBorder="1"/>
    <xf numFmtId="37" fontId="5" fillId="0" borderId="0" xfId="95" applyNumberFormat="1" applyFont="1" applyFill="1" applyBorder="1"/>
    <xf numFmtId="37" fontId="5" fillId="0" borderId="0" xfId="96" applyNumberFormat="1" applyFont="1" applyFill="1" applyBorder="1"/>
    <xf numFmtId="37" fontId="5" fillId="0" borderId="0" xfId="97" applyNumberFormat="1" applyFont="1" applyFill="1" applyBorder="1"/>
    <xf numFmtId="37" fontId="5" fillId="0" borderId="0" xfId="98" applyNumberFormat="1" applyFont="1" applyFill="1" applyBorder="1"/>
    <xf numFmtId="43" fontId="5" fillId="0" borderId="0" xfId="99" applyFont="1" applyFill="1" applyBorder="1"/>
    <xf numFmtId="37" fontId="5" fillId="0" borderId="0" xfId="100" applyNumberFormat="1" applyFont="1" applyFill="1" applyBorder="1"/>
    <xf numFmtId="37" fontId="5" fillId="0" borderId="0" xfId="101" applyNumberFormat="1" applyFont="1" applyFill="1"/>
    <xf numFmtId="0" fontId="5" fillId="0" borderId="0" xfId="0" applyNumberFormat="1" applyFont="1" applyBorder="1" applyAlignment="1">
      <alignment horizontal="left"/>
    </xf>
    <xf numFmtId="169" fontId="5" fillId="0" borderId="0" xfId="83" applyNumberFormat="1" applyFont="1" applyBorder="1" applyAlignment="1">
      <alignment horizontal="left"/>
    </xf>
    <xf numFmtId="167" fontId="5" fillId="0" borderId="0" xfId="81" applyNumberFormat="1" applyFont="1" applyBorder="1"/>
    <xf numFmtId="0" fontId="5" fillId="0" borderId="0" xfId="0" applyNumberFormat="1" applyFont="1" applyAlignment="1">
      <alignment horizontal="left"/>
    </xf>
    <xf numFmtId="39" fontId="5" fillId="0" borderId="5" xfId="0" applyNumberFormat="1" applyFont="1" applyBorder="1" applyAlignment="1">
      <alignment horizontal="right"/>
    </xf>
    <xf numFmtId="37" fontId="5" fillId="0" borderId="0" xfId="0" quotePrefix="1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65" fillId="0" borderId="0" xfId="0" quotePrefix="1" applyFont="1" applyAlignment="1">
      <alignment horizontal="right"/>
    </xf>
    <xf numFmtId="37" fontId="65" fillId="0" borderId="0" xfId="0" applyFont="1" applyAlignment="1">
      <alignment horizontal="centerContinuous"/>
    </xf>
    <xf numFmtId="37" fontId="65" fillId="0" borderId="0" xfId="0" quotePrefix="1" applyFont="1" applyAlignment="1">
      <alignment horizontal="centerContinuous"/>
    </xf>
    <xf numFmtId="37" fontId="7" fillId="0" borderId="0" xfId="0" applyFont="1" applyBorder="1" applyAlignment="1">
      <alignment horizontal="right"/>
    </xf>
    <xf numFmtId="37" fontId="65" fillId="0" borderId="0" xfId="0" quotePrefix="1" applyFont="1" applyBorder="1" applyAlignment="1">
      <alignment horizontal="right"/>
    </xf>
    <xf numFmtId="169" fontId="5" fillId="0" borderId="0" xfId="12" quotePrefix="1" applyNumberFormat="1" applyFont="1" applyFill="1" applyAlignment="1">
      <alignment horizontal="left"/>
    </xf>
    <xf numFmtId="187" fontId="5" fillId="0" borderId="0" xfId="0" applyNumberFormat="1" applyFont="1" applyFill="1" applyBorder="1" applyAlignment="1">
      <alignment horizontal="right"/>
    </xf>
    <xf numFmtId="37" fontId="5" fillId="0" borderId="5" xfId="0" quotePrefix="1" applyFont="1" applyFill="1" applyBorder="1" applyAlignment="1">
      <alignment horizontal="center"/>
    </xf>
    <xf numFmtId="37" fontId="5" fillId="0" borderId="5" xfId="0" applyFont="1" applyFill="1" applyBorder="1" applyAlignment="1">
      <alignment horizontal="center"/>
    </xf>
    <xf numFmtId="0" fontId="5" fillId="0" borderId="0" xfId="37" quotePrefix="1" applyFont="1" applyFill="1" applyAlignment="1">
      <alignment horizontal="left"/>
    </xf>
    <xf numFmtId="0" fontId="5" fillId="0" borderId="0" xfId="0" applyNumberFormat="1" applyFont="1" applyFill="1"/>
    <xf numFmtId="37" fontId="6" fillId="0" borderId="0" xfId="0" applyFont="1" applyFill="1" applyAlignment="1">
      <alignment horizontal="center"/>
    </xf>
    <xf numFmtId="37" fontId="6" fillId="0" borderId="0" xfId="32" applyFont="1" applyFill="1" applyAlignment="1">
      <alignment horizontal="centerContinuous"/>
    </xf>
    <xf numFmtId="37" fontId="5" fillId="0" borderId="5" xfId="32" applyFont="1" applyFill="1" applyBorder="1" applyAlignment="1">
      <alignment horizontal="center"/>
    </xf>
    <xf numFmtId="37" fontId="5" fillId="0" borderId="0" xfId="32" applyFont="1" applyFill="1" applyAlignment="1">
      <alignment horizontal="left"/>
    </xf>
    <xf numFmtId="37" fontId="5" fillId="0" borderId="5" xfId="32" applyNumberFormat="1" applyFont="1" applyFill="1" applyBorder="1" applyProtection="1">
      <protection locked="0"/>
    </xf>
    <xf numFmtId="37" fontId="5" fillId="0" borderId="0" xfId="32" applyFont="1" applyFill="1" applyAlignment="1">
      <alignment horizontal="right"/>
    </xf>
    <xf numFmtId="37" fontId="5" fillId="0" borderId="0" xfId="32" applyFont="1" applyFill="1" applyBorder="1"/>
    <xf numFmtId="37" fontId="5" fillId="0" borderId="0" xfId="32" applyFont="1" applyFill="1" applyAlignment="1">
      <alignment horizontal="center"/>
    </xf>
    <xf numFmtId="37" fontId="5" fillId="0" borderId="5" xfId="32" quotePrefix="1" applyFont="1" applyFill="1" applyBorder="1" applyAlignment="1">
      <alignment horizontal="center"/>
    </xf>
    <xf numFmtId="0" fontId="5" fillId="0" borderId="0" xfId="32" applyNumberFormat="1" applyFont="1" applyFill="1" applyAlignment="1">
      <alignment horizontal="center"/>
    </xf>
    <xf numFmtId="168" fontId="5" fillId="0" borderId="0" xfId="32" applyNumberFormat="1" applyFont="1" applyAlignment="1">
      <alignment horizontal="center"/>
    </xf>
    <xf numFmtId="37" fontId="5" fillId="0" borderId="0" xfId="32" quotePrefix="1" applyFont="1" applyFill="1" applyAlignment="1">
      <alignment horizontal="left"/>
    </xf>
    <xf numFmtId="37" fontId="0" fillId="0" borderId="0" xfId="0"/>
    <xf numFmtId="37" fontId="5" fillId="0" borderId="0" xfId="0" applyFont="1" applyAlignment="1">
      <alignment horizontal="right"/>
    </xf>
    <xf numFmtId="37" fontId="5" fillId="0" borderId="0" xfId="0" applyFont="1" applyBorder="1" applyAlignment="1">
      <alignment horizontal="center"/>
    </xf>
    <xf numFmtId="37" fontId="5" fillId="0" borderId="5" xfId="0" quotePrefix="1" applyFont="1" applyBorder="1" applyAlignment="1">
      <alignment horizontal="center"/>
    </xf>
    <xf numFmtId="37" fontId="5" fillId="0" borderId="0" xfId="0" applyFont="1" applyFill="1"/>
    <xf numFmtId="37" fontId="5" fillId="0" borderId="0" xfId="0" applyFont="1" applyFill="1" applyAlignment="1">
      <alignment horizontal="right"/>
    </xf>
    <xf numFmtId="37" fontId="7" fillId="0" borderId="0" xfId="32" applyFont="1" applyFill="1" applyAlignment="1">
      <alignment horizontal="centerContinuous"/>
    </xf>
    <xf numFmtId="37" fontId="6" fillId="0" borderId="0" xfId="32" quotePrefix="1" applyFont="1" applyFill="1" applyAlignment="1">
      <alignment horizontal="centerContinuous"/>
    </xf>
    <xf numFmtId="37" fontId="7" fillId="0" borderId="0" xfId="32" applyFont="1" applyFill="1" applyAlignment="1">
      <alignment horizontal="right"/>
    </xf>
    <xf numFmtId="37" fontId="5" fillId="0" borderId="0" xfId="32" applyFont="1" applyFill="1"/>
    <xf numFmtId="37" fontId="5" fillId="0" borderId="0" xfId="32" applyFont="1" applyAlignment="1">
      <alignment horizontal="center"/>
    </xf>
    <xf numFmtId="37" fontId="0" fillId="0" borderId="0" xfId="0"/>
    <xf numFmtId="37" fontId="5" fillId="0" borderId="0" xfId="0" applyFont="1"/>
    <xf numFmtId="37" fontId="5" fillId="0" borderId="0" xfId="0" applyFont="1" applyAlignment="1">
      <alignment horizontal="right"/>
    </xf>
    <xf numFmtId="37" fontId="7" fillId="0" borderId="0" xfId="0" applyFont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5" xfId="0" quotePrefix="1" applyFont="1" applyBorder="1" applyAlignment="1">
      <alignment horizontal="center"/>
    </xf>
    <xf numFmtId="175" fontId="5" fillId="0" borderId="0" xfId="0" applyNumberFormat="1" applyFont="1" applyFill="1" applyBorder="1"/>
    <xf numFmtId="37" fontId="7" fillId="0" borderId="0" xfId="0" applyFont="1" applyFill="1" applyAlignment="1">
      <alignment horizontal="right"/>
    </xf>
    <xf numFmtId="37" fontId="5" fillId="0" borderId="0" xfId="0" applyFont="1" applyFill="1" applyBorder="1"/>
    <xf numFmtId="37" fontId="7" fillId="0" borderId="0" xfId="0" quotePrefix="1" applyFont="1" applyFill="1" applyAlignment="1">
      <alignment horizontal="right"/>
    </xf>
    <xf numFmtId="37" fontId="5" fillId="0" borderId="0" xfId="0" quotePrefix="1" applyFont="1" applyFill="1" applyAlignment="1">
      <alignment horizontal="left"/>
    </xf>
    <xf numFmtId="37" fontId="7" fillId="0" borderId="0" xfId="32" applyFont="1" applyFill="1" applyBorder="1" applyAlignment="1">
      <alignment horizontal="centerContinuous"/>
    </xf>
    <xf numFmtId="37" fontId="5" fillId="0" borderId="0" xfId="32" applyFont="1" applyFill="1" applyBorder="1" applyAlignment="1">
      <alignment horizontal="center"/>
    </xf>
    <xf numFmtId="37" fontId="5" fillId="0" borderId="0" xfId="32" applyNumberFormat="1" applyFont="1" applyFill="1" applyBorder="1" applyProtection="1"/>
    <xf numFmtId="37" fontId="28" fillId="0" borderId="0" xfId="32" applyFont="1" applyFill="1"/>
    <xf numFmtId="164" fontId="5" fillId="0" borderId="0" xfId="32" applyNumberFormat="1" applyFont="1" applyFill="1"/>
    <xf numFmtId="0" fontId="7" fillId="0" borderId="0" xfId="33" applyFont="1" applyFill="1" applyAlignment="1">
      <alignment horizontal="centerContinuous"/>
    </xf>
    <xf numFmtId="39" fontId="14" fillId="0" borderId="0" xfId="0" applyNumberFormat="1" applyFont="1" applyFill="1"/>
    <xf numFmtId="0" fontId="22" fillId="0" borderId="0" xfId="199" applyFont="1" applyFill="1" applyAlignment="1">
      <alignment horizontal="left"/>
    </xf>
    <xf numFmtId="37" fontId="74" fillId="0" borderId="0" xfId="0" applyFont="1" applyFill="1"/>
    <xf numFmtId="10" fontId="5" fillId="0" borderId="0" xfId="46" quotePrefix="1" applyNumberFormat="1" applyFont="1" applyFill="1" applyBorder="1"/>
    <xf numFmtId="167" fontId="5" fillId="0" borderId="0" xfId="7" applyNumberFormat="1" applyFont="1" applyFill="1" applyBorder="1" applyAlignment="1" applyProtection="1">
      <alignment horizontal="center"/>
      <protection locked="0"/>
    </xf>
    <xf numFmtId="178" fontId="5" fillId="0" borderId="0" xfId="7" applyNumberFormat="1" applyFont="1" applyFill="1" applyBorder="1"/>
    <xf numFmtId="169" fontId="5" fillId="0" borderId="0" xfId="12" quotePrefix="1" applyNumberFormat="1" applyFont="1" applyFill="1" applyBorder="1" applyAlignment="1">
      <alignment horizontal="left"/>
    </xf>
    <xf numFmtId="166" fontId="5" fillId="0" borderId="0" xfId="0" applyNumberFormat="1" applyFont="1" applyFill="1" applyProtection="1"/>
    <xf numFmtId="179" fontId="5" fillId="0" borderId="0" xfId="12" applyNumberFormat="1" applyFont="1" applyBorder="1"/>
    <xf numFmtId="164" fontId="22" fillId="0" borderId="0" xfId="203" applyNumberFormat="1" applyFont="1" applyBorder="1" applyAlignment="1">
      <alignment horizontal="center"/>
    </xf>
    <xf numFmtId="0" fontId="5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/>
    <xf numFmtId="0" fontId="5" fillId="0" borderId="0" xfId="0" applyNumberFormat="1" applyFont="1" applyFill="1" applyAlignment="1">
      <alignment horizontal="left"/>
    </xf>
    <xf numFmtId="9" fontId="27" fillId="0" borderId="0" xfId="0" applyNumberFormat="1" applyFont="1" applyFill="1"/>
    <xf numFmtId="37" fontId="27" fillId="0" borderId="0" xfId="0" applyNumberFormat="1" applyFont="1" applyFill="1" applyProtection="1">
      <protection locked="0"/>
    </xf>
    <xf numFmtId="9" fontId="5" fillId="0" borderId="0" xfId="46" applyFont="1" applyFill="1"/>
    <xf numFmtId="0" fontId="76" fillId="0" borderId="0" xfId="0" applyNumberFormat="1" applyFont="1" applyFill="1"/>
    <xf numFmtId="0" fontId="27" fillId="0" borderId="0" xfId="0" applyNumberFormat="1" applyFont="1" applyFill="1" applyAlignment="1">
      <alignment wrapText="1"/>
    </xf>
    <xf numFmtId="0" fontId="76" fillId="0" borderId="0" xfId="0" applyNumberFormat="1" applyFont="1" applyFill="1" applyAlignment="1"/>
    <xf numFmtId="0" fontId="76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76" fillId="0" borderId="0" xfId="0" applyNumberFormat="1" applyFont="1" applyFill="1" applyAlignment="1">
      <alignment horizontal="left" vertical="top"/>
    </xf>
    <xf numFmtId="37" fontId="6" fillId="0" borderId="0" xfId="0" applyFont="1" applyFill="1" applyAlignment="1">
      <alignment horizontal="center"/>
    </xf>
    <xf numFmtId="37" fontId="0" fillId="0" borderId="0" xfId="0" applyFill="1"/>
    <xf numFmtId="37" fontId="13" fillId="0" borderId="0" xfId="204" quotePrefix="1" applyFont="1" applyFill="1" applyAlignment="1">
      <alignment horizontal="center"/>
    </xf>
    <xf numFmtId="37" fontId="5" fillId="0" borderId="5" xfId="204" applyFont="1" applyFill="1" applyBorder="1" applyAlignment="1">
      <alignment horizontal="center"/>
    </xf>
    <xf numFmtId="37" fontId="5" fillId="0" borderId="0" xfId="204" applyFont="1" applyFill="1" applyAlignment="1">
      <alignment horizontal="center"/>
    </xf>
    <xf numFmtId="37" fontId="5" fillId="0" borderId="0" xfId="204" applyFont="1" applyFill="1"/>
    <xf numFmtId="37" fontId="0" fillId="0" borderId="0" xfId="0" applyFill="1"/>
    <xf numFmtId="37" fontId="5" fillId="0" borderId="0" xfId="0" applyFont="1" applyFill="1" applyBorder="1" applyAlignment="1">
      <alignment horizontal="fill"/>
    </xf>
    <xf numFmtId="37" fontId="54" fillId="0" borderId="0" xfId="0" applyFont="1" applyFill="1" applyBorder="1" applyAlignment="1">
      <alignment horizontal="right"/>
    </xf>
    <xf numFmtId="37" fontId="54" fillId="0" borderId="0" xfId="0" quotePrefix="1" applyFont="1" applyFill="1" applyBorder="1" applyAlignment="1">
      <alignment horizontal="right"/>
    </xf>
    <xf numFmtId="37" fontId="54" fillId="0" borderId="0" xfId="0" quotePrefix="1" applyFont="1" applyFill="1" applyAlignment="1">
      <alignment horizontal="right"/>
    </xf>
    <xf numFmtId="37" fontId="54" fillId="0" borderId="0" xfId="0" applyFont="1" applyFill="1" applyAlignment="1">
      <alignment horizontal="centerContinuous"/>
    </xf>
    <xf numFmtId="37" fontId="54" fillId="0" borderId="0" xfId="0" applyFont="1" applyFill="1" applyBorder="1" applyAlignment="1">
      <alignment horizontal="centerContinuous"/>
    </xf>
    <xf numFmtId="37" fontId="6" fillId="0" borderId="0" xfId="0" applyFont="1" applyFill="1" applyBorder="1" applyAlignment="1">
      <alignment horizontal="centerContinuous"/>
    </xf>
    <xf numFmtId="37" fontId="9" fillId="0" borderId="0" xfId="0" quotePrefix="1" applyFont="1" applyFill="1" applyBorder="1" applyAlignment="1">
      <alignment horizontal="center"/>
    </xf>
    <xf numFmtId="0" fontId="0" fillId="0" borderId="0" xfId="0" applyNumberFormat="1" applyFill="1"/>
    <xf numFmtId="0" fontId="5" fillId="0" borderId="5" xfId="0" applyNumberFormat="1" applyFont="1" applyFill="1" applyBorder="1" applyAlignment="1">
      <alignment horizontal="center"/>
    </xf>
    <xf numFmtId="5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/>
    <xf numFmtId="169" fontId="5" fillId="0" borderId="0" xfId="13" applyNumberFormat="1" applyFont="1" applyFill="1" applyBorder="1" applyProtection="1">
      <protection locked="0"/>
    </xf>
    <xf numFmtId="37" fontId="7" fillId="0" borderId="0" xfId="0" applyFont="1" applyFill="1" applyAlignment="1">
      <alignment horizontal="left"/>
    </xf>
    <xf numFmtId="5" fontId="5" fillId="0" borderId="0" xfId="12" applyNumberFormat="1" applyFont="1" applyFill="1" applyBorder="1"/>
    <xf numFmtId="0" fontId="17" fillId="0" borderId="0" xfId="205" applyFont="1" applyFill="1"/>
    <xf numFmtId="0" fontId="17" fillId="0" borderId="0" xfId="205" applyFont="1" applyFill="1" applyAlignment="1">
      <alignment horizontal="left"/>
    </xf>
    <xf numFmtId="189" fontId="5" fillId="0" borderId="0" xfId="7" applyNumberFormat="1" applyFont="1" applyFill="1" applyBorder="1" applyProtection="1"/>
    <xf numFmtId="167" fontId="5" fillId="0" borderId="0" xfId="7" quotePrefix="1" applyNumberFormat="1" applyFont="1" applyBorder="1" applyAlignment="1">
      <alignment horizontal="center"/>
    </xf>
    <xf numFmtId="167" fontId="5" fillId="0" borderId="5" xfId="7" quotePrefix="1" applyNumberFormat="1" applyFont="1" applyBorder="1" applyAlignment="1">
      <alignment horizontal="center"/>
    </xf>
    <xf numFmtId="169" fontId="5" fillId="0" borderId="7" xfId="12" applyNumberFormat="1" applyFont="1" applyBorder="1"/>
    <xf numFmtId="0" fontId="5" fillId="0" borderId="0" xfId="33" applyFont="1" applyFill="1" applyBorder="1"/>
    <xf numFmtId="41" fontId="5" fillId="0" borderId="0" xfId="12" applyNumberFormat="1" applyFont="1" applyFill="1" applyBorder="1"/>
    <xf numFmtId="42" fontId="5" fillId="0" borderId="0" xfId="33" applyNumberFormat="1" applyFont="1" applyFill="1" applyBorder="1"/>
    <xf numFmtId="37" fontId="6" fillId="0" borderId="0" xfId="0" quotePrefix="1" applyFont="1" applyAlignment="1">
      <alignment horizontal="center"/>
    </xf>
    <xf numFmtId="169" fontId="5" fillId="0" borderId="0" xfId="634" applyNumberFormat="1" applyFont="1" applyFill="1"/>
    <xf numFmtId="167" fontId="5" fillId="0" borderId="0" xfId="614" applyNumberFormat="1" applyFont="1" applyFill="1" applyBorder="1"/>
    <xf numFmtId="43" fontId="0" fillId="0" borderId="0" xfId="614" applyFont="1" applyFill="1"/>
    <xf numFmtId="167" fontId="5" fillId="0" borderId="0" xfId="614" applyNumberFormat="1" applyFont="1" applyFill="1"/>
    <xf numFmtId="169" fontId="5" fillId="0" borderId="8" xfId="634" applyNumberFormat="1" applyFont="1" applyFill="1" applyBorder="1" applyProtection="1"/>
    <xf numFmtId="170" fontId="5" fillId="0" borderId="0" xfId="944" applyNumberFormat="1" applyFont="1" applyFill="1"/>
    <xf numFmtId="170" fontId="5" fillId="0" borderId="0" xfId="944" applyNumberFormat="1" applyFont="1" applyFill="1" applyAlignment="1">
      <alignment horizontal="right"/>
    </xf>
    <xf numFmtId="180" fontId="5" fillId="0" borderId="0" xfId="0" applyNumberFormat="1" applyFont="1" applyFill="1"/>
    <xf numFmtId="180" fontId="5" fillId="0" borderId="0" xfId="944" applyNumberFormat="1" applyFont="1" applyFill="1" applyAlignment="1">
      <alignment horizontal="right"/>
    </xf>
    <xf numFmtId="191" fontId="5" fillId="0" borderId="0" xfId="0" applyNumberFormat="1" applyFont="1" applyFill="1"/>
    <xf numFmtId="169" fontId="5" fillId="0" borderId="0" xfId="634" applyNumberFormat="1" applyFont="1" applyFill="1" applyProtection="1">
      <protection locked="0"/>
    </xf>
    <xf numFmtId="167" fontId="5" fillId="0" borderId="0" xfId="614" applyNumberFormat="1" applyFont="1" applyFill="1" applyProtection="1"/>
    <xf numFmtId="169" fontId="5" fillId="0" borderId="0" xfId="634" applyNumberFormat="1" applyFont="1" applyFill="1" applyProtection="1"/>
    <xf numFmtId="180" fontId="5" fillId="0" borderId="0" xfId="944" applyNumberFormat="1" applyFont="1" applyFill="1"/>
    <xf numFmtId="169" fontId="5" fillId="0" borderId="6" xfId="634" applyNumberFormat="1" applyFont="1" applyFill="1" applyBorder="1" applyProtection="1">
      <protection locked="0"/>
    </xf>
    <xf numFmtId="169" fontId="5" fillId="0" borderId="0" xfId="634" applyNumberFormat="1" applyFont="1" applyFill="1" applyBorder="1" applyProtection="1">
      <protection locked="0"/>
    </xf>
    <xf numFmtId="9" fontId="5" fillId="0" borderId="0" xfId="944" applyNumberFormat="1" applyFont="1" applyFill="1"/>
    <xf numFmtId="9" fontId="5" fillId="0" borderId="0" xfId="0" applyNumberFormat="1" applyFont="1" applyFill="1"/>
    <xf numFmtId="169" fontId="5" fillId="0" borderId="5" xfId="634" applyNumberFormat="1" applyFont="1" applyFill="1" applyBorder="1" applyProtection="1">
      <protection locked="0"/>
    </xf>
    <xf numFmtId="9" fontId="5" fillId="0" borderId="0" xfId="46" applyNumberFormat="1" applyFont="1" applyFill="1"/>
    <xf numFmtId="0" fontId="5" fillId="0" borderId="0" xfId="35" quotePrefix="1" applyFont="1" applyAlignment="1">
      <alignment horizontal="left"/>
    </xf>
    <xf numFmtId="10" fontId="5" fillId="0" borderId="5" xfId="35" applyNumberFormat="1" applyFont="1" applyBorder="1" applyAlignment="1">
      <alignment horizontal="center"/>
    </xf>
    <xf numFmtId="10" fontId="5" fillId="0" borderId="8" xfId="46" applyNumberFormat="1" applyFont="1" applyBorder="1" applyAlignment="1">
      <alignment horizontal="center"/>
    </xf>
    <xf numFmtId="0" fontId="124" fillId="0" borderId="0" xfId="35" quotePrefix="1" applyFont="1" applyAlignment="1">
      <alignment horizontal="center"/>
    </xf>
    <xf numFmtId="180" fontId="27" fillId="0" borderId="0" xfId="0" applyNumberFormat="1" applyFont="1" applyFill="1" applyAlignment="1">
      <alignment horizontal="right"/>
    </xf>
    <xf numFmtId="180" fontId="27" fillId="0" borderId="0" xfId="0" applyNumberFormat="1" applyFont="1" applyFill="1" applyAlignment="1"/>
    <xf numFmtId="10" fontId="5" fillId="0" borderId="0" xfId="46" quotePrefix="1" applyNumberFormat="1" applyFont="1" applyFill="1" applyBorder="1" applyAlignment="1">
      <alignment horizontal="center"/>
    </xf>
    <xf numFmtId="37" fontId="0" fillId="0" borderId="0" xfId="0" applyFill="1"/>
    <xf numFmtId="10" fontId="5" fillId="0" borderId="0" xfId="46" applyNumberFormat="1" applyFont="1"/>
    <xf numFmtId="37" fontId="5" fillId="0" borderId="8" xfId="0" applyFont="1" applyBorder="1"/>
    <xf numFmtId="180" fontId="5" fillId="0" borderId="31" xfId="46" applyNumberFormat="1" applyFont="1" applyBorder="1"/>
    <xf numFmtId="180" fontId="5" fillId="0" borderId="5" xfId="46" applyNumberFormat="1" applyFont="1" applyFill="1" applyBorder="1"/>
    <xf numFmtId="180" fontId="5" fillId="0" borderId="0" xfId="46" applyNumberFormat="1" applyFont="1" applyBorder="1"/>
    <xf numFmtId="37" fontId="5" fillId="0" borderId="8" xfId="0" applyFont="1" applyFill="1" applyBorder="1"/>
    <xf numFmtId="181" fontId="5" fillId="0" borderId="0" xfId="0" applyNumberFormat="1" applyFont="1"/>
    <xf numFmtId="37" fontId="31" fillId="0" borderId="0" xfId="0" applyNumberFormat="1" applyFont="1" applyFill="1" applyBorder="1"/>
    <xf numFmtId="181" fontId="5" fillId="0" borderId="0" xfId="0" applyNumberFormat="1" applyFont="1" applyFill="1" applyBorder="1"/>
    <xf numFmtId="188" fontId="5" fillId="0" borderId="0" xfId="7" applyNumberFormat="1" applyFont="1" applyFill="1" applyBorder="1"/>
    <xf numFmtId="37" fontId="17" fillId="0" borderId="0" xfId="0" applyFont="1"/>
    <xf numFmtId="49" fontId="33" fillId="0" borderId="0" xfId="0" applyNumberFormat="1" applyFont="1"/>
    <xf numFmtId="37" fontId="17" fillId="0" borderId="0" xfId="0" quotePrefix="1" applyFont="1" applyAlignment="1">
      <alignment horizontal="left"/>
    </xf>
    <xf numFmtId="0" fontId="17" fillId="0" borderId="0" xfId="205" quotePrefix="1" applyFont="1" applyFill="1" applyAlignment="1">
      <alignment horizontal="left"/>
    </xf>
    <xf numFmtId="0" fontId="17" fillId="0" borderId="0" xfId="205" applyFont="1" applyFill="1" applyAlignment="1"/>
    <xf numFmtId="0" fontId="7" fillId="0" borderId="0" xfId="35" applyFont="1" applyAlignment="1">
      <alignment horizontal="right"/>
    </xf>
    <xf numFmtId="49" fontId="17" fillId="0" borderId="0" xfId="205" applyNumberFormat="1" applyFont="1" applyFill="1" applyAlignment="1">
      <alignment horizontal="left"/>
    </xf>
    <xf numFmtId="37" fontId="6" fillId="0" borderId="0" xfId="0" quotePrefix="1" applyFont="1" applyFill="1" applyAlignment="1">
      <alignment horizontal="center"/>
    </xf>
    <xf numFmtId="37" fontId="5" fillId="0" borderId="0" xfId="32" quotePrefix="1" applyFont="1" applyAlignment="1">
      <alignment horizontal="center"/>
    </xf>
    <xf numFmtId="37" fontId="5" fillId="0" borderId="0" xfId="32" applyFont="1" applyBorder="1" applyAlignment="1">
      <alignment horizontal="center"/>
    </xf>
    <xf numFmtId="43" fontId="5" fillId="0" borderId="0" xfId="7" applyFont="1" applyBorder="1"/>
    <xf numFmtId="37" fontId="5" fillId="0" borderId="0" xfId="32" applyFont="1" applyAlignment="1">
      <alignment horizontal="center"/>
    </xf>
    <xf numFmtId="37" fontId="5" fillId="0" borderId="5" xfId="32" applyFont="1" applyBorder="1" applyAlignment="1">
      <alignment horizontal="center"/>
    </xf>
    <xf numFmtId="37" fontId="9" fillId="0" borderId="0" xfId="32" applyFont="1" applyBorder="1" applyAlignment="1">
      <alignment horizontal="left"/>
    </xf>
    <xf numFmtId="37" fontId="9" fillId="0" borderId="0" xfId="32" applyFont="1" applyBorder="1" applyAlignment="1">
      <alignment horizontal="center"/>
    </xf>
    <xf numFmtId="0" fontId="5" fillId="0" borderId="0" xfId="32" applyNumberFormat="1" applyFont="1" applyAlignment="1">
      <alignment horizontal="right"/>
    </xf>
    <xf numFmtId="167" fontId="5" fillId="0" borderId="0" xfId="32" applyNumberFormat="1" applyFont="1" applyFill="1"/>
    <xf numFmtId="17" fontId="5" fillId="0" borderId="0" xfId="32" applyNumberFormat="1" applyFont="1" applyFill="1" applyAlignment="1">
      <alignment horizontal="center"/>
    </xf>
    <xf numFmtId="37" fontId="5" fillId="0" borderId="5" xfId="32" applyFont="1" applyFill="1" applyBorder="1"/>
    <xf numFmtId="37" fontId="5" fillId="0" borderId="7" xfId="32" applyFont="1" applyFill="1" applyBorder="1"/>
    <xf numFmtId="37" fontId="7" fillId="0" borderId="0" xfId="32" quotePrefix="1" applyFont="1" applyAlignment="1">
      <alignment horizontal="centerContinuous"/>
    </xf>
    <xf numFmtId="37" fontId="5" fillId="0" borderId="0" xfId="0" quotePrefix="1" applyNumberFormat="1" applyFont="1" applyAlignment="1">
      <alignment horizontal="left"/>
    </xf>
    <xf numFmtId="37" fontId="5" fillId="0" borderId="0" xfId="0" applyNumberFormat="1" applyFont="1"/>
    <xf numFmtId="169" fontId="5" fillId="0" borderId="0" xfId="636" applyNumberFormat="1" applyFont="1" applyBorder="1"/>
    <xf numFmtId="169" fontId="5" fillId="0" borderId="6" xfId="636" applyNumberFormat="1" applyFont="1" applyBorder="1"/>
    <xf numFmtId="37" fontId="5" fillId="0" borderId="0" xfId="12" applyNumberFormat="1" applyFont="1" applyFill="1" applyBorder="1"/>
    <xf numFmtId="167" fontId="5" fillId="0" borderId="5" xfId="629" applyNumberFormat="1" applyFont="1" applyBorder="1"/>
    <xf numFmtId="167" fontId="5" fillId="0" borderId="0" xfId="629" applyNumberFormat="1" applyFont="1" applyBorder="1"/>
    <xf numFmtId="169" fontId="5" fillId="0" borderId="0" xfId="636" applyNumberFormat="1" applyFont="1"/>
    <xf numFmtId="37" fontId="5" fillId="0" borderId="0" xfId="0" applyNumberFormat="1" applyFont="1" applyBorder="1"/>
    <xf numFmtId="37" fontId="5" fillId="0" borderId="0" xfId="0" applyNumberFormat="1" applyFont="1" applyBorder="1" applyAlignment="1">
      <alignment horizontal="right"/>
    </xf>
    <xf numFmtId="43" fontId="76" fillId="0" borderId="0" xfId="7" applyFont="1" applyFill="1"/>
    <xf numFmtId="193" fontId="76" fillId="0" borderId="0" xfId="0" applyNumberFormat="1" applyFont="1" applyFill="1"/>
    <xf numFmtId="167" fontId="5" fillId="0" borderId="5" xfId="614" applyNumberFormat="1" applyFont="1" applyFill="1" applyBorder="1" applyProtection="1"/>
    <xf numFmtId="0" fontId="124" fillId="0" borderId="0" xfId="0" quotePrefix="1" applyNumberFormat="1" applyFont="1" applyFill="1" applyAlignment="1">
      <alignment horizontal="left"/>
    </xf>
    <xf numFmtId="180" fontId="5" fillId="0" borderId="5" xfId="944" applyNumberFormat="1" applyFont="1" applyFill="1" applyBorder="1"/>
    <xf numFmtId="169" fontId="5" fillId="0" borderId="6" xfId="634" applyNumberFormat="1" applyFont="1" applyFill="1" applyBorder="1"/>
    <xf numFmtId="167" fontId="5" fillId="0" borderId="5" xfId="634" applyNumberFormat="1" applyFont="1" applyFill="1" applyBorder="1"/>
    <xf numFmtId="167" fontId="5" fillId="0" borderId="5" xfId="614" applyNumberFormat="1" applyFont="1" applyFill="1" applyBorder="1"/>
    <xf numFmtId="43" fontId="11" fillId="0" borderId="0" xfId="7" applyFont="1" applyAlignment="1">
      <alignment horizontal="center"/>
    </xf>
    <xf numFmtId="0" fontId="22" fillId="0" borderId="0" xfId="199" applyFont="1" applyFill="1" applyAlignment="1">
      <alignment horizontal="right"/>
    </xf>
    <xf numFmtId="192" fontId="5" fillId="0" borderId="0" xfId="0" applyNumberFormat="1" applyFont="1" applyFill="1"/>
    <xf numFmtId="49" fontId="33" fillId="0" borderId="0" xfId="0" applyNumberFormat="1" applyFont="1" applyFill="1"/>
    <xf numFmtId="43" fontId="11" fillId="0" borderId="0" xfId="7" applyFont="1" applyAlignment="1">
      <alignment horizontal="center"/>
    </xf>
    <xf numFmtId="10" fontId="5" fillId="0" borderId="5" xfId="46" applyNumberFormat="1" applyFont="1" applyFill="1" applyBorder="1"/>
    <xf numFmtId="43" fontId="11" fillId="0" borderId="0" xfId="7" applyFont="1" applyAlignment="1">
      <alignment horizontal="center"/>
    </xf>
    <xf numFmtId="37" fontId="5" fillId="0" borderId="0" xfId="39" applyFont="1"/>
    <xf numFmtId="37" fontId="7" fillId="0" borderId="0" xfId="39" applyFont="1" applyAlignment="1">
      <alignment horizontal="centerContinuous"/>
    </xf>
    <xf numFmtId="37" fontId="5" fillId="0" borderId="0" xfId="39" applyFont="1" applyAlignment="1">
      <alignment horizontal="center"/>
    </xf>
    <xf numFmtId="37" fontId="5" fillId="0" borderId="0" xfId="39" applyFont="1" applyAlignment="1">
      <alignment horizontal="left"/>
    </xf>
    <xf numFmtId="37" fontId="5" fillId="0" borderId="0" xfId="39" applyFont="1" applyBorder="1"/>
    <xf numFmtId="37" fontId="5" fillId="0" borderId="0" xfId="39" quotePrefix="1" applyFont="1" applyAlignment="1">
      <alignment horizontal="left"/>
    </xf>
    <xf numFmtId="37" fontId="5" fillId="0" borderId="0" xfId="39" quotePrefix="1" applyFont="1" applyBorder="1" applyAlignment="1">
      <alignment horizontal="left"/>
    </xf>
    <xf numFmtId="37" fontId="5" fillId="0" borderId="0" xfId="39" applyNumberFormat="1" applyFont="1" applyBorder="1" applyProtection="1"/>
    <xf numFmtId="37" fontId="5" fillId="0" borderId="7" xfId="39" applyNumberFormat="1" applyFont="1" applyBorder="1" applyProtection="1"/>
    <xf numFmtId="37" fontId="5" fillId="0" borderId="0" xfId="39" applyFont="1" applyBorder="1" applyAlignment="1">
      <alignment horizontal="right"/>
    </xf>
    <xf numFmtId="37" fontId="5" fillId="0" borderId="0" xfId="39" quotePrefix="1" applyFont="1" applyAlignment="1">
      <alignment horizontal="fill"/>
    </xf>
    <xf numFmtId="37" fontId="7" fillId="0" borderId="0" xfId="39" applyFont="1" applyBorder="1" applyAlignment="1">
      <alignment horizontal="left"/>
    </xf>
    <xf numFmtId="37" fontId="7" fillId="0" borderId="0" xfId="39" applyFont="1" applyBorder="1" applyAlignment="1">
      <alignment horizontal="centerContinuous"/>
    </xf>
    <xf numFmtId="37" fontId="6" fillId="0" borderId="0" xfId="39" applyFont="1" applyBorder="1" applyAlignment="1">
      <alignment horizontal="centerContinuous"/>
    </xf>
    <xf numFmtId="37" fontId="5" fillId="0" borderId="0" xfId="39" applyFont="1" applyBorder="1" applyAlignment="1">
      <alignment horizontal="left"/>
    </xf>
    <xf numFmtId="37" fontId="5" fillId="0" borderId="0" xfId="39" applyFont="1" applyBorder="1" applyAlignment="1">
      <alignment horizontal="center"/>
    </xf>
    <xf numFmtId="37" fontId="14" fillId="0" borderId="0" xfId="39" applyFont="1" applyBorder="1"/>
    <xf numFmtId="10" fontId="5" fillId="0" borderId="0" xfId="39" applyNumberFormat="1" applyFont="1" applyBorder="1" applyProtection="1"/>
    <xf numFmtId="165" fontId="5" fillId="0" borderId="0" xfId="39" applyNumberFormat="1" applyFont="1" applyBorder="1" applyProtection="1"/>
    <xf numFmtId="5" fontId="5" fillId="0" borderId="0" xfId="39" applyNumberFormat="1" applyFont="1" applyBorder="1" applyProtection="1"/>
    <xf numFmtId="37" fontId="6" fillId="0" borderId="0" xfId="39" quotePrefix="1" applyFont="1" applyAlignment="1">
      <alignment horizontal="centerContinuous"/>
    </xf>
    <xf numFmtId="169" fontId="5" fillId="0" borderId="5" xfId="12" applyNumberFormat="1" applyFont="1" applyBorder="1" applyAlignment="1">
      <alignment horizontal="center"/>
    </xf>
    <xf numFmtId="37" fontId="10" fillId="0" borderId="0" xfId="0" applyFont="1" applyFill="1" applyAlignment="1">
      <alignment horizontal="center"/>
    </xf>
    <xf numFmtId="37" fontId="7" fillId="0" borderId="0" xfId="0" applyFont="1" applyAlignment="1">
      <alignment horizontal="center"/>
    </xf>
    <xf numFmtId="37" fontId="6" fillId="0" borderId="0" xfId="0" applyFont="1" applyFill="1" applyAlignment="1">
      <alignment horizontal="center"/>
    </xf>
    <xf numFmtId="37" fontId="7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37" fontId="6" fillId="0" borderId="0" xfId="0" quotePrefix="1" applyFont="1" applyFill="1" applyAlignment="1">
      <alignment horizontal="center"/>
    </xf>
    <xf numFmtId="0" fontId="7" fillId="0" borderId="0" xfId="37" quotePrefix="1" applyFont="1" applyFill="1" applyBorder="1" applyAlignment="1">
      <alignment horizontal="center"/>
    </xf>
    <xf numFmtId="0" fontId="7" fillId="0" borderId="0" xfId="37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37" fontId="6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37" fontId="6" fillId="0" borderId="0" xfId="32" quotePrefix="1" applyFont="1" applyFill="1" applyAlignment="1">
      <alignment horizontal="center"/>
    </xf>
    <xf numFmtId="37" fontId="7" fillId="0" borderId="0" xfId="32" applyFont="1" applyFill="1" applyAlignment="1">
      <alignment horizontal="center"/>
    </xf>
    <xf numFmtId="37" fontId="5" fillId="0" borderId="0" xfId="32" applyFont="1" applyAlignment="1">
      <alignment horizontal="center"/>
    </xf>
    <xf numFmtId="37" fontId="6" fillId="0" borderId="0" xfId="0" quotePrefix="1" applyFont="1" applyAlignment="1">
      <alignment horizontal="center"/>
    </xf>
    <xf numFmtId="43" fontId="11" fillId="0" borderId="0" xfId="7" applyFont="1" applyAlignment="1">
      <alignment horizontal="center"/>
    </xf>
    <xf numFmtId="37" fontId="7" fillId="0" borderId="0" xfId="0" quotePrefix="1" applyFont="1" applyFill="1" applyAlignment="1">
      <alignment horizontal="center"/>
    </xf>
    <xf numFmtId="37" fontId="54" fillId="0" borderId="0" xfId="0" applyFont="1" applyFill="1" applyAlignment="1">
      <alignment horizontal="center"/>
    </xf>
    <xf numFmtId="37" fontId="17" fillId="0" borderId="0" xfId="0" applyFont="1" applyFill="1" applyAlignment="1">
      <alignment horizontal="center" vertical="top" wrapText="1"/>
    </xf>
    <xf numFmtId="37" fontId="54" fillId="0" borderId="0" xfId="0" quotePrefix="1" applyFont="1" applyFill="1" applyAlignment="1">
      <alignment horizontal="center"/>
    </xf>
    <xf numFmtId="37" fontId="0" fillId="0" borderId="0" xfId="0"/>
    <xf numFmtId="0" fontId="5" fillId="0" borderId="0" xfId="0" applyNumberFormat="1" applyFont="1" applyAlignment="1">
      <alignment horizontal="left" vertical="top" wrapText="1"/>
    </xf>
    <xf numFmtId="37" fontId="55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37" fontId="0" fillId="0" borderId="0" xfId="0" applyAlignment="1"/>
    <xf numFmtId="37" fontId="6" fillId="0" borderId="0" xfId="39" quotePrefix="1" applyFont="1" applyAlignment="1">
      <alignment horizontal="center"/>
    </xf>
    <xf numFmtId="37" fontId="6" fillId="0" borderId="0" xfId="39" applyFont="1" applyFill="1" applyAlignment="1">
      <alignment horizontal="center"/>
    </xf>
  </cellXfs>
  <cellStyles count="1105">
    <cellStyle name="_Row1" xfId="102"/>
    <cellStyle name="_Row1 2" xfId="994"/>
    <cellStyle name="20% - Accent1 10" xfId="206"/>
    <cellStyle name="20% - Accent1 11" xfId="207"/>
    <cellStyle name="20% - Accent1 12" xfId="208"/>
    <cellStyle name="20% - Accent1 13" xfId="209"/>
    <cellStyle name="20% - Accent1 14" xfId="210"/>
    <cellStyle name="20% - Accent1 15" xfId="211"/>
    <cellStyle name="20% - Accent1 16" xfId="212"/>
    <cellStyle name="20% - Accent1 2" xfId="213"/>
    <cellStyle name="20% - Accent1 2 2" xfId="995"/>
    <cellStyle name="20% - Accent1 3" xfId="214"/>
    <cellStyle name="20% - Accent1 4" xfId="215"/>
    <cellStyle name="20% - Accent1 5" xfId="216"/>
    <cellStyle name="20% - Accent1 6" xfId="217"/>
    <cellStyle name="20% - Accent1 7" xfId="218"/>
    <cellStyle name="20% - Accent1 8" xfId="219"/>
    <cellStyle name="20% - Accent1 9" xfId="220"/>
    <cellStyle name="20% - Accent2 10" xfId="221"/>
    <cellStyle name="20% - Accent2 11" xfId="222"/>
    <cellStyle name="20% - Accent2 12" xfId="223"/>
    <cellStyle name="20% - Accent2 13" xfId="224"/>
    <cellStyle name="20% - Accent2 14" xfId="225"/>
    <cellStyle name="20% - Accent2 15" xfId="226"/>
    <cellStyle name="20% - Accent2 16" xfId="227"/>
    <cellStyle name="20% - Accent2 2" xfId="228"/>
    <cellStyle name="20% - Accent2 2 2" xfId="996"/>
    <cellStyle name="20% - Accent2 3" xfId="229"/>
    <cellStyle name="20% - Accent2 4" xfId="230"/>
    <cellStyle name="20% - Accent2 5" xfId="231"/>
    <cellStyle name="20% - Accent2 6" xfId="232"/>
    <cellStyle name="20% - Accent2 7" xfId="233"/>
    <cellStyle name="20% - Accent2 8" xfId="234"/>
    <cellStyle name="20% - Accent2 9" xfId="235"/>
    <cellStyle name="20% - Accent3 10" xfId="236"/>
    <cellStyle name="20% - Accent3 11" xfId="237"/>
    <cellStyle name="20% - Accent3 12" xfId="238"/>
    <cellStyle name="20% - Accent3 13" xfId="239"/>
    <cellStyle name="20% - Accent3 14" xfId="240"/>
    <cellStyle name="20% - Accent3 15" xfId="241"/>
    <cellStyle name="20% - Accent3 16" xfId="242"/>
    <cellStyle name="20% - Accent3 2" xfId="243"/>
    <cellStyle name="20% - Accent3 2 2" xfId="997"/>
    <cellStyle name="20% - Accent3 3" xfId="244"/>
    <cellStyle name="20% - Accent3 4" xfId="245"/>
    <cellStyle name="20% - Accent3 5" xfId="246"/>
    <cellStyle name="20% - Accent3 6" xfId="247"/>
    <cellStyle name="20% - Accent3 7" xfId="248"/>
    <cellStyle name="20% - Accent3 8" xfId="249"/>
    <cellStyle name="20% - Accent3 9" xfId="250"/>
    <cellStyle name="20% - Accent4 10" xfId="251"/>
    <cellStyle name="20% - Accent4 11" xfId="252"/>
    <cellStyle name="20% - Accent4 12" xfId="253"/>
    <cellStyle name="20% - Accent4 13" xfId="254"/>
    <cellStyle name="20% - Accent4 14" xfId="255"/>
    <cellStyle name="20% - Accent4 15" xfId="256"/>
    <cellStyle name="20% - Accent4 16" xfId="257"/>
    <cellStyle name="20% - Accent4 2" xfId="258"/>
    <cellStyle name="20% - Accent4 2 2" xfId="998"/>
    <cellStyle name="20% - Accent4 3" xfId="259"/>
    <cellStyle name="20% - Accent4 4" xfId="260"/>
    <cellStyle name="20% - Accent4 5" xfId="261"/>
    <cellStyle name="20% - Accent4 6" xfId="262"/>
    <cellStyle name="20% - Accent4 7" xfId="263"/>
    <cellStyle name="20% - Accent4 8" xfId="264"/>
    <cellStyle name="20% - Accent4 9" xfId="265"/>
    <cellStyle name="20% - Accent5 10" xfId="266"/>
    <cellStyle name="20% - Accent5 11" xfId="267"/>
    <cellStyle name="20% - Accent5 12" xfId="268"/>
    <cellStyle name="20% - Accent5 13" xfId="269"/>
    <cellStyle name="20% - Accent5 14" xfId="270"/>
    <cellStyle name="20% - Accent5 15" xfId="271"/>
    <cellStyle name="20% - Accent5 16" xfId="272"/>
    <cellStyle name="20% - Accent5 2" xfId="273"/>
    <cellStyle name="20% - Accent5 2 2" xfId="999"/>
    <cellStyle name="20% - Accent5 3" xfId="274"/>
    <cellStyle name="20% - Accent5 4" xfId="275"/>
    <cellStyle name="20% - Accent5 5" xfId="276"/>
    <cellStyle name="20% - Accent5 6" xfId="277"/>
    <cellStyle name="20% - Accent5 7" xfId="278"/>
    <cellStyle name="20% - Accent5 8" xfId="279"/>
    <cellStyle name="20% - Accent5 9" xfId="280"/>
    <cellStyle name="20% - Accent6 10" xfId="281"/>
    <cellStyle name="20% - Accent6 11" xfId="282"/>
    <cellStyle name="20% - Accent6 12" xfId="283"/>
    <cellStyle name="20% - Accent6 13" xfId="284"/>
    <cellStyle name="20% - Accent6 14" xfId="285"/>
    <cellStyle name="20% - Accent6 15" xfId="286"/>
    <cellStyle name="20% - Accent6 16" xfId="287"/>
    <cellStyle name="20% - Accent6 2" xfId="288"/>
    <cellStyle name="20% - Accent6 2 2" xfId="1000"/>
    <cellStyle name="20% - Accent6 3" xfId="289"/>
    <cellStyle name="20% - Accent6 4" xfId="290"/>
    <cellStyle name="20% - Accent6 5" xfId="291"/>
    <cellStyle name="20% - Accent6 6" xfId="292"/>
    <cellStyle name="20% - Accent6 7" xfId="293"/>
    <cellStyle name="20% - Accent6 8" xfId="294"/>
    <cellStyle name="20% - Accent6 9" xfId="295"/>
    <cellStyle name="40% - Accent1 10" xfId="296"/>
    <cellStyle name="40% - Accent1 11" xfId="297"/>
    <cellStyle name="40% - Accent1 12" xfId="298"/>
    <cellStyle name="40% - Accent1 13" xfId="299"/>
    <cellStyle name="40% - Accent1 14" xfId="300"/>
    <cellStyle name="40% - Accent1 15" xfId="301"/>
    <cellStyle name="40% - Accent1 16" xfId="302"/>
    <cellStyle name="40% - Accent1 2" xfId="303"/>
    <cellStyle name="40% - Accent1 2 2" xfId="1001"/>
    <cellStyle name="40% - Accent1 3" xfId="304"/>
    <cellStyle name="40% - Accent1 4" xfId="305"/>
    <cellStyle name="40% - Accent1 5" xfId="306"/>
    <cellStyle name="40% - Accent1 6" xfId="307"/>
    <cellStyle name="40% - Accent1 7" xfId="308"/>
    <cellStyle name="40% - Accent1 8" xfId="309"/>
    <cellStyle name="40% - Accent1 9" xfId="310"/>
    <cellStyle name="40% - Accent2 10" xfId="311"/>
    <cellStyle name="40% - Accent2 11" xfId="312"/>
    <cellStyle name="40% - Accent2 12" xfId="313"/>
    <cellStyle name="40% - Accent2 13" xfId="314"/>
    <cellStyle name="40% - Accent2 14" xfId="315"/>
    <cellStyle name="40% - Accent2 15" xfId="316"/>
    <cellStyle name="40% - Accent2 16" xfId="317"/>
    <cellStyle name="40% - Accent2 2" xfId="318"/>
    <cellStyle name="40% - Accent2 2 2" xfId="1002"/>
    <cellStyle name="40% - Accent2 3" xfId="319"/>
    <cellStyle name="40% - Accent2 4" xfId="320"/>
    <cellStyle name="40% - Accent2 5" xfId="321"/>
    <cellStyle name="40% - Accent2 6" xfId="322"/>
    <cellStyle name="40% - Accent2 7" xfId="323"/>
    <cellStyle name="40% - Accent2 8" xfId="324"/>
    <cellStyle name="40% - Accent2 9" xfId="325"/>
    <cellStyle name="40% - Accent3 10" xfId="326"/>
    <cellStyle name="40% - Accent3 11" xfId="327"/>
    <cellStyle name="40% - Accent3 12" xfId="328"/>
    <cellStyle name="40% - Accent3 13" xfId="329"/>
    <cellStyle name="40% - Accent3 14" xfId="330"/>
    <cellStyle name="40% - Accent3 15" xfId="331"/>
    <cellStyle name="40% - Accent3 16" xfId="332"/>
    <cellStyle name="40% - Accent3 2" xfId="333"/>
    <cellStyle name="40% - Accent3 2 2" xfId="1003"/>
    <cellStyle name="40% - Accent3 3" xfId="334"/>
    <cellStyle name="40% - Accent3 4" xfId="335"/>
    <cellStyle name="40% - Accent3 5" xfId="336"/>
    <cellStyle name="40% - Accent3 6" xfId="337"/>
    <cellStyle name="40% - Accent3 7" xfId="338"/>
    <cellStyle name="40% - Accent3 8" xfId="339"/>
    <cellStyle name="40% - Accent3 9" xfId="340"/>
    <cellStyle name="40% - Accent4 10" xfId="341"/>
    <cellStyle name="40% - Accent4 11" xfId="342"/>
    <cellStyle name="40% - Accent4 12" xfId="343"/>
    <cellStyle name="40% - Accent4 13" xfId="344"/>
    <cellStyle name="40% - Accent4 14" xfId="345"/>
    <cellStyle name="40% - Accent4 15" xfId="346"/>
    <cellStyle name="40% - Accent4 16" xfId="347"/>
    <cellStyle name="40% - Accent4 2" xfId="348"/>
    <cellStyle name="40% - Accent4 2 2" xfId="1004"/>
    <cellStyle name="40% - Accent4 3" xfId="349"/>
    <cellStyle name="40% - Accent4 4" xfId="350"/>
    <cellStyle name="40% - Accent4 5" xfId="351"/>
    <cellStyle name="40% - Accent4 6" xfId="352"/>
    <cellStyle name="40% - Accent4 7" xfId="353"/>
    <cellStyle name="40% - Accent4 8" xfId="354"/>
    <cellStyle name="40% - Accent4 9" xfId="355"/>
    <cellStyle name="40% - Accent5 10" xfId="356"/>
    <cellStyle name="40% - Accent5 11" xfId="357"/>
    <cellStyle name="40% - Accent5 12" xfId="358"/>
    <cellStyle name="40% - Accent5 13" xfId="359"/>
    <cellStyle name="40% - Accent5 14" xfId="360"/>
    <cellStyle name="40% - Accent5 15" xfId="361"/>
    <cellStyle name="40% - Accent5 16" xfId="362"/>
    <cellStyle name="40% - Accent5 2" xfId="363"/>
    <cellStyle name="40% - Accent5 2 2" xfId="1005"/>
    <cellStyle name="40% - Accent5 3" xfId="364"/>
    <cellStyle name="40% - Accent5 4" xfId="365"/>
    <cellStyle name="40% - Accent5 5" xfId="366"/>
    <cellStyle name="40% - Accent5 6" xfId="367"/>
    <cellStyle name="40% - Accent5 7" xfId="368"/>
    <cellStyle name="40% - Accent5 8" xfId="369"/>
    <cellStyle name="40% - Accent5 9" xfId="370"/>
    <cellStyle name="40% - Accent6 10" xfId="371"/>
    <cellStyle name="40% - Accent6 11" xfId="372"/>
    <cellStyle name="40% - Accent6 12" xfId="373"/>
    <cellStyle name="40% - Accent6 13" xfId="374"/>
    <cellStyle name="40% - Accent6 14" xfId="375"/>
    <cellStyle name="40% - Accent6 15" xfId="376"/>
    <cellStyle name="40% - Accent6 16" xfId="377"/>
    <cellStyle name="40% - Accent6 2" xfId="378"/>
    <cellStyle name="40% - Accent6 2 2" xfId="1006"/>
    <cellStyle name="40% - Accent6 3" xfId="379"/>
    <cellStyle name="40% - Accent6 4" xfId="380"/>
    <cellStyle name="40% - Accent6 5" xfId="381"/>
    <cellStyle name="40% - Accent6 6" xfId="382"/>
    <cellStyle name="40% - Accent6 7" xfId="383"/>
    <cellStyle name="40% - Accent6 8" xfId="384"/>
    <cellStyle name="40% - Accent6 9" xfId="385"/>
    <cellStyle name="60% - Accent1 10" xfId="386"/>
    <cellStyle name="60% - Accent1 11" xfId="387"/>
    <cellStyle name="60% - Accent1 12" xfId="388"/>
    <cellStyle name="60% - Accent1 13" xfId="389"/>
    <cellStyle name="60% - Accent1 14" xfId="390"/>
    <cellStyle name="60% - Accent1 15" xfId="391"/>
    <cellStyle name="60% - Accent1 16" xfId="392"/>
    <cellStyle name="60% - Accent1 2" xfId="393"/>
    <cellStyle name="60% - Accent1 3" xfId="394"/>
    <cellStyle name="60% - Accent1 4" xfId="395"/>
    <cellStyle name="60% - Accent1 5" xfId="396"/>
    <cellStyle name="60% - Accent1 6" xfId="397"/>
    <cellStyle name="60% - Accent1 7" xfId="398"/>
    <cellStyle name="60% - Accent1 8" xfId="399"/>
    <cellStyle name="60% - Accent1 9" xfId="400"/>
    <cellStyle name="60% - Accent2 10" xfId="401"/>
    <cellStyle name="60% - Accent2 11" xfId="402"/>
    <cellStyle name="60% - Accent2 12" xfId="403"/>
    <cellStyle name="60% - Accent2 13" xfId="404"/>
    <cellStyle name="60% - Accent2 14" xfId="405"/>
    <cellStyle name="60% - Accent2 15" xfId="406"/>
    <cellStyle name="60% - Accent2 16" xfId="407"/>
    <cellStyle name="60% - Accent2 2" xfId="408"/>
    <cellStyle name="60% - Accent2 3" xfId="409"/>
    <cellStyle name="60% - Accent2 4" xfId="410"/>
    <cellStyle name="60% - Accent2 5" xfId="411"/>
    <cellStyle name="60% - Accent2 6" xfId="412"/>
    <cellStyle name="60% - Accent2 7" xfId="413"/>
    <cellStyle name="60% - Accent2 8" xfId="414"/>
    <cellStyle name="60% - Accent2 9" xfId="415"/>
    <cellStyle name="60% - Accent3 10" xfId="416"/>
    <cellStyle name="60% - Accent3 11" xfId="417"/>
    <cellStyle name="60% - Accent3 12" xfId="418"/>
    <cellStyle name="60% - Accent3 13" xfId="419"/>
    <cellStyle name="60% - Accent3 14" xfId="420"/>
    <cellStyle name="60% - Accent3 15" xfId="421"/>
    <cellStyle name="60% - Accent3 16" xfId="422"/>
    <cellStyle name="60% - Accent3 2" xfId="423"/>
    <cellStyle name="60% - Accent3 3" xfId="424"/>
    <cellStyle name="60% - Accent3 4" xfId="425"/>
    <cellStyle name="60% - Accent3 5" xfId="426"/>
    <cellStyle name="60% - Accent3 6" xfId="427"/>
    <cellStyle name="60% - Accent3 7" xfId="428"/>
    <cellStyle name="60% - Accent3 8" xfId="429"/>
    <cellStyle name="60% - Accent3 9" xfId="430"/>
    <cellStyle name="60% - Accent4 10" xfId="431"/>
    <cellStyle name="60% - Accent4 11" xfId="432"/>
    <cellStyle name="60% - Accent4 12" xfId="433"/>
    <cellStyle name="60% - Accent4 13" xfId="434"/>
    <cellStyle name="60% - Accent4 14" xfId="435"/>
    <cellStyle name="60% - Accent4 15" xfId="436"/>
    <cellStyle name="60% - Accent4 16" xfId="437"/>
    <cellStyle name="60% - Accent4 2" xfId="438"/>
    <cellStyle name="60% - Accent4 3" xfId="439"/>
    <cellStyle name="60% - Accent4 4" xfId="440"/>
    <cellStyle name="60% - Accent4 5" xfId="441"/>
    <cellStyle name="60% - Accent4 6" xfId="442"/>
    <cellStyle name="60% - Accent4 7" xfId="443"/>
    <cellStyle name="60% - Accent4 8" xfId="444"/>
    <cellStyle name="60% - Accent4 9" xfId="445"/>
    <cellStyle name="60% - Accent5 10" xfId="446"/>
    <cellStyle name="60% - Accent5 11" xfId="447"/>
    <cellStyle name="60% - Accent5 12" xfId="448"/>
    <cellStyle name="60% - Accent5 13" xfId="449"/>
    <cellStyle name="60% - Accent5 14" xfId="450"/>
    <cellStyle name="60% - Accent5 15" xfId="451"/>
    <cellStyle name="60% - Accent5 16" xfId="452"/>
    <cellStyle name="60% - Accent5 2" xfId="453"/>
    <cellStyle name="60% - Accent5 3" xfId="454"/>
    <cellStyle name="60% - Accent5 4" xfId="455"/>
    <cellStyle name="60% - Accent5 5" xfId="456"/>
    <cellStyle name="60% - Accent5 6" xfId="457"/>
    <cellStyle name="60% - Accent5 7" xfId="458"/>
    <cellStyle name="60% - Accent5 8" xfId="459"/>
    <cellStyle name="60% - Accent5 9" xfId="460"/>
    <cellStyle name="60% - Accent6 10" xfId="461"/>
    <cellStyle name="60% - Accent6 11" xfId="462"/>
    <cellStyle name="60% - Accent6 12" xfId="463"/>
    <cellStyle name="60% - Accent6 13" xfId="464"/>
    <cellStyle name="60% - Accent6 14" xfId="465"/>
    <cellStyle name="60% - Accent6 15" xfId="466"/>
    <cellStyle name="60% - Accent6 16" xfId="467"/>
    <cellStyle name="60% - Accent6 2" xfId="468"/>
    <cellStyle name="60% - Accent6 3" xfId="469"/>
    <cellStyle name="60% - Accent6 4" xfId="470"/>
    <cellStyle name="60% - Accent6 5" xfId="471"/>
    <cellStyle name="60% - Accent6 6" xfId="472"/>
    <cellStyle name="60% - Accent6 7" xfId="473"/>
    <cellStyle name="60% - Accent6 8" xfId="474"/>
    <cellStyle name="60% - Accent6 9" xfId="475"/>
    <cellStyle name="Accent1 10" xfId="476"/>
    <cellStyle name="Accent1 11" xfId="477"/>
    <cellStyle name="Accent1 12" xfId="478"/>
    <cellStyle name="Accent1 13" xfId="479"/>
    <cellStyle name="Accent1 14" xfId="480"/>
    <cellStyle name="Accent1 15" xfId="481"/>
    <cellStyle name="Accent1 16" xfId="482"/>
    <cellStyle name="Accent1 2" xfId="483"/>
    <cellStyle name="Accent1 3" xfId="484"/>
    <cellStyle name="Accent1 4" xfId="485"/>
    <cellStyle name="Accent1 5" xfId="486"/>
    <cellStyle name="Accent1 6" xfId="487"/>
    <cellStyle name="Accent1 7" xfId="488"/>
    <cellStyle name="Accent1 8" xfId="489"/>
    <cellStyle name="Accent1 9" xfId="490"/>
    <cellStyle name="Accent2 10" xfId="491"/>
    <cellStyle name="Accent2 11" xfId="492"/>
    <cellStyle name="Accent2 12" xfId="493"/>
    <cellStyle name="Accent2 13" xfId="494"/>
    <cellStyle name="Accent2 14" xfId="495"/>
    <cellStyle name="Accent2 15" xfId="496"/>
    <cellStyle name="Accent2 16" xfId="497"/>
    <cellStyle name="Accent2 2" xfId="498"/>
    <cellStyle name="Accent2 3" xfId="499"/>
    <cellStyle name="Accent2 4" xfId="500"/>
    <cellStyle name="Accent2 5" xfId="501"/>
    <cellStyle name="Accent2 6" xfId="502"/>
    <cellStyle name="Accent2 7" xfId="503"/>
    <cellStyle name="Accent2 8" xfId="504"/>
    <cellStyle name="Accent2 9" xfId="505"/>
    <cellStyle name="Accent3 10" xfId="506"/>
    <cellStyle name="Accent3 11" xfId="507"/>
    <cellStyle name="Accent3 12" xfId="508"/>
    <cellStyle name="Accent3 13" xfId="509"/>
    <cellStyle name="Accent3 14" xfId="510"/>
    <cellStyle name="Accent3 15" xfId="511"/>
    <cellStyle name="Accent3 16" xfId="512"/>
    <cellStyle name="Accent3 2" xfId="513"/>
    <cellStyle name="Accent3 3" xfId="514"/>
    <cellStyle name="Accent3 4" xfId="515"/>
    <cellStyle name="Accent3 5" xfId="516"/>
    <cellStyle name="Accent3 6" xfId="517"/>
    <cellStyle name="Accent3 7" xfId="518"/>
    <cellStyle name="Accent3 8" xfId="519"/>
    <cellStyle name="Accent3 9" xfId="520"/>
    <cellStyle name="Accent4 10" xfId="521"/>
    <cellStyle name="Accent4 11" xfId="522"/>
    <cellStyle name="Accent4 12" xfId="523"/>
    <cellStyle name="Accent4 13" xfId="524"/>
    <cellStyle name="Accent4 14" xfId="525"/>
    <cellStyle name="Accent4 15" xfId="526"/>
    <cellStyle name="Accent4 16" xfId="527"/>
    <cellStyle name="Accent4 2" xfId="528"/>
    <cellStyle name="Accent4 3" xfId="529"/>
    <cellStyle name="Accent4 4" xfId="530"/>
    <cellStyle name="Accent4 5" xfId="531"/>
    <cellStyle name="Accent4 6" xfId="532"/>
    <cellStyle name="Accent4 7" xfId="533"/>
    <cellStyle name="Accent4 8" xfId="534"/>
    <cellStyle name="Accent4 9" xfId="535"/>
    <cellStyle name="Accent5 10" xfId="536"/>
    <cellStyle name="Accent5 11" xfId="537"/>
    <cellStyle name="Accent5 12" xfId="538"/>
    <cellStyle name="Accent5 13" xfId="539"/>
    <cellStyle name="Accent5 14" xfId="540"/>
    <cellStyle name="Accent5 15" xfId="541"/>
    <cellStyle name="Accent5 16" xfId="542"/>
    <cellStyle name="Accent5 2" xfId="543"/>
    <cellStyle name="Accent5 3" xfId="544"/>
    <cellStyle name="Accent5 4" xfId="545"/>
    <cellStyle name="Accent5 5" xfId="546"/>
    <cellStyle name="Accent5 6" xfId="547"/>
    <cellStyle name="Accent5 7" xfId="548"/>
    <cellStyle name="Accent5 8" xfId="549"/>
    <cellStyle name="Accent5 9" xfId="550"/>
    <cellStyle name="Accent6 10" xfId="551"/>
    <cellStyle name="Accent6 11" xfId="552"/>
    <cellStyle name="Accent6 12" xfId="553"/>
    <cellStyle name="Accent6 13" xfId="554"/>
    <cellStyle name="Accent6 14" xfId="555"/>
    <cellStyle name="Accent6 15" xfId="556"/>
    <cellStyle name="Accent6 16" xfId="557"/>
    <cellStyle name="Accent6 2" xfId="558"/>
    <cellStyle name="Accent6 3" xfId="559"/>
    <cellStyle name="Accent6 4" xfId="560"/>
    <cellStyle name="Accent6 5" xfId="561"/>
    <cellStyle name="Accent6 6" xfId="562"/>
    <cellStyle name="Accent6 7" xfId="563"/>
    <cellStyle name="Accent6 8" xfId="564"/>
    <cellStyle name="Accent6 9" xfId="565"/>
    <cellStyle name="Bad 10" xfId="566"/>
    <cellStyle name="Bad 11" xfId="567"/>
    <cellStyle name="Bad 12" xfId="568"/>
    <cellStyle name="Bad 13" xfId="569"/>
    <cellStyle name="Bad 14" xfId="570"/>
    <cellStyle name="Bad 15" xfId="571"/>
    <cellStyle name="Bad 16" xfId="572"/>
    <cellStyle name="Bad 2" xfId="573"/>
    <cellStyle name="Bad 3" xfId="574"/>
    <cellStyle name="Bad 4" xfId="575"/>
    <cellStyle name="Bad 5" xfId="576"/>
    <cellStyle name="Bad 6" xfId="577"/>
    <cellStyle name="Bad 7" xfId="578"/>
    <cellStyle name="Bad 8" xfId="579"/>
    <cellStyle name="Bad 9" xfId="580"/>
    <cellStyle name="c" xfId="1"/>
    <cellStyle name="Calculation 10" xfId="581"/>
    <cellStyle name="Calculation 11" xfId="582"/>
    <cellStyle name="Calculation 12" xfId="583"/>
    <cellStyle name="Calculation 13" xfId="584"/>
    <cellStyle name="Calculation 14" xfId="585"/>
    <cellStyle name="Calculation 15" xfId="586"/>
    <cellStyle name="Calculation 16" xfId="587"/>
    <cellStyle name="Calculation 2" xfId="588"/>
    <cellStyle name="Calculation 3" xfId="589"/>
    <cellStyle name="Calculation 4" xfId="590"/>
    <cellStyle name="Calculation 5" xfId="591"/>
    <cellStyle name="Calculation 6" xfId="592"/>
    <cellStyle name="Calculation 7" xfId="593"/>
    <cellStyle name="Calculation 8" xfId="594"/>
    <cellStyle name="Calculation 9" xfId="595"/>
    <cellStyle name="Check Cell 10" xfId="596"/>
    <cellStyle name="Check Cell 11" xfId="597"/>
    <cellStyle name="Check Cell 12" xfId="598"/>
    <cellStyle name="Check Cell 13" xfId="599"/>
    <cellStyle name="Check Cell 14" xfId="600"/>
    <cellStyle name="Check Cell 15" xfId="601"/>
    <cellStyle name="Check Cell 16" xfId="602"/>
    <cellStyle name="Check Cell 2" xfId="603"/>
    <cellStyle name="Check Cell 3" xfId="604"/>
    <cellStyle name="Check Cell 4" xfId="605"/>
    <cellStyle name="Check Cell 5" xfId="606"/>
    <cellStyle name="Check Cell 6" xfId="607"/>
    <cellStyle name="Check Cell 7" xfId="608"/>
    <cellStyle name="Check Cell 8" xfId="609"/>
    <cellStyle name="Check Cell 9" xfId="610"/>
    <cellStyle name="CodeEingabe" xfId="103"/>
    <cellStyle name="ColumnAttributeAbovePrompt" xfId="2"/>
    <cellStyle name="ColumnAttributePrompt" xfId="3"/>
    <cellStyle name="ColumnAttributeValue" xfId="4"/>
    <cellStyle name="ColumnHeadingPrompt" xfId="5"/>
    <cellStyle name="ColumnHeadingValue" xfId="6"/>
    <cellStyle name="Comma" xfId="7" builtinId="3"/>
    <cellStyle name="Comma [0] 2" xfId="8"/>
    <cellStyle name="Comma [0] 2 2" xfId="1007"/>
    <cellStyle name="Comma [0] 3" xfId="611"/>
    <cellStyle name="Comma [0] 4" xfId="612"/>
    <cellStyle name="Comma 10" xfId="81"/>
    <cellStyle name="Comma 10 2" xfId="1008"/>
    <cellStyle name="Comma 11" xfId="613"/>
    <cellStyle name="Comma 11 2" xfId="1009"/>
    <cellStyle name="Comma 2" xfId="9"/>
    <cellStyle name="Comma 2 10" xfId="614"/>
    <cellStyle name="Comma 2 11" xfId="615"/>
    <cellStyle name="Comma 2 12" xfId="616"/>
    <cellStyle name="Comma 2 13" xfId="617"/>
    <cellStyle name="Comma 2 14" xfId="618"/>
    <cellStyle name="Comma 2 15" xfId="619"/>
    <cellStyle name="Comma 2 2" xfId="620"/>
    <cellStyle name="Comma 2 3" xfId="621"/>
    <cellStyle name="Comma 2 4" xfId="622"/>
    <cellStyle name="Comma 2 5" xfId="623"/>
    <cellStyle name="Comma 2 6" xfId="624"/>
    <cellStyle name="Comma 2 7" xfId="625"/>
    <cellStyle name="Comma 2 8" xfId="626"/>
    <cellStyle name="Comma 2 9" xfId="627"/>
    <cellStyle name="Comma 3" xfId="149"/>
    <cellStyle name="Comma 3 2" xfId="628"/>
    <cellStyle name="Comma 31" xfId="99"/>
    <cellStyle name="Comma 31 2" xfId="1010"/>
    <cellStyle name="Comma 4" xfId="10"/>
    <cellStyle name="Comma 5" xfId="146"/>
    <cellStyle name="Comma 5 2" xfId="629"/>
    <cellStyle name="Comma 6" xfId="201"/>
    <cellStyle name="Comma 6 2" xfId="1011"/>
    <cellStyle name="Comma 7" xfId="630"/>
    <cellStyle name="Comma 8" xfId="631"/>
    <cellStyle name="Comma 8 2" xfId="1012"/>
    <cellStyle name="Comma 9" xfId="632"/>
    <cellStyle name="Comma0" xfId="11"/>
    <cellStyle name="Comma0 2" xfId="155"/>
    <cellStyle name="Comma0 2 2" xfId="1013"/>
    <cellStyle name="Comma0 3" xfId="182"/>
    <cellStyle name="Comma0 3 2" xfId="1014"/>
    <cellStyle name="Comma0_SCH11 Not Done" xfId="633"/>
    <cellStyle name="Currency" xfId="12" builtinId="4"/>
    <cellStyle name="Currency 10" xfId="83"/>
    <cellStyle name="Currency 10 2" xfId="1015"/>
    <cellStyle name="Currency 2" xfId="13"/>
    <cellStyle name="Currency 2 2" xfId="634"/>
    <cellStyle name="Currency 2 3" xfId="635"/>
    <cellStyle name="Currency 3" xfId="147"/>
    <cellStyle name="Currency 3 2" xfId="636"/>
    <cellStyle name="Currency 4" xfId="202"/>
    <cellStyle name="Currency 4 2" xfId="1016"/>
    <cellStyle name="Currency 5" xfId="637"/>
    <cellStyle name="Currency 5 2" xfId="1017"/>
    <cellStyle name="Currency 6" xfId="638"/>
    <cellStyle name="Currency 7" xfId="639"/>
    <cellStyle name="Currency 7 2" xfId="1018"/>
    <cellStyle name="Currency0" xfId="14"/>
    <cellStyle name="Currency0 2" xfId="156"/>
    <cellStyle name="Currency0 2 2" xfId="1019"/>
    <cellStyle name="Currency0 3" xfId="181"/>
    <cellStyle name="Currency0 3 2" xfId="1020"/>
    <cellStyle name="Date" xfId="15"/>
    <cellStyle name="Date 2" xfId="157"/>
    <cellStyle name="Date 2 2" xfId="1021"/>
    <cellStyle name="Date 3" xfId="180"/>
    <cellStyle name="Date 3 2" xfId="1022"/>
    <cellStyle name="Eingabe" xfId="104"/>
    <cellStyle name="Eingabe 2" xfId="1023"/>
    <cellStyle name="Euro" xfId="16"/>
    <cellStyle name="Euro 2" xfId="158"/>
    <cellStyle name="Euro 2 2" xfId="1024"/>
    <cellStyle name="Euro 3" xfId="179"/>
    <cellStyle name="Euro 3 2" xfId="1025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2" xfId="647"/>
    <cellStyle name="Explanatory Text 3" xfId="648"/>
    <cellStyle name="Explanatory Text 4" xfId="649"/>
    <cellStyle name="Explanatory Text 5" xfId="650"/>
    <cellStyle name="Explanatory Text 6" xfId="651"/>
    <cellStyle name="Explanatory Text 7" xfId="652"/>
    <cellStyle name="Explanatory Text 8" xfId="653"/>
    <cellStyle name="Explanatory Text 9" xfId="654"/>
    <cellStyle name="F2" xfId="17"/>
    <cellStyle name="F2 2" xfId="159"/>
    <cellStyle name="F2 2 2" xfId="1026"/>
    <cellStyle name="F2 3" xfId="178"/>
    <cellStyle name="F2 3 2" xfId="1027"/>
    <cellStyle name="F2 4" xfId="655"/>
    <cellStyle name="F2 5" xfId="656"/>
    <cellStyle name="F2 6" xfId="657"/>
    <cellStyle name="F2 7" xfId="658"/>
    <cellStyle name="F2 8" xfId="659"/>
    <cellStyle name="F2 9" xfId="660"/>
    <cellStyle name="F2_Regenerated Revenues LGE Gas 2008-04 with Elec Gen-Seelye final version " xfId="661"/>
    <cellStyle name="F3" xfId="18"/>
    <cellStyle name="F3 2" xfId="160"/>
    <cellStyle name="F3 2 2" xfId="1028"/>
    <cellStyle name="F3 3" xfId="177"/>
    <cellStyle name="F3 3 2" xfId="1029"/>
    <cellStyle name="F3 4" xfId="662"/>
    <cellStyle name="F3 5" xfId="663"/>
    <cellStyle name="F3 6" xfId="664"/>
    <cellStyle name="F3 7" xfId="665"/>
    <cellStyle name="F3 8" xfId="666"/>
    <cellStyle name="F3 9" xfId="667"/>
    <cellStyle name="F3_Regenerated Revenues LGE Gas 2008-04 with Elec Gen-Seelye final version " xfId="668"/>
    <cellStyle name="F4" xfId="19"/>
    <cellStyle name="F4 2" xfId="161"/>
    <cellStyle name="F4 2 2" xfId="1030"/>
    <cellStyle name="F4 3" xfId="176"/>
    <cellStyle name="F4 3 2" xfId="1031"/>
    <cellStyle name="F4 4" xfId="669"/>
    <cellStyle name="F4 5" xfId="670"/>
    <cellStyle name="F4 6" xfId="671"/>
    <cellStyle name="F4 7" xfId="672"/>
    <cellStyle name="F4 8" xfId="673"/>
    <cellStyle name="F4 9" xfId="674"/>
    <cellStyle name="F4_Regenerated Revenues LGE Gas 2008-04 with Elec Gen-Seelye final version " xfId="675"/>
    <cellStyle name="F5" xfId="20"/>
    <cellStyle name="F5 2" xfId="162"/>
    <cellStyle name="F5 2 2" xfId="1032"/>
    <cellStyle name="F5 3" xfId="175"/>
    <cellStyle name="F5 3 2" xfId="1033"/>
    <cellStyle name="F5 4" xfId="676"/>
    <cellStyle name="F5 5" xfId="677"/>
    <cellStyle name="F5 6" xfId="678"/>
    <cellStyle name="F5 7" xfId="679"/>
    <cellStyle name="F5 8" xfId="680"/>
    <cellStyle name="F5 9" xfId="681"/>
    <cellStyle name="F5_Regenerated Revenues LGE Gas 2008-04 with Elec Gen-Seelye final version " xfId="682"/>
    <cellStyle name="F6" xfId="21"/>
    <cellStyle name="F6 2" xfId="163"/>
    <cellStyle name="F6 2 2" xfId="1034"/>
    <cellStyle name="F6 3" xfId="174"/>
    <cellStyle name="F6 3 2" xfId="1035"/>
    <cellStyle name="F6 4" xfId="683"/>
    <cellStyle name="F6 5" xfId="684"/>
    <cellStyle name="F6 6" xfId="685"/>
    <cellStyle name="F6 7" xfId="686"/>
    <cellStyle name="F6 8" xfId="687"/>
    <cellStyle name="F6 9" xfId="688"/>
    <cellStyle name="F6_Regenerated Revenues LGE Gas 2008-04 with Elec Gen-Seelye final version " xfId="689"/>
    <cellStyle name="F7" xfId="22"/>
    <cellStyle name="F7 2" xfId="164"/>
    <cellStyle name="F7 2 2" xfId="1036"/>
    <cellStyle name="F7 3" xfId="173"/>
    <cellStyle name="F7 3 2" xfId="1037"/>
    <cellStyle name="F7 4" xfId="690"/>
    <cellStyle name="F7 5" xfId="691"/>
    <cellStyle name="F7 6" xfId="692"/>
    <cellStyle name="F7 7" xfId="693"/>
    <cellStyle name="F7 8" xfId="694"/>
    <cellStyle name="F7 9" xfId="695"/>
    <cellStyle name="F7_Regenerated Revenues LGE Gas 2008-04 with Elec Gen-Seelye final version " xfId="696"/>
    <cellStyle name="F8" xfId="23"/>
    <cellStyle name="F8 2" xfId="165"/>
    <cellStyle name="F8 2 2" xfId="1038"/>
    <cellStyle name="F8 3" xfId="172"/>
    <cellStyle name="F8 3 2" xfId="1039"/>
    <cellStyle name="F8 4" xfId="697"/>
    <cellStyle name="F8 5" xfId="698"/>
    <cellStyle name="F8 6" xfId="699"/>
    <cellStyle name="F8 7" xfId="700"/>
    <cellStyle name="F8 8" xfId="701"/>
    <cellStyle name="F8 9" xfId="702"/>
    <cellStyle name="F8_Regenerated Revenues LGE Gas 2008-04 with Elec Gen-Seelye final version " xfId="703"/>
    <cellStyle name="Fixed" xfId="24"/>
    <cellStyle name="Fixed 2" xfId="166"/>
    <cellStyle name="Fixed 2 2" xfId="1040"/>
    <cellStyle name="Fixed 3" xfId="171"/>
    <cellStyle name="Fixed 3 2" xfId="1041"/>
    <cellStyle name="Good 10" xfId="704"/>
    <cellStyle name="Good 11" xfId="705"/>
    <cellStyle name="Good 12" xfId="706"/>
    <cellStyle name="Good 13" xfId="707"/>
    <cellStyle name="Good 14" xfId="708"/>
    <cellStyle name="Good 15" xfId="709"/>
    <cellStyle name="Good 16" xfId="710"/>
    <cellStyle name="Good 2" xfId="711"/>
    <cellStyle name="Good 3" xfId="712"/>
    <cellStyle name="Good 4" xfId="713"/>
    <cellStyle name="Good 5" xfId="714"/>
    <cellStyle name="Good 6" xfId="715"/>
    <cellStyle name="Good 7" xfId="716"/>
    <cellStyle name="Good 8" xfId="717"/>
    <cellStyle name="Good 9" xfId="718"/>
    <cellStyle name="Heading 1" xfId="25" builtinId="16" customBuiltin="1"/>
    <cellStyle name="Heading 1 10" xfId="719"/>
    <cellStyle name="Heading 1 11" xfId="720"/>
    <cellStyle name="Heading 1 12" xfId="721"/>
    <cellStyle name="Heading 1 13" xfId="722"/>
    <cellStyle name="Heading 1 14" xfId="723"/>
    <cellStyle name="Heading 1 15" xfId="724"/>
    <cellStyle name="Heading 1 16" xfId="725"/>
    <cellStyle name="Heading 1 2" xfId="167"/>
    <cellStyle name="Heading 1 2 2" xfId="1042"/>
    <cellStyle name="Heading 1 3" xfId="170"/>
    <cellStyle name="Heading 1 3 2" xfId="1043"/>
    <cellStyle name="Heading 1 4" xfId="726"/>
    <cellStyle name="Heading 1 5" xfId="727"/>
    <cellStyle name="Heading 1 6" xfId="728"/>
    <cellStyle name="Heading 1 7" xfId="729"/>
    <cellStyle name="Heading 1 8" xfId="730"/>
    <cellStyle name="Heading 1 9" xfId="731"/>
    <cellStyle name="Heading 2" xfId="26" builtinId="17" customBuiltin="1"/>
    <cellStyle name="Heading 2 10" xfId="732"/>
    <cellStyle name="Heading 2 11" xfId="733"/>
    <cellStyle name="Heading 2 12" xfId="734"/>
    <cellStyle name="Heading 2 13" xfId="735"/>
    <cellStyle name="Heading 2 14" xfId="736"/>
    <cellStyle name="Heading 2 15" xfId="737"/>
    <cellStyle name="Heading 2 16" xfId="738"/>
    <cellStyle name="Heading 2 2" xfId="168"/>
    <cellStyle name="Heading 2 2 2" xfId="1044"/>
    <cellStyle name="Heading 2 3" xfId="153"/>
    <cellStyle name="Heading 2 3 2" xfId="1045"/>
    <cellStyle name="Heading 2 4" xfId="739"/>
    <cellStyle name="Heading 2 5" xfId="740"/>
    <cellStyle name="Heading 2 6" xfId="741"/>
    <cellStyle name="Heading 2 7" xfId="742"/>
    <cellStyle name="Heading 2 8" xfId="743"/>
    <cellStyle name="Heading 2 9" xfId="744"/>
    <cellStyle name="Heading 3 10" xfId="745"/>
    <cellStyle name="Heading 3 11" xfId="746"/>
    <cellStyle name="Heading 3 12" xfId="747"/>
    <cellStyle name="Heading 3 13" xfId="748"/>
    <cellStyle name="Heading 3 14" xfId="749"/>
    <cellStyle name="Heading 3 15" xfId="750"/>
    <cellStyle name="Heading 3 16" xfId="751"/>
    <cellStyle name="Heading 3 2" xfId="752"/>
    <cellStyle name="Heading 3 3" xfId="753"/>
    <cellStyle name="Heading 3 4" xfId="754"/>
    <cellStyle name="Heading 3 5" xfId="755"/>
    <cellStyle name="Heading 3 6" xfId="756"/>
    <cellStyle name="Heading 3 7" xfId="757"/>
    <cellStyle name="Heading 3 8" xfId="758"/>
    <cellStyle name="Heading 3 9" xfId="759"/>
    <cellStyle name="Heading 4 10" xfId="760"/>
    <cellStyle name="Heading 4 11" xfId="761"/>
    <cellStyle name="Heading 4 12" xfId="762"/>
    <cellStyle name="Heading 4 13" xfId="763"/>
    <cellStyle name="Heading 4 14" xfId="764"/>
    <cellStyle name="Heading 4 15" xfId="765"/>
    <cellStyle name="Heading 4 16" xfId="766"/>
    <cellStyle name="Heading 4 2" xfId="767"/>
    <cellStyle name="Heading 4 3" xfId="768"/>
    <cellStyle name="Heading 4 4" xfId="769"/>
    <cellStyle name="Heading 4 5" xfId="770"/>
    <cellStyle name="Heading 4 6" xfId="771"/>
    <cellStyle name="Heading 4 7" xfId="772"/>
    <cellStyle name="Heading 4 8" xfId="773"/>
    <cellStyle name="Heading 4 9" xfId="774"/>
    <cellStyle name="Input 10" xfId="775"/>
    <cellStyle name="Input 11" xfId="776"/>
    <cellStyle name="Input 12" xfId="777"/>
    <cellStyle name="Input 13" xfId="778"/>
    <cellStyle name="Input 14" xfId="779"/>
    <cellStyle name="Input 15" xfId="780"/>
    <cellStyle name="Input 16" xfId="781"/>
    <cellStyle name="Input 2" xfId="782"/>
    <cellStyle name="Input 3" xfId="783"/>
    <cellStyle name="Input 4" xfId="784"/>
    <cellStyle name="Input 5" xfId="785"/>
    <cellStyle name="Input 6" xfId="786"/>
    <cellStyle name="Input 7" xfId="787"/>
    <cellStyle name="Input 8" xfId="788"/>
    <cellStyle name="Input 9" xfId="789"/>
    <cellStyle name="LineItemPrompt" xfId="27"/>
    <cellStyle name="LineItemValue" xfId="28"/>
    <cellStyle name="Linked Cell 10" xfId="790"/>
    <cellStyle name="Linked Cell 11" xfId="791"/>
    <cellStyle name="Linked Cell 12" xfId="792"/>
    <cellStyle name="Linked Cell 13" xfId="793"/>
    <cellStyle name="Linked Cell 14" xfId="794"/>
    <cellStyle name="Linked Cell 15" xfId="795"/>
    <cellStyle name="Linked Cell 16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Linked Cell 7" xfId="802"/>
    <cellStyle name="Linked Cell 8" xfId="803"/>
    <cellStyle name="Linked Cell 9" xfId="804"/>
    <cellStyle name="Neutral 10" xfId="805"/>
    <cellStyle name="Neutral 11" xfId="806"/>
    <cellStyle name="Neutral 12" xfId="807"/>
    <cellStyle name="Neutral 13" xfId="808"/>
    <cellStyle name="Neutral 14" xfId="809"/>
    <cellStyle name="Neutral 15" xfId="810"/>
    <cellStyle name="Neutral 16" xfId="811"/>
    <cellStyle name="Neutral 2" xfId="812"/>
    <cellStyle name="Neutral 3" xfId="813"/>
    <cellStyle name="Neutral 4" xfId="814"/>
    <cellStyle name="Neutral 5" xfId="815"/>
    <cellStyle name="Neutral 6" xfId="816"/>
    <cellStyle name="Neutral 7" xfId="817"/>
    <cellStyle name="Neutral 8" xfId="818"/>
    <cellStyle name="Neutral 9" xfId="819"/>
    <cellStyle name="Normal" xfId="0" builtinId="0"/>
    <cellStyle name="Normal 10" xfId="79"/>
    <cellStyle name="Normal 10 2" xfId="1046"/>
    <cellStyle name="Normal 11" xfId="80"/>
    <cellStyle name="Normal 11 2" xfId="1047"/>
    <cellStyle name="Normal 12" xfId="82"/>
    <cellStyle name="Normal 12 2" xfId="1048"/>
    <cellStyle name="Normal 13" xfId="820"/>
    <cellStyle name="Normal 14" xfId="821"/>
    <cellStyle name="Normal 15" xfId="84"/>
    <cellStyle name="Normal 15 2" xfId="1049"/>
    <cellStyle name="Normal 16" xfId="85"/>
    <cellStyle name="Normal 16 2" xfId="1050"/>
    <cellStyle name="Normal 17" xfId="86"/>
    <cellStyle name="Normal 17 2" xfId="1051"/>
    <cellStyle name="Normal 18" xfId="87"/>
    <cellStyle name="Normal 18 2" xfId="1052"/>
    <cellStyle name="Normal 19" xfId="88"/>
    <cellStyle name="Normal 19 2" xfId="1053"/>
    <cellStyle name="Normal 2" xfId="29"/>
    <cellStyle name="Normal 2 10" xfId="822"/>
    <cellStyle name="Normal 2 11" xfId="823"/>
    <cellStyle name="Normal 2 12" xfId="824"/>
    <cellStyle name="Normal 2 13" xfId="825"/>
    <cellStyle name="Normal 2 14" xfId="826"/>
    <cellStyle name="Normal 2 15" xfId="827"/>
    <cellStyle name="Normal 2 16" xfId="828"/>
    <cellStyle name="Normal 2 17" xfId="829"/>
    <cellStyle name="Normal 2 2" xfId="30"/>
    <cellStyle name="Normal 2 2 2" xfId="830"/>
    <cellStyle name="Normal 2 3" xfId="169"/>
    <cellStyle name="Normal 2 3 2" xfId="1054"/>
    <cellStyle name="Normal 2 4" xfId="154"/>
    <cellStyle name="Normal 2 4 2" xfId="1055"/>
    <cellStyle name="Normal 2 5" xfId="831"/>
    <cellStyle name="Normal 2 6" xfId="832"/>
    <cellStyle name="Normal 2 7" xfId="833"/>
    <cellStyle name="Normal 2 8" xfId="834"/>
    <cellStyle name="Normal 2 9" xfId="835"/>
    <cellStyle name="Normal 2_LGEElecBillingDeterminants2009-10" xfId="836"/>
    <cellStyle name="Normal 20" xfId="89"/>
    <cellStyle name="Normal 20 2" xfId="1056"/>
    <cellStyle name="Normal 21" xfId="90"/>
    <cellStyle name="Normal 21 2" xfId="1057"/>
    <cellStyle name="Normal 22" xfId="91"/>
    <cellStyle name="Normal 22 2" xfId="1058"/>
    <cellStyle name="Normal 23" xfId="150"/>
    <cellStyle name="Normal 23 2" xfId="1059"/>
    <cellStyle name="Normal 24" xfId="151"/>
    <cellStyle name="Normal 24 2" xfId="1060"/>
    <cellStyle name="Normal 25" xfId="92"/>
    <cellStyle name="Normal 25 2" xfId="1061"/>
    <cellStyle name="Normal 26" xfId="93"/>
    <cellStyle name="Normal 26 2" xfId="1062"/>
    <cellStyle name="Normal 27" xfId="94"/>
    <cellStyle name="Normal 27 2" xfId="1063"/>
    <cellStyle name="Normal 28" xfId="95"/>
    <cellStyle name="Normal 28 2" xfId="1064"/>
    <cellStyle name="Normal 29" xfId="96"/>
    <cellStyle name="Normal 29 2" xfId="1065"/>
    <cellStyle name="Normal 3" xfId="31"/>
    <cellStyle name="Normal 3 10" xfId="837"/>
    <cellStyle name="Normal 3 11" xfId="838"/>
    <cellStyle name="Normal 3 12" xfId="839"/>
    <cellStyle name="Normal 3 13" xfId="840"/>
    <cellStyle name="Normal 3 14" xfId="841"/>
    <cellStyle name="Normal 3 15" xfId="842"/>
    <cellStyle name="Normal 3 16" xfId="843"/>
    <cellStyle name="Normal 3 17" xfId="844"/>
    <cellStyle name="Normal 3 2" xfId="845"/>
    <cellStyle name="Normal 3 3" xfId="846"/>
    <cellStyle name="Normal 3 4" xfId="847"/>
    <cellStyle name="Normal 3 5" xfId="848"/>
    <cellStyle name="Normal 3 6" xfId="849"/>
    <cellStyle name="Normal 3 7" xfId="850"/>
    <cellStyle name="Normal 3 8" xfId="851"/>
    <cellStyle name="Normal 3 9" xfId="852"/>
    <cellStyle name="Normal 3_LGEElecBillingDeterminants2009-10" xfId="853"/>
    <cellStyle name="Normal 30" xfId="97"/>
    <cellStyle name="Normal 30 2" xfId="1066"/>
    <cellStyle name="Normal 31" xfId="98"/>
    <cellStyle name="Normal 31 2" xfId="1067"/>
    <cellStyle name="Normal 32" xfId="152"/>
    <cellStyle name="Normal 32 2" xfId="1068"/>
    <cellStyle name="Normal 33" xfId="100"/>
    <cellStyle name="Normal 33 2" xfId="1069"/>
    <cellStyle name="Normal 34" xfId="101"/>
    <cellStyle name="Normal 34 2" xfId="1070"/>
    <cellStyle name="Normal 4" xfId="32"/>
    <cellStyle name="Normal 4 2" xfId="854"/>
    <cellStyle name="Normal 4 3" xfId="855"/>
    <cellStyle name="Normal 4_Regenerated Revenues LGE Gas 10312009" xfId="856"/>
    <cellStyle name="Normal 5" xfId="200"/>
    <cellStyle name="Normal 5 2" xfId="857"/>
    <cellStyle name="Normal 5 3" xfId="858"/>
    <cellStyle name="Normal 5 4" xfId="1071"/>
    <cellStyle name="Normal 6" xfId="205"/>
    <cellStyle name="Normal 6 2" xfId="859"/>
    <cellStyle name="Normal 6 3" xfId="860"/>
    <cellStyle name="Normal 6 4" xfId="861"/>
    <cellStyle name="Normal 6 4 2" xfId="1072"/>
    <cellStyle name="Normal 7" xfId="76"/>
    <cellStyle name="Normal 7 2" xfId="862"/>
    <cellStyle name="Normal 7 3" xfId="863"/>
    <cellStyle name="Normal 7 4" xfId="1073"/>
    <cellStyle name="Normal 8" xfId="77"/>
    <cellStyle name="Normal 8 2" xfId="864"/>
    <cellStyle name="Normal 8 3" xfId="865"/>
    <cellStyle name="Normal 8 4" xfId="1074"/>
    <cellStyle name="Normal 9" xfId="78"/>
    <cellStyle name="Normal 9 2" xfId="866"/>
    <cellStyle name="Normal 9 3" xfId="867"/>
    <cellStyle name="Normal 9 4" xfId="1075"/>
    <cellStyle name="Normal_2007 Pension_Postretirement Pro-forma Adjustment (2)" xfId="33"/>
    <cellStyle name="Normal_Composite Tax Rates" xfId="34"/>
    <cellStyle name="Normal_ESM Filings 2002" xfId="35"/>
    <cellStyle name="Normal_ESM Forms 2002 for Doug" xfId="36"/>
    <cellStyle name="Normal_FERC COC" xfId="37"/>
    <cellStyle name="Normal_KU RR Exhibits 12mosAPR 2008 SETTLEMENT JAN09 (Working File)" xfId="203"/>
    <cellStyle name="Normal_LGE Attachment 1 ECR Review (revised) (3)" xfId="204"/>
    <cellStyle name="Normal_RC COMPARISON" xfId="199"/>
    <cellStyle name="Normal_Report (2)" xfId="38"/>
    <cellStyle name="Normal_Tax Adjust" xfId="39"/>
    <cellStyle name="Normal_Tax Adjust (3)" xfId="40"/>
    <cellStyle name="Note 10" xfId="868"/>
    <cellStyle name="Note 11" xfId="869"/>
    <cellStyle name="Note 12" xfId="870"/>
    <cellStyle name="Note 13" xfId="871"/>
    <cellStyle name="Note 14" xfId="872"/>
    <cellStyle name="Note 2" xfId="191"/>
    <cellStyle name="Note 2 2" xfId="873"/>
    <cellStyle name="Note 2 3" xfId="874"/>
    <cellStyle name="Note 3" xfId="190"/>
    <cellStyle name="Note 3 2" xfId="875"/>
    <cellStyle name="Note 3 3" xfId="876"/>
    <cellStyle name="Note 4" xfId="877"/>
    <cellStyle name="Note 4 2" xfId="878"/>
    <cellStyle name="Note 4 3" xfId="879"/>
    <cellStyle name="Note 5" xfId="880"/>
    <cellStyle name="Note 5 2" xfId="881"/>
    <cellStyle name="Note 5 3" xfId="882"/>
    <cellStyle name="Note 6" xfId="883"/>
    <cellStyle name="Note 6 2" xfId="884"/>
    <cellStyle name="Note 6 3" xfId="885"/>
    <cellStyle name="Note 7" xfId="886"/>
    <cellStyle name="Note 7 2" xfId="887"/>
    <cellStyle name="Note 7 3" xfId="888"/>
    <cellStyle name="Note 8" xfId="889"/>
    <cellStyle name="Note 8 2" xfId="890"/>
    <cellStyle name="Note 8 3" xfId="891"/>
    <cellStyle name="Note 9" xfId="892"/>
    <cellStyle name="Output 10" xfId="893"/>
    <cellStyle name="Output 11" xfId="894"/>
    <cellStyle name="Output 12" xfId="895"/>
    <cellStyle name="Output 13" xfId="896"/>
    <cellStyle name="Output 14" xfId="897"/>
    <cellStyle name="Output 15" xfId="898"/>
    <cellStyle name="Output 16" xfId="899"/>
    <cellStyle name="Output 2" xfId="900"/>
    <cellStyle name="Output 3" xfId="901"/>
    <cellStyle name="Output 4" xfId="902"/>
    <cellStyle name="Output 5" xfId="903"/>
    <cellStyle name="Output 6" xfId="904"/>
    <cellStyle name="Output 7" xfId="905"/>
    <cellStyle name="Output 8" xfId="906"/>
    <cellStyle name="Output 9" xfId="907"/>
    <cellStyle name="Output Amounts" xfId="41"/>
    <cellStyle name="Output Column Headings" xfId="42"/>
    <cellStyle name="Output Column Headings 2" xfId="908"/>
    <cellStyle name="Output Column Headings 3" xfId="909"/>
    <cellStyle name="Output Column Headings 4" xfId="910"/>
    <cellStyle name="Output Column Headings 5" xfId="911"/>
    <cellStyle name="Output Column Headings 6" xfId="912"/>
    <cellStyle name="Output Column Headings 7" xfId="913"/>
    <cellStyle name="Output Column Headings 8" xfId="914"/>
    <cellStyle name="Output Column Headings 9" xfId="915"/>
    <cellStyle name="Output Column Headings_Regenerated Revenues LGE Gas 2008-04 with Elec Gen-Seelye final version " xfId="916"/>
    <cellStyle name="Output Line Items" xfId="43"/>
    <cellStyle name="Output Line Items 2" xfId="917"/>
    <cellStyle name="Output Line Items 3" xfId="918"/>
    <cellStyle name="Output Line Items 4" xfId="919"/>
    <cellStyle name="Output Line Items 5" xfId="920"/>
    <cellStyle name="Output Line Items 6" xfId="921"/>
    <cellStyle name="Output Line Items 7" xfId="922"/>
    <cellStyle name="Output Line Items 8" xfId="923"/>
    <cellStyle name="Output Line Items 9" xfId="924"/>
    <cellStyle name="Output Line Items_Regenerated Revenues LGE Gas 2008-04 with Elec Gen-Seelye final version " xfId="925"/>
    <cellStyle name="Output Report Heading" xfId="44"/>
    <cellStyle name="Output Report Heading 2" xfId="926"/>
    <cellStyle name="Output Report Heading 3" xfId="927"/>
    <cellStyle name="Output Report Heading 4" xfId="928"/>
    <cellStyle name="Output Report Heading 5" xfId="929"/>
    <cellStyle name="Output Report Heading 6" xfId="930"/>
    <cellStyle name="Output Report Heading 7" xfId="931"/>
    <cellStyle name="Output Report Heading 8" xfId="932"/>
    <cellStyle name="Output Report Heading 9" xfId="933"/>
    <cellStyle name="Output Report Heading_Regenerated Revenues LGE Gas 2008-04 with Elec Gen-Seelye final version " xfId="934"/>
    <cellStyle name="Output Report Title" xfId="45"/>
    <cellStyle name="Output Report Title 2" xfId="935"/>
    <cellStyle name="Output Report Title 3" xfId="936"/>
    <cellStyle name="Output Report Title 4" xfId="937"/>
    <cellStyle name="Output Report Title 5" xfId="938"/>
    <cellStyle name="Output Report Title 6" xfId="939"/>
    <cellStyle name="Output Report Title 7" xfId="940"/>
    <cellStyle name="Output Report Title 8" xfId="941"/>
    <cellStyle name="Output Report Title 9" xfId="942"/>
    <cellStyle name="Output Report Title_Regenerated Revenues LGE Gas 2008-04 with Elec Gen-Seelye final version " xfId="943"/>
    <cellStyle name="Percent" xfId="46" builtinId="5"/>
    <cellStyle name="Percent 2" xfId="47"/>
    <cellStyle name="Percent 2 2" xfId="944"/>
    <cellStyle name="Percent 3" xfId="148"/>
    <cellStyle name="Percent 3 2" xfId="1076"/>
    <cellStyle name="Percent 4" xfId="945"/>
    <cellStyle name="Percent 4 2" xfId="1077"/>
    <cellStyle name="Percent 5" xfId="946"/>
    <cellStyle name="Percent 6" xfId="947"/>
    <cellStyle name="Percent 7" xfId="948"/>
    <cellStyle name="Percent 7 2" xfId="1078"/>
    <cellStyle name="Percent 8" xfId="949"/>
    <cellStyle name="Percent 8 2" xfId="1079"/>
    <cellStyle name="Percent 9" xfId="950"/>
    <cellStyle name="Percent 9 2" xfId="1080"/>
    <cellStyle name="PSChar" xfId="48"/>
    <cellStyle name="PSDate" xfId="49"/>
    <cellStyle name="PSDec" xfId="50"/>
    <cellStyle name="PSHeading" xfId="51"/>
    <cellStyle name="PSInt" xfId="52"/>
    <cellStyle name="PSSpacer" xfId="53"/>
    <cellStyle name="ReportTitlePrompt" xfId="54"/>
    <cellStyle name="ReportTitleValue" xfId="55"/>
    <cellStyle name="RowAcctAbovePrompt" xfId="56"/>
    <cellStyle name="RowAcctSOBAbovePrompt" xfId="57"/>
    <cellStyle name="RowAcctSOBValue" xfId="58"/>
    <cellStyle name="RowAcctValue" xfId="59"/>
    <cellStyle name="RowAttrAbovePrompt" xfId="60"/>
    <cellStyle name="RowAttrValue" xfId="61"/>
    <cellStyle name="RowColSetAbovePrompt" xfId="62"/>
    <cellStyle name="RowColSetLeftPrompt" xfId="63"/>
    <cellStyle name="RowColSetValue" xfId="64"/>
    <cellStyle name="RowLeftPrompt" xfId="65"/>
    <cellStyle name="SampleUsingFormatMask" xfId="66"/>
    <cellStyle name="SampleWithNoFormatMask" xfId="67"/>
    <cellStyle name="SAPBEXaggData" xfId="105"/>
    <cellStyle name="SAPBEXaggDataEmph" xfId="106"/>
    <cellStyle name="SAPBEXaggItem" xfId="107"/>
    <cellStyle name="SAPBEXaggItemX" xfId="108"/>
    <cellStyle name="SAPBEXchaText" xfId="109"/>
    <cellStyle name="SAPBEXexcBad7" xfId="110"/>
    <cellStyle name="SAPBEXexcBad8" xfId="111"/>
    <cellStyle name="SAPBEXexcBad9" xfId="112"/>
    <cellStyle name="SAPBEXexcCritical4" xfId="113"/>
    <cellStyle name="SAPBEXexcCritical5" xfId="114"/>
    <cellStyle name="SAPBEXexcCritical6" xfId="115"/>
    <cellStyle name="SAPBEXexcGood1" xfId="116"/>
    <cellStyle name="SAPBEXexcGood2" xfId="117"/>
    <cellStyle name="SAPBEXexcGood3" xfId="118"/>
    <cellStyle name="SAPBEXfilterDrill" xfId="119"/>
    <cellStyle name="SAPBEXfilterItem" xfId="120"/>
    <cellStyle name="SAPBEXfilterText" xfId="121"/>
    <cellStyle name="SAPBEXfilterText 2" xfId="1081"/>
    <cellStyle name="SAPBEXformats" xfId="122"/>
    <cellStyle name="SAPBEXheaderItem" xfId="123"/>
    <cellStyle name="SAPBEXheaderText" xfId="124"/>
    <cellStyle name="SAPBEXHLevel0" xfId="125"/>
    <cellStyle name="SAPBEXHLevel0 2" xfId="1082"/>
    <cellStyle name="SAPBEXHLevel0X" xfId="126"/>
    <cellStyle name="SAPBEXHLevel0X 2" xfId="1083"/>
    <cellStyle name="SAPBEXHLevel1" xfId="127"/>
    <cellStyle name="SAPBEXHLevel1 2" xfId="1084"/>
    <cellStyle name="SAPBEXHLevel1X" xfId="128"/>
    <cellStyle name="SAPBEXHLevel1X 2" xfId="1085"/>
    <cellStyle name="SAPBEXHLevel2" xfId="129"/>
    <cellStyle name="SAPBEXHLevel2 2" xfId="1086"/>
    <cellStyle name="SAPBEXHLevel2X" xfId="130"/>
    <cellStyle name="SAPBEXHLevel2X 2" xfId="1087"/>
    <cellStyle name="SAPBEXHLevel3" xfId="131"/>
    <cellStyle name="SAPBEXHLevel3 2" xfId="1088"/>
    <cellStyle name="SAPBEXHLevel3X" xfId="132"/>
    <cellStyle name="SAPBEXHLevel3X 2" xfId="1089"/>
    <cellStyle name="SAPBEXresData" xfId="133"/>
    <cellStyle name="SAPBEXresDataEmph" xfId="134"/>
    <cellStyle name="SAPBEXresItem" xfId="135"/>
    <cellStyle name="SAPBEXresItemX" xfId="136"/>
    <cellStyle name="SAPBEXstdData" xfId="137"/>
    <cellStyle name="SAPBEXstdDataEmph" xfId="138"/>
    <cellStyle name="SAPBEXstdItem" xfId="139"/>
    <cellStyle name="SAPBEXstdItemX" xfId="140"/>
    <cellStyle name="SAPBEXtitle" xfId="141"/>
    <cellStyle name="SAPBEXundefined" xfId="142"/>
    <cellStyle name="SAPLocked" xfId="143"/>
    <cellStyle name="Standard_CORE_20040805_Movement types_Sets_V0.1_e" xfId="144"/>
    <cellStyle name="STYL5 - Style5" xfId="68"/>
    <cellStyle name="STYL5 - Style5 2" xfId="183"/>
    <cellStyle name="STYL5 - Style5 2 2" xfId="1090"/>
    <cellStyle name="STYL5 - Style5 3" xfId="192"/>
    <cellStyle name="STYL5 - Style5 3 2" xfId="1091"/>
    <cellStyle name="STYL6 - Style6" xfId="69"/>
    <cellStyle name="STYL6 - Style6 2" xfId="184"/>
    <cellStyle name="STYL6 - Style6 2 2" xfId="1092"/>
    <cellStyle name="STYL6 - Style6 3" xfId="193"/>
    <cellStyle name="STYL6 - Style6 3 2" xfId="1093"/>
    <cellStyle name="STYLE1 - Style1" xfId="70"/>
    <cellStyle name="STYLE1 - Style1 2" xfId="185"/>
    <cellStyle name="STYLE1 - Style1 2 2" xfId="1094"/>
    <cellStyle name="STYLE1 - Style1 3" xfId="194"/>
    <cellStyle name="STYLE1 - Style1 3 2" xfId="1095"/>
    <cellStyle name="STYLE2 - Style2" xfId="71"/>
    <cellStyle name="STYLE2 - Style2 2" xfId="186"/>
    <cellStyle name="STYLE2 - Style2 2 2" xfId="1096"/>
    <cellStyle name="STYLE2 - Style2 3" xfId="195"/>
    <cellStyle name="STYLE2 - Style2 3 2" xfId="1097"/>
    <cellStyle name="STYLE3 - Style3" xfId="72"/>
    <cellStyle name="STYLE3 - Style3 2" xfId="187"/>
    <cellStyle name="STYLE3 - Style3 2 2" xfId="1098"/>
    <cellStyle name="STYLE3 - Style3 3" xfId="196"/>
    <cellStyle name="STYLE3 - Style3 3 2" xfId="1099"/>
    <cellStyle name="STYLE4 - Style4" xfId="73"/>
    <cellStyle name="STYLE4 - Style4 2" xfId="188"/>
    <cellStyle name="STYLE4 - Style4 2 2" xfId="1100"/>
    <cellStyle name="STYLE4 - Style4 3" xfId="197"/>
    <cellStyle name="STYLE4 - Style4 3 2" xfId="1101"/>
    <cellStyle name="Title 10" xfId="951"/>
    <cellStyle name="Title 11" xfId="952"/>
    <cellStyle name="Title 12" xfId="953"/>
    <cellStyle name="Title 13" xfId="954"/>
    <cellStyle name="Title 14" xfId="955"/>
    <cellStyle name="Title 15" xfId="956"/>
    <cellStyle name="Title 16" xfId="957"/>
    <cellStyle name="Title 2" xfId="958"/>
    <cellStyle name="Title 3" xfId="959"/>
    <cellStyle name="Title 4" xfId="960"/>
    <cellStyle name="Title 5" xfId="961"/>
    <cellStyle name="Title 6" xfId="962"/>
    <cellStyle name="Title 7" xfId="963"/>
    <cellStyle name="Title 8" xfId="964"/>
    <cellStyle name="Title 9" xfId="965"/>
    <cellStyle name="Total" xfId="74" builtinId="25" customBuiltin="1"/>
    <cellStyle name="Total 10" xfId="966"/>
    <cellStyle name="Total 11" xfId="967"/>
    <cellStyle name="Total 12" xfId="968"/>
    <cellStyle name="Total 13" xfId="969"/>
    <cellStyle name="Total 14" xfId="970"/>
    <cellStyle name="Total 15" xfId="971"/>
    <cellStyle name="Total 16" xfId="972"/>
    <cellStyle name="Total 2" xfId="189"/>
    <cellStyle name="Total 2 2" xfId="1102"/>
    <cellStyle name="Total 3" xfId="198"/>
    <cellStyle name="Total 3 2" xfId="1103"/>
    <cellStyle name="Total 4" xfId="973"/>
    <cellStyle name="Total 5" xfId="974"/>
    <cellStyle name="Total 6" xfId="975"/>
    <cellStyle name="Total 7" xfId="976"/>
    <cellStyle name="Total 8" xfId="977"/>
    <cellStyle name="Total 9" xfId="978"/>
    <cellStyle name="Undefiniert" xfId="145"/>
    <cellStyle name="Undefiniert 2" xfId="1104"/>
    <cellStyle name="UploadThisRowValue" xfId="75"/>
    <cellStyle name="Warning Text 10" xfId="979"/>
    <cellStyle name="Warning Text 11" xfId="980"/>
    <cellStyle name="Warning Text 12" xfId="981"/>
    <cellStyle name="Warning Text 13" xfId="982"/>
    <cellStyle name="Warning Text 14" xfId="983"/>
    <cellStyle name="Warning Text 15" xfId="984"/>
    <cellStyle name="Warning Text 16" xfId="985"/>
    <cellStyle name="Warning Text 2" xfId="986"/>
    <cellStyle name="Warning Text 3" xfId="987"/>
    <cellStyle name="Warning Text 4" xfId="988"/>
    <cellStyle name="Warning Text 5" xfId="989"/>
    <cellStyle name="Warning Text 6" xfId="990"/>
    <cellStyle name="Warning Text 7" xfId="991"/>
    <cellStyle name="Warning Text 8" xfId="992"/>
    <cellStyle name="Warning Text 9" xfId="9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C50"/>
  <sheetViews>
    <sheetView tabSelected="1" zoomScaleNormal="100" zoomScaleSheetLayoutView="100" workbookViewId="0">
      <selection activeCell="C13" sqref="C13"/>
    </sheetView>
  </sheetViews>
  <sheetFormatPr defaultRowHeight="12.75" x14ac:dyDescent="0.2"/>
  <cols>
    <col min="1" max="1" width="18.25" style="201" customWidth="1"/>
    <col min="2" max="2" width="13.625" style="201" bestFit="1" customWidth="1"/>
    <col min="3" max="3" width="62.75" style="201" customWidth="1"/>
    <col min="4" max="16384" width="9" style="201"/>
  </cols>
  <sheetData>
    <row r="1" spans="1:3" ht="15.75" x14ac:dyDescent="0.25">
      <c r="A1" s="545" t="s">
        <v>436</v>
      </c>
    </row>
    <row r="2" spans="1:3" ht="15.75" x14ac:dyDescent="0.25">
      <c r="C2" s="678"/>
    </row>
    <row r="3" spans="1:3" x14ac:dyDescent="0.2">
      <c r="A3" s="202" t="s">
        <v>103</v>
      </c>
      <c r="B3" s="215" t="s">
        <v>515</v>
      </c>
    </row>
    <row r="4" spans="1:3" x14ac:dyDescent="0.2">
      <c r="B4" s="215" t="s">
        <v>516</v>
      </c>
      <c r="C4" s="638"/>
    </row>
    <row r="5" spans="1:3" x14ac:dyDescent="0.2">
      <c r="B5" s="203" t="s">
        <v>681</v>
      </c>
    </row>
    <row r="6" spans="1:3" x14ac:dyDescent="0.2">
      <c r="A6" s="202" t="s">
        <v>518</v>
      </c>
      <c r="B6" s="638"/>
    </row>
    <row r="7" spans="1:3" x14ac:dyDescent="0.2">
      <c r="A7" s="638" t="s">
        <v>1</v>
      </c>
      <c r="B7" s="639" t="s">
        <v>519</v>
      </c>
    </row>
    <row r="8" spans="1:3" x14ac:dyDescent="0.2">
      <c r="A8" s="638" t="s">
        <v>154</v>
      </c>
      <c r="B8" s="639" t="s">
        <v>519</v>
      </c>
    </row>
    <row r="9" spans="1:3" x14ac:dyDescent="0.2">
      <c r="A9" s="638" t="s">
        <v>164</v>
      </c>
      <c r="B9" s="639" t="s">
        <v>519</v>
      </c>
    </row>
    <row r="10" spans="1:3" x14ac:dyDescent="0.2">
      <c r="A10" s="638" t="s">
        <v>150</v>
      </c>
      <c r="B10" s="639" t="s">
        <v>519</v>
      </c>
    </row>
    <row r="11" spans="1:3" x14ac:dyDescent="0.2">
      <c r="A11" s="638" t="s">
        <v>155</v>
      </c>
      <c r="B11" s="639" t="s">
        <v>519</v>
      </c>
    </row>
    <row r="12" spans="1:3" x14ac:dyDescent="0.2">
      <c r="A12" s="640" t="s">
        <v>62</v>
      </c>
      <c r="B12" s="639" t="s">
        <v>519</v>
      </c>
    </row>
    <row r="13" spans="1:3" x14ac:dyDescent="0.2">
      <c r="A13" s="640" t="s">
        <v>520</v>
      </c>
      <c r="B13" s="639" t="s">
        <v>519</v>
      </c>
    </row>
    <row r="14" spans="1:3" x14ac:dyDescent="0.2">
      <c r="A14" s="640" t="s">
        <v>63</v>
      </c>
      <c r="B14" s="639" t="s">
        <v>519</v>
      </c>
    </row>
    <row r="15" spans="1:3" x14ac:dyDescent="0.2">
      <c r="A15" s="640" t="s">
        <v>82</v>
      </c>
      <c r="B15" s="639" t="s">
        <v>519</v>
      </c>
    </row>
    <row r="16" spans="1:3" x14ac:dyDescent="0.2">
      <c r="A16" s="644" t="s">
        <v>531</v>
      </c>
      <c r="B16" s="639" t="s">
        <v>521</v>
      </c>
      <c r="C16" s="590" t="s">
        <v>376</v>
      </c>
    </row>
    <row r="17" spans="1:3" x14ac:dyDescent="0.2">
      <c r="A17" s="644" t="s">
        <v>532</v>
      </c>
      <c r="B17" s="639" t="s">
        <v>522</v>
      </c>
      <c r="C17" s="642" t="s">
        <v>335</v>
      </c>
    </row>
    <row r="18" spans="1:3" x14ac:dyDescent="0.2">
      <c r="A18" s="644" t="s">
        <v>533</v>
      </c>
      <c r="B18" s="639" t="s">
        <v>522</v>
      </c>
      <c r="C18" s="641" t="s">
        <v>477</v>
      </c>
    </row>
    <row r="19" spans="1:3" x14ac:dyDescent="0.2">
      <c r="A19" s="644" t="s">
        <v>534</v>
      </c>
      <c r="B19" s="680" t="s">
        <v>522</v>
      </c>
      <c r="C19" s="641" t="s">
        <v>693</v>
      </c>
    </row>
    <row r="20" spans="1:3" x14ac:dyDescent="0.2">
      <c r="A20" s="644" t="s">
        <v>535</v>
      </c>
      <c r="B20" s="639" t="s">
        <v>522</v>
      </c>
      <c r="C20" s="642" t="s">
        <v>23</v>
      </c>
    </row>
    <row r="21" spans="1:3" x14ac:dyDescent="0.2">
      <c r="A21" s="644" t="s">
        <v>536</v>
      </c>
      <c r="B21" s="639" t="s">
        <v>522</v>
      </c>
      <c r="C21" s="641" t="s">
        <v>99</v>
      </c>
    </row>
    <row r="22" spans="1:3" x14ac:dyDescent="0.2">
      <c r="A22" s="644" t="s">
        <v>537</v>
      </c>
      <c r="B22" s="639" t="s">
        <v>523</v>
      </c>
      <c r="C22" s="641" t="s">
        <v>742</v>
      </c>
    </row>
    <row r="23" spans="1:3" x14ac:dyDescent="0.2">
      <c r="A23" s="644" t="s">
        <v>538</v>
      </c>
      <c r="B23" s="639" t="s">
        <v>523</v>
      </c>
      <c r="C23" s="641" t="s">
        <v>489</v>
      </c>
    </row>
    <row r="24" spans="1:3" x14ac:dyDescent="0.2">
      <c r="A24" s="644" t="s">
        <v>539</v>
      </c>
      <c r="B24" s="639" t="s">
        <v>523</v>
      </c>
      <c r="C24" s="641" t="s">
        <v>741</v>
      </c>
    </row>
    <row r="25" spans="1:3" x14ac:dyDescent="0.2">
      <c r="A25" s="644" t="s">
        <v>540</v>
      </c>
      <c r="B25" s="639" t="s">
        <v>521</v>
      </c>
      <c r="C25" s="641" t="s">
        <v>663</v>
      </c>
    </row>
    <row r="26" spans="1:3" x14ac:dyDescent="0.2">
      <c r="A26" s="644" t="s">
        <v>541</v>
      </c>
      <c r="B26" s="639" t="s">
        <v>522</v>
      </c>
      <c r="C26" s="641" t="s">
        <v>478</v>
      </c>
    </row>
    <row r="27" spans="1:3" x14ac:dyDescent="0.2">
      <c r="A27" s="644" t="s">
        <v>542</v>
      </c>
      <c r="B27" s="639" t="s">
        <v>522</v>
      </c>
      <c r="C27" s="641" t="s">
        <v>713</v>
      </c>
    </row>
    <row r="28" spans="1:3" x14ac:dyDescent="0.2">
      <c r="A28" s="644" t="s">
        <v>543</v>
      </c>
      <c r="B28" s="639" t="s">
        <v>776</v>
      </c>
      <c r="C28" s="641" t="s">
        <v>0</v>
      </c>
    </row>
    <row r="29" spans="1:3" x14ac:dyDescent="0.2">
      <c r="A29" s="644" t="s">
        <v>544</v>
      </c>
      <c r="B29" s="639" t="s">
        <v>523</v>
      </c>
      <c r="C29" s="641" t="s">
        <v>438</v>
      </c>
    </row>
    <row r="30" spans="1:3" x14ac:dyDescent="0.2">
      <c r="A30" s="644" t="s">
        <v>545</v>
      </c>
      <c r="B30" s="639" t="s">
        <v>524</v>
      </c>
      <c r="C30" s="641" t="s">
        <v>479</v>
      </c>
    </row>
    <row r="31" spans="1:3" x14ac:dyDescent="0.2">
      <c r="A31" s="644" t="s">
        <v>546</v>
      </c>
      <c r="B31" s="639" t="s">
        <v>523</v>
      </c>
      <c r="C31" s="641" t="s">
        <v>439</v>
      </c>
    </row>
    <row r="32" spans="1:3" x14ac:dyDescent="0.2">
      <c r="A32" s="644" t="s">
        <v>551</v>
      </c>
      <c r="B32" s="639" t="s">
        <v>523</v>
      </c>
      <c r="C32" s="641" t="s">
        <v>3</v>
      </c>
    </row>
    <row r="33" spans="1:3" x14ac:dyDescent="0.2">
      <c r="A33" s="644" t="s">
        <v>552</v>
      </c>
      <c r="B33" s="639" t="s">
        <v>523</v>
      </c>
      <c r="C33" s="641" t="s">
        <v>501</v>
      </c>
    </row>
    <row r="34" spans="1:3" x14ac:dyDescent="0.2">
      <c r="A34" s="644" t="s">
        <v>547</v>
      </c>
      <c r="B34" s="639" t="s">
        <v>523</v>
      </c>
      <c r="C34" s="641" t="s">
        <v>487</v>
      </c>
    </row>
    <row r="35" spans="1:3" x14ac:dyDescent="0.2">
      <c r="A35" s="644" t="s">
        <v>548</v>
      </c>
      <c r="B35" s="639" t="s">
        <v>524</v>
      </c>
      <c r="C35" s="641" t="s">
        <v>590</v>
      </c>
    </row>
    <row r="36" spans="1:3" x14ac:dyDescent="0.2">
      <c r="A36" s="644" t="s">
        <v>549</v>
      </c>
      <c r="B36" s="639" t="s">
        <v>521</v>
      </c>
      <c r="C36" s="641" t="s">
        <v>597</v>
      </c>
    </row>
    <row r="37" spans="1:3" x14ac:dyDescent="0.2">
      <c r="A37" s="644" t="s">
        <v>550</v>
      </c>
      <c r="B37" s="639" t="s">
        <v>523</v>
      </c>
      <c r="C37" s="641" t="s">
        <v>569</v>
      </c>
    </row>
    <row r="38" spans="1:3" x14ac:dyDescent="0.2">
      <c r="A38" s="644" t="s">
        <v>559</v>
      </c>
      <c r="B38" s="639" t="s">
        <v>521</v>
      </c>
      <c r="C38" s="641" t="s">
        <v>592</v>
      </c>
    </row>
    <row r="39" spans="1:3" x14ac:dyDescent="0.2">
      <c r="A39" s="644" t="s">
        <v>579</v>
      </c>
      <c r="B39" s="639" t="s">
        <v>521</v>
      </c>
      <c r="C39" s="641" t="s">
        <v>609</v>
      </c>
    </row>
    <row r="40" spans="1:3" x14ac:dyDescent="0.2">
      <c r="A40" s="644" t="s">
        <v>584</v>
      </c>
      <c r="B40" s="639" t="s">
        <v>524</v>
      </c>
      <c r="C40" s="641" t="s">
        <v>580</v>
      </c>
    </row>
    <row r="41" spans="1:3" x14ac:dyDescent="0.2">
      <c r="A41" s="644" t="s">
        <v>591</v>
      </c>
      <c r="B41" s="639" t="s">
        <v>523</v>
      </c>
      <c r="C41" s="641" t="s">
        <v>586</v>
      </c>
    </row>
    <row r="42" spans="1:3" x14ac:dyDescent="0.2">
      <c r="A42" s="644" t="s">
        <v>593</v>
      </c>
      <c r="B42" s="639" t="s">
        <v>522</v>
      </c>
      <c r="C42" s="641" t="s">
        <v>381</v>
      </c>
    </row>
    <row r="43" spans="1:3" x14ac:dyDescent="0.2">
      <c r="A43" s="644" t="s">
        <v>598</v>
      </c>
      <c r="B43" s="639" t="s">
        <v>522</v>
      </c>
      <c r="C43" s="641" t="s">
        <v>480</v>
      </c>
    </row>
    <row r="44" spans="1:3" x14ac:dyDescent="0.2">
      <c r="A44" s="644" t="s">
        <v>610</v>
      </c>
      <c r="B44" s="639" t="s">
        <v>522</v>
      </c>
      <c r="C44" s="641" t="s">
        <v>638</v>
      </c>
    </row>
    <row r="45" spans="1:3" x14ac:dyDescent="0.2">
      <c r="A45" s="644" t="s">
        <v>627</v>
      </c>
      <c r="B45" s="639" t="s">
        <v>519</v>
      </c>
      <c r="C45" s="641" t="s">
        <v>474</v>
      </c>
    </row>
    <row r="46" spans="1:3" x14ac:dyDescent="0.2">
      <c r="A46" s="644" t="s">
        <v>636</v>
      </c>
      <c r="B46" s="639" t="s">
        <v>519</v>
      </c>
      <c r="C46" s="591" t="s">
        <v>437</v>
      </c>
    </row>
    <row r="47" spans="1:3" x14ac:dyDescent="0.2">
      <c r="A47" s="644" t="s">
        <v>639</v>
      </c>
      <c r="B47" s="639" t="s">
        <v>519</v>
      </c>
      <c r="C47" s="591" t="s">
        <v>345</v>
      </c>
    </row>
    <row r="48" spans="1:3" x14ac:dyDescent="0.2">
      <c r="A48" s="644" t="s">
        <v>694</v>
      </c>
      <c r="B48" s="639" t="s">
        <v>519</v>
      </c>
      <c r="C48" s="591" t="s">
        <v>749</v>
      </c>
    </row>
    <row r="49" spans="1:3" x14ac:dyDescent="0.2">
      <c r="A49" s="644" t="s">
        <v>751</v>
      </c>
      <c r="B49" s="639" t="s">
        <v>519</v>
      </c>
      <c r="C49" s="591" t="s">
        <v>750</v>
      </c>
    </row>
    <row r="50" spans="1:3" x14ac:dyDescent="0.2">
      <c r="A50" s="644" t="s">
        <v>752</v>
      </c>
      <c r="B50" s="639" t="s">
        <v>519</v>
      </c>
      <c r="C50" s="591" t="s">
        <v>307</v>
      </c>
    </row>
  </sheetData>
  <phoneticPr fontId="26" type="noConversion"/>
  <printOptions headings="1"/>
  <pageMargins left="0.75" right="0.75" top="1" bottom="1" header="0.5" footer="0.5"/>
  <pageSetup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 enableFormatConditionsCalculation="0">
    <pageSetUpPr fitToPage="1"/>
  </sheetPr>
  <dimension ref="A1:L39"/>
  <sheetViews>
    <sheetView showGridLines="0" zoomScale="85" zoomScaleNormal="85" workbookViewId="0">
      <selection activeCell="L2" sqref="L2"/>
    </sheetView>
  </sheetViews>
  <sheetFormatPr defaultColWidth="9.625" defaultRowHeight="15.75" x14ac:dyDescent="0.25"/>
  <cols>
    <col min="1" max="1" width="3.625" style="257" customWidth="1"/>
    <col min="2" max="2" width="41.125" style="106" customWidth="1"/>
    <col min="3" max="3" width="7.625" style="106" customWidth="1"/>
    <col min="4" max="4" width="9" style="106" customWidth="1"/>
    <col min="5" max="5" width="4.75" style="106" customWidth="1"/>
    <col min="6" max="7" width="1.75" style="106" customWidth="1"/>
    <col min="8" max="8" width="17.5" style="106" customWidth="1"/>
    <col min="9" max="9" width="1.625" style="106" customWidth="1"/>
    <col min="10" max="10" width="18.5" style="106" bestFit="1" customWidth="1"/>
    <col min="11" max="11" width="1.75" style="106" customWidth="1"/>
    <col min="12" max="12" width="17.5" style="106" customWidth="1"/>
    <col min="13" max="16384" width="9.625" style="106"/>
  </cols>
  <sheetData>
    <row r="1" spans="1:12" x14ac:dyDescent="0.25">
      <c r="A1" s="256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536" t="s">
        <v>520</v>
      </c>
    </row>
    <row r="2" spans="1:12" x14ac:dyDescent="0.25">
      <c r="A2" s="256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536" t="str">
        <f>"Sponsoring Witness: "&amp;Inputs!$B13&amp;""</f>
        <v>Sponsoring Witness: Blake</v>
      </c>
    </row>
    <row r="3" spans="1:12" x14ac:dyDescent="0.25">
      <c r="K3" s="139"/>
      <c r="L3" s="118" t="s">
        <v>143</v>
      </c>
    </row>
    <row r="4" spans="1:12" x14ac:dyDescent="0.25">
      <c r="A4" s="258" t="s">
        <v>222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x14ac:dyDescent="0.25">
      <c r="A5" s="259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x14ac:dyDescent="0.25">
      <c r="A6" s="285" t="s">
        <v>53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x14ac:dyDescent="0.25">
      <c r="A7" s="285" t="s">
        <v>54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x14ac:dyDescent="0.25">
      <c r="A8" s="128" t="str">
        <f>"For the Twelve Months Ended "&amp;Inputs!B3&amp;""</f>
        <v>For the Twelve Months Ended March 31, 2012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x14ac:dyDescent="0.25">
      <c r="A9" s="258"/>
      <c r="E9" s="139"/>
    </row>
    <row r="10" spans="1:12" x14ac:dyDescent="0.25">
      <c r="A10" s="258"/>
      <c r="E10" s="139"/>
    </row>
    <row r="11" spans="1:12" x14ac:dyDescent="0.25">
      <c r="H11" s="133" t="s">
        <v>220</v>
      </c>
      <c r="I11" s="133"/>
      <c r="J11" s="133" t="s">
        <v>221</v>
      </c>
      <c r="K11" s="133"/>
      <c r="L11" s="133" t="s">
        <v>213</v>
      </c>
    </row>
    <row r="12" spans="1:12" x14ac:dyDescent="0.25">
      <c r="F12" s="154"/>
      <c r="G12" s="154"/>
      <c r="H12" s="135" t="s">
        <v>238</v>
      </c>
      <c r="I12" s="133"/>
      <c r="J12" s="135" t="s">
        <v>253</v>
      </c>
      <c r="K12" s="133"/>
      <c r="L12" s="137">
        <v>-3</v>
      </c>
    </row>
    <row r="13" spans="1:12" x14ac:dyDescent="0.25">
      <c r="F13" s="144"/>
      <c r="G13" s="144"/>
      <c r="H13" s="129"/>
      <c r="I13" s="129"/>
      <c r="J13" s="129"/>
      <c r="K13" s="129"/>
      <c r="L13" s="129"/>
    </row>
    <row r="14" spans="1:12" x14ac:dyDescent="0.25">
      <c r="F14" s="119"/>
      <c r="G14" s="119"/>
    </row>
    <row r="15" spans="1:12" x14ac:dyDescent="0.25">
      <c r="A15" s="261" t="s">
        <v>254</v>
      </c>
      <c r="B15" s="106" t="s">
        <v>55</v>
      </c>
      <c r="F15" s="213"/>
      <c r="G15" s="213"/>
      <c r="H15" s="212">
        <f>'Ex 3'!E37</f>
        <v>1920997668</v>
      </c>
      <c r="I15" s="212"/>
      <c r="J15" s="212">
        <f>'Ex 3'!G37</f>
        <v>510347495</v>
      </c>
      <c r="K15" s="212"/>
      <c r="L15" s="157">
        <f>+H15+J15</f>
        <v>2431345163</v>
      </c>
    </row>
    <row r="16" spans="1:12" x14ac:dyDescent="0.25">
      <c r="A16" s="261"/>
      <c r="F16" s="213"/>
      <c r="G16" s="213"/>
      <c r="H16" s="207"/>
      <c r="I16" s="207"/>
      <c r="J16" s="207"/>
      <c r="K16" s="207"/>
    </row>
    <row r="17" spans="1:12" x14ac:dyDescent="0.25">
      <c r="A17" s="264" t="s">
        <v>255</v>
      </c>
      <c r="B17" s="148" t="s">
        <v>83</v>
      </c>
      <c r="F17" s="213"/>
      <c r="G17" s="213"/>
      <c r="H17" s="212">
        <f>'Ex 4 (Page1)'!I40</f>
        <v>1894443755</v>
      </c>
      <c r="I17" s="212"/>
      <c r="J17" s="212">
        <f>'Ex 4 (Page1)'!O40</f>
        <v>508672379</v>
      </c>
      <c r="K17" s="212"/>
      <c r="L17" s="157">
        <f>+H17+J17</f>
        <v>2403116134</v>
      </c>
    </row>
    <row r="18" spans="1:12" x14ac:dyDescent="0.25">
      <c r="A18" s="261"/>
      <c r="F18" s="213"/>
      <c r="G18" s="213"/>
      <c r="H18" s="207"/>
      <c r="I18" s="207"/>
      <c r="J18" s="207"/>
      <c r="K18" s="207"/>
      <c r="L18" s="207"/>
    </row>
    <row r="19" spans="1:12" x14ac:dyDescent="0.25">
      <c r="A19" s="261" t="s">
        <v>256</v>
      </c>
      <c r="B19" s="148" t="s">
        <v>84</v>
      </c>
      <c r="F19" s="214"/>
      <c r="G19" s="214"/>
      <c r="H19" s="212">
        <f>'Ex 5'!E38</f>
        <v>3958026470</v>
      </c>
      <c r="I19" s="212"/>
      <c r="J19" s="212">
        <f>'Ex 5'!G38</f>
        <v>1133888648</v>
      </c>
      <c r="K19" s="212"/>
      <c r="L19" s="157">
        <f>+H19+J19</f>
        <v>5091915118</v>
      </c>
    </row>
    <row r="20" spans="1:12" x14ac:dyDescent="0.25">
      <c r="A20" s="261"/>
      <c r="F20" s="214"/>
      <c r="G20" s="214"/>
      <c r="H20" s="140"/>
      <c r="I20" s="140"/>
      <c r="J20" s="140"/>
      <c r="K20" s="140"/>
      <c r="L20" s="159"/>
    </row>
    <row r="21" spans="1:12" x14ac:dyDescent="0.25">
      <c r="A21" s="261" t="s">
        <v>257</v>
      </c>
      <c r="B21" s="106" t="s">
        <v>56</v>
      </c>
      <c r="H21" s="212">
        <f>'Ex 1'!J15</f>
        <v>122245489</v>
      </c>
      <c r="I21" s="212"/>
      <c r="J21" s="212">
        <f>'Ex 1'!P15</f>
        <v>31951705</v>
      </c>
      <c r="K21" s="212"/>
      <c r="L21" s="157">
        <f>+H21+J21</f>
        <v>154197194</v>
      </c>
    </row>
    <row r="22" spans="1:12" x14ac:dyDescent="0.25">
      <c r="A22" s="261"/>
      <c r="G22" s="119"/>
      <c r="H22" s="119"/>
      <c r="I22" s="119"/>
      <c r="J22" s="119"/>
      <c r="K22" s="119"/>
      <c r="L22" s="119"/>
    </row>
    <row r="23" spans="1:12" x14ac:dyDescent="0.25">
      <c r="A23" s="261" t="s">
        <v>258</v>
      </c>
      <c r="B23" s="106" t="s">
        <v>57</v>
      </c>
      <c r="G23" s="119"/>
      <c r="H23" s="119"/>
      <c r="I23" s="119"/>
      <c r="J23" s="119"/>
      <c r="K23" s="119"/>
      <c r="L23" s="119"/>
    </row>
    <row r="24" spans="1:12" x14ac:dyDescent="0.25">
      <c r="A24" s="261" t="s">
        <v>259</v>
      </c>
      <c r="B24" s="262" t="s">
        <v>58</v>
      </c>
      <c r="C24" s="262"/>
      <c r="H24" s="69">
        <f>+H21/H15</f>
        <v>6.3636458823644965E-2</v>
      </c>
      <c r="J24" s="69">
        <f>+J21/J15</f>
        <v>6.2607743376892636E-2</v>
      </c>
      <c r="L24" s="69">
        <f>+L21/L15</f>
        <v>6.3420528005056431E-2</v>
      </c>
    </row>
    <row r="25" spans="1:12" x14ac:dyDescent="0.25">
      <c r="A25" s="261" t="s">
        <v>260</v>
      </c>
      <c r="B25" s="148" t="s">
        <v>85</v>
      </c>
      <c r="C25" s="262"/>
      <c r="H25" s="69">
        <f>+H21/H17</f>
        <v>6.4528434099644205E-2</v>
      </c>
      <c r="J25" s="69">
        <f>+J21/J17</f>
        <v>6.28139177967829E-2</v>
      </c>
      <c r="L25" s="69">
        <f>+L21/L17</f>
        <v>6.4165519018566083E-2</v>
      </c>
    </row>
    <row r="26" spans="1:12" ht="16.5" thickBot="1" x14ac:dyDescent="0.3">
      <c r="A26" s="261" t="s">
        <v>261</v>
      </c>
      <c r="B26" s="262" t="s">
        <v>59</v>
      </c>
      <c r="C26" s="262"/>
      <c r="H26" s="267">
        <f>+H21/H19</f>
        <v>3.0885465250564632E-2</v>
      </c>
      <c r="J26" s="267">
        <f>+J21/J19</f>
        <v>2.8178873698363367E-2</v>
      </c>
      <c r="L26" s="267">
        <f>+L21/L19</f>
        <v>3.0282750286804761E-2</v>
      </c>
    </row>
    <row r="27" spans="1:12" ht="16.5" thickTop="1" x14ac:dyDescent="0.25"/>
    <row r="29" spans="1:12" x14ac:dyDescent="0.25">
      <c r="A29" s="261" t="s">
        <v>262</v>
      </c>
      <c r="B29" s="106" t="s">
        <v>60</v>
      </c>
      <c r="H29" s="71">
        <f>'Ex 1'!J128</f>
        <v>116247636</v>
      </c>
      <c r="J29" s="71">
        <f>'Ex 1'!P128</f>
        <v>30134617</v>
      </c>
      <c r="L29" s="157">
        <f>+H29+J29</f>
        <v>146382253</v>
      </c>
    </row>
    <row r="30" spans="1:12" x14ac:dyDescent="0.25">
      <c r="A30" s="261" t="s">
        <v>263</v>
      </c>
      <c r="B30" s="148" t="s">
        <v>86</v>
      </c>
      <c r="H30" s="106">
        <f>'Ex 8'!G25</f>
        <v>62068503</v>
      </c>
      <c r="J30" s="106">
        <f>'Ex 8'!G53</f>
        <v>17201866</v>
      </c>
      <c r="L30" s="112">
        <f>+H30+J30</f>
        <v>79270369</v>
      </c>
    </row>
    <row r="31" spans="1:12" x14ac:dyDescent="0.25">
      <c r="A31" s="261" t="s">
        <v>264</v>
      </c>
      <c r="B31" s="537" t="s">
        <v>698</v>
      </c>
      <c r="D31" s="269">
        <f>'Ex 1'!C114</f>
        <v>37.367441999999997</v>
      </c>
      <c r="E31" s="106" t="s">
        <v>242</v>
      </c>
      <c r="H31" s="106">
        <f>ROUND(-D31*(H30/100),0)</f>
        <v>-23193412</v>
      </c>
      <c r="J31" s="106">
        <f>ROUND(-D31*(J30/100),0)</f>
        <v>-6427897</v>
      </c>
      <c r="L31" s="112">
        <f>+H31+J31</f>
        <v>-29621309</v>
      </c>
    </row>
    <row r="32" spans="1:12" x14ac:dyDescent="0.25">
      <c r="H32" s="286"/>
      <c r="J32" s="286"/>
      <c r="L32" s="286"/>
    </row>
    <row r="33" spans="1:12" x14ac:dyDescent="0.25">
      <c r="A33" s="261" t="s">
        <v>265</v>
      </c>
      <c r="B33" s="106" t="s">
        <v>61</v>
      </c>
      <c r="H33" s="212">
        <f>SUM(H29:H32)</f>
        <v>155122727</v>
      </c>
      <c r="I33" s="212"/>
      <c r="J33" s="212">
        <f>SUM(J29:J32)</f>
        <v>40908586</v>
      </c>
      <c r="K33" s="212"/>
      <c r="L33" s="157">
        <f>SUM(L29:L32)</f>
        <v>196031313</v>
      </c>
    </row>
    <row r="35" spans="1:12" x14ac:dyDescent="0.25">
      <c r="A35" s="261" t="s">
        <v>266</v>
      </c>
      <c r="B35" s="148" t="s">
        <v>190</v>
      </c>
    </row>
    <row r="36" spans="1:12" x14ac:dyDescent="0.25">
      <c r="A36" s="261" t="s">
        <v>267</v>
      </c>
      <c r="B36" s="262" t="s">
        <v>58</v>
      </c>
      <c r="C36" s="262"/>
      <c r="H36" s="69">
        <f>+H33/H15</f>
        <v>8.0751127179400611E-2</v>
      </c>
      <c r="I36" s="69"/>
      <c r="J36" s="69">
        <f>+J33/J15</f>
        <v>8.0158296848307248E-2</v>
      </c>
      <c r="K36" s="69"/>
      <c r="L36" s="69">
        <f>+L33/L15</f>
        <v>8.0626690106854235E-2</v>
      </c>
    </row>
    <row r="37" spans="1:12" x14ac:dyDescent="0.25">
      <c r="A37" s="261" t="s">
        <v>268</v>
      </c>
      <c r="B37" s="148" t="s">
        <v>85</v>
      </c>
      <c r="C37" s="262"/>
      <c r="H37" s="69">
        <f>H33/H17</f>
        <v>8.1882994198473835E-2</v>
      </c>
      <c r="J37" s="69">
        <f>J33/J17</f>
        <v>8.0422267236963538E-2</v>
      </c>
      <c r="L37" s="69">
        <f>L33/L17</f>
        <v>8.1573799212818238E-2</v>
      </c>
    </row>
    <row r="38" spans="1:12" ht="16.5" thickBot="1" x14ac:dyDescent="0.3">
      <c r="A38" s="261" t="s">
        <v>269</v>
      </c>
      <c r="B38" s="262" t="s">
        <v>59</v>
      </c>
      <c r="C38" s="262"/>
      <c r="H38" s="267">
        <f>+H33/H19</f>
        <v>3.9191937743660414E-2</v>
      </c>
      <c r="I38" s="69"/>
      <c r="J38" s="267">
        <f>+J33/J19</f>
        <v>3.6078133485290875E-2</v>
      </c>
      <c r="K38" s="69"/>
      <c r="L38" s="267">
        <f>+L33/L19</f>
        <v>3.8498542975908268E-2</v>
      </c>
    </row>
    <row r="39" spans="1:12" ht="16.5" thickTop="1" x14ac:dyDescent="0.25"/>
  </sheetData>
  <phoneticPr fontId="0" type="noConversion"/>
  <printOptions horizontalCentered="1" gridLinesSet="0"/>
  <pageMargins left="1" right="0.5" top="1" bottom="0" header="0.5" footer="0.5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2" enableFormatConditionsCalculation="0"/>
  <dimension ref="A1:H54"/>
  <sheetViews>
    <sheetView showGridLines="0" zoomScale="85" zoomScaleNormal="85" workbookViewId="0">
      <selection activeCell="A3" sqref="A3"/>
    </sheetView>
  </sheetViews>
  <sheetFormatPr defaultRowHeight="15.75" x14ac:dyDescent="0.25"/>
  <cols>
    <col min="1" max="1" width="3.625" style="257" customWidth="1"/>
    <col min="2" max="2" width="20.625" style="106" customWidth="1"/>
    <col min="3" max="3" width="53.5" style="106" customWidth="1"/>
    <col min="4" max="4" width="4.625" style="106" customWidth="1"/>
    <col min="5" max="5" width="17.5" style="106" customWidth="1"/>
    <col min="6" max="6" width="3.625" style="106" customWidth="1"/>
    <col min="7" max="7" width="17.5" style="106" customWidth="1"/>
    <col min="8" max="8" width="3.625" style="106" customWidth="1"/>
    <col min="9" max="16384" width="9" style="106"/>
  </cols>
  <sheetData>
    <row r="1" spans="1:8" x14ac:dyDescent="0.25">
      <c r="G1" s="536" t="s">
        <v>63</v>
      </c>
    </row>
    <row r="2" spans="1:8" x14ac:dyDescent="0.25">
      <c r="G2" s="11" t="str">
        <f>"Sponsoring Witness: "&amp;Inputs!$B14&amp;""</f>
        <v>Sponsoring Witness: Blake</v>
      </c>
    </row>
    <row r="3" spans="1:8" x14ac:dyDescent="0.25">
      <c r="G3" s="124" t="s">
        <v>288</v>
      </c>
    </row>
    <row r="4" spans="1:8" x14ac:dyDescent="0.25">
      <c r="A4" s="710" t="s">
        <v>222</v>
      </c>
      <c r="B4" s="710"/>
      <c r="C4" s="710"/>
      <c r="D4" s="710"/>
      <c r="E4" s="710"/>
    </row>
    <row r="5" spans="1:8" x14ac:dyDescent="0.25">
      <c r="A5" s="259"/>
      <c r="B5" s="127"/>
      <c r="C5" s="127"/>
      <c r="D5" s="127"/>
      <c r="E5" s="127"/>
      <c r="G5" s="127"/>
    </row>
    <row r="6" spans="1:8" x14ac:dyDescent="0.25">
      <c r="A6" s="708" t="str">
        <f>"Calculation of Overall Revenue Deficiency/(Sufficiency) at "&amp;Inputs!B3&amp;""</f>
        <v>Calculation of Overall Revenue Deficiency/(Sufficiency) at March 31, 2012</v>
      </c>
      <c r="B6" s="708"/>
      <c r="C6" s="708"/>
      <c r="D6" s="708"/>
      <c r="E6" s="708"/>
    </row>
    <row r="7" spans="1:8" x14ac:dyDescent="0.25">
      <c r="A7" s="258"/>
      <c r="B7" s="127"/>
      <c r="C7" s="127"/>
      <c r="D7" s="127"/>
      <c r="E7" s="127"/>
      <c r="G7" s="127"/>
    </row>
    <row r="8" spans="1:8" x14ac:dyDescent="0.25">
      <c r="A8" s="258"/>
      <c r="B8" s="127"/>
      <c r="C8" s="127"/>
      <c r="D8" s="127"/>
      <c r="E8" s="127"/>
      <c r="G8" s="127"/>
    </row>
    <row r="9" spans="1:8" x14ac:dyDescent="0.25">
      <c r="A9" s="260"/>
      <c r="E9" s="531"/>
      <c r="F9" s="516"/>
      <c r="G9" s="518"/>
      <c r="H9" s="516"/>
    </row>
    <row r="10" spans="1:8" x14ac:dyDescent="0.25">
      <c r="E10" s="531"/>
      <c r="F10" s="516"/>
      <c r="G10" s="518" t="s">
        <v>321</v>
      </c>
      <c r="H10" s="516"/>
    </row>
    <row r="11" spans="1:8" x14ac:dyDescent="0.25">
      <c r="E11" s="204"/>
      <c r="F11" s="516"/>
      <c r="G11" s="519">
        <v>-1</v>
      </c>
      <c r="H11" s="516"/>
    </row>
    <row r="12" spans="1:8" x14ac:dyDescent="0.25">
      <c r="E12" s="20"/>
      <c r="F12" s="516"/>
      <c r="G12" s="517"/>
      <c r="H12" s="516"/>
    </row>
    <row r="13" spans="1:8" s="520" customFormat="1" x14ac:dyDescent="0.25">
      <c r="A13" s="257"/>
      <c r="E13" s="20"/>
      <c r="F13" s="516"/>
      <c r="G13" s="517"/>
      <c r="H13" s="516"/>
    </row>
    <row r="14" spans="1:8" x14ac:dyDescent="0.25">
      <c r="A14" s="261" t="s">
        <v>254</v>
      </c>
      <c r="B14" s="537" t="s">
        <v>677</v>
      </c>
      <c r="E14" s="205"/>
      <c r="G14" s="212">
        <f>'Ex 2'!$N24</f>
        <v>1986161932</v>
      </c>
    </row>
    <row r="15" spans="1:8" x14ac:dyDescent="0.25">
      <c r="A15" s="261"/>
      <c r="E15" s="205"/>
      <c r="G15" s="212"/>
    </row>
    <row r="16" spans="1:8" x14ac:dyDescent="0.25">
      <c r="A16" s="261" t="s">
        <v>255</v>
      </c>
      <c r="B16" s="537" t="s">
        <v>676</v>
      </c>
      <c r="E16" s="547"/>
      <c r="G16" s="107">
        <f>'Ex 2'!$T24</f>
        <v>7.8E-2</v>
      </c>
    </row>
    <row r="17" spans="1:7" x14ac:dyDescent="0.25">
      <c r="A17" s="261"/>
      <c r="E17" s="205"/>
      <c r="G17" s="212"/>
    </row>
    <row r="18" spans="1:7" x14ac:dyDescent="0.25">
      <c r="A18" s="261" t="s">
        <v>256</v>
      </c>
      <c r="B18" s="106" t="s">
        <v>100</v>
      </c>
      <c r="E18" s="205"/>
      <c r="G18" s="212">
        <f>ROUND(G14*G16,0)</f>
        <v>154920631</v>
      </c>
    </row>
    <row r="19" spans="1:7" x14ac:dyDescent="0.25">
      <c r="A19" s="261"/>
      <c r="E19" s="205"/>
      <c r="G19" s="212"/>
    </row>
    <row r="20" spans="1:7" x14ac:dyDescent="0.25">
      <c r="A20" s="261" t="s">
        <v>257</v>
      </c>
      <c r="B20" s="148" t="s">
        <v>140</v>
      </c>
      <c r="E20" s="548"/>
      <c r="G20" s="291">
        <f>'Ex 1'!$J128</f>
        <v>116247636</v>
      </c>
    </row>
    <row r="21" spans="1:7" x14ac:dyDescent="0.25">
      <c r="A21" s="261"/>
      <c r="E21" s="213"/>
      <c r="G21" s="213"/>
    </row>
    <row r="22" spans="1:7" x14ac:dyDescent="0.25">
      <c r="A22" s="261" t="s">
        <v>258</v>
      </c>
      <c r="B22" s="148" t="s">
        <v>141</v>
      </c>
      <c r="E22" s="174"/>
      <c r="G22" s="71">
        <f>G18-G20</f>
        <v>38672995</v>
      </c>
    </row>
    <row r="23" spans="1:7" x14ac:dyDescent="0.25">
      <c r="A23" s="261" t="s">
        <v>259</v>
      </c>
      <c r="B23" s="148" t="str">
        <f>"Gross Up Revenue Factor -  Exhibit 1, "&amp;'1.34'!G4</f>
        <v>Gross Up Revenue Factor -  Exhibit 1, Reference Schedule 1.34</v>
      </c>
      <c r="E23" s="549"/>
      <c r="G23" s="292">
        <f>'1.34'!$G40/100</f>
        <v>0.62306955999999991</v>
      </c>
    </row>
    <row r="24" spans="1:7" x14ac:dyDescent="0.25">
      <c r="A24" s="261"/>
      <c r="E24" s="535"/>
      <c r="G24" s="208"/>
    </row>
    <row r="25" spans="1:7" ht="26.25" customHeight="1" thickBot="1" x14ac:dyDescent="0.3">
      <c r="A25" s="261" t="s">
        <v>260</v>
      </c>
      <c r="B25" s="148" t="s">
        <v>142</v>
      </c>
      <c r="E25" s="174"/>
      <c r="G25" s="86">
        <f>ROUND(G22/G23,0)</f>
        <v>62068503</v>
      </c>
    </row>
    <row r="26" spans="1:7" ht="16.5" thickTop="1" x14ac:dyDescent="0.25"/>
    <row r="29" spans="1:7" x14ac:dyDescent="0.25">
      <c r="G29" s="124" t="str">
        <f>G1</f>
        <v>Exhibit 8</v>
      </c>
    </row>
    <row r="30" spans="1:7" x14ac:dyDescent="0.25">
      <c r="G30" s="124" t="str">
        <f>G2</f>
        <v>Sponsoring Witness: Blake</v>
      </c>
    </row>
    <row r="31" spans="1:7" x14ac:dyDescent="0.25">
      <c r="G31" s="118" t="s">
        <v>273</v>
      </c>
    </row>
    <row r="32" spans="1:7" x14ac:dyDescent="0.25">
      <c r="A32" s="710" t="s">
        <v>222</v>
      </c>
      <c r="B32" s="710"/>
      <c r="C32" s="710"/>
      <c r="D32" s="710"/>
      <c r="E32" s="710"/>
    </row>
    <row r="33" spans="1:8" x14ac:dyDescent="0.25">
      <c r="A33" s="259"/>
      <c r="B33" s="127"/>
      <c r="C33" s="127"/>
      <c r="D33" s="127"/>
      <c r="E33" s="127"/>
      <c r="G33" s="127"/>
    </row>
    <row r="34" spans="1:8" x14ac:dyDescent="0.25">
      <c r="A34" s="708" t="str">
        <f>"Calculation of Overall Revenue Deficiency/(Sufficiency) at "&amp;Inputs!B3&amp;""</f>
        <v>Calculation of Overall Revenue Deficiency/(Sufficiency) at March 31, 2012</v>
      </c>
      <c r="B34" s="708"/>
      <c r="C34" s="708"/>
      <c r="D34" s="708"/>
      <c r="E34" s="708"/>
    </row>
    <row r="35" spans="1:8" x14ac:dyDescent="0.25">
      <c r="A35" s="258"/>
      <c r="B35" s="127"/>
      <c r="C35" s="127"/>
      <c r="D35" s="127"/>
      <c r="E35" s="127"/>
      <c r="G35" s="127"/>
    </row>
    <row r="36" spans="1:8" x14ac:dyDescent="0.25">
      <c r="A36" s="258"/>
      <c r="B36" s="127"/>
      <c r="C36" s="127"/>
      <c r="D36" s="127"/>
      <c r="E36" s="127"/>
      <c r="G36" s="127"/>
    </row>
    <row r="37" spans="1:8" x14ac:dyDescent="0.25">
      <c r="A37" s="260"/>
      <c r="E37" s="531"/>
      <c r="F37" s="527"/>
      <c r="G37" s="531"/>
      <c r="H37" s="527"/>
    </row>
    <row r="38" spans="1:8" x14ac:dyDescent="0.25">
      <c r="E38" s="531"/>
      <c r="F38" s="527"/>
      <c r="G38" s="531" t="s">
        <v>323</v>
      </c>
      <c r="H38" s="527"/>
    </row>
    <row r="39" spans="1:8" x14ac:dyDescent="0.25">
      <c r="E39" s="204"/>
      <c r="F39" s="527"/>
      <c r="G39" s="532">
        <v>-1</v>
      </c>
      <c r="H39" s="527"/>
    </row>
    <row r="40" spans="1:8" x14ac:dyDescent="0.25">
      <c r="E40" s="20"/>
      <c r="F40" s="527"/>
      <c r="G40" s="529"/>
      <c r="H40" s="527"/>
    </row>
    <row r="41" spans="1:8" s="520" customFormat="1" x14ac:dyDescent="0.25">
      <c r="A41" s="257"/>
      <c r="E41" s="144"/>
      <c r="G41" s="521"/>
    </row>
    <row r="42" spans="1:8" x14ac:dyDescent="0.25">
      <c r="A42" s="261" t="s">
        <v>254</v>
      </c>
      <c r="B42" s="537" t="s">
        <v>678</v>
      </c>
      <c r="E42" s="205"/>
      <c r="G42" s="212">
        <f>'Ex 2'!$N36</f>
        <v>523750968</v>
      </c>
    </row>
    <row r="43" spans="1:8" x14ac:dyDescent="0.25">
      <c r="A43" s="261"/>
      <c r="E43" s="205"/>
      <c r="G43" s="212"/>
    </row>
    <row r="44" spans="1:8" x14ac:dyDescent="0.25">
      <c r="A44" s="261" t="s">
        <v>255</v>
      </c>
      <c r="B44" s="537" t="s">
        <v>676</v>
      </c>
      <c r="E44" s="547"/>
      <c r="G44" s="107">
        <f>'Ex 2'!$T36</f>
        <v>7.8E-2</v>
      </c>
    </row>
    <row r="45" spans="1:8" x14ac:dyDescent="0.25">
      <c r="A45" s="261"/>
      <c r="E45" s="205"/>
      <c r="G45" s="212"/>
    </row>
    <row r="46" spans="1:8" x14ac:dyDescent="0.25">
      <c r="A46" s="261" t="s">
        <v>256</v>
      </c>
      <c r="B46" s="106" t="s">
        <v>100</v>
      </c>
      <c r="E46" s="205"/>
      <c r="G46" s="212">
        <f>ROUND(G42*G44,0)</f>
        <v>40852576</v>
      </c>
    </row>
    <row r="47" spans="1:8" x14ac:dyDescent="0.25">
      <c r="A47" s="261"/>
      <c r="E47" s="205"/>
      <c r="G47" s="212"/>
    </row>
    <row r="48" spans="1:8" x14ac:dyDescent="0.25">
      <c r="A48" s="261" t="s">
        <v>257</v>
      </c>
      <c r="B48" s="148" t="s">
        <v>144</v>
      </c>
      <c r="E48" s="548"/>
      <c r="G48" s="291">
        <f>'Ex 1'!$P128</f>
        <v>30134617</v>
      </c>
    </row>
    <row r="49" spans="1:7" x14ac:dyDescent="0.25">
      <c r="A49" s="261"/>
      <c r="E49" s="213"/>
      <c r="G49" s="213"/>
    </row>
    <row r="50" spans="1:7" x14ac:dyDescent="0.25">
      <c r="A50" s="261" t="s">
        <v>258</v>
      </c>
      <c r="B50" s="148" t="s">
        <v>145</v>
      </c>
      <c r="E50" s="174"/>
      <c r="G50" s="71">
        <f>G46-G48</f>
        <v>10717959</v>
      </c>
    </row>
    <row r="51" spans="1:7" x14ac:dyDescent="0.25">
      <c r="A51" s="261" t="s">
        <v>259</v>
      </c>
      <c r="B51" s="148" t="str">
        <f>B23</f>
        <v>Gross Up Revenue Factor -  Exhibit 1, Reference Schedule 1.34</v>
      </c>
      <c r="E51" s="549"/>
      <c r="G51" s="292">
        <f>G23</f>
        <v>0.62306955999999991</v>
      </c>
    </row>
    <row r="52" spans="1:7" x14ac:dyDescent="0.25">
      <c r="A52" s="261"/>
      <c r="E52" s="535"/>
      <c r="G52" s="208"/>
    </row>
    <row r="53" spans="1:7" ht="26.25" customHeight="1" thickBot="1" x14ac:dyDescent="0.3">
      <c r="A53" s="261" t="s">
        <v>260</v>
      </c>
      <c r="B53" s="148" t="s">
        <v>142</v>
      </c>
      <c r="E53" s="174"/>
      <c r="G53" s="86">
        <f>ROUND(G50/G51,0)</f>
        <v>17201866</v>
      </c>
    </row>
    <row r="54" spans="1:7" ht="16.5" thickTop="1" x14ac:dyDescent="0.25"/>
  </sheetData>
  <mergeCells count="4">
    <mergeCell ref="A32:E32"/>
    <mergeCell ref="A34:E34"/>
    <mergeCell ref="A4:E4"/>
    <mergeCell ref="A6:E6"/>
  </mergeCells>
  <phoneticPr fontId="0" type="noConversion"/>
  <printOptions horizontalCentered="1" gridLinesSet="0"/>
  <pageMargins left="1" right="0.75" top="1.25" bottom="0" header="0.25" footer="0"/>
  <pageSetup scale="65" fitToHeight="2" orientation="portrait" r:id="rId1"/>
  <headerFooter alignWithMargins="0"/>
  <rowBreaks count="1" manualBreakCount="1">
    <brk id="28" max="16383" man="1"/>
  </rowBreaks>
  <cellWatches>
    <cellWatch r="G53"/>
    <cellWatch r="G25"/>
  </cellWatch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N79"/>
  <sheetViews>
    <sheetView showGridLines="0" zoomScaleNormal="100" workbookViewId="0">
      <selection activeCell="A3" sqref="A3"/>
    </sheetView>
  </sheetViews>
  <sheetFormatPr defaultRowHeight="15.75" x14ac:dyDescent="0.25"/>
  <cols>
    <col min="1" max="1" width="1.625" style="295" customWidth="1"/>
    <col min="2" max="2" width="8.125" style="333" customWidth="1"/>
    <col min="3" max="3" width="21.125" style="295" bestFit="1" customWidth="1"/>
    <col min="4" max="4" width="17.375" style="295" customWidth="1"/>
    <col min="5" max="5" width="1.625" style="295" customWidth="1"/>
    <col min="6" max="6" width="9.625" style="295" customWidth="1"/>
    <col min="7" max="7" width="1.625" style="295" customWidth="1"/>
    <col min="8" max="8" width="13.625" style="295" customWidth="1"/>
    <col min="9" max="9" width="4.125" style="295" bestFit="1" customWidth="1"/>
    <col min="10" max="10" width="15.625" style="295" customWidth="1"/>
    <col min="11" max="11" width="4.125" style="295" customWidth="1"/>
    <col min="12" max="12" width="1.625" style="295" customWidth="1"/>
    <col min="13" max="13" width="13.625" style="295" customWidth="1"/>
    <col min="14" max="16384" width="9" style="295"/>
  </cols>
  <sheetData>
    <row r="1" spans="1:13" s="106" customFormat="1" x14ac:dyDescent="0.25">
      <c r="A1" s="257"/>
      <c r="B1" s="129"/>
      <c r="E1" s="124"/>
      <c r="F1" s="287"/>
      <c r="G1" s="124"/>
      <c r="H1" s="287"/>
      <c r="K1" s="536" t="s">
        <v>82</v>
      </c>
      <c r="M1" s="536"/>
    </row>
    <row r="2" spans="1:13" s="106" customFormat="1" x14ac:dyDescent="0.25">
      <c r="A2" s="257"/>
      <c r="B2" s="129"/>
      <c r="E2" s="124"/>
      <c r="F2" s="287"/>
      <c r="G2" s="124"/>
      <c r="H2" s="287"/>
      <c r="K2" s="11" t="str">
        <f>"Sponsoring Witness: "&amp;Inputs!$B15&amp;""</f>
        <v>Sponsoring Witness: Blake</v>
      </c>
    </row>
    <row r="3" spans="1:13" s="106" customFormat="1" x14ac:dyDescent="0.25">
      <c r="A3" s="257"/>
      <c r="B3" s="129"/>
      <c r="E3" s="118"/>
      <c r="F3" s="288"/>
      <c r="G3" s="118"/>
      <c r="H3" s="288"/>
      <c r="K3" s="118" t="s">
        <v>288</v>
      </c>
    </row>
    <row r="4" spans="1:13" s="106" customFormat="1" x14ac:dyDescent="0.25">
      <c r="A4" s="257"/>
      <c r="B4" s="129"/>
      <c r="E4" s="118"/>
      <c r="F4" s="288"/>
      <c r="G4" s="118"/>
      <c r="H4" s="288"/>
      <c r="K4" s="118"/>
    </row>
    <row r="5" spans="1:13" s="106" customFormat="1" x14ac:dyDescent="0.25">
      <c r="A5" s="712" t="s">
        <v>222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</row>
    <row r="6" spans="1:13" s="106" customFormat="1" x14ac:dyDescent="0.25">
      <c r="A6" s="259"/>
      <c r="B6" s="293"/>
      <c r="C6" s="127"/>
      <c r="D6" s="127"/>
      <c r="E6" s="127"/>
      <c r="F6" s="289"/>
      <c r="G6" s="127"/>
      <c r="H6" s="289"/>
      <c r="I6" s="127"/>
    </row>
    <row r="7" spans="1:13" s="106" customFormat="1" x14ac:dyDescent="0.25">
      <c r="A7" s="715" t="s">
        <v>135</v>
      </c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</row>
    <row r="8" spans="1:13" s="106" customFormat="1" x14ac:dyDescent="0.25">
      <c r="A8" s="708" t="str">
        <f>"For the Twelve Months Ended "&amp;Inputs!B3&amp;""</f>
        <v>For the Twelve Months Ended March 31, 2012</v>
      </c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</row>
    <row r="9" spans="1:13" s="106" customFormat="1" x14ac:dyDescent="0.25">
      <c r="A9" s="270"/>
      <c r="B9" s="294"/>
      <c r="C9" s="270"/>
      <c r="D9" s="270"/>
      <c r="E9" s="270"/>
      <c r="F9" s="270"/>
      <c r="G9" s="270"/>
      <c r="H9" s="270"/>
      <c r="I9" s="270"/>
      <c r="J9" s="270"/>
      <c r="K9" s="270"/>
      <c r="L9" s="270"/>
    </row>
    <row r="10" spans="1:13" s="106" customFormat="1" x14ac:dyDescent="0.25">
      <c r="A10" s="270"/>
      <c r="B10" s="294"/>
      <c r="C10" s="270"/>
      <c r="D10" s="270"/>
      <c r="E10" s="270"/>
      <c r="F10" s="270"/>
      <c r="G10" s="270"/>
      <c r="H10" s="270"/>
      <c r="I10" s="270"/>
      <c r="J10" s="270"/>
      <c r="K10" s="270"/>
      <c r="L10" s="270"/>
    </row>
    <row r="11" spans="1:13" x14ac:dyDescent="0.25">
      <c r="B11" s="713"/>
      <c r="C11" s="714"/>
      <c r="D11" s="714"/>
      <c r="E11" s="714"/>
      <c r="F11" s="714"/>
      <c r="G11" s="714"/>
      <c r="H11" s="714"/>
      <c r="I11" s="714"/>
      <c r="J11" s="714"/>
      <c r="K11" s="714"/>
    </row>
    <row r="12" spans="1:13" x14ac:dyDescent="0.25">
      <c r="B12" s="296"/>
      <c r="C12" s="297"/>
      <c r="D12" s="297"/>
      <c r="E12" s="297"/>
      <c r="F12" s="297"/>
      <c r="G12" s="297"/>
      <c r="H12" s="297"/>
      <c r="I12" s="297"/>
      <c r="J12" s="297"/>
      <c r="K12" s="297"/>
    </row>
    <row r="13" spans="1:13" x14ac:dyDescent="0.25">
      <c r="B13" s="296"/>
      <c r="C13" s="297"/>
      <c r="E13" s="298"/>
      <c r="F13" s="297"/>
      <c r="G13" s="297"/>
      <c r="H13" s="297"/>
      <c r="I13" s="297"/>
      <c r="J13" s="297"/>
      <c r="K13" s="297"/>
    </row>
    <row r="14" spans="1:13" x14ac:dyDescent="0.25">
      <c r="B14" s="296"/>
      <c r="C14" s="297"/>
      <c r="D14" s="298" t="s">
        <v>251</v>
      </c>
      <c r="E14" s="297"/>
      <c r="F14" s="298" t="s">
        <v>207</v>
      </c>
      <c r="G14" s="297"/>
      <c r="H14" s="298" t="s">
        <v>249</v>
      </c>
      <c r="I14" s="298"/>
      <c r="J14" s="298" t="s">
        <v>208</v>
      </c>
      <c r="K14" s="297"/>
    </row>
    <row r="15" spans="1:13" x14ac:dyDescent="0.25">
      <c r="B15" s="296"/>
      <c r="C15" s="297"/>
      <c r="D15" s="299" t="s">
        <v>220</v>
      </c>
      <c r="E15" s="297"/>
      <c r="F15" s="298" t="s">
        <v>248</v>
      </c>
      <c r="G15" s="298"/>
      <c r="H15" s="298" t="s">
        <v>247</v>
      </c>
      <c r="I15" s="297"/>
      <c r="J15" s="298" t="s">
        <v>209</v>
      </c>
      <c r="K15" s="297"/>
    </row>
    <row r="16" spans="1:13" x14ac:dyDescent="0.25">
      <c r="B16" s="296"/>
      <c r="C16" s="297"/>
      <c r="D16" s="300" t="s">
        <v>311</v>
      </c>
      <c r="E16" s="297"/>
      <c r="F16" s="298" t="s">
        <v>213</v>
      </c>
      <c r="G16" s="298"/>
      <c r="H16" s="298" t="s">
        <v>252</v>
      </c>
      <c r="I16" s="297"/>
      <c r="J16" s="298" t="s">
        <v>250</v>
      </c>
      <c r="K16" s="297"/>
    </row>
    <row r="17" spans="2:14" x14ac:dyDescent="0.25">
      <c r="B17" s="296"/>
      <c r="C17" s="297"/>
      <c r="D17" s="301" t="s">
        <v>679</v>
      </c>
      <c r="E17" s="297"/>
      <c r="F17" s="297"/>
      <c r="G17" s="298"/>
      <c r="H17" s="301" t="s">
        <v>136</v>
      </c>
      <c r="I17" s="297"/>
      <c r="J17" s="302" t="s">
        <v>149</v>
      </c>
      <c r="K17" s="297"/>
    </row>
    <row r="18" spans="2:14" x14ac:dyDescent="0.25">
      <c r="B18" s="296"/>
      <c r="C18" s="297"/>
      <c r="D18" s="303" t="s">
        <v>238</v>
      </c>
      <c r="E18" s="297"/>
      <c r="F18" s="137">
        <v>-2</v>
      </c>
      <c r="G18" s="298"/>
      <c r="H18" s="137">
        <v>-3</v>
      </c>
      <c r="I18" s="297"/>
      <c r="J18" s="137">
        <v>-4</v>
      </c>
      <c r="K18" s="297"/>
    </row>
    <row r="19" spans="2:14" x14ac:dyDescent="0.25">
      <c r="B19" s="296"/>
      <c r="C19" s="297"/>
      <c r="D19" s="304"/>
      <c r="E19" s="297"/>
      <c r="F19" s="297"/>
      <c r="G19" s="298"/>
      <c r="H19" s="297"/>
      <c r="I19" s="297"/>
      <c r="J19" s="298"/>
      <c r="K19" s="297"/>
    </row>
    <row r="20" spans="2:14" x14ac:dyDescent="0.25">
      <c r="B20" s="305" t="s">
        <v>254</v>
      </c>
      <c r="C20" s="306" t="s">
        <v>314</v>
      </c>
      <c r="D20" s="307">
        <f>'Ex 2'!N18</f>
        <v>0</v>
      </c>
      <c r="E20" s="308"/>
      <c r="F20" s="309">
        <f>ROUND(D20/D$26,4)</f>
        <v>0</v>
      </c>
      <c r="G20" s="310"/>
      <c r="H20" s="311">
        <f>'Ex 2'!R18</f>
        <v>4.1000000000000003E-3</v>
      </c>
      <c r="I20" s="312"/>
      <c r="J20" s="313">
        <f>ROUND(F20*H20,4)</f>
        <v>0</v>
      </c>
      <c r="K20" s="297"/>
    </row>
    <row r="21" spans="2:14" x14ac:dyDescent="0.25">
      <c r="B21" s="314"/>
      <c r="C21" s="290"/>
      <c r="D21" s="315"/>
      <c r="E21" s="308"/>
      <c r="F21" s="316"/>
      <c r="G21" s="310"/>
      <c r="H21" s="317"/>
      <c r="I21" s="254"/>
      <c r="J21" s="318"/>
      <c r="K21" s="297"/>
    </row>
    <row r="22" spans="2:14" x14ac:dyDescent="0.25">
      <c r="B22" s="305" t="s">
        <v>255</v>
      </c>
      <c r="C22" s="306" t="s">
        <v>315</v>
      </c>
      <c r="D22" s="307">
        <f>'Ex 2'!N20</f>
        <v>881002931</v>
      </c>
      <c r="E22" s="308"/>
      <c r="F22" s="309">
        <f>ROUND(D22/D$26,4)</f>
        <v>0.44359999999999999</v>
      </c>
      <c r="G22" s="310"/>
      <c r="H22" s="311">
        <f>'Ex 2'!R20</f>
        <v>3.78E-2</v>
      </c>
      <c r="I22" s="312"/>
      <c r="J22" s="313">
        <f>ROUND(F22*H22,4)</f>
        <v>1.6799999999999999E-2</v>
      </c>
      <c r="K22" s="297"/>
    </row>
    <row r="23" spans="2:14" x14ac:dyDescent="0.25">
      <c r="B23" s="314"/>
      <c r="C23" s="290"/>
      <c r="D23" s="315"/>
      <c r="E23" s="308"/>
      <c r="F23" s="316"/>
      <c r="G23" s="310"/>
      <c r="H23" s="317"/>
      <c r="I23" s="254"/>
      <c r="J23" s="318"/>
      <c r="K23" s="297"/>
    </row>
    <row r="24" spans="2:14" x14ac:dyDescent="0.25">
      <c r="B24" s="305" t="s">
        <v>256</v>
      </c>
      <c r="C24" s="306" t="s">
        <v>316</v>
      </c>
      <c r="D24" s="307">
        <f>'Ex 2'!N22</f>
        <v>1105159001</v>
      </c>
      <c r="E24" s="297"/>
      <c r="F24" s="319">
        <f>1-F20-F22</f>
        <v>0.55640000000000001</v>
      </c>
      <c r="G24" s="297"/>
      <c r="H24" s="313">
        <f>ROUND(J24/F24,4)</f>
        <v>7.4899999999999994E-2</v>
      </c>
      <c r="I24" s="312" t="s">
        <v>272</v>
      </c>
      <c r="J24" s="320">
        <f>J31-J20-J22</f>
        <v>4.1700000000000001E-2</v>
      </c>
      <c r="K24" s="321" t="s">
        <v>210</v>
      </c>
    </row>
    <row r="25" spans="2:14" x14ac:dyDescent="0.25">
      <c r="B25" s="314"/>
      <c r="C25" s="290"/>
      <c r="D25" s="322"/>
      <c r="E25" s="297"/>
      <c r="F25" s="297"/>
      <c r="G25" s="297"/>
      <c r="H25" s="323"/>
      <c r="I25" s="254"/>
      <c r="J25" s="324"/>
      <c r="K25" s="297"/>
    </row>
    <row r="26" spans="2:14" ht="16.5" thickBot="1" x14ac:dyDescent="0.3">
      <c r="B26" s="305" t="s">
        <v>257</v>
      </c>
      <c r="C26" s="106" t="s">
        <v>271</v>
      </c>
      <c r="D26" s="325">
        <f>SUM(D20:D24)</f>
        <v>1986161932</v>
      </c>
      <c r="E26" s="297"/>
      <c r="F26" s="326">
        <f>SUM(F20:F24)</f>
        <v>1</v>
      </c>
      <c r="G26" s="297"/>
      <c r="H26" s="327"/>
      <c r="I26" s="254"/>
      <c r="J26" s="328">
        <f>SUM(J19:J24)</f>
        <v>5.8499999999999996E-2</v>
      </c>
      <c r="K26" s="297"/>
    </row>
    <row r="27" spans="2:14" ht="16.5" thickTop="1" x14ac:dyDescent="0.25">
      <c r="B27" s="314"/>
      <c r="C27" s="290"/>
      <c r="D27" s="310"/>
      <c r="E27" s="297"/>
      <c r="F27" s="297"/>
      <c r="G27" s="297"/>
      <c r="H27" s="327"/>
      <c r="I27" s="254"/>
      <c r="J27" s="329"/>
      <c r="K27" s="297"/>
    </row>
    <row r="28" spans="2:14" x14ac:dyDescent="0.25">
      <c r="B28" s="314"/>
      <c r="C28" s="290"/>
      <c r="D28" s="310"/>
      <c r="E28" s="297"/>
      <c r="F28" s="297"/>
      <c r="G28" s="297"/>
      <c r="H28" s="327"/>
      <c r="I28" s="254"/>
      <c r="J28" s="329"/>
      <c r="K28" s="297"/>
    </row>
    <row r="29" spans="2:14" x14ac:dyDescent="0.25">
      <c r="B29" s="305" t="s">
        <v>258</v>
      </c>
      <c r="C29" s="229" t="s">
        <v>140</v>
      </c>
      <c r="D29" s="310"/>
      <c r="E29" s="297"/>
      <c r="F29" s="297"/>
      <c r="G29" s="297"/>
      <c r="H29" s="327"/>
      <c r="I29" s="254"/>
      <c r="J29" s="330">
        <f>'Ex 8'!G20</f>
        <v>116247636</v>
      </c>
      <c r="K29" s="321" t="s">
        <v>245</v>
      </c>
      <c r="N29" s="331"/>
    </row>
    <row r="30" spans="2:14" x14ac:dyDescent="0.25">
      <c r="B30" s="314"/>
      <c r="C30" s="290"/>
      <c r="D30" s="310"/>
      <c r="E30" s="297"/>
      <c r="F30" s="297"/>
      <c r="G30" s="297"/>
      <c r="H30" s="327"/>
      <c r="I30" s="254"/>
      <c r="J30" s="329"/>
      <c r="K30" s="297"/>
    </row>
    <row r="31" spans="2:14" x14ac:dyDescent="0.25">
      <c r="B31" s="305" t="s">
        <v>259</v>
      </c>
      <c r="C31" s="306" t="s">
        <v>211</v>
      </c>
      <c r="D31" s="310"/>
      <c r="E31" s="297"/>
      <c r="F31" s="297"/>
      <c r="G31" s="297"/>
      <c r="H31" s="327"/>
      <c r="I31" s="254"/>
      <c r="J31" s="254">
        <f>ROUND(J29/D26,4)</f>
        <v>5.8500000000000003E-2</v>
      </c>
      <c r="K31" s="332" t="s">
        <v>319</v>
      </c>
    </row>
    <row r="36" spans="1:12" x14ac:dyDescent="0.25">
      <c r="B36" s="333" t="s">
        <v>212</v>
      </c>
      <c r="C36" s="334" t="s">
        <v>111</v>
      </c>
      <c r="J36" s="335"/>
    </row>
    <row r="37" spans="1:12" x14ac:dyDescent="0.25">
      <c r="C37" s="502" t="s">
        <v>134</v>
      </c>
    </row>
    <row r="38" spans="1:12" x14ac:dyDescent="0.25">
      <c r="C38" s="502" t="s">
        <v>710</v>
      </c>
    </row>
    <row r="39" spans="1:12" x14ac:dyDescent="0.25">
      <c r="C39" s="334" t="s">
        <v>196</v>
      </c>
    </row>
    <row r="41" spans="1:12" s="106" customFormat="1" x14ac:dyDescent="0.25">
      <c r="A41" s="257"/>
      <c r="B41" s="129"/>
      <c r="E41" s="124"/>
      <c r="F41" s="287"/>
      <c r="G41" s="124"/>
      <c r="H41" s="287"/>
      <c r="K41" s="124" t="str">
        <f>K1</f>
        <v>Exhibit 9</v>
      </c>
    </row>
    <row r="42" spans="1:12" s="106" customFormat="1" x14ac:dyDescent="0.25">
      <c r="A42" s="257"/>
      <c r="B42" s="129"/>
      <c r="E42" s="124"/>
      <c r="F42" s="287"/>
      <c r="G42" s="124"/>
      <c r="H42" s="287"/>
      <c r="K42" s="118" t="str">
        <f>+K2</f>
        <v>Sponsoring Witness: Blake</v>
      </c>
    </row>
    <row r="43" spans="1:12" s="106" customFormat="1" x14ac:dyDescent="0.25">
      <c r="A43" s="257"/>
      <c r="B43" s="129"/>
      <c r="E43" s="118"/>
      <c r="F43" s="288"/>
      <c r="G43" s="118"/>
      <c r="H43" s="288"/>
      <c r="K43" s="118" t="s">
        <v>273</v>
      </c>
    </row>
    <row r="44" spans="1:12" s="106" customFormat="1" x14ac:dyDescent="0.25">
      <c r="A44" s="257"/>
      <c r="B44" s="129"/>
      <c r="E44" s="118"/>
      <c r="F44" s="288"/>
      <c r="G44" s="118"/>
      <c r="H44" s="288"/>
      <c r="K44" s="118"/>
    </row>
    <row r="45" spans="1:12" s="106" customFormat="1" x14ac:dyDescent="0.25">
      <c r="A45" s="712" t="s">
        <v>222</v>
      </c>
      <c r="B45" s="712"/>
      <c r="C45" s="712"/>
      <c r="D45" s="712"/>
      <c r="E45" s="712"/>
      <c r="F45" s="712"/>
      <c r="G45" s="712"/>
      <c r="H45" s="712"/>
      <c r="I45" s="712"/>
      <c r="J45" s="712"/>
      <c r="K45" s="712"/>
      <c r="L45" s="712"/>
    </row>
    <row r="46" spans="1:12" s="106" customFormat="1" x14ac:dyDescent="0.25">
      <c r="A46" s="259"/>
      <c r="B46" s="293"/>
      <c r="C46" s="127"/>
      <c r="D46" s="127"/>
      <c r="E46" s="127"/>
      <c r="F46" s="289"/>
      <c r="G46" s="127"/>
      <c r="H46" s="289"/>
      <c r="I46" s="127"/>
    </row>
    <row r="47" spans="1:12" s="106" customFormat="1" x14ac:dyDescent="0.25">
      <c r="A47" s="715" t="s">
        <v>146</v>
      </c>
      <c r="B47" s="715"/>
      <c r="C47" s="715"/>
      <c r="D47" s="715"/>
      <c r="E47" s="715"/>
      <c r="F47" s="715"/>
      <c r="G47" s="715"/>
      <c r="H47" s="715"/>
      <c r="I47" s="715"/>
      <c r="J47" s="715"/>
      <c r="K47" s="715"/>
      <c r="L47" s="715"/>
    </row>
    <row r="48" spans="1:12" s="106" customFormat="1" x14ac:dyDescent="0.25">
      <c r="A48" s="708" t="str">
        <f>A8</f>
        <v>For the Twelve Months Ended March 31, 2012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</row>
    <row r="49" spans="1:12" s="106" customFormat="1" x14ac:dyDescent="0.25">
      <c r="A49" s="270"/>
      <c r="B49" s="294"/>
      <c r="C49" s="270"/>
      <c r="D49" s="270"/>
      <c r="E49" s="270"/>
      <c r="F49" s="270"/>
      <c r="G49" s="270"/>
      <c r="H49" s="270"/>
      <c r="I49" s="270"/>
      <c r="J49" s="270"/>
      <c r="K49" s="270"/>
      <c r="L49" s="270"/>
    </row>
    <row r="50" spans="1:12" s="106" customFormat="1" x14ac:dyDescent="0.25">
      <c r="A50" s="270"/>
      <c r="B50" s="294"/>
      <c r="C50" s="270"/>
      <c r="D50" s="270"/>
      <c r="E50" s="270"/>
      <c r="F50" s="270"/>
      <c r="G50" s="270"/>
      <c r="H50" s="270"/>
      <c r="I50" s="270"/>
      <c r="J50" s="270"/>
      <c r="K50" s="270"/>
      <c r="L50" s="270"/>
    </row>
    <row r="51" spans="1:12" x14ac:dyDescent="0.25">
      <c r="B51" s="713"/>
      <c r="C51" s="714"/>
      <c r="D51" s="714"/>
      <c r="E51" s="714"/>
      <c r="F51" s="714"/>
      <c r="G51" s="714"/>
      <c r="H51" s="714"/>
      <c r="I51" s="714"/>
      <c r="J51" s="714"/>
      <c r="K51" s="714"/>
    </row>
    <row r="52" spans="1:12" x14ac:dyDescent="0.25">
      <c r="B52" s="296"/>
      <c r="C52" s="297"/>
      <c r="D52" s="297"/>
      <c r="E52" s="297"/>
      <c r="F52" s="297"/>
      <c r="G52" s="297"/>
      <c r="H52" s="297"/>
      <c r="I52" s="297"/>
      <c r="J52" s="297"/>
      <c r="K52" s="297"/>
    </row>
    <row r="53" spans="1:12" x14ac:dyDescent="0.25">
      <c r="B53" s="296"/>
      <c r="C53" s="297"/>
      <c r="E53" s="298"/>
      <c r="F53" s="297"/>
      <c r="G53" s="297"/>
      <c r="H53" s="297"/>
      <c r="I53" s="297"/>
      <c r="J53" s="297"/>
      <c r="K53" s="297"/>
    </row>
    <row r="54" spans="1:12" x14ac:dyDescent="0.25">
      <c r="B54" s="296"/>
      <c r="C54" s="297"/>
      <c r="D54" s="298" t="s">
        <v>251</v>
      </c>
      <c r="E54" s="297"/>
      <c r="F54" s="298" t="s">
        <v>207</v>
      </c>
      <c r="G54" s="297"/>
      <c r="H54" s="298" t="s">
        <v>249</v>
      </c>
      <c r="I54" s="298"/>
      <c r="J54" s="298" t="s">
        <v>208</v>
      </c>
      <c r="K54" s="297"/>
    </row>
    <row r="55" spans="1:12" x14ac:dyDescent="0.25">
      <c r="B55" s="296"/>
      <c r="C55" s="297"/>
      <c r="D55" s="299" t="s">
        <v>221</v>
      </c>
      <c r="E55" s="297"/>
      <c r="F55" s="298" t="s">
        <v>248</v>
      </c>
      <c r="G55" s="298"/>
      <c r="H55" s="298" t="s">
        <v>247</v>
      </c>
      <c r="I55" s="297"/>
      <c r="J55" s="298" t="s">
        <v>209</v>
      </c>
      <c r="K55" s="297"/>
    </row>
    <row r="56" spans="1:12" x14ac:dyDescent="0.25">
      <c r="B56" s="296"/>
      <c r="C56" s="297"/>
      <c r="D56" s="300" t="s">
        <v>311</v>
      </c>
      <c r="E56" s="297"/>
      <c r="F56" s="298" t="s">
        <v>213</v>
      </c>
      <c r="G56" s="298"/>
      <c r="H56" s="298" t="s">
        <v>252</v>
      </c>
      <c r="I56" s="297"/>
      <c r="J56" s="298" t="s">
        <v>250</v>
      </c>
      <c r="K56" s="297"/>
    </row>
    <row r="57" spans="1:12" x14ac:dyDescent="0.25">
      <c r="B57" s="296"/>
      <c r="C57" s="297"/>
      <c r="D57" s="301" t="s">
        <v>679</v>
      </c>
      <c r="E57" s="297"/>
      <c r="F57" s="297"/>
      <c r="G57" s="298"/>
      <c r="H57" s="301" t="s">
        <v>136</v>
      </c>
      <c r="I57" s="297"/>
      <c r="J57" s="302" t="s">
        <v>149</v>
      </c>
      <c r="K57" s="297"/>
    </row>
    <row r="58" spans="1:12" x14ac:dyDescent="0.25">
      <c r="B58" s="296"/>
      <c r="C58" s="297"/>
      <c r="D58" s="303" t="s">
        <v>238</v>
      </c>
      <c r="E58" s="297"/>
      <c r="F58" s="137">
        <v>-2</v>
      </c>
      <c r="G58" s="298"/>
      <c r="H58" s="137">
        <v>-3</v>
      </c>
      <c r="I58" s="297"/>
      <c r="J58" s="137">
        <v>-4</v>
      </c>
      <c r="K58" s="297"/>
    </row>
    <row r="59" spans="1:12" x14ac:dyDescent="0.25">
      <c r="B59" s="296"/>
      <c r="C59" s="297"/>
      <c r="D59" s="304"/>
      <c r="E59" s="297"/>
      <c r="F59" s="297"/>
      <c r="G59" s="298"/>
      <c r="H59" s="297"/>
      <c r="I59" s="297"/>
      <c r="J59" s="298"/>
      <c r="K59" s="297"/>
    </row>
    <row r="60" spans="1:12" x14ac:dyDescent="0.25">
      <c r="B60" s="305" t="s">
        <v>254</v>
      </c>
      <c r="C60" s="306" t="s">
        <v>314</v>
      </c>
      <c r="D60" s="307">
        <f>'Ex 2'!N30</f>
        <v>0</v>
      </c>
      <c r="E60" s="308"/>
      <c r="F60" s="309">
        <f>ROUND(D60/D$66,4)</f>
        <v>0</v>
      </c>
      <c r="G60" s="310"/>
      <c r="H60" s="311">
        <f>'Ex 2'!R30</f>
        <v>4.1000000000000003E-3</v>
      </c>
      <c r="I60" s="312"/>
      <c r="J60" s="313">
        <f>ROUND(F60*H60,4)</f>
        <v>0</v>
      </c>
      <c r="K60" s="297"/>
    </row>
    <row r="61" spans="1:12" x14ac:dyDescent="0.25">
      <c r="B61" s="314"/>
      <c r="C61" s="290"/>
      <c r="D61" s="315"/>
      <c r="E61" s="308"/>
      <c r="F61" s="316"/>
      <c r="G61" s="310"/>
      <c r="H61" s="317"/>
      <c r="I61" s="254"/>
      <c r="J61" s="318"/>
      <c r="K61" s="297"/>
    </row>
    <row r="62" spans="1:12" x14ac:dyDescent="0.25">
      <c r="B62" s="305" t="s">
        <v>255</v>
      </c>
      <c r="C62" s="306" t="s">
        <v>315</v>
      </c>
      <c r="D62" s="307">
        <f>'Ex 2'!N32</f>
        <v>232320388</v>
      </c>
      <c r="E62" s="308"/>
      <c r="F62" s="309">
        <f>ROUND(D62/D$66,4)</f>
        <v>0.44359999999999999</v>
      </c>
      <c r="G62" s="310"/>
      <c r="H62" s="311">
        <f>'Ex 2'!R32</f>
        <v>3.78E-2</v>
      </c>
      <c r="I62" s="312"/>
      <c r="J62" s="313">
        <f>ROUND(F62*H62,4)</f>
        <v>1.6799999999999999E-2</v>
      </c>
      <c r="K62" s="297"/>
    </row>
    <row r="63" spans="1:12" x14ac:dyDescent="0.25">
      <c r="B63" s="314"/>
      <c r="C63" s="290"/>
      <c r="D63" s="315"/>
      <c r="E63" s="308"/>
      <c r="F63" s="316"/>
      <c r="G63" s="310"/>
      <c r="H63" s="317"/>
      <c r="I63" s="254"/>
      <c r="J63" s="318"/>
      <c r="K63" s="297"/>
    </row>
    <row r="64" spans="1:12" x14ac:dyDescent="0.25">
      <c r="B64" s="305" t="s">
        <v>256</v>
      </c>
      <c r="C64" s="306" t="s">
        <v>316</v>
      </c>
      <c r="D64" s="307">
        <f>'Ex 2'!N34</f>
        <v>291430580</v>
      </c>
      <c r="E64" s="297"/>
      <c r="F64" s="319">
        <f>1-F60-F62</f>
        <v>0.55640000000000001</v>
      </c>
      <c r="G64" s="297"/>
      <c r="H64" s="313">
        <f>ROUND(J64/F64,4)</f>
        <v>7.3099999999999998E-2</v>
      </c>
      <c r="I64" s="312" t="s">
        <v>272</v>
      </c>
      <c r="J64" s="320">
        <f>J71-J60-J62</f>
        <v>4.07E-2</v>
      </c>
      <c r="K64" s="321" t="s">
        <v>210</v>
      </c>
    </row>
    <row r="65" spans="2:14" x14ac:dyDescent="0.25">
      <c r="B65" s="314"/>
      <c r="C65" s="290"/>
      <c r="D65" s="322"/>
      <c r="E65" s="297"/>
      <c r="F65" s="297"/>
      <c r="G65" s="297"/>
      <c r="H65" s="323"/>
      <c r="I65" s="254"/>
      <c r="J65" s="324"/>
      <c r="K65" s="297"/>
    </row>
    <row r="66" spans="2:14" ht="16.5" thickBot="1" x14ac:dyDescent="0.3">
      <c r="B66" s="305" t="s">
        <v>257</v>
      </c>
      <c r="C66" s="106" t="s">
        <v>271</v>
      </c>
      <c r="D66" s="325">
        <f>SUM(D60:D64)</f>
        <v>523750968</v>
      </c>
      <c r="E66" s="297"/>
      <c r="F66" s="326">
        <f>SUM(F60:F64)</f>
        <v>1</v>
      </c>
      <c r="G66" s="297"/>
      <c r="H66" s="327"/>
      <c r="I66" s="254"/>
      <c r="J66" s="328">
        <f>SUM(J59:J64)</f>
        <v>5.7499999999999996E-2</v>
      </c>
      <c r="K66" s="297"/>
    </row>
    <row r="67" spans="2:14" ht="16.5" thickTop="1" x14ac:dyDescent="0.25">
      <c r="B67" s="314"/>
      <c r="C67" s="290"/>
      <c r="D67" s="310"/>
      <c r="E67" s="297"/>
      <c r="F67" s="297"/>
      <c r="G67" s="297"/>
      <c r="H67" s="327"/>
      <c r="I67" s="254"/>
      <c r="J67" s="329"/>
      <c r="K67" s="297"/>
    </row>
    <row r="68" spans="2:14" x14ac:dyDescent="0.25">
      <c r="B68" s="314"/>
      <c r="C68" s="290"/>
      <c r="D68" s="310"/>
      <c r="E68" s="297"/>
      <c r="F68" s="297"/>
      <c r="G68" s="297"/>
      <c r="H68" s="327"/>
      <c r="I68" s="254"/>
      <c r="J68" s="329"/>
      <c r="K68" s="297"/>
    </row>
    <row r="69" spans="2:14" x14ac:dyDescent="0.25">
      <c r="B69" s="305" t="s">
        <v>258</v>
      </c>
      <c r="C69" s="229" t="s">
        <v>144</v>
      </c>
      <c r="D69" s="310"/>
      <c r="E69" s="297"/>
      <c r="F69" s="297"/>
      <c r="G69" s="297"/>
      <c r="H69" s="327"/>
      <c r="I69" s="254"/>
      <c r="J69" s="330">
        <f>'Ex 8'!G48</f>
        <v>30134617</v>
      </c>
      <c r="K69" s="321" t="s">
        <v>245</v>
      </c>
      <c r="N69" s="331"/>
    </row>
    <row r="70" spans="2:14" x14ac:dyDescent="0.25">
      <c r="B70" s="314"/>
      <c r="C70" s="290"/>
      <c r="D70" s="310"/>
      <c r="E70" s="297"/>
      <c r="F70" s="297"/>
      <c r="G70" s="297"/>
      <c r="H70" s="327"/>
      <c r="I70" s="254"/>
      <c r="J70" s="329"/>
      <c r="K70" s="297"/>
    </row>
    <row r="71" spans="2:14" x14ac:dyDescent="0.25">
      <c r="B71" s="305" t="s">
        <v>259</v>
      </c>
      <c r="C71" s="306" t="s">
        <v>211</v>
      </c>
      <c r="D71" s="310"/>
      <c r="E71" s="297"/>
      <c r="F71" s="297"/>
      <c r="G71" s="297"/>
      <c r="H71" s="327"/>
      <c r="I71" s="254"/>
      <c r="J71" s="254">
        <f>ROUND(J69/D66,4)</f>
        <v>5.7500000000000002E-2</v>
      </c>
      <c r="K71" s="332" t="s">
        <v>319</v>
      </c>
    </row>
    <row r="76" spans="2:14" x14ac:dyDescent="0.25">
      <c r="B76" s="333" t="s">
        <v>212</v>
      </c>
      <c r="C76" s="334" t="s">
        <v>111</v>
      </c>
    </row>
    <row r="77" spans="2:14" x14ac:dyDescent="0.25">
      <c r="C77" s="502" t="s">
        <v>134</v>
      </c>
    </row>
    <row r="78" spans="2:14" x14ac:dyDescent="0.25">
      <c r="C78" s="502" t="s">
        <v>711</v>
      </c>
    </row>
    <row r="79" spans="2:14" x14ac:dyDescent="0.25">
      <c r="C79" s="334" t="s">
        <v>196</v>
      </c>
    </row>
  </sheetData>
  <mergeCells count="8">
    <mergeCell ref="B51:K51"/>
    <mergeCell ref="A5:L5"/>
    <mergeCell ref="A7:L7"/>
    <mergeCell ref="A8:L8"/>
    <mergeCell ref="B11:K11"/>
    <mergeCell ref="A45:L45"/>
    <mergeCell ref="A47:L47"/>
    <mergeCell ref="A48:L48"/>
  </mergeCells>
  <phoneticPr fontId="24" type="noConversion"/>
  <printOptions horizontalCentered="1"/>
  <pageMargins left="0.75" right="0.5" top="1" bottom="0" header="0.25" footer="0.5"/>
  <pageSetup scale="86" fitToHeight="2" orientation="portrait" r:id="rId1"/>
  <headerFooter alignWithMargins="0"/>
  <rowBreaks count="1" manualBreakCount="1">
    <brk id="4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L30"/>
  <sheetViews>
    <sheetView showGridLines="0" topLeftCell="A7" zoomScaleNormal="100" workbookViewId="0">
      <selection activeCell="A3" sqref="A3"/>
    </sheetView>
  </sheetViews>
  <sheetFormatPr defaultColWidth="9.625" defaultRowHeight="12" x14ac:dyDescent="0.15"/>
  <cols>
    <col min="1" max="1" width="12.75" style="114" customWidth="1"/>
    <col min="2" max="2" width="32.75" style="114" customWidth="1"/>
    <col min="3" max="3" width="8.375" style="114" customWidth="1"/>
    <col min="4" max="4" width="5.125" style="114" customWidth="1"/>
    <col min="5" max="5" width="16.125" style="114" customWidth="1"/>
    <col min="6" max="6" width="2.625" style="114" customWidth="1"/>
    <col min="7" max="7" width="16.125" style="114" customWidth="1"/>
    <col min="8" max="9" width="9.625" style="114"/>
    <col min="10" max="10" width="11.125" style="114" customWidth="1"/>
    <col min="11" max="16384" width="9.625" style="114"/>
  </cols>
  <sheetData>
    <row r="1" spans="1:7" ht="15.75" x14ac:dyDescent="0.25">
      <c r="A1" s="106"/>
      <c r="B1" s="139"/>
      <c r="C1" s="106"/>
      <c r="D1" s="106"/>
      <c r="E1" s="106"/>
      <c r="F1" s="106"/>
      <c r="G1" s="106"/>
    </row>
    <row r="2" spans="1:7" ht="15.75" x14ac:dyDescent="0.25">
      <c r="A2" s="106"/>
      <c r="B2" s="106"/>
      <c r="C2" s="106"/>
      <c r="D2" s="106"/>
      <c r="E2" s="106"/>
      <c r="F2" s="106"/>
      <c r="G2" s="106"/>
    </row>
    <row r="3" spans="1:7" ht="15.75" x14ac:dyDescent="0.25">
      <c r="A3" s="106"/>
      <c r="B3" s="106"/>
      <c r="C3" s="106"/>
      <c r="D3" s="106"/>
      <c r="E3" s="139"/>
      <c r="F3" s="139"/>
      <c r="G3" s="293" t="str">
        <f>'Ex 1'!$P$1</f>
        <v>Exhibit 1</v>
      </c>
    </row>
    <row r="4" spans="1:7" ht="15.75" x14ac:dyDescent="0.25">
      <c r="A4" s="106"/>
      <c r="B4" s="106"/>
      <c r="C4" s="106"/>
      <c r="D4" s="106"/>
      <c r="E4" s="139"/>
      <c r="F4" s="139"/>
      <c r="G4" s="337" t="str">
        <f>"Reference Schedule "&amp;Inputs!$A16&amp;""</f>
        <v>Reference Schedule 1.00</v>
      </c>
    </row>
    <row r="5" spans="1:7" ht="15.75" x14ac:dyDescent="0.25">
      <c r="A5" s="106"/>
      <c r="B5" s="106"/>
      <c r="C5" s="106"/>
      <c r="D5" s="106"/>
      <c r="E5" s="106"/>
      <c r="F5" s="106"/>
      <c r="G5" s="11" t="str">
        <f>"Sponsoring Witness: "&amp;Inputs!$B16&amp;""</f>
        <v>Sponsoring Witness: Bellar</v>
      </c>
    </row>
    <row r="6" spans="1:7" ht="15.75" x14ac:dyDescent="0.25">
      <c r="A6" s="106"/>
      <c r="B6" s="106"/>
      <c r="C6" s="106"/>
      <c r="D6" s="106"/>
      <c r="E6" s="106"/>
      <c r="F6" s="106"/>
      <c r="G6" s="106"/>
    </row>
    <row r="7" spans="1:7" ht="15.75" x14ac:dyDescent="0.25">
      <c r="A7" s="106"/>
      <c r="B7" s="106"/>
      <c r="C7" s="106"/>
      <c r="D7" s="106"/>
      <c r="E7" s="106"/>
      <c r="F7" s="106"/>
      <c r="G7" s="106"/>
    </row>
    <row r="8" spans="1:7" ht="15.75" x14ac:dyDescent="0.25">
      <c r="A8" s="128" t="s">
        <v>222</v>
      </c>
      <c r="B8" s="128"/>
      <c r="C8" s="128"/>
      <c r="D8" s="128"/>
      <c r="E8" s="123"/>
      <c r="F8" s="123"/>
      <c r="G8" s="123"/>
    </row>
    <row r="9" spans="1:7" ht="15.75" x14ac:dyDescent="0.25">
      <c r="A9" s="128"/>
      <c r="B9" s="128"/>
      <c r="C9" s="128"/>
      <c r="D9" s="128"/>
      <c r="E9" s="106"/>
      <c r="F9" s="106"/>
      <c r="G9" s="106"/>
    </row>
    <row r="10" spans="1:7" ht="15.75" x14ac:dyDescent="0.25">
      <c r="A10" s="128"/>
      <c r="B10" s="128"/>
      <c r="C10" s="128"/>
      <c r="D10" s="128"/>
      <c r="E10" s="106"/>
      <c r="F10" s="106"/>
      <c r="G10" s="106"/>
    </row>
    <row r="11" spans="1:7" ht="15.75" x14ac:dyDescent="0.25">
      <c r="A11" s="128" t="s">
        <v>336</v>
      </c>
      <c r="B11" s="128"/>
      <c r="C11" s="128"/>
      <c r="D11" s="128"/>
      <c r="E11" s="123"/>
      <c r="F11" s="123"/>
      <c r="G11" s="123"/>
    </row>
    <row r="12" spans="1:7" ht="15.75" x14ac:dyDescent="0.25">
      <c r="A12" s="139"/>
      <c r="B12" s="139"/>
      <c r="C12" s="106"/>
      <c r="D12" s="106"/>
      <c r="E12" s="106"/>
      <c r="F12" s="106"/>
      <c r="G12" s="106"/>
    </row>
    <row r="13" spans="1:7" ht="15.75" x14ac:dyDescent="0.25">
      <c r="A13" s="139"/>
      <c r="B13" s="139"/>
      <c r="C13" s="106"/>
      <c r="D13" s="106"/>
      <c r="E13" s="106"/>
      <c r="F13" s="106"/>
      <c r="G13" s="106"/>
    </row>
    <row r="14" spans="1:7" ht="15.75" x14ac:dyDescent="0.25">
      <c r="A14" s="139"/>
      <c r="B14" s="139"/>
      <c r="C14" s="106"/>
      <c r="D14" s="106"/>
      <c r="E14" s="106"/>
      <c r="F14" s="106"/>
      <c r="G14" s="106"/>
    </row>
    <row r="15" spans="1:7" ht="15.75" x14ac:dyDescent="0.25">
      <c r="A15" s="106"/>
      <c r="B15" s="106"/>
      <c r="C15" s="154"/>
      <c r="D15" s="106"/>
      <c r="E15" s="137" t="s">
        <v>220</v>
      </c>
      <c r="F15" s="154"/>
      <c r="G15" s="137" t="s">
        <v>221</v>
      </c>
    </row>
    <row r="16" spans="1:7" ht="15.75" x14ac:dyDescent="0.25">
      <c r="A16" s="119"/>
      <c r="B16" s="119"/>
      <c r="C16" s="338"/>
      <c r="D16" s="339"/>
      <c r="E16" s="111"/>
      <c r="F16" s="111"/>
      <c r="G16" s="111"/>
    </row>
    <row r="17" spans="1:12" ht="15.75" x14ac:dyDescent="0.25">
      <c r="A17" s="119" t="str">
        <f>"1.  Unbilled revenues at "&amp;Inputs!B4&amp;""</f>
        <v>1.  Unbilled revenues at March 31, 2011</v>
      </c>
      <c r="B17" s="119"/>
      <c r="C17" s="340"/>
      <c r="D17" s="341"/>
      <c r="E17" s="174">
        <v>40410000</v>
      </c>
      <c r="F17" s="174"/>
      <c r="G17" s="174">
        <v>14195468</v>
      </c>
      <c r="H17" s="342"/>
    </row>
    <row r="18" spans="1:12" ht="15.75" x14ac:dyDescent="0.25">
      <c r="A18" s="343"/>
      <c r="B18" s="119"/>
      <c r="C18" s="111"/>
      <c r="D18" s="226"/>
      <c r="E18" s="111"/>
      <c r="F18" s="111"/>
      <c r="G18" s="111"/>
    </row>
    <row r="19" spans="1:12" ht="15.75" x14ac:dyDescent="0.25">
      <c r="A19" s="343" t="str">
        <f>"2.  Unbilled revenues at "&amp;Inputs!B3&amp;""</f>
        <v>2.  Unbilled revenues at March 31, 2012</v>
      </c>
      <c r="B19" s="119"/>
      <c r="C19" s="111"/>
      <c r="D19" s="111"/>
      <c r="E19" s="282">
        <v>-40117000</v>
      </c>
      <c r="F19" s="111"/>
      <c r="G19" s="282">
        <v>-8485093</v>
      </c>
      <c r="H19" s="342"/>
      <c r="J19" s="111"/>
      <c r="K19" s="111"/>
      <c r="L19" s="111"/>
    </row>
    <row r="20" spans="1:12" ht="15.75" x14ac:dyDescent="0.25">
      <c r="A20" s="343"/>
      <c r="B20" s="119"/>
      <c r="C20" s="111"/>
      <c r="D20" s="111"/>
      <c r="E20" s="111"/>
      <c r="F20" s="111"/>
      <c r="G20" s="111"/>
    </row>
    <row r="21" spans="1:12" ht="16.5" thickBot="1" x14ac:dyDescent="0.3">
      <c r="A21" s="119" t="s">
        <v>92</v>
      </c>
      <c r="B21" s="119"/>
      <c r="C21" s="167"/>
      <c r="D21" s="174"/>
      <c r="E21" s="166">
        <f>+E17+E19</f>
        <v>293000</v>
      </c>
      <c r="F21" s="167"/>
      <c r="G21" s="166">
        <f>+G17+G19</f>
        <v>5710375</v>
      </c>
    </row>
    <row r="22" spans="1:12" ht="12.75" thickTop="1" x14ac:dyDescent="0.15"/>
    <row r="27" spans="1:12" ht="15.75" x14ac:dyDescent="0.25">
      <c r="E27" s="174"/>
      <c r="F27" s="174"/>
      <c r="G27" s="174"/>
    </row>
    <row r="28" spans="1:12" ht="15.75" x14ac:dyDescent="0.25">
      <c r="E28" s="111"/>
      <c r="F28" s="111"/>
      <c r="G28" s="111"/>
    </row>
    <row r="29" spans="1:12" ht="15.75" x14ac:dyDescent="0.25">
      <c r="E29" s="111"/>
      <c r="F29" s="111"/>
      <c r="G29" s="111"/>
    </row>
    <row r="30" spans="1:12" x14ac:dyDescent="0.15">
      <c r="E30" s="209"/>
      <c r="F30" s="209"/>
      <c r="G30" s="209"/>
    </row>
  </sheetData>
  <phoneticPr fontId="0" type="noConversion"/>
  <printOptions horizontalCentered="1" gridLinesSet="0"/>
  <pageMargins left="1.25" right="0.75" top="1" bottom="1" header="0.5" footer="0.5"/>
  <pageSetup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1">
    <pageSetUpPr fitToPage="1"/>
  </sheetPr>
  <dimension ref="A1:J39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5.125" style="106" customWidth="1"/>
    <col min="2" max="2" width="14.875" style="106" customWidth="1"/>
    <col min="3" max="3" width="10.875" style="106" customWidth="1"/>
    <col min="4" max="4" width="17.625" style="106" customWidth="1"/>
    <col min="5" max="5" width="13.125" style="106" customWidth="1"/>
    <col min="6" max="6" width="17.625" style="106" customWidth="1"/>
    <col min="7" max="7" width="9.625" style="106" customWidth="1"/>
    <col min="8" max="8" width="9.625" style="106"/>
    <col min="9" max="9" width="13.5" style="106" bestFit="1" customWidth="1"/>
    <col min="10" max="10" width="12.25" style="106" customWidth="1"/>
    <col min="11" max="16384" width="9.625" style="106"/>
  </cols>
  <sheetData>
    <row r="1" spans="1:6" x14ac:dyDescent="0.25">
      <c r="A1" s="150"/>
      <c r="B1" s="150"/>
      <c r="C1" s="150"/>
      <c r="D1" s="150"/>
      <c r="E1" s="150"/>
      <c r="F1" s="150"/>
    </row>
    <row r="2" spans="1:6" x14ac:dyDescent="0.25">
      <c r="A2" s="139"/>
    </row>
    <row r="3" spans="1:6" x14ac:dyDescent="0.25">
      <c r="F3" s="293" t="str">
        <f>'Ex 1'!$P$1</f>
        <v>Exhibit 1</v>
      </c>
    </row>
    <row r="4" spans="1:6" x14ac:dyDescent="0.25">
      <c r="F4" s="337" t="str">
        <f>"Reference Schedule "&amp;Inputs!$A17&amp;""</f>
        <v>Reference Schedule 1.01</v>
      </c>
    </row>
    <row r="5" spans="1:6" x14ac:dyDescent="0.25">
      <c r="F5" s="11" t="str">
        <f>"Sponsoring Witness: "&amp;Inputs!$B17&amp;""</f>
        <v>Sponsoring Witness: Conroy</v>
      </c>
    </row>
    <row r="6" spans="1:6" x14ac:dyDescent="0.25">
      <c r="F6" s="118"/>
    </row>
    <row r="7" spans="1:6" x14ac:dyDescent="0.25">
      <c r="F7" s="118"/>
    </row>
    <row r="8" spans="1:6" x14ac:dyDescent="0.25">
      <c r="B8" s="344" t="s">
        <v>222</v>
      </c>
      <c r="C8" s="127"/>
      <c r="D8" s="127"/>
      <c r="E8" s="127"/>
      <c r="F8" s="127"/>
    </row>
    <row r="9" spans="1:6" x14ac:dyDescent="0.25">
      <c r="B9" s="127"/>
      <c r="C9" s="127"/>
      <c r="D9" s="127"/>
      <c r="E9" s="127"/>
      <c r="F9" s="127"/>
    </row>
    <row r="10" spans="1:6" x14ac:dyDescent="0.25">
      <c r="B10" s="127"/>
      <c r="C10" s="127"/>
      <c r="D10" s="127"/>
      <c r="E10" s="127"/>
      <c r="F10" s="127"/>
    </row>
    <row r="11" spans="1:6" x14ac:dyDescent="0.25">
      <c r="B11" s="127" t="s">
        <v>373</v>
      </c>
      <c r="C11" s="127"/>
      <c r="D11" s="127"/>
      <c r="E11" s="127"/>
      <c r="F11" s="127"/>
    </row>
    <row r="12" spans="1:6" x14ac:dyDescent="0.25">
      <c r="B12" s="128" t="str">
        <f>"For the Twelve Months Ended "&amp;Inputs!B3&amp;""</f>
        <v>For the Twelve Months Ended March 31, 2012</v>
      </c>
      <c r="C12" s="127"/>
      <c r="D12" s="127"/>
      <c r="E12" s="127"/>
      <c r="F12" s="127"/>
    </row>
    <row r="13" spans="1:6" x14ac:dyDescent="0.25">
      <c r="B13" s="139"/>
    </row>
    <row r="14" spans="1:6" x14ac:dyDescent="0.25">
      <c r="B14" s="139"/>
    </row>
    <row r="15" spans="1:6" x14ac:dyDescent="0.25">
      <c r="D15" s="346"/>
    </row>
    <row r="16" spans="1:6" x14ac:dyDescent="0.25">
      <c r="D16" s="133" t="s">
        <v>220</v>
      </c>
      <c r="F16" s="133" t="s">
        <v>220</v>
      </c>
    </row>
    <row r="17" spans="1:7" x14ac:dyDescent="0.25">
      <c r="B17" s="347"/>
      <c r="C17" s="347"/>
      <c r="D17" s="348" t="s">
        <v>356</v>
      </c>
      <c r="F17" s="348" t="s">
        <v>342</v>
      </c>
    </row>
    <row r="18" spans="1:7" x14ac:dyDescent="0.25">
      <c r="C18" s="347"/>
      <c r="D18" s="348" t="s">
        <v>360</v>
      </c>
      <c r="F18" s="348" t="s">
        <v>361</v>
      </c>
    </row>
    <row r="19" spans="1:7" x14ac:dyDescent="0.25">
      <c r="A19" s="119"/>
      <c r="B19" s="349" t="s">
        <v>342</v>
      </c>
      <c r="C19" s="347"/>
      <c r="D19" s="348" t="s">
        <v>363</v>
      </c>
      <c r="F19" s="348" t="s">
        <v>363</v>
      </c>
    </row>
    <row r="20" spans="1:7" x14ac:dyDescent="0.25">
      <c r="A20" s="119"/>
      <c r="B20" s="350" t="s">
        <v>362</v>
      </c>
      <c r="C20" s="347"/>
      <c r="D20" s="350" t="s">
        <v>364</v>
      </c>
      <c r="F20" s="350" t="s">
        <v>168</v>
      </c>
    </row>
    <row r="21" spans="1:7" x14ac:dyDescent="0.25">
      <c r="A21" s="343"/>
      <c r="B21" s="347"/>
      <c r="C21" s="347"/>
      <c r="D21" s="347"/>
      <c r="F21" s="347"/>
    </row>
    <row r="22" spans="1:7" x14ac:dyDescent="0.25">
      <c r="B22" s="351">
        <v>40634</v>
      </c>
      <c r="C22" s="347"/>
      <c r="D22" s="58">
        <v>1854801</v>
      </c>
      <c r="E22" s="351"/>
      <c r="F22" s="58">
        <v>3326867.6011999999</v>
      </c>
      <c r="G22" s="351"/>
    </row>
    <row r="23" spans="1:7" x14ac:dyDescent="0.25">
      <c r="B23" s="351">
        <v>40664</v>
      </c>
      <c r="C23" s="347"/>
      <c r="D23" s="58">
        <v>1974419</v>
      </c>
      <c r="E23" s="351"/>
      <c r="F23" s="58">
        <v>3988638.3846400003</v>
      </c>
      <c r="G23" s="351"/>
    </row>
    <row r="24" spans="1:7" x14ac:dyDescent="0.25">
      <c r="B24" s="351">
        <v>40695</v>
      </c>
      <c r="C24" s="347"/>
      <c r="D24" s="58">
        <v>4566219</v>
      </c>
      <c r="E24" s="351"/>
      <c r="F24" s="58">
        <v>3785238.5463599991</v>
      </c>
      <c r="G24" s="351"/>
    </row>
    <row r="25" spans="1:7" x14ac:dyDescent="0.25">
      <c r="B25" s="351">
        <v>40725</v>
      </c>
      <c r="C25" s="347"/>
      <c r="D25" s="58">
        <v>4801258</v>
      </c>
      <c r="E25" s="351"/>
      <c r="F25" s="58">
        <v>3166375.1043600026</v>
      </c>
      <c r="G25" s="351"/>
    </row>
    <row r="26" spans="1:7" x14ac:dyDescent="0.25">
      <c r="B26" s="351">
        <v>40756</v>
      </c>
      <c r="C26" s="347"/>
      <c r="D26" s="58">
        <v>4512430</v>
      </c>
      <c r="E26" s="351"/>
      <c r="F26" s="58">
        <v>2719617.4075200004</v>
      </c>
      <c r="G26" s="351"/>
    </row>
    <row r="27" spans="1:7" x14ac:dyDescent="0.25">
      <c r="B27" s="351">
        <v>40787</v>
      </c>
      <c r="C27" s="347"/>
      <c r="D27" s="58">
        <v>2611672</v>
      </c>
      <c r="E27" s="351"/>
      <c r="F27" s="58">
        <v>2776413.01113</v>
      </c>
      <c r="G27" s="351"/>
    </row>
    <row r="28" spans="1:7" s="520" customFormat="1" x14ac:dyDescent="0.25">
      <c r="B28" s="351">
        <v>40817</v>
      </c>
      <c r="C28" s="347"/>
      <c r="D28" s="58">
        <v>1941192</v>
      </c>
      <c r="E28" s="351"/>
      <c r="F28" s="58">
        <v>1891077.413119999</v>
      </c>
      <c r="G28" s="351"/>
    </row>
    <row r="29" spans="1:7" s="520" customFormat="1" x14ac:dyDescent="0.25">
      <c r="B29" s="351">
        <v>40848</v>
      </c>
      <c r="C29" s="347"/>
      <c r="D29" s="58">
        <v>2373057</v>
      </c>
      <c r="E29" s="351"/>
      <c r="F29" s="58">
        <v>2197314.5343999998</v>
      </c>
      <c r="G29" s="351"/>
    </row>
    <row r="30" spans="1:7" s="520" customFormat="1" x14ac:dyDescent="0.25">
      <c r="B30" s="351">
        <v>40878</v>
      </c>
      <c r="C30" s="347"/>
      <c r="D30" s="58">
        <v>1909620</v>
      </c>
      <c r="E30" s="351"/>
      <c r="F30" s="58">
        <v>2851922.2175400006</v>
      </c>
      <c r="G30" s="351"/>
    </row>
    <row r="31" spans="1:7" s="520" customFormat="1" x14ac:dyDescent="0.25">
      <c r="B31" s="351">
        <v>40909</v>
      </c>
      <c r="C31" s="347"/>
      <c r="D31" s="58">
        <v>2583863</v>
      </c>
      <c r="E31" s="351"/>
      <c r="F31" s="58">
        <v>3708699.6468500001</v>
      </c>
      <c r="G31" s="351"/>
    </row>
    <row r="32" spans="1:7" s="520" customFormat="1" x14ac:dyDescent="0.25">
      <c r="B32" s="351">
        <v>40940</v>
      </c>
      <c r="C32" s="347"/>
      <c r="D32" s="58">
        <v>2621544</v>
      </c>
      <c r="E32" s="351"/>
      <c r="F32" s="58">
        <v>4010474.29776</v>
      </c>
      <c r="G32" s="351"/>
    </row>
    <row r="33" spans="2:10" s="520" customFormat="1" x14ac:dyDescent="0.25">
      <c r="B33" s="351">
        <v>40969</v>
      </c>
      <c r="C33" s="347"/>
      <c r="D33" s="58">
        <v>3365217</v>
      </c>
      <c r="E33" s="351"/>
      <c r="F33" s="58">
        <v>4673561.5339200003</v>
      </c>
      <c r="G33" s="351"/>
    </row>
    <row r="34" spans="2:10" ht="16.5" thickBot="1" x14ac:dyDescent="0.3">
      <c r="B34" s="347" t="s">
        <v>213</v>
      </c>
      <c r="C34" s="347"/>
      <c r="D34" s="86">
        <f>ROUND(SUM(D22:D33),0)</f>
        <v>35115292</v>
      </c>
      <c r="F34" s="86">
        <f>ROUND(SUM(F22:F33),0)</f>
        <v>39096200</v>
      </c>
    </row>
    <row r="35" spans="2:10" ht="16.5" thickTop="1" x14ac:dyDescent="0.25">
      <c r="B35" s="347"/>
      <c r="C35" s="347"/>
      <c r="D35" s="174"/>
      <c r="F35" s="174"/>
    </row>
    <row r="36" spans="2:10" ht="16.5" thickBot="1" x14ac:dyDescent="0.3">
      <c r="B36" s="106" t="s">
        <v>182</v>
      </c>
      <c r="D36" s="248">
        <f>-D34</f>
        <v>-35115292</v>
      </c>
      <c r="F36" s="248">
        <f>-F34</f>
        <v>-39096200</v>
      </c>
    </row>
    <row r="37" spans="2:10" ht="16.5" thickTop="1" x14ac:dyDescent="0.25"/>
    <row r="38" spans="2:10" x14ac:dyDescent="0.25">
      <c r="B38" s="347" t="s">
        <v>174</v>
      </c>
      <c r="J38" s="174"/>
    </row>
    <row r="39" spans="2:10" x14ac:dyDescent="0.25">
      <c r="B39" s="268" t="s">
        <v>530</v>
      </c>
    </row>
  </sheetData>
  <phoneticPr fontId="0" type="noConversion"/>
  <printOptions horizontalCentered="1" gridLinesSet="0"/>
  <pageMargins left="1.25" right="0.75" top="1" bottom="1" header="0.5" footer="0.5"/>
  <pageSetup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21" enableFormatConditionsCalculation="0">
    <pageSetUpPr fitToPage="1"/>
  </sheetPr>
  <dimension ref="A3:I28"/>
  <sheetViews>
    <sheetView showGridLines="0" topLeftCell="A7" zoomScaleNormal="100" workbookViewId="0">
      <selection activeCell="A3" sqref="A3"/>
    </sheetView>
  </sheetViews>
  <sheetFormatPr defaultColWidth="9.625" defaultRowHeight="15.75" x14ac:dyDescent="0.25"/>
  <cols>
    <col min="1" max="1" width="61.875" style="2" customWidth="1"/>
    <col min="2" max="2" width="19.75" style="2" customWidth="1"/>
    <col min="3" max="3" width="2.125" style="2" customWidth="1"/>
    <col min="4" max="4" width="21" style="2" customWidth="1"/>
    <col min="5" max="5" width="9.625" style="2"/>
    <col min="6" max="6" width="17.625" style="2" customWidth="1"/>
    <col min="7" max="7" width="9.625" style="2"/>
    <col min="8" max="8" width="11.875" style="2" customWidth="1"/>
    <col min="9" max="16384" width="9.625" style="2"/>
  </cols>
  <sheetData>
    <row r="3" spans="1:7" x14ac:dyDescent="0.25">
      <c r="C3" s="18"/>
      <c r="D3" s="293" t="str">
        <f>'Ex 1'!$P$1</f>
        <v>Exhibit 1</v>
      </c>
    </row>
    <row r="4" spans="1:7" x14ac:dyDescent="0.25">
      <c r="C4" s="23"/>
      <c r="D4" s="337" t="str">
        <f>"Reference Schedule "&amp;Inputs!$A18&amp;""</f>
        <v>Reference Schedule 1.02</v>
      </c>
    </row>
    <row r="5" spans="1:7" x14ac:dyDescent="0.25">
      <c r="C5" s="7"/>
      <c r="D5" s="11" t="str">
        <f>"Sponsoring Witness: "&amp;Inputs!$B18&amp;""</f>
        <v>Sponsoring Witness: Conroy</v>
      </c>
    </row>
    <row r="6" spans="1:7" x14ac:dyDescent="0.25">
      <c r="B6" s="7"/>
      <c r="C6" s="7"/>
    </row>
    <row r="8" spans="1:7" x14ac:dyDescent="0.25">
      <c r="A8" s="716" t="s">
        <v>222</v>
      </c>
      <c r="B8" s="716"/>
      <c r="C8" s="716"/>
      <c r="D8" s="716"/>
      <c r="E8" s="227"/>
      <c r="F8" s="227"/>
      <c r="G8" s="227"/>
    </row>
    <row r="9" spans="1:7" x14ac:dyDescent="0.25">
      <c r="A9" s="13"/>
      <c r="B9" s="13"/>
      <c r="C9" s="13"/>
    </row>
    <row r="10" spans="1:7" x14ac:dyDescent="0.25">
      <c r="A10" s="12"/>
      <c r="B10" s="13"/>
      <c r="C10" s="13"/>
    </row>
    <row r="11" spans="1:7" x14ac:dyDescent="0.25">
      <c r="A11" s="717" t="s">
        <v>448</v>
      </c>
      <c r="B11" s="707"/>
      <c r="C11" s="707"/>
      <c r="D11" s="707"/>
    </row>
    <row r="12" spans="1:7" x14ac:dyDescent="0.25">
      <c r="A12" s="716" t="str">
        <f>+'1.01'!B12</f>
        <v>For the Twelve Months Ended March 31, 2012</v>
      </c>
      <c r="B12" s="716"/>
      <c r="C12" s="716"/>
      <c r="D12" s="716"/>
    </row>
    <row r="16" spans="1:7" ht="24" customHeight="1" x14ac:dyDescent="0.4">
      <c r="B16" s="183" t="s">
        <v>220</v>
      </c>
      <c r="C16" s="106"/>
      <c r="D16" s="183" t="s">
        <v>221</v>
      </c>
    </row>
    <row r="17" spans="1:9" ht="18" x14ac:dyDescent="0.4">
      <c r="B17" s="42"/>
      <c r="C17" s="42"/>
    </row>
    <row r="18" spans="1:9" x14ac:dyDescent="0.25">
      <c r="A18" s="12" t="s">
        <v>445</v>
      </c>
      <c r="B18" s="174"/>
      <c r="C18" s="174"/>
      <c r="D18" s="174"/>
    </row>
    <row r="19" spans="1:9" x14ac:dyDescent="0.25">
      <c r="A19" s="12" t="s">
        <v>495</v>
      </c>
      <c r="B19" s="111">
        <v>4355602</v>
      </c>
      <c r="C19" s="192"/>
      <c r="D19" s="192">
        <v>0</v>
      </c>
      <c r="H19" s="174"/>
    </row>
    <row r="20" spans="1:9" x14ac:dyDescent="0.25">
      <c r="A20" s="1"/>
      <c r="B20" s="192"/>
      <c r="C20" s="192"/>
      <c r="D20" s="192"/>
    </row>
    <row r="21" spans="1:9" x14ac:dyDescent="0.25">
      <c r="A21" s="12" t="s">
        <v>446</v>
      </c>
      <c r="B21" s="192"/>
      <c r="C21" s="192"/>
      <c r="D21" s="192"/>
    </row>
    <row r="22" spans="1:9" x14ac:dyDescent="0.25">
      <c r="A22" s="12" t="s">
        <v>495</v>
      </c>
      <c r="B22" s="111">
        <v>-8285888</v>
      </c>
      <c r="C22" s="192"/>
      <c r="D22" s="192">
        <v>0</v>
      </c>
    </row>
    <row r="23" spans="1:9" x14ac:dyDescent="0.25">
      <c r="B23" s="119"/>
      <c r="C23" s="119"/>
    </row>
    <row r="24" spans="1:9" ht="28.5" customHeight="1" thickBot="1" x14ac:dyDescent="0.3">
      <c r="A24" s="26" t="s">
        <v>447</v>
      </c>
      <c r="B24" s="86">
        <f>SUM(B19:B23)</f>
        <v>-3930286</v>
      </c>
      <c r="C24" s="174"/>
      <c r="D24" s="86">
        <f>SUM(D19:D23)</f>
        <v>0</v>
      </c>
    </row>
    <row r="25" spans="1:9" ht="16.5" thickTop="1" x14ac:dyDescent="0.25">
      <c r="I25" s="106"/>
    </row>
    <row r="27" spans="1:9" x14ac:dyDescent="0.25">
      <c r="A27" s="231"/>
    </row>
    <row r="28" spans="1:9" x14ac:dyDescent="0.25">
      <c r="A28" s="231" t="s">
        <v>496</v>
      </c>
    </row>
  </sheetData>
  <mergeCells count="3">
    <mergeCell ref="A12:D12"/>
    <mergeCell ref="A8:D8"/>
    <mergeCell ref="A11:D11"/>
  </mergeCells>
  <phoneticPr fontId="0" type="noConversion"/>
  <printOptions horizontalCentered="1" gridLinesSet="0"/>
  <pageMargins left="1.25" right="0.75" top="1" bottom="1" header="0.5" footer="0.5"/>
  <pageSetup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H24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43.625" style="528" customWidth="1"/>
    <col min="2" max="2" width="14.125" style="528" bestFit="1" customWidth="1"/>
    <col min="3" max="3" width="1.75" style="528" customWidth="1"/>
    <col min="4" max="4" width="12.5" style="528" customWidth="1"/>
    <col min="5" max="7" width="9.625" style="528"/>
    <col min="8" max="8" width="13.5" style="528" customWidth="1"/>
    <col min="9" max="16384" width="9.625" style="528"/>
  </cols>
  <sheetData>
    <row r="3" spans="1:4" x14ac:dyDescent="0.25">
      <c r="D3" s="293" t="str">
        <f>'Ex 1'!$P$1</f>
        <v>Exhibit 1</v>
      </c>
    </row>
    <row r="4" spans="1:4" x14ac:dyDescent="0.25">
      <c r="D4" s="337" t="str">
        <f>"Reference Schedule "&amp;Inputs!$A19&amp;""</f>
        <v>Reference Schedule 1.03</v>
      </c>
    </row>
    <row r="5" spans="1:4" x14ac:dyDescent="0.25">
      <c r="D5" s="11" t="str">
        <f>"Sponsoring Witness: "&amp;Inputs!$B19&amp;""</f>
        <v>Sponsoring Witness: Conroy</v>
      </c>
    </row>
    <row r="6" spans="1:4" x14ac:dyDescent="0.25">
      <c r="D6" s="7"/>
    </row>
    <row r="7" spans="1:4" x14ac:dyDescent="0.25">
      <c r="D7" s="7"/>
    </row>
    <row r="8" spans="1:4" x14ac:dyDescent="0.25">
      <c r="A8" s="14" t="s">
        <v>222</v>
      </c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530"/>
      <c r="B10" s="530"/>
      <c r="C10" s="530"/>
      <c r="D10" s="530"/>
    </row>
    <row r="11" spans="1:4" x14ac:dyDescent="0.25">
      <c r="A11" s="530" t="s">
        <v>696</v>
      </c>
      <c r="B11" s="530"/>
      <c r="C11" s="530"/>
      <c r="D11" s="530"/>
    </row>
    <row r="12" spans="1:4" x14ac:dyDescent="0.25">
      <c r="A12" s="128" t="str">
        <f>"For the Twelve Months Ended "&amp;Inputs!B3&amp;""</f>
        <v>For the Twelve Months Ended March 31, 2012</v>
      </c>
      <c r="B12" s="4"/>
      <c r="C12" s="4"/>
      <c r="D12" s="4"/>
    </row>
    <row r="15" spans="1:4" x14ac:dyDescent="0.25">
      <c r="B15" s="8"/>
      <c r="D15" s="8"/>
    </row>
    <row r="16" spans="1:4" ht="23.25" customHeight="1" x14ac:dyDescent="0.4">
      <c r="B16" s="677" t="s">
        <v>220</v>
      </c>
      <c r="C16" s="39"/>
      <c r="D16" s="677" t="s">
        <v>221</v>
      </c>
    </row>
    <row r="17" spans="1:8" x14ac:dyDescent="0.25">
      <c r="B17" s="529"/>
      <c r="D17" s="529"/>
      <c r="H17" s="520"/>
    </row>
    <row r="18" spans="1:8" x14ac:dyDescent="0.25">
      <c r="A18" s="1" t="s">
        <v>169</v>
      </c>
      <c r="B18" s="71">
        <v>-2123450</v>
      </c>
      <c r="C18" s="71"/>
      <c r="D18" s="71">
        <v>0</v>
      </c>
      <c r="H18" s="71"/>
    </row>
    <row r="19" spans="1:8" x14ac:dyDescent="0.25">
      <c r="A19" s="1"/>
      <c r="B19" s="58"/>
      <c r="C19" s="58"/>
      <c r="D19" s="58"/>
      <c r="H19" s="58"/>
    </row>
    <row r="20" spans="1:8" x14ac:dyDescent="0.25">
      <c r="A20" s="1" t="s">
        <v>170</v>
      </c>
      <c r="B20" s="58">
        <v>-2735848</v>
      </c>
      <c r="C20" s="58"/>
      <c r="D20" s="58">
        <v>0</v>
      </c>
      <c r="H20" s="58"/>
    </row>
    <row r="21" spans="1:8" x14ac:dyDescent="0.25">
      <c r="A21" s="12" t="s">
        <v>284</v>
      </c>
      <c r="B21" s="25"/>
      <c r="C21" s="37"/>
      <c r="D21" s="25"/>
      <c r="H21" s="679"/>
    </row>
    <row r="22" spans="1:8" x14ac:dyDescent="0.25">
      <c r="B22" s="57"/>
      <c r="C22" s="37"/>
      <c r="D22" s="57"/>
      <c r="H22" s="520"/>
    </row>
    <row r="23" spans="1:8" ht="16.5" thickBot="1" x14ac:dyDescent="0.3">
      <c r="A23" s="1" t="s">
        <v>171</v>
      </c>
      <c r="B23" s="166">
        <f>B18-B20</f>
        <v>612398</v>
      </c>
      <c r="C23" s="247"/>
      <c r="D23" s="166">
        <f>D18-D20</f>
        <v>0</v>
      </c>
    </row>
    <row r="24" spans="1:8" ht="16.5" thickTop="1" x14ac:dyDescent="0.25"/>
  </sheetData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9">
    <pageSetUpPr fitToPage="1"/>
  </sheetPr>
  <dimension ref="A3:R41"/>
  <sheetViews>
    <sheetView showGridLines="0" zoomScale="85" zoomScaleNormal="85" zoomScaleSheetLayoutView="80" workbookViewId="0"/>
  </sheetViews>
  <sheetFormatPr defaultColWidth="9.625" defaultRowHeight="15.75" x14ac:dyDescent="0.25"/>
  <cols>
    <col min="1" max="1" width="12.375" style="525" customWidth="1"/>
    <col min="2" max="2" width="3.5" style="525" customWidth="1"/>
    <col min="3" max="3" width="20.625" style="525" customWidth="1"/>
    <col min="4" max="4" width="3.5" style="525" customWidth="1"/>
    <col min="5" max="5" width="21.375" style="525" customWidth="1"/>
    <col min="6" max="6" width="3.5" style="525" customWidth="1"/>
    <col min="7" max="7" width="21.5" style="525" customWidth="1"/>
    <col min="8" max="8" width="3.5" style="525" customWidth="1"/>
    <col min="9" max="9" width="20.625" style="525" customWidth="1"/>
    <col min="10" max="10" width="3.5" style="525" customWidth="1"/>
    <col min="11" max="11" width="17.625" style="525" customWidth="1"/>
    <col min="12" max="12" width="3.5" style="525" customWidth="1"/>
    <col min="13" max="13" width="13.5" style="525" customWidth="1"/>
    <col min="14" max="14" width="3.5" style="525" customWidth="1"/>
    <col min="15" max="15" width="15.625" style="525" customWidth="1"/>
    <col min="16" max="16" width="9.625" style="525"/>
    <col min="17" max="18" width="12.5" style="525" bestFit="1" customWidth="1"/>
    <col min="19" max="16384" width="9.625" style="525"/>
  </cols>
  <sheetData>
    <row r="3" spans="1:18" x14ac:dyDescent="0.25">
      <c r="O3" s="293" t="str">
        <f>'Ex 1'!$P$1</f>
        <v>Exhibit 1</v>
      </c>
    </row>
    <row r="4" spans="1:18" x14ac:dyDescent="0.25">
      <c r="O4" s="337" t="str">
        <f>"Reference Schedule "&amp;Inputs!$A20&amp;""</f>
        <v>Reference Schedule 1.04</v>
      </c>
    </row>
    <row r="5" spans="1:18" x14ac:dyDescent="0.25">
      <c r="O5" s="11" t="str">
        <f>"Sponsoring Witness: "&amp;Inputs!$B20&amp;""</f>
        <v>Sponsoring Witness: Conroy</v>
      </c>
    </row>
    <row r="7" spans="1:18" x14ac:dyDescent="0.25">
      <c r="A7" s="718" t="s">
        <v>222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</row>
    <row r="8" spans="1:18" x14ac:dyDescent="0.25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522"/>
    </row>
    <row r="9" spans="1:18" x14ac:dyDescent="0.25">
      <c r="A9" s="522"/>
      <c r="B9" s="522"/>
      <c r="C9" s="522"/>
      <c r="D9" s="522"/>
      <c r="E9" s="522"/>
      <c r="F9" s="522"/>
      <c r="G9" s="522"/>
      <c r="H9" s="522"/>
      <c r="I9" s="522"/>
      <c r="J9" s="522"/>
      <c r="K9" s="522"/>
    </row>
    <row r="10" spans="1:18" x14ac:dyDescent="0.25">
      <c r="A10" s="719" t="s">
        <v>348</v>
      </c>
      <c r="B10" s="719"/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</row>
    <row r="11" spans="1:18" x14ac:dyDescent="0.25">
      <c r="A11" s="708" t="str">
        <f>"For the Twelve Months Ended "&amp;Inputs!B3&amp;""</f>
        <v>For the Twelve Months Ended March 31, 2012</v>
      </c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</row>
    <row r="12" spans="1:18" x14ac:dyDescent="0.25">
      <c r="B12" s="507"/>
      <c r="C12" s="511"/>
      <c r="E12" s="511"/>
      <c r="G12" s="511"/>
      <c r="I12" s="511"/>
      <c r="K12" s="511"/>
      <c r="O12" s="511"/>
    </row>
    <row r="13" spans="1:18" x14ac:dyDescent="0.25">
      <c r="A13" s="431"/>
      <c r="B13" s="434"/>
      <c r="C13" s="526">
        <v>-1</v>
      </c>
      <c r="D13" s="526"/>
      <c r="E13" s="526">
        <v>-2</v>
      </c>
      <c r="F13" s="526"/>
      <c r="G13" s="526">
        <v>-3</v>
      </c>
      <c r="H13" s="526"/>
      <c r="I13" s="526">
        <v>-4</v>
      </c>
      <c r="J13" s="431"/>
      <c r="K13" s="526">
        <v>-5</v>
      </c>
      <c r="L13" s="431"/>
      <c r="M13" s="526">
        <v>-6</v>
      </c>
      <c r="N13" s="431"/>
      <c r="O13" s="526">
        <v>-7</v>
      </c>
      <c r="Q13" s="431"/>
      <c r="R13" s="431"/>
    </row>
    <row r="14" spans="1:18" x14ac:dyDescent="0.25">
      <c r="A14" s="431"/>
      <c r="B14" s="431"/>
      <c r="C14" s="646" t="s">
        <v>481</v>
      </c>
      <c r="D14" s="431"/>
      <c r="E14" s="646" t="s">
        <v>481</v>
      </c>
      <c r="F14" s="431"/>
      <c r="G14" s="526" t="s">
        <v>611</v>
      </c>
      <c r="H14" s="431"/>
      <c r="I14" s="593" t="s">
        <v>612</v>
      </c>
      <c r="J14" s="431"/>
      <c r="K14" s="593" t="s">
        <v>613</v>
      </c>
      <c r="L14" s="431"/>
      <c r="M14" s="8" t="s">
        <v>611</v>
      </c>
      <c r="N14" s="431"/>
      <c r="O14" s="593" t="s">
        <v>614</v>
      </c>
      <c r="Q14" s="431"/>
      <c r="R14" s="431"/>
    </row>
    <row r="15" spans="1:18" x14ac:dyDescent="0.25">
      <c r="A15" s="647" t="s">
        <v>615</v>
      </c>
      <c r="B15" s="437"/>
      <c r="C15" s="593" t="s">
        <v>482</v>
      </c>
      <c r="D15" s="437"/>
      <c r="E15" s="593" t="s">
        <v>482</v>
      </c>
      <c r="F15" s="437"/>
      <c r="G15" s="593" t="s">
        <v>402</v>
      </c>
      <c r="H15" s="437"/>
      <c r="I15" s="526" t="s">
        <v>328</v>
      </c>
      <c r="J15" s="437"/>
      <c r="K15" s="526" t="s">
        <v>328</v>
      </c>
      <c r="L15" s="648"/>
      <c r="M15" s="593" t="s">
        <v>402</v>
      </c>
      <c r="N15" s="648"/>
      <c r="O15" s="526" t="s">
        <v>328</v>
      </c>
      <c r="Q15" s="720" t="s">
        <v>616</v>
      </c>
      <c r="R15" s="720"/>
    </row>
    <row r="16" spans="1:18" x14ac:dyDescent="0.25">
      <c r="A16" s="650" t="s">
        <v>362</v>
      </c>
      <c r="B16" s="651"/>
      <c r="C16" s="594" t="s">
        <v>497</v>
      </c>
      <c r="D16" s="652"/>
      <c r="E16" s="594" t="s">
        <v>498</v>
      </c>
      <c r="F16" s="652"/>
      <c r="G16" s="440" t="s">
        <v>617</v>
      </c>
      <c r="H16" s="652"/>
      <c r="I16" s="594" t="s">
        <v>402</v>
      </c>
      <c r="J16" s="652"/>
      <c r="K16" s="594" t="s">
        <v>618</v>
      </c>
      <c r="L16" s="652"/>
      <c r="M16" s="440" t="s">
        <v>647</v>
      </c>
      <c r="N16" s="652"/>
      <c r="O16" s="594" t="s">
        <v>402</v>
      </c>
      <c r="Q16" s="653" t="s">
        <v>619</v>
      </c>
      <c r="R16" s="653" t="s">
        <v>620</v>
      </c>
    </row>
    <row r="17" spans="1:18" x14ac:dyDescent="0.25">
      <c r="A17" s="438"/>
      <c r="B17" s="651"/>
      <c r="C17" s="444"/>
      <c r="D17" s="652"/>
      <c r="E17" s="593"/>
      <c r="F17" s="652"/>
      <c r="G17" s="593"/>
      <c r="H17" s="652"/>
      <c r="I17" s="444" t="s">
        <v>621</v>
      </c>
      <c r="J17" s="652"/>
      <c r="K17" s="593"/>
      <c r="L17" s="652"/>
      <c r="M17" s="593"/>
      <c r="N17" s="652"/>
      <c r="O17" s="539" t="s">
        <v>622</v>
      </c>
      <c r="Q17" s="653"/>
      <c r="R17" s="653"/>
    </row>
    <row r="18" spans="1:18" x14ac:dyDescent="0.25">
      <c r="A18" s="438"/>
      <c r="B18" s="651"/>
      <c r="C18" s="444"/>
      <c r="D18" s="652"/>
      <c r="E18" s="593"/>
      <c r="F18" s="652"/>
      <c r="G18" s="593"/>
      <c r="H18" s="652"/>
      <c r="I18" s="444"/>
      <c r="J18" s="652"/>
      <c r="K18" s="593"/>
      <c r="L18" s="652"/>
      <c r="M18" s="593"/>
      <c r="N18" s="652"/>
      <c r="O18" s="539"/>
      <c r="Q18" s="654"/>
    </row>
    <row r="19" spans="1:18" x14ac:dyDescent="0.25">
      <c r="A19" s="655">
        <v>40634</v>
      </c>
      <c r="B19" s="510"/>
      <c r="C19" s="431">
        <v>603043</v>
      </c>
      <c r="D19" s="510"/>
      <c r="E19" s="111">
        <v>874120.72</v>
      </c>
      <c r="F19" s="111"/>
      <c r="G19" s="111">
        <v>734405</v>
      </c>
      <c r="H19" s="510"/>
      <c r="I19" s="111"/>
      <c r="J19" s="510"/>
      <c r="K19" s="510">
        <v>308266</v>
      </c>
      <c r="L19" s="510"/>
      <c r="M19" s="510">
        <f>+Q19+R19</f>
        <v>251355</v>
      </c>
      <c r="N19" s="510"/>
      <c r="O19" s="111"/>
      <c r="Q19" s="654">
        <v>78681</v>
      </c>
      <c r="R19" s="654">
        <v>172674</v>
      </c>
    </row>
    <row r="20" spans="1:18" x14ac:dyDescent="0.25">
      <c r="A20" s="655">
        <v>40664</v>
      </c>
      <c r="B20" s="510"/>
      <c r="C20" s="431">
        <v>617028</v>
      </c>
      <c r="D20" s="510"/>
      <c r="E20" s="111">
        <v>666380.01</v>
      </c>
      <c r="F20" s="111"/>
      <c r="G20" s="111">
        <v>790774</v>
      </c>
      <c r="H20" s="510"/>
      <c r="I20" s="111"/>
      <c r="J20" s="510"/>
      <c r="K20" s="510">
        <f>356279-29</f>
        <v>356250</v>
      </c>
      <c r="L20" s="510"/>
      <c r="M20" s="510">
        <f t="shared" ref="M20:M30" si="0">+Q20+R20</f>
        <v>304241</v>
      </c>
      <c r="N20" s="510"/>
      <c r="O20" s="111"/>
      <c r="Q20" s="654">
        <v>61713</v>
      </c>
      <c r="R20" s="654">
        <v>242528</v>
      </c>
    </row>
    <row r="21" spans="1:18" x14ac:dyDescent="0.25">
      <c r="A21" s="655">
        <v>40695</v>
      </c>
      <c r="B21" s="510"/>
      <c r="C21" s="431">
        <v>778769</v>
      </c>
      <c r="D21" s="510"/>
      <c r="E21" s="111">
        <v>1206178.96</v>
      </c>
      <c r="F21" s="111"/>
      <c r="G21" s="111">
        <v>777245</v>
      </c>
      <c r="H21" s="510"/>
      <c r="I21" s="111"/>
      <c r="J21" s="510"/>
      <c r="K21" s="510">
        <f>310214-37</f>
        <v>310177</v>
      </c>
      <c r="L21" s="510"/>
      <c r="M21" s="510">
        <f t="shared" si="0"/>
        <v>264863</v>
      </c>
      <c r="N21" s="510"/>
      <c r="O21" s="111"/>
      <c r="Q21" s="654">
        <v>59865</v>
      </c>
      <c r="R21" s="654">
        <v>204998</v>
      </c>
    </row>
    <row r="22" spans="1:18" x14ac:dyDescent="0.25">
      <c r="A22" s="655">
        <v>40725</v>
      </c>
      <c r="B22" s="510"/>
      <c r="C22" s="431">
        <v>823052</v>
      </c>
      <c r="D22" s="510"/>
      <c r="E22" s="111">
        <v>1362039.21</v>
      </c>
      <c r="F22" s="111"/>
      <c r="G22" s="111">
        <v>828022</v>
      </c>
      <c r="H22" s="510"/>
      <c r="I22" s="111"/>
      <c r="J22" s="510"/>
      <c r="K22" s="510">
        <f>376346-52</f>
        <v>376294</v>
      </c>
      <c r="L22" s="510"/>
      <c r="M22" s="510">
        <f t="shared" si="0"/>
        <v>325912</v>
      </c>
      <c r="N22" s="510"/>
      <c r="O22" s="111"/>
      <c r="Q22" s="654">
        <v>120498</v>
      </c>
      <c r="R22" s="654">
        <v>205414</v>
      </c>
    </row>
    <row r="23" spans="1:18" x14ac:dyDescent="0.25">
      <c r="A23" s="655">
        <v>40756</v>
      </c>
      <c r="B23" s="510"/>
      <c r="C23" s="431">
        <v>937365</v>
      </c>
      <c r="D23" s="510"/>
      <c r="E23" s="111">
        <v>272787.75</v>
      </c>
      <c r="F23" s="111"/>
      <c r="G23" s="111">
        <v>930126</v>
      </c>
      <c r="H23" s="510"/>
      <c r="I23" s="111"/>
      <c r="J23" s="510"/>
      <c r="K23" s="510">
        <f>476182-37</f>
        <v>476145</v>
      </c>
      <c r="L23" s="510"/>
      <c r="M23" s="510">
        <f t="shared" si="0"/>
        <v>420864</v>
      </c>
      <c r="N23" s="510"/>
      <c r="O23" s="111"/>
      <c r="Q23" s="654">
        <v>93296</v>
      </c>
      <c r="R23" s="654">
        <v>327568</v>
      </c>
    </row>
    <row r="24" spans="1:18" x14ac:dyDescent="0.25">
      <c r="A24" s="655">
        <v>40787</v>
      </c>
      <c r="B24" s="510"/>
      <c r="C24" s="431">
        <v>785071</v>
      </c>
      <c r="D24" s="510"/>
      <c r="E24" s="111">
        <v>165369.20000000001</v>
      </c>
      <c r="F24" s="111"/>
      <c r="G24" s="111">
        <v>775106</v>
      </c>
      <c r="H24" s="510"/>
      <c r="I24" s="111"/>
      <c r="J24" s="510"/>
      <c r="K24" s="510">
        <f>395167-37</f>
        <v>395130</v>
      </c>
      <c r="L24" s="510"/>
      <c r="M24" s="510">
        <f t="shared" si="0"/>
        <v>315279</v>
      </c>
      <c r="N24" s="510"/>
      <c r="O24" s="111"/>
      <c r="Q24" s="654">
        <v>92003</v>
      </c>
      <c r="R24" s="654">
        <v>223276</v>
      </c>
    </row>
    <row r="25" spans="1:18" x14ac:dyDescent="0.25">
      <c r="A25" s="655">
        <v>40817</v>
      </c>
      <c r="B25" s="510"/>
      <c r="C25" s="431">
        <v>630391</v>
      </c>
      <c r="D25" s="510"/>
      <c r="E25" s="111">
        <v>127590</v>
      </c>
      <c r="F25" s="111"/>
      <c r="G25" s="111">
        <v>679806</v>
      </c>
      <c r="H25" s="510"/>
      <c r="I25" s="111"/>
      <c r="J25" s="510"/>
      <c r="K25" s="510">
        <f>322068-7</f>
        <v>322061</v>
      </c>
      <c r="L25" s="510"/>
      <c r="M25" s="510">
        <f t="shared" si="0"/>
        <v>255361</v>
      </c>
      <c r="N25" s="510"/>
      <c r="O25" s="111"/>
      <c r="Q25" s="654">
        <v>4591</v>
      </c>
      <c r="R25" s="654">
        <v>250770</v>
      </c>
    </row>
    <row r="26" spans="1:18" x14ac:dyDescent="0.25">
      <c r="A26" s="655">
        <v>40848</v>
      </c>
      <c r="B26" s="510"/>
      <c r="C26" s="431">
        <v>562500</v>
      </c>
      <c r="D26" s="510"/>
      <c r="E26" s="111">
        <v>126855</v>
      </c>
      <c r="F26" s="111"/>
      <c r="G26" s="111">
        <v>699351</v>
      </c>
      <c r="H26" s="510"/>
      <c r="I26" s="111"/>
      <c r="J26" s="510"/>
      <c r="K26" s="510">
        <v>350770</v>
      </c>
      <c r="L26" s="510"/>
      <c r="M26" s="510">
        <f t="shared" si="0"/>
        <v>289696</v>
      </c>
      <c r="N26" s="510"/>
      <c r="O26" s="111"/>
      <c r="Q26" s="654">
        <v>3814</v>
      </c>
      <c r="R26" s="654">
        <v>285882</v>
      </c>
    </row>
    <row r="27" spans="1:18" x14ac:dyDescent="0.25">
      <c r="A27" s="655">
        <v>40878</v>
      </c>
      <c r="B27" s="510"/>
      <c r="C27" s="431">
        <v>610687</v>
      </c>
      <c r="D27" s="510"/>
      <c r="E27" s="111">
        <v>168884</v>
      </c>
      <c r="F27" s="111"/>
      <c r="G27" s="111">
        <v>726242</v>
      </c>
      <c r="H27" s="510"/>
      <c r="I27" s="111"/>
      <c r="J27" s="510"/>
      <c r="K27" s="510">
        <f>374820+66958</f>
        <v>441778</v>
      </c>
      <c r="L27" s="510"/>
      <c r="M27" s="510">
        <f t="shared" si="0"/>
        <v>335539</v>
      </c>
      <c r="N27" s="510"/>
      <c r="O27" s="111"/>
      <c r="Q27" s="654">
        <v>74194</v>
      </c>
      <c r="R27" s="654">
        <v>261345</v>
      </c>
    </row>
    <row r="28" spans="1:18" x14ac:dyDescent="0.25">
      <c r="A28" s="655">
        <v>40909</v>
      </c>
      <c r="B28" s="510"/>
      <c r="C28" s="525">
        <v>681464</v>
      </c>
      <c r="D28" s="510"/>
      <c r="E28" s="111">
        <f>123538+156181</f>
        <v>279719</v>
      </c>
      <c r="F28" s="111"/>
      <c r="G28" s="111">
        <v>744248</v>
      </c>
      <c r="H28" s="510"/>
      <c r="I28" s="111"/>
      <c r="J28" s="510"/>
      <c r="K28" s="510">
        <f>366668+55910</f>
        <v>422578</v>
      </c>
      <c r="L28" s="510"/>
      <c r="M28" s="510">
        <f t="shared" si="0"/>
        <v>342554</v>
      </c>
      <c r="N28" s="510"/>
      <c r="O28" s="111"/>
      <c r="Q28" s="654">
        <v>89749</v>
      </c>
      <c r="R28" s="654">
        <v>252805</v>
      </c>
    </row>
    <row r="29" spans="1:18" x14ac:dyDescent="0.25">
      <c r="A29" s="655">
        <v>40940</v>
      </c>
      <c r="B29" s="510"/>
      <c r="C29" s="525">
        <v>606863</v>
      </c>
      <c r="D29" s="510"/>
      <c r="E29" s="111">
        <f>127119+157709</f>
        <v>284828</v>
      </c>
      <c r="F29" s="111"/>
      <c r="G29" s="111">
        <v>810548</v>
      </c>
      <c r="H29" s="510"/>
      <c r="I29" s="111"/>
      <c r="J29" s="510"/>
      <c r="K29" s="510">
        <f>389521+42893</f>
        <v>432414</v>
      </c>
      <c r="L29" s="510"/>
      <c r="M29" s="510">
        <f t="shared" si="0"/>
        <v>365960</v>
      </c>
      <c r="N29" s="510"/>
      <c r="O29" s="111"/>
      <c r="Q29" s="654">
        <v>92234</v>
      </c>
      <c r="R29" s="654">
        <v>273726</v>
      </c>
    </row>
    <row r="30" spans="1:18" x14ac:dyDescent="0.25">
      <c r="A30" s="655">
        <v>40969</v>
      </c>
      <c r="B30" s="510"/>
      <c r="C30" s="525">
        <v>724414</v>
      </c>
      <c r="D30" s="510"/>
      <c r="E30" s="111">
        <f>176476+265657</f>
        <v>442133</v>
      </c>
      <c r="F30" s="111"/>
      <c r="G30" s="111">
        <v>951852</v>
      </c>
      <c r="H30" s="510"/>
      <c r="I30" s="111"/>
      <c r="J30" s="510"/>
      <c r="K30" s="510">
        <f>339714+52077+5985--223227</f>
        <v>621003</v>
      </c>
      <c r="L30" s="510"/>
      <c r="M30" s="656">
        <f t="shared" si="0"/>
        <v>539882</v>
      </c>
      <c r="N30" s="510"/>
      <c r="O30" s="111"/>
      <c r="Q30" s="654">
        <v>300254</v>
      </c>
      <c r="R30" s="654">
        <v>239628</v>
      </c>
    </row>
    <row r="31" spans="1:18" x14ac:dyDescent="0.25">
      <c r="A31" s="510"/>
      <c r="B31" s="510"/>
      <c r="C31" s="657"/>
      <c r="D31" s="510"/>
      <c r="E31" s="657"/>
      <c r="F31" s="510"/>
      <c r="G31" s="657"/>
      <c r="H31" s="510"/>
      <c r="I31" s="510"/>
      <c r="J31" s="510"/>
      <c r="K31" s="657"/>
      <c r="L31" s="510"/>
      <c r="M31" s="510"/>
      <c r="N31" s="510"/>
      <c r="O31" s="111"/>
      <c r="Q31" s="595">
        <f t="shared" ref="Q31:R31" si="1">SUM(Q19:Q30)</f>
        <v>1070892</v>
      </c>
      <c r="R31" s="595">
        <f t="shared" si="1"/>
        <v>2940614</v>
      </c>
    </row>
    <row r="32" spans="1:18" ht="16.5" thickBot="1" x14ac:dyDescent="0.3">
      <c r="A32" s="510" t="s">
        <v>213</v>
      </c>
      <c r="B32" s="510"/>
      <c r="C32" s="248">
        <f>SUM(C19:C30)</f>
        <v>8360647</v>
      </c>
      <c r="D32" s="510"/>
      <c r="E32" s="248">
        <f>SUM(E19:E30)</f>
        <v>5976884.8500000006</v>
      </c>
      <c r="F32" s="174"/>
      <c r="G32" s="248">
        <f>SUM(G19:G30)</f>
        <v>9447725</v>
      </c>
      <c r="H32" s="510"/>
      <c r="I32" s="248">
        <f>+C32+E32-G32</f>
        <v>4889806.8500000015</v>
      </c>
      <c r="J32" s="510"/>
      <c r="K32" s="248">
        <f>SUM(K19:K30)</f>
        <v>4812866</v>
      </c>
      <c r="L32" s="174"/>
      <c r="M32" s="248">
        <f>SUM(M19:M30)</f>
        <v>4011506</v>
      </c>
      <c r="N32" s="510"/>
      <c r="O32" s="248">
        <f>+K32-M32</f>
        <v>801360</v>
      </c>
    </row>
    <row r="33" spans="1:15" ht="16.5" thickTop="1" x14ac:dyDescent="0.25"/>
    <row r="34" spans="1:15" ht="16.5" thickBot="1" x14ac:dyDescent="0.3">
      <c r="A34" s="525" t="s">
        <v>182</v>
      </c>
      <c r="C34" s="174"/>
      <c r="D34" s="510"/>
      <c r="E34" s="174"/>
      <c r="F34" s="174"/>
      <c r="G34" s="174"/>
      <c r="I34" s="248">
        <f>ROUND(-I32,0)</f>
        <v>-4889807</v>
      </c>
      <c r="K34" s="174"/>
      <c r="L34" s="174"/>
      <c r="M34" s="174"/>
      <c r="O34" s="248">
        <f>ROUND(-O32,0)</f>
        <v>-801360</v>
      </c>
    </row>
    <row r="35" spans="1:15" ht="16.5" thickTop="1" x14ac:dyDescent="0.25"/>
    <row r="36" spans="1:15" s="431" customFormat="1" x14ac:dyDescent="0.25"/>
    <row r="37" spans="1:15" x14ac:dyDescent="0.25">
      <c r="A37" s="436" t="s">
        <v>623</v>
      </c>
    </row>
    <row r="38" spans="1:15" x14ac:dyDescent="0.25">
      <c r="A38" s="436" t="s">
        <v>624</v>
      </c>
    </row>
    <row r="39" spans="1:15" x14ac:dyDescent="0.25">
      <c r="A39" s="515" t="s">
        <v>774</v>
      </c>
    </row>
    <row r="40" spans="1:15" x14ac:dyDescent="0.25">
      <c r="A40" s="436" t="s">
        <v>625</v>
      </c>
    </row>
    <row r="41" spans="1:15" x14ac:dyDescent="0.25">
      <c r="A41" s="436" t="s">
        <v>626</v>
      </c>
    </row>
  </sheetData>
  <mergeCells count="4">
    <mergeCell ref="A7:O7"/>
    <mergeCell ref="A10:O10"/>
    <mergeCell ref="A11:O11"/>
    <mergeCell ref="Q15:R15"/>
  </mergeCells>
  <printOptions horizontalCentered="1" gridLinesSet="0"/>
  <pageMargins left="0.75" right="0.75" top="1" bottom="1" header="0.5" footer="0.5"/>
  <pageSetup scale="6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J79"/>
  <sheetViews>
    <sheetView showGridLines="0" zoomScaleNormal="100" workbookViewId="0">
      <selection activeCell="A3" sqref="A3"/>
    </sheetView>
  </sheetViews>
  <sheetFormatPr defaultRowHeight="15.75" x14ac:dyDescent="0.25"/>
  <cols>
    <col min="1" max="1" width="11.75" style="62" customWidth="1"/>
    <col min="2" max="2" width="1.625" style="62" customWidth="1"/>
    <col min="3" max="3" width="16.125" style="62" customWidth="1"/>
    <col min="4" max="4" width="18.5" style="62" customWidth="1"/>
    <col min="5" max="5" width="14.25" style="62" bestFit="1" customWidth="1"/>
    <col min="6" max="6" width="14.125" style="62" customWidth="1"/>
    <col min="7" max="7" width="12" style="62" customWidth="1"/>
    <col min="8" max="16384" width="9" style="62"/>
  </cols>
  <sheetData>
    <row r="3" spans="1:7" x14ac:dyDescent="0.25">
      <c r="F3" s="293" t="str">
        <f>'Ex 1'!$P$1</f>
        <v>Exhibit 1</v>
      </c>
    </row>
    <row r="4" spans="1:7" x14ac:dyDescent="0.25">
      <c r="F4" s="337" t="str">
        <f>"Reference Schedule "&amp;Inputs!$A21&amp;""</f>
        <v>Reference Schedule 1.05</v>
      </c>
    </row>
    <row r="5" spans="1:7" x14ac:dyDescent="0.25">
      <c r="A5" s="64"/>
      <c r="B5" s="64"/>
      <c r="C5" s="64"/>
      <c r="D5" s="64"/>
      <c r="E5" s="64"/>
      <c r="F5" s="11" t="str">
        <f>"Sponsoring Witness: "&amp;Inputs!$B21&amp;""</f>
        <v>Sponsoring Witness: Conroy</v>
      </c>
    </row>
    <row r="6" spans="1:7" x14ac:dyDescent="0.25">
      <c r="A6" s="64"/>
      <c r="B6" s="64"/>
      <c r="C6" s="64"/>
      <c r="D6" s="64"/>
      <c r="E6" s="64"/>
      <c r="F6" s="643" t="s">
        <v>288</v>
      </c>
      <c r="G6" s="7"/>
    </row>
    <row r="7" spans="1:7" x14ac:dyDescent="0.25">
      <c r="A7" s="64"/>
      <c r="B7" s="64"/>
      <c r="C7" s="64"/>
      <c r="D7" s="64"/>
      <c r="E7" s="64"/>
      <c r="F7" s="64"/>
    </row>
    <row r="8" spans="1:7" x14ac:dyDescent="0.25">
      <c r="A8" s="721" t="s">
        <v>222</v>
      </c>
      <c r="B8" s="721"/>
      <c r="C8" s="721"/>
      <c r="D8" s="721"/>
      <c r="E8" s="721"/>
      <c r="F8" s="721"/>
      <c r="G8" s="60"/>
    </row>
    <row r="9" spans="1:7" x14ac:dyDescent="0.25">
      <c r="A9" s="64"/>
      <c r="B9" s="64"/>
      <c r="C9" s="64"/>
      <c r="D9" s="64"/>
      <c r="E9" s="64"/>
      <c r="F9" s="64"/>
      <c r="G9" s="66"/>
    </row>
    <row r="10" spans="1:7" x14ac:dyDescent="0.25">
      <c r="A10" s="64"/>
      <c r="B10" s="64"/>
      <c r="C10" s="64"/>
      <c r="D10" s="64"/>
      <c r="E10" s="64"/>
      <c r="F10" s="64"/>
      <c r="G10" s="66"/>
    </row>
    <row r="11" spans="1:7" x14ac:dyDescent="0.25">
      <c r="A11" s="707" t="s">
        <v>175</v>
      </c>
      <c r="B11" s="717"/>
      <c r="C11" s="717"/>
      <c r="D11" s="717"/>
      <c r="E11" s="717"/>
      <c r="F11" s="717"/>
      <c r="G11" s="61"/>
    </row>
    <row r="12" spans="1:7" x14ac:dyDescent="0.25">
      <c r="A12" s="721" t="str">
        <f>"For the Twelve Months Ended "&amp;Inputs!B3&amp;""</f>
        <v>For the Twelve Months Ended March 31, 2012</v>
      </c>
      <c r="B12" s="721"/>
      <c r="C12" s="721"/>
      <c r="D12" s="721"/>
      <c r="E12" s="721"/>
      <c r="F12" s="721"/>
      <c r="G12" s="4"/>
    </row>
    <row r="13" spans="1:7" x14ac:dyDescent="0.25">
      <c r="A13" s="448"/>
      <c r="B13" s="448"/>
      <c r="C13" s="448"/>
      <c r="D13" s="448"/>
      <c r="E13" s="448"/>
      <c r="F13" s="448"/>
      <c r="G13" s="4"/>
    </row>
    <row r="14" spans="1:7" x14ac:dyDescent="0.25">
      <c r="A14" s="64"/>
      <c r="B14" s="64"/>
      <c r="C14" s="64"/>
      <c r="D14" s="64"/>
      <c r="E14" s="64"/>
      <c r="F14" s="64"/>
    </row>
    <row r="15" spans="1:7" ht="24.75" customHeight="1" x14ac:dyDescent="0.4">
      <c r="A15" s="64"/>
      <c r="B15" s="64"/>
      <c r="C15" s="722" t="s">
        <v>220</v>
      </c>
      <c r="D15" s="722"/>
      <c r="E15" s="722"/>
      <c r="F15" s="722"/>
    </row>
    <row r="16" spans="1:7" x14ac:dyDescent="0.25">
      <c r="A16" s="64"/>
      <c r="B16" s="64"/>
      <c r="C16" s="75" t="s">
        <v>238</v>
      </c>
      <c r="D16" s="75" t="s">
        <v>253</v>
      </c>
      <c r="E16" s="75" t="s">
        <v>352</v>
      </c>
      <c r="F16" s="75" t="s">
        <v>365</v>
      </c>
    </row>
    <row r="17" spans="1:10" x14ac:dyDescent="0.25">
      <c r="H17" s="246"/>
      <c r="I17" s="246"/>
      <c r="J17" s="246"/>
    </row>
    <row r="18" spans="1:10" s="64" customFormat="1" x14ac:dyDescent="0.25">
      <c r="C18" s="65"/>
      <c r="D18" s="65"/>
      <c r="E18" s="65"/>
      <c r="F18" s="65" t="s">
        <v>354</v>
      </c>
    </row>
    <row r="19" spans="1:10" s="64" customFormat="1" x14ac:dyDescent="0.25">
      <c r="C19" s="65" t="s">
        <v>353</v>
      </c>
      <c r="D19" s="65" t="s">
        <v>213</v>
      </c>
      <c r="E19" s="65" t="s">
        <v>306</v>
      </c>
      <c r="F19" s="65" t="s">
        <v>355</v>
      </c>
    </row>
    <row r="20" spans="1:10" s="64" customFormat="1" x14ac:dyDescent="0.25">
      <c r="C20" s="65" t="s">
        <v>354</v>
      </c>
      <c r="D20" s="65" t="s">
        <v>328</v>
      </c>
      <c r="E20" s="65" t="s">
        <v>328</v>
      </c>
      <c r="F20" s="65" t="s">
        <v>328</v>
      </c>
    </row>
    <row r="21" spans="1:10" s="64" customFormat="1" x14ac:dyDescent="0.25">
      <c r="C21" s="65" t="s">
        <v>355</v>
      </c>
      <c r="D21" s="65" t="s">
        <v>329</v>
      </c>
      <c r="E21" s="65" t="s">
        <v>329</v>
      </c>
      <c r="F21" s="65" t="s">
        <v>247</v>
      </c>
    </row>
    <row r="22" spans="1:10" s="65" customFormat="1" x14ac:dyDescent="0.25">
      <c r="C22" s="76" t="s">
        <v>356</v>
      </c>
      <c r="D22" s="233" t="s">
        <v>357</v>
      </c>
      <c r="E22" s="76" t="s">
        <v>357</v>
      </c>
      <c r="F22" s="449" t="s">
        <v>395</v>
      </c>
    </row>
    <row r="23" spans="1:10" x14ac:dyDescent="0.25">
      <c r="D23" s="623" t="s">
        <v>634</v>
      </c>
      <c r="G23" s="253"/>
    </row>
    <row r="24" spans="1:10" x14ac:dyDescent="0.25">
      <c r="G24" s="253"/>
    </row>
    <row r="25" spans="1:10" x14ac:dyDescent="0.25">
      <c r="A25" s="228">
        <v>40634</v>
      </c>
      <c r="B25" s="73"/>
      <c r="C25" s="37">
        <f>1623747.9+8118433.88</f>
        <v>9742181.7799999993</v>
      </c>
      <c r="D25" s="72">
        <f t="shared" ref="D25:D36" si="0">G63</f>
        <v>1.2488485517354654E-2</v>
      </c>
      <c r="E25" s="72">
        <f>D38</f>
        <v>4.3E-3</v>
      </c>
      <c r="F25" s="57">
        <f t="shared" ref="F25:F36" si="1">ROUND(+C25*E25,0)</f>
        <v>41891</v>
      </c>
    </row>
    <row r="26" spans="1:10" x14ac:dyDescent="0.25">
      <c r="A26" s="228">
        <v>40664</v>
      </c>
      <c r="B26" s="73"/>
      <c r="C26" s="37">
        <f>4969833.98+4983099.79</f>
        <v>9952933.7699999996</v>
      </c>
      <c r="D26" s="72">
        <f t="shared" si="0"/>
        <v>1.2358856164174871E-2</v>
      </c>
      <c r="E26" s="72">
        <f t="shared" ref="E26:E28" si="2">E25</f>
        <v>4.3E-3</v>
      </c>
      <c r="F26" s="57">
        <f t="shared" si="1"/>
        <v>42798</v>
      </c>
    </row>
    <row r="27" spans="1:10" x14ac:dyDescent="0.25">
      <c r="A27" s="228">
        <v>40695</v>
      </c>
      <c r="B27" s="73"/>
      <c r="C27" s="58">
        <f>4114443.46+3055974.06</f>
        <v>7170417.5199999996</v>
      </c>
      <c r="D27" s="72">
        <f t="shared" si="0"/>
        <v>1.7729695594297231E-3</v>
      </c>
      <c r="E27" s="72">
        <f t="shared" si="2"/>
        <v>4.3E-3</v>
      </c>
      <c r="F27" s="57">
        <f t="shared" si="1"/>
        <v>30833</v>
      </c>
    </row>
    <row r="28" spans="1:10" x14ac:dyDescent="0.25">
      <c r="A28" s="228">
        <v>40725</v>
      </c>
      <c r="B28" s="73"/>
      <c r="C28" s="37">
        <f>4186499.51+4090229.74</f>
        <v>8276729.25</v>
      </c>
      <c r="D28" s="72">
        <f t="shared" si="0"/>
        <v>1.8758565745064595E-3</v>
      </c>
      <c r="E28" s="72">
        <f t="shared" si="2"/>
        <v>4.3E-3</v>
      </c>
      <c r="F28" s="57">
        <f t="shared" si="1"/>
        <v>35590</v>
      </c>
    </row>
    <row r="29" spans="1:10" x14ac:dyDescent="0.25">
      <c r="A29" s="228">
        <v>40756</v>
      </c>
      <c r="B29" s="73"/>
      <c r="C29" s="37">
        <f>2176168.46+5046776.6</f>
        <v>7222945.0599999996</v>
      </c>
      <c r="D29" s="72">
        <f t="shared" si="0"/>
        <v>1.9952880450883285E-3</v>
      </c>
      <c r="E29" s="72">
        <f>E28</f>
        <v>4.3E-3</v>
      </c>
      <c r="F29" s="57">
        <f t="shared" si="1"/>
        <v>31059</v>
      </c>
    </row>
    <row r="30" spans="1:10" x14ac:dyDescent="0.25">
      <c r="A30" s="228">
        <v>40787</v>
      </c>
      <c r="B30" s="73"/>
      <c r="C30" s="37">
        <f>4134015+8278923</f>
        <v>12412938</v>
      </c>
      <c r="D30" s="72">
        <f t="shared" si="0"/>
        <v>2.192731869525474E-3</v>
      </c>
      <c r="E30" s="72">
        <f>E29</f>
        <v>4.3E-3</v>
      </c>
      <c r="F30" s="57">
        <f t="shared" si="1"/>
        <v>53376</v>
      </c>
    </row>
    <row r="31" spans="1:10" x14ac:dyDescent="0.25">
      <c r="A31" s="228">
        <v>40817</v>
      </c>
      <c r="B31" s="73"/>
      <c r="C31" s="37">
        <f>7425173+6626476</f>
        <v>14051649</v>
      </c>
      <c r="D31" s="72">
        <f t="shared" si="0"/>
        <v>1.9749474632941117E-3</v>
      </c>
      <c r="E31" s="72">
        <f>E30</f>
        <v>4.3E-3</v>
      </c>
      <c r="F31" s="57">
        <f t="shared" si="1"/>
        <v>60422</v>
      </c>
    </row>
    <row r="32" spans="1:10" x14ac:dyDescent="0.25">
      <c r="A32" s="228">
        <v>40848</v>
      </c>
      <c r="B32" s="73"/>
      <c r="C32" s="37">
        <f>7764275+5409753</f>
        <v>13174028</v>
      </c>
      <c r="D32" s="72">
        <f t="shared" si="0"/>
        <v>1.9763223428515319E-3</v>
      </c>
      <c r="E32" s="72">
        <f>E31</f>
        <v>4.3E-3</v>
      </c>
      <c r="F32" s="57">
        <f t="shared" si="1"/>
        <v>56648</v>
      </c>
    </row>
    <row r="33" spans="1:7" x14ac:dyDescent="0.25">
      <c r="A33" s="228">
        <v>40878</v>
      </c>
      <c r="B33" s="73"/>
      <c r="C33" s="37">
        <f>5706105+9545513</f>
        <v>15251618</v>
      </c>
      <c r="D33" s="72">
        <f t="shared" si="0"/>
        <v>2.7832030132922724E-3</v>
      </c>
      <c r="E33" s="72">
        <f>E32</f>
        <v>4.3E-3</v>
      </c>
      <c r="F33" s="57">
        <f t="shared" si="1"/>
        <v>65582</v>
      </c>
    </row>
    <row r="34" spans="1:7" x14ac:dyDescent="0.25">
      <c r="A34" s="228">
        <v>40909</v>
      </c>
      <c r="B34" s="73"/>
      <c r="C34" s="37">
        <f>3452420+9670815</f>
        <v>13123235</v>
      </c>
      <c r="D34" s="72">
        <f t="shared" si="0"/>
        <v>5.8564364374092837E-3</v>
      </c>
      <c r="E34" s="72">
        <f t="shared" ref="E34:E36" si="3">E33</f>
        <v>4.3E-3</v>
      </c>
      <c r="F34" s="57">
        <f t="shared" si="1"/>
        <v>56430</v>
      </c>
    </row>
    <row r="35" spans="1:7" x14ac:dyDescent="0.25">
      <c r="A35" s="228">
        <v>40940</v>
      </c>
      <c r="B35" s="73"/>
      <c r="C35" s="37">
        <f>531387+6444957</f>
        <v>6976344</v>
      </c>
      <c r="D35" s="72">
        <f t="shared" si="0"/>
        <v>2.8445253031340041E-3</v>
      </c>
      <c r="E35" s="72">
        <f t="shared" si="3"/>
        <v>4.3E-3</v>
      </c>
      <c r="F35" s="57">
        <f t="shared" si="1"/>
        <v>29998</v>
      </c>
    </row>
    <row r="36" spans="1:7" x14ac:dyDescent="0.25">
      <c r="A36" s="228">
        <v>40969</v>
      </c>
      <c r="B36" s="73"/>
      <c r="C36" s="37">
        <f>790001+7405050</f>
        <v>8195051</v>
      </c>
      <c r="D36" s="72">
        <f t="shared" si="0"/>
        <v>3.0992603056879944E-3</v>
      </c>
      <c r="E36" s="72">
        <f t="shared" si="3"/>
        <v>4.3E-3</v>
      </c>
      <c r="F36" s="57">
        <f t="shared" si="1"/>
        <v>35239</v>
      </c>
    </row>
    <row r="37" spans="1:7" ht="24.75" customHeight="1" thickBot="1" x14ac:dyDescent="0.3">
      <c r="A37" s="63" t="s">
        <v>213</v>
      </c>
      <c r="B37" s="73"/>
      <c r="C37" s="74">
        <f>SUM(C25:C36)</f>
        <v>125550070.38</v>
      </c>
      <c r="D37" s="56"/>
      <c r="E37" s="72"/>
      <c r="F37" s="74">
        <f>SUM(F25:F36)</f>
        <v>539866</v>
      </c>
    </row>
    <row r="38" spans="1:7" ht="21.75" customHeight="1" thickTop="1" x14ac:dyDescent="0.25">
      <c r="A38" s="63" t="s">
        <v>306</v>
      </c>
      <c r="D38" s="59">
        <f>ROUND(SUM(D25:D36)/12,4)</f>
        <v>4.3E-3</v>
      </c>
    </row>
    <row r="39" spans="1:7" x14ac:dyDescent="0.25">
      <c r="C39" s="35"/>
    </row>
    <row r="40" spans="1:7" ht="16.5" thickBot="1" x14ac:dyDescent="0.3">
      <c r="A40" s="62" t="s">
        <v>182</v>
      </c>
      <c r="F40" s="40">
        <f>-F37</f>
        <v>-539866</v>
      </c>
    </row>
    <row r="41" spans="1:7" ht="16.5" thickTop="1" x14ac:dyDescent="0.25">
      <c r="D41" s="84"/>
    </row>
    <row r="42" spans="1:7" x14ac:dyDescent="0.25">
      <c r="D42" s="85"/>
    </row>
    <row r="43" spans="1:7" x14ac:dyDescent="0.25">
      <c r="G43" s="18" t="str">
        <f>F3</f>
        <v>Exhibit 1</v>
      </c>
    </row>
    <row r="44" spans="1:7" x14ac:dyDescent="0.25">
      <c r="G44" s="11" t="str">
        <f>F4</f>
        <v>Reference Schedule 1.05</v>
      </c>
    </row>
    <row r="45" spans="1:7" x14ac:dyDescent="0.25">
      <c r="A45" s="64"/>
      <c r="B45" s="64"/>
      <c r="C45" s="64"/>
      <c r="D45" s="64"/>
      <c r="E45" s="64"/>
      <c r="G45" s="11" t="str">
        <f>F5</f>
        <v>Sponsoring Witness: Conroy</v>
      </c>
    </row>
    <row r="46" spans="1:7" x14ac:dyDescent="0.25">
      <c r="A46" s="64"/>
      <c r="B46" s="64"/>
      <c r="C46" s="64"/>
      <c r="D46" s="64"/>
      <c r="E46" s="64"/>
      <c r="G46" s="536" t="s">
        <v>273</v>
      </c>
    </row>
    <row r="47" spans="1:7" x14ac:dyDescent="0.25">
      <c r="A47" s="64"/>
      <c r="B47" s="64"/>
      <c r="C47" s="64"/>
      <c r="D47" s="64"/>
      <c r="E47" s="64"/>
      <c r="F47" s="64"/>
    </row>
    <row r="48" spans="1:7" x14ac:dyDescent="0.25">
      <c r="A48" s="721" t="s">
        <v>222</v>
      </c>
      <c r="B48" s="721"/>
      <c r="C48" s="721"/>
      <c r="D48" s="721"/>
      <c r="E48" s="721"/>
      <c r="F48" s="721"/>
      <c r="G48" s="721"/>
    </row>
    <row r="49" spans="1:7" x14ac:dyDescent="0.25">
      <c r="A49" s="64"/>
      <c r="B49" s="64"/>
      <c r="C49" s="64"/>
      <c r="D49" s="64"/>
      <c r="E49" s="64"/>
      <c r="F49" s="64"/>
      <c r="G49" s="66"/>
    </row>
    <row r="50" spans="1:7" x14ac:dyDescent="0.25">
      <c r="A50" s="64"/>
      <c r="B50" s="64"/>
      <c r="C50" s="64"/>
      <c r="D50" s="64"/>
      <c r="E50" s="64"/>
      <c r="F50" s="64"/>
      <c r="G50" s="66"/>
    </row>
    <row r="51" spans="1:7" x14ac:dyDescent="0.25">
      <c r="A51" s="707" t="s">
        <v>175</v>
      </c>
      <c r="B51" s="707"/>
      <c r="C51" s="707"/>
      <c r="D51" s="707"/>
      <c r="E51" s="707"/>
      <c r="F51" s="707"/>
      <c r="G51" s="707"/>
    </row>
    <row r="52" spans="1:7" x14ac:dyDescent="0.25">
      <c r="A52" s="721" t="str">
        <f>A12</f>
        <v>For the Twelve Months Ended March 31, 2012</v>
      </c>
      <c r="B52" s="721"/>
      <c r="C52" s="721"/>
      <c r="D52" s="721"/>
      <c r="E52" s="721"/>
      <c r="F52" s="721"/>
      <c r="G52" s="721"/>
    </row>
    <row r="53" spans="1:7" x14ac:dyDescent="0.25">
      <c r="A53" s="599"/>
      <c r="B53" s="599"/>
      <c r="C53" s="599"/>
      <c r="D53" s="599"/>
      <c r="E53" s="599"/>
      <c r="F53" s="599"/>
      <c r="G53" s="4"/>
    </row>
    <row r="54" spans="1:7" x14ac:dyDescent="0.25">
      <c r="A54" s="64"/>
      <c r="B54" s="64"/>
      <c r="C54" s="64"/>
      <c r="D54" s="64"/>
      <c r="E54" s="64"/>
      <c r="F54" s="64"/>
    </row>
    <row r="55" spans="1:7" ht="24.75" customHeight="1" x14ac:dyDescent="0.4">
      <c r="A55" s="64"/>
      <c r="B55" s="64"/>
      <c r="C55" s="722" t="s">
        <v>220</v>
      </c>
      <c r="D55" s="722"/>
      <c r="E55" s="722"/>
      <c r="F55" s="722"/>
      <c r="G55" s="722"/>
    </row>
    <row r="56" spans="1:7" x14ac:dyDescent="0.25">
      <c r="A56" s="64"/>
      <c r="B56" s="64"/>
      <c r="C56" s="75" t="s">
        <v>238</v>
      </c>
      <c r="D56" s="75" t="s">
        <v>253</v>
      </c>
      <c r="E56" s="75" t="s">
        <v>352</v>
      </c>
      <c r="F56" s="75" t="s">
        <v>365</v>
      </c>
      <c r="G56" s="75" t="s">
        <v>633</v>
      </c>
    </row>
    <row r="57" spans="1:7" s="64" customFormat="1" x14ac:dyDescent="0.25">
      <c r="C57" s="65"/>
      <c r="D57" s="646" t="s">
        <v>628</v>
      </c>
      <c r="E57" s="65" t="s">
        <v>629</v>
      </c>
      <c r="F57" s="65"/>
      <c r="G57" s="65" t="s">
        <v>213</v>
      </c>
    </row>
    <row r="58" spans="1:7" s="64" customFormat="1" x14ac:dyDescent="0.25">
      <c r="C58" s="65" t="s">
        <v>251</v>
      </c>
      <c r="D58" s="593" t="s">
        <v>402</v>
      </c>
      <c r="E58" s="65" t="s">
        <v>251</v>
      </c>
      <c r="F58" s="65"/>
      <c r="G58" s="65" t="s">
        <v>328</v>
      </c>
    </row>
    <row r="59" spans="1:7" s="64" customFormat="1" x14ac:dyDescent="0.25">
      <c r="C59" s="65" t="s">
        <v>493</v>
      </c>
      <c r="D59" s="593" t="s">
        <v>493</v>
      </c>
      <c r="E59" s="65" t="s">
        <v>493</v>
      </c>
      <c r="F59" s="65" t="s">
        <v>493</v>
      </c>
      <c r="G59" s="65" t="s">
        <v>329</v>
      </c>
    </row>
    <row r="60" spans="1:7" s="65" customFormat="1" x14ac:dyDescent="0.25">
      <c r="C60" s="233" t="s">
        <v>499</v>
      </c>
      <c r="D60" s="594" t="s">
        <v>645</v>
      </c>
      <c r="E60" s="233" t="s">
        <v>630</v>
      </c>
      <c r="F60" s="233" t="s">
        <v>646</v>
      </c>
      <c r="G60" s="233" t="s">
        <v>357</v>
      </c>
    </row>
    <row r="61" spans="1:7" x14ac:dyDescent="0.25">
      <c r="D61" s="593"/>
      <c r="E61" s="75" t="s">
        <v>631</v>
      </c>
      <c r="G61" s="75" t="s">
        <v>632</v>
      </c>
    </row>
    <row r="62" spans="1:7" x14ac:dyDescent="0.25">
      <c r="D62" s="593"/>
      <c r="G62" s="65"/>
    </row>
    <row r="63" spans="1:7" x14ac:dyDescent="0.25">
      <c r="A63" s="228">
        <v>40634</v>
      </c>
      <c r="B63" s="73"/>
      <c r="C63" s="37">
        <v>1656550</v>
      </c>
      <c r="D63" s="111">
        <v>734405</v>
      </c>
      <c r="E63" s="37">
        <f>C63-D63</f>
        <v>922145</v>
      </c>
      <c r="F63" s="37">
        <v>73839618</v>
      </c>
      <c r="G63" s="72">
        <f>E63/F63</f>
        <v>1.2488485517354654E-2</v>
      </c>
    </row>
    <row r="64" spans="1:7" x14ac:dyDescent="0.25">
      <c r="A64" s="228">
        <v>40664</v>
      </c>
      <c r="B64" s="73"/>
      <c r="C64" s="37">
        <v>1712348</v>
      </c>
      <c r="D64" s="111">
        <v>790774</v>
      </c>
      <c r="E64" s="37">
        <f t="shared" ref="E64:E74" si="4">C64-D64</f>
        <v>921574</v>
      </c>
      <c r="F64" s="37">
        <v>74567904</v>
      </c>
      <c r="G64" s="72">
        <f t="shared" ref="G64:G74" si="5">E64/F64</f>
        <v>1.2358856164174871E-2</v>
      </c>
    </row>
    <row r="65" spans="1:7" x14ac:dyDescent="0.25">
      <c r="A65" s="228">
        <v>40695</v>
      </c>
      <c r="B65" s="73"/>
      <c r="C65" s="58">
        <v>910232</v>
      </c>
      <c r="D65" s="111">
        <v>777245</v>
      </c>
      <c r="E65" s="37">
        <f t="shared" si="4"/>
        <v>132987</v>
      </c>
      <c r="F65" s="58">
        <v>75008056</v>
      </c>
      <c r="G65" s="72">
        <f t="shared" si="5"/>
        <v>1.7729695594297231E-3</v>
      </c>
    </row>
    <row r="66" spans="1:7" x14ac:dyDescent="0.25">
      <c r="A66" s="228">
        <v>40725</v>
      </c>
      <c r="B66" s="73"/>
      <c r="C66" s="37">
        <v>968673</v>
      </c>
      <c r="D66" s="111">
        <v>828022</v>
      </c>
      <c r="E66" s="37">
        <f t="shared" si="4"/>
        <v>140651</v>
      </c>
      <c r="F66" s="37">
        <v>74979613</v>
      </c>
      <c r="G66" s="72">
        <f t="shared" si="5"/>
        <v>1.8758565745064595E-3</v>
      </c>
    </row>
    <row r="67" spans="1:7" x14ac:dyDescent="0.25">
      <c r="A67" s="228">
        <v>40756</v>
      </c>
      <c r="B67" s="73"/>
      <c r="C67" s="37">
        <v>1082164</v>
      </c>
      <c r="D67" s="111">
        <v>930126</v>
      </c>
      <c r="E67" s="37">
        <f t="shared" si="4"/>
        <v>152038</v>
      </c>
      <c r="F67" s="37">
        <v>76198522</v>
      </c>
      <c r="G67" s="72">
        <f t="shared" si="5"/>
        <v>1.9952880450883285E-3</v>
      </c>
    </row>
    <row r="68" spans="1:7" x14ac:dyDescent="0.25">
      <c r="A68" s="228">
        <v>40787</v>
      </c>
      <c r="B68" s="73"/>
      <c r="C68" s="37">
        <v>941920</v>
      </c>
      <c r="D68" s="111">
        <v>775106</v>
      </c>
      <c r="E68" s="37">
        <f t="shared" si="4"/>
        <v>166814</v>
      </c>
      <c r="F68" s="37">
        <v>76075877</v>
      </c>
      <c r="G68" s="72">
        <f t="shared" si="5"/>
        <v>2.192731869525474E-3</v>
      </c>
    </row>
    <row r="69" spans="1:7" x14ac:dyDescent="0.25">
      <c r="A69" s="228">
        <v>40817</v>
      </c>
      <c r="B69" s="73"/>
      <c r="C69" s="37">
        <v>829612</v>
      </c>
      <c r="D69" s="111">
        <v>679806</v>
      </c>
      <c r="E69" s="37">
        <f t="shared" si="4"/>
        <v>149806</v>
      </c>
      <c r="F69" s="37">
        <v>75853157</v>
      </c>
      <c r="G69" s="72">
        <f t="shared" si="5"/>
        <v>1.9749474632941117E-3</v>
      </c>
    </row>
    <row r="70" spans="1:7" x14ac:dyDescent="0.25">
      <c r="A70" s="228">
        <v>40848</v>
      </c>
      <c r="B70" s="73"/>
      <c r="C70" s="37">
        <v>849136</v>
      </c>
      <c r="D70" s="111">
        <v>699351</v>
      </c>
      <c r="E70" s="37">
        <f t="shared" si="4"/>
        <v>149785</v>
      </c>
      <c r="F70" s="37">
        <v>75789762</v>
      </c>
      <c r="G70" s="72">
        <f t="shared" si="5"/>
        <v>1.9763223428515319E-3</v>
      </c>
    </row>
    <row r="71" spans="1:7" x14ac:dyDescent="0.25">
      <c r="A71" s="228">
        <v>40878</v>
      </c>
      <c r="B71" s="73"/>
      <c r="C71" s="37">
        <v>936706</v>
      </c>
      <c r="D71" s="111">
        <v>726242</v>
      </c>
      <c r="E71" s="37">
        <f t="shared" si="4"/>
        <v>210464</v>
      </c>
      <c r="F71" s="37">
        <v>75619349</v>
      </c>
      <c r="G71" s="72">
        <f t="shared" si="5"/>
        <v>2.7832030132922724E-3</v>
      </c>
    </row>
    <row r="72" spans="1:7" x14ac:dyDescent="0.25">
      <c r="A72" s="228">
        <v>40909</v>
      </c>
      <c r="B72" s="73"/>
      <c r="C72" s="37">
        <f>943092+241530</f>
        <v>1184622</v>
      </c>
      <c r="D72" s="111">
        <v>744248</v>
      </c>
      <c r="E72" s="37">
        <f t="shared" si="4"/>
        <v>440374</v>
      </c>
      <c r="F72" s="37">
        <v>75194874</v>
      </c>
      <c r="G72" s="72">
        <f t="shared" si="5"/>
        <v>5.8564364374092837E-3</v>
      </c>
    </row>
    <row r="73" spans="1:7" x14ac:dyDescent="0.25">
      <c r="A73" s="228">
        <v>40940</v>
      </c>
      <c r="B73" s="73"/>
      <c r="C73" s="37">
        <f>1024236</f>
        <v>1024236</v>
      </c>
      <c r="D73" s="111">
        <v>810548</v>
      </c>
      <c r="E73" s="37">
        <f t="shared" si="4"/>
        <v>213688</v>
      </c>
      <c r="F73" s="37">
        <v>75122552</v>
      </c>
      <c r="G73" s="72">
        <f t="shared" si="5"/>
        <v>2.8445253031340041E-3</v>
      </c>
    </row>
    <row r="74" spans="1:7" x14ac:dyDescent="0.25">
      <c r="A74" s="228">
        <v>40969</v>
      </c>
      <c r="B74" s="73"/>
      <c r="C74" s="37">
        <v>1184843</v>
      </c>
      <c r="D74" s="37">
        <v>951852</v>
      </c>
      <c r="E74" s="37">
        <f t="shared" si="4"/>
        <v>232991</v>
      </c>
      <c r="F74" s="37">
        <v>75176325</v>
      </c>
      <c r="G74" s="621">
        <f t="shared" si="5"/>
        <v>3.0992603056879944E-3</v>
      </c>
    </row>
    <row r="75" spans="1:7" ht="21.75" customHeight="1" thickBot="1" x14ac:dyDescent="0.3">
      <c r="A75" s="63" t="s">
        <v>306</v>
      </c>
      <c r="D75" s="510"/>
      <c r="G75" s="622">
        <f>ROUND(SUM(G63:G74)/12,4)</f>
        <v>4.3E-3</v>
      </c>
    </row>
    <row r="76" spans="1:7" ht="16.5" thickTop="1" x14ac:dyDescent="0.25">
      <c r="D76" s="174"/>
    </row>
    <row r="77" spans="1:7" x14ac:dyDescent="0.25">
      <c r="A77" s="620" t="s">
        <v>500</v>
      </c>
      <c r="D77" s="84"/>
    </row>
    <row r="78" spans="1:7" x14ac:dyDescent="0.25">
      <c r="A78" s="515" t="s">
        <v>775</v>
      </c>
      <c r="B78" s="525"/>
      <c r="C78" s="525"/>
      <c r="D78" s="525"/>
      <c r="E78" s="525"/>
    </row>
    <row r="79" spans="1:7" x14ac:dyDescent="0.25">
      <c r="A79" s="620" t="s">
        <v>644</v>
      </c>
    </row>
  </sheetData>
  <mergeCells count="8">
    <mergeCell ref="A12:F12"/>
    <mergeCell ref="A8:F8"/>
    <mergeCell ref="A11:F11"/>
    <mergeCell ref="C15:F15"/>
    <mergeCell ref="C55:G55"/>
    <mergeCell ref="A48:G48"/>
    <mergeCell ref="A51:G51"/>
    <mergeCell ref="A52:G52"/>
  </mergeCells>
  <phoneticPr fontId="0" type="noConversion"/>
  <printOptions horizontalCentered="1"/>
  <pageMargins left="1.25" right="0.75" top="1" bottom="1" header="0.5" footer="0.5"/>
  <pageSetup scale="88" fitToHeight="2" orientation="portrait" r:id="rId1"/>
  <headerFooter alignWithMargins="0"/>
  <rowBreaks count="1" manualBreakCount="1">
    <brk id="42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1" enableFormatConditionsCalculation="0">
    <pageSetUpPr fitToPage="1"/>
  </sheetPr>
  <dimension ref="A1:M30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28.875" style="114" customWidth="1"/>
    <col min="2" max="2" width="5.125" style="114" customWidth="1"/>
    <col min="3" max="3" width="16.125" style="114" customWidth="1"/>
    <col min="4" max="4" width="2.625" style="114" customWidth="1"/>
    <col min="5" max="5" width="16.125" style="114" customWidth="1"/>
    <col min="6" max="6" width="16" style="114" bestFit="1" customWidth="1"/>
    <col min="7" max="7" width="12.125" style="114" bestFit="1" customWidth="1"/>
    <col min="8" max="8" width="13" style="114" bestFit="1" customWidth="1"/>
    <col min="9" max="10" width="9.625" style="114"/>
    <col min="11" max="11" width="11.125" style="114" customWidth="1"/>
    <col min="12" max="12" width="9.625" style="114"/>
    <col min="13" max="13" width="15.25" style="114" bestFit="1" customWidth="1"/>
    <col min="14" max="16384" width="9.625" style="114"/>
  </cols>
  <sheetData>
    <row r="1" spans="1:5" ht="15.75" x14ac:dyDescent="0.25">
      <c r="A1" s="139"/>
      <c r="B1" s="106"/>
      <c r="C1" s="106"/>
      <c r="D1" s="106"/>
      <c r="E1" s="106"/>
    </row>
    <row r="2" spans="1:5" ht="15.75" x14ac:dyDescent="0.25">
      <c r="A2" s="106"/>
      <c r="B2" s="106"/>
      <c r="C2" s="106"/>
      <c r="D2" s="106"/>
      <c r="E2" s="106"/>
    </row>
    <row r="3" spans="1:5" ht="15.75" x14ac:dyDescent="0.25">
      <c r="A3" s="106"/>
      <c r="B3" s="106"/>
      <c r="C3" s="139"/>
      <c r="D3" s="139"/>
      <c r="E3" s="293" t="str">
        <f>'Ex 1'!$P$1</f>
        <v>Exhibit 1</v>
      </c>
    </row>
    <row r="4" spans="1:5" ht="15.75" x14ac:dyDescent="0.25">
      <c r="A4" s="106"/>
      <c r="B4" s="106"/>
      <c r="C4" s="139"/>
      <c r="D4" s="139"/>
      <c r="E4" s="337" t="str">
        <f>"Reference Schedule "&amp;Inputs!$A22&amp;""</f>
        <v>Reference Schedule 1.06</v>
      </c>
    </row>
    <row r="5" spans="1:5" ht="15.75" x14ac:dyDescent="0.25">
      <c r="A5" s="106"/>
      <c r="B5" s="106"/>
      <c r="C5" s="106"/>
      <c r="D5" s="106"/>
      <c r="E5" s="11" t="str">
        <f>"Sponsoring Witness: "&amp;Inputs!$B22&amp;""</f>
        <v>Sponsoring Witness: Scott</v>
      </c>
    </row>
    <row r="6" spans="1:5" ht="15.75" x14ac:dyDescent="0.25">
      <c r="A6" s="106"/>
      <c r="B6" s="106"/>
      <c r="C6" s="106"/>
      <c r="D6" s="106"/>
      <c r="E6" s="106"/>
    </row>
    <row r="7" spans="1:5" ht="15.75" x14ac:dyDescent="0.25">
      <c r="A7" s="106"/>
      <c r="B7" s="106"/>
      <c r="C7" s="106"/>
      <c r="D7" s="106"/>
      <c r="E7" s="106"/>
    </row>
    <row r="8" spans="1:5" ht="15.75" x14ac:dyDescent="0.25">
      <c r="A8" s="128" t="s">
        <v>222</v>
      </c>
      <c r="B8" s="128"/>
      <c r="C8" s="123"/>
      <c r="D8" s="123"/>
      <c r="E8" s="123"/>
    </row>
    <row r="9" spans="1:5" ht="15.75" x14ac:dyDescent="0.25">
      <c r="A9" s="128"/>
      <c r="B9" s="128"/>
      <c r="C9" s="106"/>
      <c r="D9" s="106"/>
      <c r="E9" s="106"/>
    </row>
    <row r="10" spans="1:5" ht="15.75" x14ac:dyDescent="0.25">
      <c r="A10" s="709"/>
      <c r="B10" s="709"/>
      <c r="C10" s="709"/>
      <c r="D10" s="709"/>
      <c r="E10" s="709"/>
    </row>
    <row r="11" spans="1:5" ht="15.75" x14ac:dyDescent="0.25">
      <c r="A11" s="723" t="s">
        <v>96</v>
      </c>
      <c r="B11" s="709"/>
      <c r="C11" s="709"/>
      <c r="D11" s="709"/>
      <c r="E11" s="709"/>
    </row>
    <row r="12" spans="1:5" ht="15.75" x14ac:dyDescent="0.25">
      <c r="A12" s="708" t="str">
        <f>"For the Twelve Months Ended "&amp;Inputs!B3&amp;""</f>
        <v>For the Twelve Months Ended March 31, 2012</v>
      </c>
      <c r="B12" s="708"/>
      <c r="C12" s="708"/>
      <c r="D12" s="708"/>
      <c r="E12" s="708"/>
    </row>
    <row r="13" spans="1:5" ht="15.75" x14ac:dyDescent="0.25">
      <c r="A13" s="139"/>
      <c r="B13" s="106"/>
      <c r="C13" s="106"/>
      <c r="D13" s="106"/>
      <c r="E13" s="106"/>
    </row>
    <row r="14" spans="1:5" ht="15.75" x14ac:dyDescent="0.25">
      <c r="A14" s="139"/>
      <c r="B14" s="106"/>
      <c r="C14" s="106"/>
      <c r="D14" s="106"/>
      <c r="E14" s="106"/>
    </row>
    <row r="15" spans="1:5" ht="15.75" x14ac:dyDescent="0.25">
      <c r="A15" s="139"/>
      <c r="B15" s="106"/>
      <c r="C15" s="106"/>
      <c r="D15" s="106"/>
      <c r="E15" s="106"/>
    </row>
    <row r="16" spans="1:5" ht="15.75" x14ac:dyDescent="0.25">
      <c r="A16" s="106"/>
      <c r="B16" s="106"/>
      <c r="C16" s="137" t="s">
        <v>220</v>
      </c>
      <c r="D16" s="154"/>
      <c r="E16" s="137" t="s">
        <v>221</v>
      </c>
    </row>
    <row r="17" spans="1:13" ht="15.75" x14ac:dyDescent="0.25">
      <c r="A17" s="119"/>
      <c r="B17" s="339"/>
      <c r="C17" s="111"/>
      <c r="D17" s="111"/>
      <c r="E17" s="111"/>
    </row>
    <row r="18" spans="1:13" ht="15.75" x14ac:dyDescent="0.25">
      <c r="A18" s="119" t="s">
        <v>183</v>
      </c>
      <c r="B18" s="341"/>
      <c r="C18" s="174">
        <v>-14412912</v>
      </c>
      <c r="D18" s="174"/>
      <c r="E18" s="174">
        <v>-3968881</v>
      </c>
    </row>
    <row r="19" spans="1:13" ht="15.75" x14ac:dyDescent="0.25">
      <c r="A19" s="343"/>
      <c r="B19" s="226"/>
      <c r="C19" s="111"/>
      <c r="D19" s="111"/>
      <c r="E19" s="111"/>
    </row>
    <row r="20" spans="1:13" ht="15.75" x14ac:dyDescent="0.25">
      <c r="A20" s="119" t="s">
        <v>184</v>
      </c>
      <c r="B20" s="111"/>
      <c r="C20" s="282">
        <v>-10616312</v>
      </c>
      <c r="D20" s="111"/>
      <c r="E20" s="282">
        <v>-2685996</v>
      </c>
      <c r="H20" s="355"/>
      <c r="I20" s="544"/>
    </row>
    <row r="21" spans="1:13" ht="15.75" x14ac:dyDescent="0.25">
      <c r="A21" s="343"/>
      <c r="B21" s="111"/>
      <c r="C21" s="111"/>
      <c r="D21" s="111"/>
      <c r="E21" s="111"/>
    </row>
    <row r="22" spans="1:13" ht="16.5" thickBot="1" x14ac:dyDescent="0.3">
      <c r="A22" s="119" t="s">
        <v>434</v>
      </c>
      <c r="B22" s="174"/>
      <c r="C22" s="166">
        <f>+C18-C20</f>
        <v>-3796600</v>
      </c>
      <c r="D22" s="167"/>
      <c r="E22" s="166">
        <f>+E18-E20</f>
        <v>-1282885</v>
      </c>
    </row>
    <row r="23" spans="1:13" ht="12.75" thickTop="1" x14ac:dyDescent="0.15"/>
    <row r="24" spans="1:13" ht="15.75" x14ac:dyDescent="0.25">
      <c r="C24" s="111"/>
    </row>
    <row r="29" spans="1:13" x14ac:dyDescent="0.15">
      <c r="J29" s="420"/>
      <c r="K29" s="421"/>
      <c r="L29" s="421"/>
      <c r="M29" s="421"/>
    </row>
    <row r="30" spans="1:13" x14ac:dyDescent="0.15">
      <c r="J30" s="420"/>
      <c r="K30" s="421"/>
      <c r="L30" s="421"/>
      <c r="M30" s="421"/>
    </row>
  </sheetData>
  <mergeCells count="3">
    <mergeCell ref="A11:E11"/>
    <mergeCell ref="A12:E12"/>
    <mergeCell ref="A10:E10"/>
  </mergeCells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V129"/>
  <sheetViews>
    <sheetView showGridLines="0" zoomScale="70" zoomScaleNormal="70" workbookViewId="0">
      <selection activeCell="A43" sqref="A43"/>
    </sheetView>
  </sheetViews>
  <sheetFormatPr defaultColWidth="15.625" defaultRowHeight="15.75" x14ac:dyDescent="0.25"/>
  <cols>
    <col min="1" max="1" width="4.625" style="115" bestFit="1" customWidth="1"/>
    <col min="2" max="2" width="55" style="119" customWidth="1"/>
    <col min="3" max="3" width="27.125" style="119" customWidth="1"/>
    <col min="4" max="4" width="2.625" style="119" customWidth="1"/>
    <col min="5" max="5" width="10.625" style="119" customWidth="1"/>
    <col min="6" max="6" width="17.625" style="168" customWidth="1"/>
    <col min="7" max="7" width="2.25" style="168" customWidth="1"/>
    <col min="8" max="8" width="14.625" style="168" customWidth="1"/>
    <col min="9" max="9" width="2" style="119" customWidth="1"/>
    <col min="10" max="10" width="15.625" style="119" customWidth="1"/>
    <col min="11" max="11" width="3.625" style="119" customWidth="1"/>
    <col min="12" max="12" width="15.625" style="168" customWidth="1"/>
    <col min="13" max="13" width="1.5" style="168" customWidth="1"/>
    <col min="14" max="14" width="15.625" style="168" customWidth="1"/>
    <col min="15" max="15" width="2.125" style="119" customWidth="1"/>
    <col min="16" max="16" width="15.625" style="119" customWidth="1"/>
    <col min="17" max="16384" width="15.625" style="119"/>
  </cols>
  <sheetData>
    <row r="1" spans="1:16" x14ac:dyDescent="0.25">
      <c r="B1" s="116"/>
      <c r="C1" s="106"/>
      <c r="D1" s="106"/>
      <c r="E1" s="106"/>
      <c r="F1" s="117"/>
      <c r="G1" s="117"/>
      <c r="H1" s="117"/>
      <c r="I1" s="106"/>
      <c r="J1" s="106"/>
      <c r="K1" s="106"/>
      <c r="L1" s="117"/>
      <c r="M1" s="117"/>
      <c r="O1" s="106"/>
      <c r="P1" s="536" t="s">
        <v>1</v>
      </c>
    </row>
    <row r="2" spans="1:16" x14ac:dyDescent="0.25">
      <c r="B2" s="116"/>
      <c r="C2" s="106"/>
      <c r="D2" s="106"/>
      <c r="E2" s="106"/>
      <c r="F2" s="117"/>
      <c r="G2" s="117"/>
      <c r="H2" s="117"/>
      <c r="I2" s="106"/>
      <c r="J2" s="106"/>
      <c r="K2" s="106"/>
      <c r="L2" s="117"/>
      <c r="M2" s="117"/>
      <c r="N2" s="117"/>
      <c r="O2" s="106"/>
      <c r="P2" s="11" t="str">
        <f>"Sponsoring Witness: "&amp;Inputs!B7&amp;""</f>
        <v>Sponsoring Witness: Blake</v>
      </c>
    </row>
    <row r="3" spans="1:16" x14ac:dyDescent="0.25">
      <c r="C3" s="120"/>
      <c r="D3" s="120"/>
      <c r="E3" s="120"/>
      <c r="F3" s="121"/>
      <c r="G3" s="121"/>
      <c r="H3" s="121"/>
      <c r="I3" s="120"/>
      <c r="J3" s="120"/>
      <c r="K3" s="120"/>
      <c r="L3" s="121"/>
      <c r="M3" s="121"/>
      <c r="N3" s="122"/>
      <c r="O3" s="123"/>
      <c r="P3" s="536" t="s">
        <v>642</v>
      </c>
    </row>
    <row r="4" spans="1:16" x14ac:dyDescent="0.25">
      <c r="B4" s="706" t="s">
        <v>222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</row>
    <row r="5" spans="1:16" x14ac:dyDescent="0.25">
      <c r="B5" s="125"/>
      <c r="C5" s="106"/>
      <c r="D5" s="106"/>
      <c r="E5" s="106"/>
      <c r="F5" s="126"/>
      <c r="G5" s="126"/>
      <c r="H5" s="117"/>
      <c r="I5" s="106"/>
      <c r="J5" s="106"/>
      <c r="K5" s="106"/>
      <c r="L5" s="117"/>
      <c r="M5" s="117"/>
      <c r="N5" s="117"/>
      <c r="O5" s="106"/>
    </row>
    <row r="6" spans="1:16" x14ac:dyDescent="0.25">
      <c r="B6" s="127" t="s">
        <v>312</v>
      </c>
      <c r="C6" s="120"/>
      <c r="D6" s="120"/>
      <c r="E6" s="120"/>
      <c r="F6" s="121"/>
      <c r="G6" s="121"/>
      <c r="H6" s="121"/>
      <c r="I6" s="120"/>
      <c r="J6" s="120"/>
      <c r="K6" s="120"/>
      <c r="L6" s="121"/>
      <c r="M6" s="121"/>
      <c r="N6" s="121"/>
      <c r="O6" s="120"/>
      <c r="P6" s="120"/>
    </row>
    <row r="7" spans="1:16" x14ac:dyDescent="0.25">
      <c r="B7" s="128" t="s">
        <v>517</v>
      </c>
      <c r="C7" s="120"/>
      <c r="D7" s="120"/>
      <c r="E7" s="120"/>
      <c r="F7" s="121"/>
      <c r="G7" s="121"/>
      <c r="H7" s="121"/>
      <c r="I7" s="120"/>
      <c r="J7" s="120"/>
      <c r="K7" s="120"/>
      <c r="L7" s="121"/>
      <c r="M7" s="121"/>
      <c r="N7" s="121"/>
      <c r="O7" s="120"/>
      <c r="P7" s="120"/>
    </row>
    <row r="8" spans="1:16" x14ac:dyDescent="0.25">
      <c r="B8" s="128"/>
      <c r="C8" s="120"/>
      <c r="D8" s="120"/>
      <c r="E8" s="120"/>
      <c r="F8" s="121"/>
      <c r="G8" s="121"/>
      <c r="H8" s="121"/>
      <c r="I8" s="120"/>
      <c r="J8" s="120"/>
      <c r="K8" s="120"/>
      <c r="L8" s="121"/>
      <c r="M8" s="121"/>
      <c r="N8" s="121"/>
      <c r="O8" s="120"/>
      <c r="P8" s="120"/>
    </row>
    <row r="9" spans="1:16" x14ac:dyDescent="0.25">
      <c r="B9" s="125"/>
      <c r="C9" s="106"/>
      <c r="D9" s="129"/>
      <c r="E9" s="106"/>
      <c r="F9" s="117"/>
      <c r="G9" s="117"/>
      <c r="H9" s="117"/>
      <c r="I9" s="106"/>
      <c r="J9" s="106"/>
      <c r="K9" s="106"/>
      <c r="L9" s="117"/>
      <c r="M9" s="117"/>
      <c r="N9" s="117"/>
      <c r="O9" s="106"/>
      <c r="P9" s="106"/>
    </row>
    <row r="10" spans="1:16" x14ac:dyDescent="0.25">
      <c r="B10" s="130"/>
      <c r="C10" s="106"/>
      <c r="D10" s="106"/>
      <c r="E10" s="106"/>
      <c r="F10" s="131" t="s">
        <v>223</v>
      </c>
      <c r="G10" s="131"/>
      <c r="H10" s="131"/>
      <c r="I10" s="132"/>
      <c r="J10" s="132"/>
      <c r="K10" s="106"/>
      <c r="L10" s="131" t="s">
        <v>224</v>
      </c>
      <c r="M10" s="131"/>
      <c r="N10" s="131"/>
      <c r="O10" s="132"/>
      <c r="P10" s="132"/>
    </row>
    <row r="11" spans="1:16" x14ac:dyDescent="0.25">
      <c r="B11" s="125"/>
      <c r="C11" s="106"/>
      <c r="D11" s="106"/>
      <c r="E11" s="106"/>
      <c r="F11" s="117"/>
      <c r="G11" s="117"/>
      <c r="H11" s="117"/>
      <c r="I11" s="106"/>
      <c r="J11" s="133" t="s">
        <v>225</v>
      </c>
      <c r="K11" s="106"/>
      <c r="L11" s="117"/>
      <c r="M11" s="117"/>
      <c r="N11" s="117"/>
      <c r="O11" s="106"/>
      <c r="P11" s="133" t="s">
        <v>226</v>
      </c>
    </row>
    <row r="12" spans="1:16" x14ac:dyDescent="0.25">
      <c r="B12" s="106"/>
      <c r="C12" s="106"/>
      <c r="D12" s="106"/>
      <c r="E12" s="133" t="s">
        <v>227</v>
      </c>
      <c r="F12" s="134" t="s">
        <v>228</v>
      </c>
      <c r="G12" s="134"/>
      <c r="H12" s="134" t="s">
        <v>229</v>
      </c>
      <c r="I12" s="133"/>
      <c r="J12" s="133" t="s">
        <v>229</v>
      </c>
      <c r="K12" s="106"/>
      <c r="L12" s="134" t="s">
        <v>230</v>
      </c>
      <c r="M12" s="134"/>
      <c r="N12" s="134" t="s">
        <v>230</v>
      </c>
      <c r="O12" s="133"/>
      <c r="P12" s="133" t="s">
        <v>230</v>
      </c>
    </row>
    <row r="13" spans="1:16" x14ac:dyDescent="0.25">
      <c r="B13" s="106"/>
      <c r="C13" s="106"/>
      <c r="D13" s="106"/>
      <c r="E13" s="133" t="s">
        <v>231</v>
      </c>
      <c r="F13" s="134" t="s">
        <v>232</v>
      </c>
      <c r="G13" s="134"/>
      <c r="H13" s="134" t="s">
        <v>233</v>
      </c>
      <c r="I13" s="133"/>
      <c r="J13" s="133" t="s">
        <v>234</v>
      </c>
      <c r="K13" s="106"/>
      <c r="L13" s="134" t="s">
        <v>235</v>
      </c>
      <c r="M13" s="134"/>
      <c r="N13" s="134" t="s">
        <v>236</v>
      </c>
      <c r="O13" s="133"/>
      <c r="P13" s="133" t="s">
        <v>237</v>
      </c>
    </row>
    <row r="14" spans="1:16" x14ac:dyDescent="0.25">
      <c r="B14" s="106"/>
      <c r="C14" s="106"/>
      <c r="D14" s="106"/>
      <c r="E14" s="135" t="s">
        <v>238</v>
      </c>
      <c r="F14" s="136" t="s">
        <v>239</v>
      </c>
      <c r="G14" s="136"/>
      <c r="H14" s="136" t="s">
        <v>240</v>
      </c>
      <c r="I14" s="137"/>
      <c r="J14" s="137" t="s">
        <v>241</v>
      </c>
      <c r="K14" s="106"/>
      <c r="L14" s="138">
        <v>-5</v>
      </c>
      <c r="M14" s="136"/>
      <c r="N14" s="138">
        <v>-6</v>
      </c>
      <c r="O14" s="137"/>
      <c r="P14" s="135">
        <v>-7</v>
      </c>
    </row>
    <row r="15" spans="1:16" ht="24" customHeight="1" x14ac:dyDescent="0.25">
      <c r="A15" s="115">
        <v>1</v>
      </c>
      <c r="B15" s="139" t="s">
        <v>333</v>
      </c>
      <c r="C15" s="106"/>
      <c r="D15" s="106"/>
      <c r="E15" s="106"/>
      <c r="F15" s="418">
        <v>1047904226</v>
      </c>
      <c r="G15" s="140"/>
      <c r="H15" s="418">
        <v>925658737</v>
      </c>
      <c r="I15" s="141"/>
      <c r="J15" s="142">
        <f>+F15-H15</f>
        <v>122245489</v>
      </c>
      <c r="K15" s="106"/>
      <c r="L15" s="418">
        <v>275941947</v>
      </c>
      <c r="M15" s="140"/>
      <c r="N15" s="418">
        <v>243990242</v>
      </c>
      <c r="O15" s="141"/>
      <c r="P15" s="142">
        <f>+L15-N15</f>
        <v>31951705</v>
      </c>
    </row>
    <row r="16" spans="1:16" ht="15.75" customHeight="1" x14ac:dyDescent="0.25">
      <c r="B16" s="106"/>
      <c r="C16" s="106"/>
      <c r="D16" s="106"/>
      <c r="E16" s="106"/>
      <c r="F16" s="143"/>
      <c r="G16" s="143"/>
      <c r="H16" s="143"/>
      <c r="I16" s="144"/>
      <c r="J16" s="144"/>
      <c r="K16" s="106"/>
      <c r="L16" s="143"/>
      <c r="M16" s="143"/>
      <c r="N16" s="143"/>
      <c r="O16" s="144"/>
      <c r="P16" s="144"/>
    </row>
    <row r="17" spans="1:22" ht="15.75" customHeight="1" x14ac:dyDescent="0.25">
      <c r="A17" s="115">
        <f>1+A15</f>
        <v>2</v>
      </c>
      <c r="B17" s="12" t="s">
        <v>351</v>
      </c>
      <c r="C17" s="106"/>
      <c r="D17" s="106"/>
      <c r="E17" s="106"/>
      <c r="F17" s="143"/>
      <c r="G17" s="143"/>
      <c r="H17" s="143"/>
      <c r="I17" s="144"/>
      <c r="J17" s="144"/>
      <c r="K17" s="106"/>
      <c r="L17" s="143"/>
      <c r="M17" s="143"/>
      <c r="N17" s="143"/>
      <c r="O17" s="144"/>
      <c r="P17" s="144"/>
    </row>
    <row r="18" spans="1:22" x14ac:dyDescent="0.25">
      <c r="B18" s="139"/>
      <c r="C18" s="106"/>
      <c r="D18" s="106"/>
      <c r="E18" s="145"/>
      <c r="F18" s="110"/>
      <c r="G18" s="110"/>
      <c r="H18" s="110"/>
      <c r="I18" s="146"/>
      <c r="J18" s="112"/>
      <c r="K18" s="58"/>
      <c r="L18" s="110"/>
      <c r="M18" s="110"/>
      <c r="N18" s="110"/>
      <c r="O18" s="146"/>
      <c r="P18" s="58"/>
    </row>
    <row r="19" spans="1:22" ht="15.75" customHeight="1" x14ac:dyDescent="0.25">
      <c r="A19" s="115">
        <f>1+A17</f>
        <v>3</v>
      </c>
      <c r="B19" s="139" t="s">
        <v>376</v>
      </c>
      <c r="C19" s="106"/>
      <c r="D19" s="106"/>
      <c r="E19" s="145">
        <v>1</v>
      </c>
      <c r="F19" s="112">
        <f>+'1.00'!E21</f>
        <v>293000</v>
      </c>
      <c r="G19" s="112"/>
      <c r="H19" s="112">
        <v>0</v>
      </c>
      <c r="I19" s="112"/>
      <c r="J19" s="112">
        <f>+F19-H19</f>
        <v>293000</v>
      </c>
      <c r="K19" s="112"/>
      <c r="L19" s="112">
        <f>+'1.00'!G21</f>
        <v>5710375</v>
      </c>
      <c r="M19" s="112"/>
      <c r="N19" s="112">
        <v>0</v>
      </c>
      <c r="O19" s="112"/>
      <c r="P19" s="112">
        <f>+L19-N19</f>
        <v>5710375</v>
      </c>
      <c r="R19" s="112"/>
      <c r="S19" s="112"/>
      <c r="T19" s="112"/>
      <c r="U19" s="112"/>
      <c r="V19" s="112"/>
    </row>
    <row r="20" spans="1:22" ht="15.75" customHeight="1" x14ac:dyDescent="0.25">
      <c r="B20" s="139"/>
      <c r="C20" s="106"/>
      <c r="D20" s="106"/>
      <c r="E20" s="145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22" ht="15.75" customHeight="1" x14ac:dyDescent="0.25">
      <c r="A21" s="115">
        <f>1+A19</f>
        <v>4</v>
      </c>
      <c r="B21" s="139" t="s">
        <v>335</v>
      </c>
      <c r="C21" s="106"/>
      <c r="D21" s="106"/>
      <c r="E21" s="145">
        <f>0.01+E19</f>
        <v>1.01</v>
      </c>
      <c r="F21" s="112">
        <f>+'1.01'!D36</f>
        <v>-35115292</v>
      </c>
      <c r="G21" s="112"/>
      <c r="H21" s="112">
        <f>+'1.01'!F36</f>
        <v>-39096200</v>
      </c>
      <c r="I21" s="112"/>
      <c r="J21" s="112">
        <f>+F21-H21</f>
        <v>3980908</v>
      </c>
      <c r="K21" s="112"/>
      <c r="L21" s="112">
        <v>0</v>
      </c>
      <c r="M21" s="112"/>
      <c r="N21" s="112">
        <v>0</v>
      </c>
      <c r="O21" s="112"/>
      <c r="P21" s="112">
        <f>+L21-N21</f>
        <v>0</v>
      </c>
    </row>
    <row r="22" spans="1:22" ht="15.75" customHeight="1" x14ac:dyDescent="0.25">
      <c r="B22" s="139"/>
      <c r="C22" s="106"/>
      <c r="D22" s="106"/>
      <c r="E22" s="145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22" x14ac:dyDescent="0.25">
      <c r="A23" s="115">
        <f>1+A21</f>
        <v>5</v>
      </c>
      <c r="B23" s="537" t="s">
        <v>477</v>
      </c>
      <c r="C23" s="106"/>
      <c r="D23" s="106"/>
      <c r="E23" s="145">
        <f>0.01+E21</f>
        <v>1.02</v>
      </c>
      <c r="F23" s="146">
        <f>'1.02'!B24</f>
        <v>-3930286</v>
      </c>
      <c r="G23" s="146"/>
      <c r="H23" s="146">
        <v>0</v>
      </c>
      <c r="I23" s="146"/>
      <c r="J23" s="112">
        <f>+F23-H23</f>
        <v>-3930286</v>
      </c>
      <c r="K23" s="58"/>
      <c r="L23" s="146">
        <f>+'1.02'!D24</f>
        <v>0</v>
      </c>
      <c r="M23" s="146"/>
      <c r="N23" s="146">
        <v>0</v>
      </c>
      <c r="O23" s="146"/>
      <c r="P23" s="58">
        <f>+L23-N23</f>
        <v>0</v>
      </c>
      <c r="Q23" s="707"/>
      <c r="R23" s="707"/>
      <c r="S23" s="707"/>
      <c r="T23" s="707"/>
    </row>
    <row r="24" spans="1:22" s="535" customFormat="1" x14ac:dyDescent="0.25">
      <c r="A24" s="533"/>
      <c r="B24" s="139"/>
      <c r="C24" s="520"/>
      <c r="D24" s="520"/>
      <c r="E24" s="145"/>
      <c r="F24" s="110"/>
      <c r="G24" s="110"/>
      <c r="H24" s="110"/>
      <c r="I24" s="146"/>
      <c r="J24" s="112"/>
      <c r="K24" s="58"/>
      <c r="L24" s="110"/>
      <c r="M24" s="110"/>
      <c r="N24" s="110"/>
      <c r="O24" s="146"/>
      <c r="P24" s="58"/>
      <c r="Q24" s="707"/>
      <c r="R24" s="707"/>
      <c r="S24" s="707"/>
      <c r="T24" s="707"/>
    </row>
    <row r="25" spans="1:22" s="535" customFormat="1" ht="15.75" customHeight="1" x14ac:dyDescent="0.25">
      <c r="A25" s="533">
        <f>1+A23</f>
        <v>6</v>
      </c>
      <c r="B25" s="537" t="s">
        <v>695</v>
      </c>
      <c r="C25" s="520"/>
      <c r="D25" s="520"/>
      <c r="E25" s="145">
        <f>0.01+E23</f>
        <v>1.03</v>
      </c>
      <c r="F25" s="112">
        <f>'1.03'!B18</f>
        <v>-2123450</v>
      </c>
      <c r="G25" s="112"/>
      <c r="H25" s="112">
        <f>'1.03'!B20</f>
        <v>-2735848</v>
      </c>
      <c r="I25" s="112"/>
      <c r="J25" s="112">
        <f>+F25-H25</f>
        <v>612398</v>
      </c>
      <c r="K25" s="112"/>
      <c r="L25" s="112">
        <v>0</v>
      </c>
      <c r="M25" s="112"/>
      <c r="N25" s="112">
        <v>0</v>
      </c>
      <c r="O25" s="112"/>
      <c r="P25" s="112">
        <f>+L25-N25</f>
        <v>0</v>
      </c>
    </row>
    <row r="26" spans="1:22" x14ac:dyDescent="0.25">
      <c r="B26" s="139"/>
      <c r="C26" s="106"/>
      <c r="D26" s="106"/>
      <c r="E26" s="145"/>
      <c r="F26" s="110"/>
      <c r="G26" s="110"/>
      <c r="H26" s="110"/>
      <c r="I26" s="146"/>
      <c r="J26" s="112"/>
      <c r="K26" s="58"/>
      <c r="L26" s="110"/>
      <c r="M26" s="110"/>
      <c r="N26" s="110"/>
      <c r="O26" s="146"/>
      <c r="P26" s="58"/>
      <c r="Q26" s="707"/>
      <c r="R26" s="707"/>
      <c r="S26" s="707"/>
      <c r="T26" s="707"/>
    </row>
    <row r="27" spans="1:22" ht="15.75" customHeight="1" x14ac:dyDescent="0.25">
      <c r="A27" s="115">
        <f>1+A25</f>
        <v>7</v>
      </c>
      <c r="B27" s="148" t="s">
        <v>23</v>
      </c>
      <c r="C27" s="106"/>
      <c r="D27" s="106"/>
      <c r="E27" s="145">
        <f>0.01+E25</f>
        <v>1.04</v>
      </c>
      <c r="F27" s="112">
        <f>'1.04'!I34</f>
        <v>-4889807</v>
      </c>
      <c r="G27" s="112"/>
      <c r="H27" s="112">
        <f>'1.04'!O34</f>
        <v>-801360</v>
      </c>
      <c r="I27" s="112"/>
      <c r="J27" s="112">
        <f>+F27-H27</f>
        <v>-4088447</v>
      </c>
      <c r="K27" s="112"/>
      <c r="L27" s="112">
        <v>0</v>
      </c>
      <c r="M27" s="112"/>
      <c r="N27" s="112">
        <v>0</v>
      </c>
      <c r="O27" s="112"/>
      <c r="P27" s="112">
        <f>+L27-N27</f>
        <v>0</v>
      </c>
    </row>
    <row r="28" spans="1:22" x14ac:dyDescent="0.25"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22" ht="15.75" customHeight="1" x14ac:dyDescent="0.25">
      <c r="A29" s="115">
        <f>1+A27</f>
        <v>8</v>
      </c>
      <c r="B29" s="139" t="s">
        <v>99</v>
      </c>
      <c r="C29" s="106"/>
      <c r="D29" s="106"/>
      <c r="E29" s="145">
        <f>0.01+E27</f>
        <v>1.05</v>
      </c>
      <c r="F29" s="112">
        <f>'1.05'!F40</f>
        <v>-539866</v>
      </c>
      <c r="G29" s="112"/>
      <c r="H29" s="112">
        <v>0</v>
      </c>
      <c r="I29" s="112"/>
      <c r="J29" s="112">
        <f>+F29-H29</f>
        <v>-539866</v>
      </c>
      <c r="K29" s="112"/>
      <c r="L29" s="112">
        <v>0</v>
      </c>
      <c r="M29" s="112"/>
      <c r="N29" s="112">
        <v>0</v>
      </c>
      <c r="O29" s="112"/>
      <c r="P29" s="112">
        <f>+L29-N29</f>
        <v>0</v>
      </c>
    </row>
    <row r="30" spans="1:22" ht="15.75" customHeight="1" x14ac:dyDescent="0.25">
      <c r="B30" s="139"/>
      <c r="C30" s="106"/>
      <c r="D30" s="106"/>
      <c r="E30" s="145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22" s="535" customFormat="1" ht="15.75" customHeight="1" x14ac:dyDescent="0.25">
      <c r="A31" s="533">
        <f>1+A29</f>
        <v>9</v>
      </c>
      <c r="B31" s="229" t="s">
        <v>742</v>
      </c>
      <c r="C31" s="520"/>
      <c r="D31" s="520"/>
      <c r="E31" s="145">
        <f>0.01+E29</f>
        <v>1.06</v>
      </c>
      <c r="F31" s="112">
        <f>+'1.06'!C18</f>
        <v>-14412912</v>
      </c>
      <c r="G31" s="112"/>
      <c r="H31" s="112">
        <f>+'1.06'!C20</f>
        <v>-10616312</v>
      </c>
      <c r="I31" s="112"/>
      <c r="J31" s="112">
        <f>+F31-H31</f>
        <v>-3796600</v>
      </c>
      <c r="K31" s="112"/>
      <c r="L31" s="112">
        <f>+'1.06'!E18</f>
        <v>-3968881</v>
      </c>
      <c r="M31" s="112"/>
      <c r="N31" s="112">
        <f>+'1.06'!E20</f>
        <v>-2685996</v>
      </c>
      <c r="O31" s="112"/>
      <c r="P31" s="112">
        <f>+L31-N31</f>
        <v>-1282885</v>
      </c>
    </row>
    <row r="32" spans="1:22" x14ac:dyDescent="0.25"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15.75" customHeight="1" x14ac:dyDescent="0.25">
      <c r="A33" s="533">
        <f>1+A31</f>
        <v>10</v>
      </c>
      <c r="B33" s="537" t="s">
        <v>489</v>
      </c>
      <c r="C33" s="106"/>
      <c r="D33" s="106"/>
      <c r="E33" s="145">
        <f>0.01+E31</f>
        <v>1.07</v>
      </c>
      <c r="F33" s="112">
        <f>+'1.07'!G30</f>
        <v>-1663941</v>
      </c>
      <c r="G33" s="112"/>
      <c r="H33" s="112">
        <v>0</v>
      </c>
      <c r="I33" s="112"/>
      <c r="J33" s="112">
        <f>+F33-H33</f>
        <v>-1663941</v>
      </c>
      <c r="K33" s="112"/>
      <c r="L33" s="112">
        <f>'1.07'!I30</f>
        <v>635460</v>
      </c>
      <c r="M33" s="112"/>
      <c r="N33" s="112">
        <v>0</v>
      </c>
      <c r="O33" s="112"/>
      <c r="P33" s="112">
        <f>+L33-N33</f>
        <v>635460</v>
      </c>
    </row>
    <row r="34" spans="1:16" s="535" customFormat="1" ht="15.75" customHeight="1" x14ac:dyDescent="0.25">
      <c r="A34" s="533"/>
      <c r="B34" s="139"/>
      <c r="C34" s="520"/>
      <c r="D34" s="520"/>
      <c r="E34" s="145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15.75" customHeight="1" x14ac:dyDescent="0.25">
      <c r="A35" s="533">
        <f>1+A33</f>
        <v>11</v>
      </c>
      <c r="B35" s="537" t="s">
        <v>741</v>
      </c>
      <c r="C35" s="106"/>
      <c r="D35" s="106"/>
      <c r="E35" s="145">
        <f>0.01+E33</f>
        <v>1.08</v>
      </c>
      <c r="F35" s="112">
        <f>+'1.08'!B24</f>
        <v>2741079</v>
      </c>
      <c r="G35" s="112"/>
      <c r="H35" s="112">
        <f>+'1.08'!B28</f>
        <v>-67301</v>
      </c>
      <c r="I35" s="112"/>
      <c r="J35" s="112">
        <f>+F35-H35</f>
        <v>2808380</v>
      </c>
      <c r="K35" s="112"/>
      <c r="L35" s="112">
        <v>0</v>
      </c>
      <c r="M35" s="112"/>
      <c r="N35" s="112">
        <v>0</v>
      </c>
      <c r="O35" s="112"/>
      <c r="P35" s="112">
        <f>+L35-N35</f>
        <v>0</v>
      </c>
    </row>
    <row r="36" spans="1:16" ht="15.75" customHeight="1" x14ac:dyDescent="0.25">
      <c r="B36" s="139"/>
      <c r="C36" s="106"/>
      <c r="D36" s="106"/>
      <c r="E36" s="145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s="535" customFormat="1" ht="15.75" customHeight="1" x14ac:dyDescent="0.25">
      <c r="A37" s="533">
        <f>1+A35</f>
        <v>12</v>
      </c>
      <c r="B37" s="537" t="s">
        <v>663</v>
      </c>
      <c r="C37" s="520"/>
      <c r="D37" s="520"/>
      <c r="E37" s="145">
        <f>0.01+E35</f>
        <v>1.0900000000000001</v>
      </c>
      <c r="F37" s="112">
        <f>'1.09'!B24</f>
        <v>-6108465</v>
      </c>
      <c r="G37" s="112"/>
      <c r="H37" s="112">
        <v>0</v>
      </c>
      <c r="I37" s="112"/>
      <c r="J37" s="112">
        <f>+F37-H37</f>
        <v>-6108465</v>
      </c>
      <c r="K37" s="112"/>
      <c r="L37" s="112">
        <v>0</v>
      </c>
      <c r="M37" s="112"/>
      <c r="N37" s="112">
        <v>0</v>
      </c>
      <c r="O37" s="112"/>
      <c r="P37" s="112">
        <f>+L37-N37</f>
        <v>0</v>
      </c>
    </row>
    <row r="38" spans="1:16" s="535" customFormat="1" ht="15.75" customHeight="1" x14ac:dyDescent="0.25">
      <c r="A38" s="533"/>
      <c r="C38" s="520"/>
      <c r="D38" s="520"/>
      <c r="E38" s="145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s="535" customFormat="1" x14ac:dyDescent="0.25">
      <c r="A39" s="533">
        <f>1+A37</f>
        <v>13</v>
      </c>
      <c r="B39" s="537" t="s">
        <v>478</v>
      </c>
      <c r="C39" s="520"/>
      <c r="D39" s="520"/>
      <c r="E39" s="145">
        <f>0.01+E37</f>
        <v>1.1000000000000001</v>
      </c>
      <c r="F39" s="112">
        <f>'1.10'!B18</f>
        <v>1202528</v>
      </c>
      <c r="G39" s="112"/>
      <c r="H39" s="112">
        <f>'1.10'!B20</f>
        <v>803321</v>
      </c>
      <c r="I39" s="112"/>
      <c r="J39" s="112">
        <f>+F39-H39</f>
        <v>399207</v>
      </c>
      <c r="K39" s="112"/>
      <c r="L39" s="112">
        <f>'1.10'!D18</f>
        <v>387739</v>
      </c>
      <c r="M39" s="112"/>
      <c r="N39" s="112">
        <f>'1.10'!D20</f>
        <v>90963</v>
      </c>
      <c r="O39" s="112"/>
      <c r="P39" s="112">
        <f>+L39-N39</f>
        <v>296776</v>
      </c>
    </row>
    <row r="40" spans="1:16" s="535" customFormat="1" x14ac:dyDescent="0.25">
      <c r="A40" s="533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s="535" customFormat="1" x14ac:dyDescent="0.25">
      <c r="A41" s="533">
        <f>1+A39</f>
        <v>14</v>
      </c>
      <c r="B41" s="139" t="s">
        <v>713</v>
      </c>
      <c r="C41" s="520"/>
      <c r="D41" s="520"/>
      <c r="E41" s="145">
        <f>0.01+E39</f>
        <v>1.1100000000000001</v>
      </c>
      <c r="F41" s="112">
        <f>'1.11'!G40</f>
        <v>-101432</v>
      </c>
      <c r="G41" s="112"/>
      <c r="H41" s="112">
        <v>0</v>
      </c>
      <c r="I41" s="112"/>
      <c r="J41" s="112">
        <f>+F41-H41</f>
        <v>-101432</v>
      </c>
      <c r="K41" s="112"/>
      <c r="L41" s="112">
        <f>'1.11'!I40</f>
        <v>-295300</v>
      </c>
      <c r="M41" s="112"/>
      <c r="N41" s="112">
        <v>0</v>
      </c>
      <c r="O41" s="112"/>
      <c r="P41" s="112">
        <f>+L41-N41</f>
        <v>-295300</v>
      </c>
    </row>
    <row r="42" spans="1:16" s="535" customFormat="1" x14ac:dyDescent="0.25">
      <c r="A42" s="533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s="535" customFormat="1" x14ac:dyDescent="0.25">
      <c r="A43" s="533">
        <f>1+A41</f>
        <v>15</v>
      </c>
      <c r="B43" s="537" t="s">
        <v>0</v>
      </c>
      <c r="C43" s="520"/>
      <c r="D43" s="520"/>
      <c r="E43" s="145">
        <f>E41+0.01</f>
        <v>1.1200000000000001</v>
      </c>
      <c r="F43" s="58">
        <v>0</v>
      </c>
      <c r="G43" s="110"/>
      <c r="H43" s="110">
        <f>'1.12'!B31</f>
        <v>696536</v>
      </c>
      <c r="I43" s="146"/>
      <c r="J43" s="112">
        <f>+F43-H43</f>
        <v>-696536</v>
      </c>
      <c r="K43" s="58"/>
      <c r="L43" s="58">
        <v>0</v>
      </c>
      <c r="M43" s="110"/>
      <c r="N43" s="110">
        <f>'1.12'!D31</f>
        <v>1239999</v>
      </c>
      <c r="O43" s="146"/>
      <c r="P43" s="112">
        <f>+L43-N43</f>
        <v>-1239999</v>
      </c>
    </row>
    <row r="44" spans="1:16" s="535" customFormat="1" x14ac:dyDescent="0.25">
      <c r="A44" s="533"/>
      <c r="B44" s="520"/>
      <c r="C44" s="520"/>
      <c r="D44" s="520"/>
      <c r="E44" s="145"/>
      <c r="F44" s="110"/>
      <c r="G44" s="110"/>
      <c r="H44" s="110"/>
      <c r="I44" s="146"/>
      <c r="J44" s="58"/>
      <c r="K44" s="58"/>
      <c r="L44" s="110"/>
      <c r="M44" s="110"/>
      <c r="N44" s="110"/>
      <c r="O44" s="146"/>
      <c r="P44" s="58"/>
    </row>
    <row r="45" spans="1:16" s="535" customFormat="1" x14ac:dyDescent="0.25">
      <c r="A45" s="533">
        <f>1+A43</f>
        <v>16</v>
      </c>
      <c r="B45" s="537" t="s">
        <v>438</v>
      </c>
      <c r="C45" s="520"/>
      <c r="D45" s="520"/>
      <c r="E45" s="145">
        <f>+E43+0.01</f>
        <v>1.1300000000000001</v>
      </c>
      <c r="F45" s="58">
        <v>0</v>
      </c>
      <c r="G45" s="58"/>
      <c r="H45" s="58">
        <f>+'1.13'!F24</f>
        <v>3272923</v>
      </c>
      <c r="I45" s="58"/>
      <c r="J45" s="58">
        <f>+F45-H45</f>
        <v>-3272923</v>
      </c>
      <c r="K45" s="58"/>
      <c r="L45" s="58">
        <v>0</v>
      </c>
      <c r="M45" s="58"/>
      <c r="N45" s="58">
        <f>+'1.13'!G24</f>
        <v>818232</v>
      </c>
      <c r="O45" s="58"/>
      <c r="P45" s="58">
        <f>+L45-N45</f>
        <v>-818232</v>
      </c>
    </row>
    <row r="46" spans="1:16" s="535" customFormat="1" x14ac:dyDescent="0.25">
      <c r="A46" s="533"/>
      <c r="B46" s="520"/>
      <c r="C46" s="520"/>
      <c r="D46" s="520"/>
      <c r="E46" s="145"/>
      <c r="F46" s="110"/>
      <c r="G46" s="110"/>
      <c r="H46" s="110"/>
      <c r="I46" s="146"/>
      <c r="J46" s="58"/>
      <c r="K46" s="58"/>
      <c r="L46" s="110"/>
      <c r="M46" s="110"/>
      <c r="N46" s="110"/>
      <c r="O46" s="146"/>
      <c r="P46" s="58"/>
    </row>
    <row r="47" spans="1:16" s="535" customFormat="1" x14ac:dyDescent="0.25">
      <c r="A47" s="533">
        <f>1+A45</f>
        <v>17</v>
      </c>
      <c r="B47" s="537" t="s">
        <v>479</v>
      </c>
      <c r="E47" s="145">
        <f>+E45+0.01</f>
        <v>1.1400000000000001</v>
      </c>
      <c r="F47" s="58">
        <v>0</v>
      </c>
      <c r="G47" s="58"/>
      <c r="H47" s="58">
        <f>'1.14'!H24</f>
        <v>-3600003</v>
      </c>
      <c r="I47" s="58"/>
      <c r="J47" s="112">
        <f>+F47-H47</f>
        <v>3600003</v>
      </c>
      <c r="K47" s="58"/>
      <c r="L47" s="58">
        <v>0</v>
      </c>
      <c r="M47" s="58"/>
      <c r="N47" s="58">
        <f>'1.14'!H26</f>
        <v>-900001</v>
      </c>
      <c r="O47" s="58"/>
      <c r="P47" s="112">
        <f>+L47-N47</f>
        <v>900001</v>
      </c>
    </row>
    <row r="48" spans="1:16" x14ac:dyDescent="0.25">
      <c r="B48" s="148"/>
      <c r="C48" s="148"/>
      <c r="D48" s="148"/>
      <c r="E48" s="145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535" customFormat="1" x14ac:dyDescent="0.25">
      <c r="A49" s="533">
        <f>1+A47</f>
        <v>18</v>
      </c>
      <c r="B49" s="537" t="s">
        <v>439</v>
      </c>
      <c r="C49" s="520"/>
      <c r="D49" s="520"/>
      <c r="E49" s="145">
        <f>E47+0.01</f>
        <v>1.1500000000000001</v>
      </c>
      <c r="F49" s="112">
        <v>0</v>
      </c>
      <c r="G49" s="112"/>
      <c r="H49" s="112">
        <f>'1.15'!F24</f>
        <v>-1795723</v>
      </c>
      <c r="I49" s="112"/>
      <c r="J49" s="112">
        <f>+F49-H49</f>
        <v>1795723</v>
      </c>
      <c r="K49" s="112"/>
      <c r="L49" s="112">
        <v>0</v>
      </c>
      <c r="M49" s="112"/>
      <c r="N49" s="112">
        <v>0</v>
      </c>
      <c r="O49" s="112"/>
      <c r="P49" s="112">
        <f>+L49-N49</f>
        <v>0</v>
      </c>
    </row>
    <row r="50" spans="1:16" s="535" customFormat="1" x14ac:dyDescent="0.25">
      <c r="A50" s="533"/>
      <c r="B50" s="537"/>
      <c r="C50" s="537"/>
      <c r="D50" s="537"/>
      <c r="E50" s="145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x14ac:dyDescent="0.25"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x14ac:dyDescent="0.25">
      <c r="B52" s="149"/>
      <c r="C52" s="150"/>
      <c r="D52" s="150"/>
      <c r="E52" s="145"/>
      <c r="F52" s="151"/>
      <c r="G52" s="151"/>
      <c r="H52" s="151"/>
      <c r="I52" s="150"/>
      <c r="J52" s="150"/>
      <c r="K52" s="150"/>
      <c r="L52" s="151"/>
      <c r="M52" s="151"/>
      <c r="N52" s="151"/>
      <c r="O52" s="150"/>
      <c r="P52" s="536" t="str">
        <f>P1</f>
        <v>Exhibit 1</v>
      </c>
    </row>
    <row r="53" spans="1:16" x14ac:dyDescent="0.25">
      <c r="B53" s="149"/>
      <c r="C53" s="150"/>
      <c r="D53" s="150"/>
      <c r="E53" s="145"/>
      <c r="F53" s="151"/>
      <c r="G53" s="151"/>
      <c r="H53" s="151"/>
      <c r="I53" s="150"/>
      <c r="J53" s="150"/>
      <c r="K53" s="150"/>
      <c r="L53" s="151"/>
      <c r="M53" s="151"/>
      <c r="N53" s="151"/>
      <c r="O53" s="150"/>
      <c r="P53" s="124" t="str">
        <f>P2</f>
        <v>Sponsoring Witness: Blake</v>
      </c>
    </row>
    <row r="54" spans="1:16" x14ac:dyDescent="0.25">
      <c r="C54" s="120"/>
      <c r="D54" s="120"/>
      <c r="E54" s="120"/>
      <c r="F54" s="121"/>
      <c r="G54" s="121"/>
      <c r="H54" s="121"/>
      <c r="I54" s="120"/>
      <c r="J54" s="120"/>
      <c r="K54" s="120"/>
      <c r="L54" s="121"/>
      <c r="M54" s="121"/>
      <c r="N54" s="122"/>
      <c r="O54" s="123"/>
      <c r="P54" s="536" t="s">
        <v>640</v>
      </c>
    </row>
    <row r="55" spans="1:16" x14ac:dyDescent="0.25">
      <c r="B55" s="706" t="s">
        <v>222</v>
      </c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</row>
    <row r="56" spans="1:16" x14ac:dyDescent="0.25">
      <c r="B56" s="125"/>
      <c r="C56" s="106"/>
      <c r="D56" s="106"/>
      <c r="E56" s="106"/>
      <c r="F56" s="117"/>
      <c r="G56" s="117"/>
      <c r="H56" s="117"/>
      <c r="I56" s="106"/>
      <c r="J56" s="106"/>
      <c r="K56" s="106"/>
      <c r="L56" s="117"/>
      <c r="M56" s="117"/>
      <c r="N56" s="117"/>
      <c r="O56" s="106"/>
    </row>
    <row r="57" spans="1:16" x14ac:dyDescent="0.25">
      <c r="B57" s="127" t="s">
        <v>312</v>
      </c>
      <c r="C57" s="120"/>
      <c r="D57" s="120"/>
      <c r="E57" s="120"/>
      <c r="F57" s="121"/>
      <c r="G57" s="121"/>
      <c r="H57" s="121"/>
      <c r="I57" s="120"/>
      <c r="J57" s="120"/>
      <c r="K57" s="120"/>
      <c r="L57" s="121"/>
      <c r="M57" s="121"/>
      <c r="N57" s="121"/>
      <c r="O57" s="120"/>
      <c r="P57" s="120"/>
    </row>
    <row r="58" spans="1:16" x14ac:dyDescent="0.25">
      <c r="B58" s="128" t="str">
        <f>B7</f>
        <v>For the Twelve Months Ended March 31, 2012</v>
      </c>
      <c r="C58" s="120"/>
      <c r="D58" s="120"/>
      <c r="E58" s="120"/>
      <c r="F58" s="121"/>
      <c r="G58" s="121"/>
      <c r="H58" s="121"/>
      <c r="I58" s="120"/>
      <c r="J58" s="120"/>
      <c r="K58" s="120"/>
      <c r="L58" s="121"/>
      <c r="M58" s="121"/>
      <c r="N58" s="121"/>
      <c r="O58" s="120"/>
      <c r="P58" s="120"/>
    </row>
    <row r="59" spans="1:16" x14ac:dyDescent="0.25">
      <c r="B59" s="120"/>
      <c r="C59" s="120"/>
      <c r="D59" s="120"/>
      <c r="E59" s="120"/>
      <c r="F59" s="121"/>
      <c r="G59" s="121"/>
      <c r="H59" s="121"/>
      <c r="I59" s="120"/>
      <c r="J59" s="120"/>
      <c r="K59" s="120"/>
      <c r="L59" s="121"/>
      <c r="M59" s="121"/>
      <c r="N59" s="121"/>
      <c r="O59" s="120"/>
      <c r="P59" s="120"/>
    </row>
    <row r="60" spans="1:16" x14ac:dyDescent="0.25">
      <c r="B60" s="106"/>
      <c r="C60" s="106"/>
      <c r="D60" s="129"/>
      <c r="E60" s="106"/>
      <c r="F60" s="117"/>
      <c r="G60" s="117"/>
      <c r="H60" s="117"/>
      <c r="I60" s="106"/>
      <c r="J60" s="106"/>
      <c r="K60" s="106"/>
      <c r="L60" s="117"/>
      <c r="M60" s="117"/>
      <c r="N60" s="117"/>
      <c r="O60" s="106"/>
      <c r="P60" s="106"/>
    </row>
    <row r="61" spans="1:16" x14ac:dyDescent="0.25">
      <c r="B61" s="106"/>
      <c r="C61" s="106"/>
      <c r="D61" s="106"/>
      <c r="E61" s="106"/>
      <c r="F61" s="131" t="s">
        <v>223</v>
      </c>
      <c r="G61" s="131"/>
      <c r="H61" s="131"/>
      <c r="I61" s="132"/>
      <c r="J61" s="132"/>
      <c r="K61" s="106"/>
      <c r="L61" s="131" t="s">
        <v>224</v>
      </c>
      <c r="M61" s="131"/>
      <c r="N61" s="131"/>
      <c r="O61" s="132"/>
      <c r="P61" s="132"/>
    </row>
    <row r="62" spans="1:16" x14ac:dyDescent="0.25">
      <c r="B62" s="106"/>
      <c r="C62" s="106"/>
      <c r="D62" s="106"/>
      <c r="E62" s="106"/>
      <c r="F62" s="117"/>
      <c r="G62" s="117"/>
      <c r="H62" s="117"/>
      <c r="I62" s="106"/>
      <c r="J62" s="133" t="s">
        <v>225</v>
      </c>
      <c r="K62" s="106"/>
      <c r="L62" s="117"/>
      <c r="M62" s="117"/>
      <c r="N62" s="117"/>
      <c r="O62" s="106"/>
      <c r="P62" s="133" t="s">
        <v>226</v>
      </c>
    </row>
    <row r="63" spans="1:16" x14ac:dyDescent="0.25">
      <c r="B63" s="106"/>
      <c r="C63" s="106"/>
      <c r="D63" s="106"/>
      <c r="E63" s="133" t="s">
        <v>227</v>
      </c>
      <c r="F63" s="134" t="s">
        <v>228</v>
      </c>
      <c r="G63" s="134"/>
      <c r="H63" s="134" t="s">
        <v>229</v>
      </c>
      <c r="I63" s="133"/>
      <c r="J63" s="133" t="s">
        <v>229</v>
      </c>
      <c r="K63" s="106"/>
      <c r="L63" s="134" t="s">
        <v>230</v>
      </c>
      <c r="M63" s="134"/>
      <c r="N63" s="134" t="s">
        <v>230</v>
      </c>
      <c r="O63" s="133"/>
      <c r="P63" s="133" t="s">
        <v>230</v>
      </c>
    </row>
    <row r="64" spans="1:16" x14ac:dyDescent="0.25">
      <c r="B64" s="106"/>
      <c r="C64" s="106"/>
      <c r="D64" s="106"/>
      <c r="E64" s="133" t="s">
        <v>231</v>
      </c>
      <c r="F64" s="134" t="s">
        <v>232</v>
      </c>
      <c r="G64" s="134"/>
      <c r="H64" s="134" t="s">
        <v>233</v>
      </c>
      <c r="I64" s="133"/>
      <c r="J64" s="133" t="s">
        <v>234</v>
      </c>
      <c r="K64" s="106"/>
      <c r="L64" s="134" t="s">
        <v>235</v>
      </c>
      <c r="M64" s="134"/>
      <c r="N64" s="134" t="s">
        <v>236</v>
      </c>
      <c r="O64" s="133"/>
      <c r="P64" s="133" t="s">
        <v>237</v>
      </c>
    </row>
    <row r="65" spans="1:16" x14ac:dyDescent="0.25">
      <c r="B65" s="148"/>
      <c r="C65" s="106"/>
      <c r="D65" s="106"/>
      <c r="E65" s="135" t="s">
        <v>238</v>
      </c>
      <c r="F65" s="136" t="s">
        <v>239</v>
      </c>
      <c r="G65" s="136"/>
      <c r="H65" s="136" t="s">
        <v>240</v>
      </c>
      <c r="I65" s="137"/>
      <c r="J65" s="137" t="s">
        <v>241</v>
      </c>
      <c r="K65" s="106"/>
      <c r="L65" s="138">
        <v>-5</v>
      </c>
      <c r="M65" s="136"/>
      <c r="N65" s="138">
        <v>-6</v>
      </c>
      <c r="O65" s="137"/>
      <c r="P65" s="135">
        <v>-7</v>
      </c>
    </row>
    <row r="66" spans="1:16" x14ac:dyDescent="0.25">
      <c r="B66" s="148"/>
      <c r="C66" s="106"/>
      <c r="D66" s="106"/>
      <c r="E66" s="145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6" s="535" customFormat="1" x14ac:dyDescent="0.25">
      <c r="A67" s="533">
        <f>1+A49</f>
        <v>19</v>
      </c>
      <c r="B67" s="139" t="s">
        <v>3</v>
      </c>
      <c r="C67" s="520"/>
      <c r="D67" s="520"/>
      <c r="E67" s="145">
        <f>0.01+E49</f>
        <v>1.1600000000000001</v>
      </c>
      <c r="F67" s="112">
        <v>0</v>
      </c>
      <c r="G67" s="112"/>
      <c r="H67" s="112">
        <f>+'1.16'!I23</f>
        <v>-379162</v>
      </c>
      <c r="I67" s="112"/>
      <c r="J67" s="112">
        <f>+F67-H67</f>
        <v>379162</v>
      </c>
      <c r="K67" s="112"/>
      <c r="L67" s="112">
        <v>0</v>
      </c>
      <c r="M67" s="112"/>
      <c r="N67" s="112">
        <f>+'1.16'!K23</f>
        <v>-108523</v>
      </c>
      <c r="O67" s="112"/>
      <c r="P67" s="112">
        <f>+L67-N67</f>
        <v>108523</v>
      </c>
    </row>
    <row r="68" spans="1:16" s="535" customFormat="1" x14ac:dyDescent="0.25">
      <c r="A68" s="533"/>
      <c r="B68" s="537"/>
      <c r="C68" s="537"/>
      <c r="D68" s="537"/>
      <c r="E68" s="145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1:16" s="535" customFormat="1" x14ac:dyDescent="0.25">
      <c r="A69" s="533">
        <f>1+A67</f>
        <v>20</v>
      </c>
      <c r="B69" s="139" t="s">
        <v>379</v>
      </c>
      <c r="C69" s="520"/>
      <c r="D69" s="520"/>
      <c r="E69" s="145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1:16" s="535" customFormat="1" x14ac:dyDescent="0.25">
      <c r="A70" s="533"/>
      <c r="B70" s="139" t="s">
        <v>380</v>
      </c>
      <c r="C70" s="520"/>
      <c r="D70" s="520"/>
      <c r="E70" s="145">
        <f>0.01+E67</f>
        <v>1.1700000000000002</v>
      </c>
      <c r="F70" s="112">
        <v>0</v>
      </c>
      <c r="G70" s="112"/>
      <c r="H70" s="112">
        <f>+'1.17'!B27</f>
        <v>-539988</v>
      </c>
      <c r="I70" s="112"/>
      <c r="J70" s="112">
        <f>+F70-H70</f>
        <v>539988</v>
      </c>
      <c r="K70" s="112"/>
      <c r="L70" s="112">
        <v>0</v>
      </c>
      <c r="M70" s="112"/>
      <c r="N70" s="112">
        <f>+'1.17'!D27</f>
        <v>-212211</v>
      </c>
      <c r="O70" s="112"/>
      <c r="P70" s="112">
        <f>+L70-N70</f>
        <v>212211</v>
      </c>
    </row>
    <row r="71" spans="1:16" s="535" customFormat="1" x14ac:dyDescent="0.25">
      <c r="A71" s="533"/>
      <c r="B71" s="537"/>
      <c r="C71" s="537"/>
      <c r="D71" s="537"/>
      <c r="E71" s="14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1:16" s="535" customFormat="1" x14ac:dyDescent="0.25">
      <c r="A72" s="533">
        <f>1+A69</f>
        <v>21</v>
      </c>
      <c r="B72" s="537" t="s">
        <v>487</v>
      </c>
      <c r="E72" s="145">
        <f>E70+0.01</f>
        <v>1.1800000000000002</v>
      </c>
      <c r="F72" s="58">
        <f>'1.18'!B29</f>
        <v>10864</v>
      </c>
      <c r="G72" s="58"/>
      <c r="H72" s="58">
        <f>'1.18'!D29</f>
        <v>944620</v>
      </c>
      <c r="I72" s="58"/>
      <c r="J72" s="112">
        <f>+F72-H72</f>
        <v>-933756</v>
      </c>
      <c r="K72" s="58"/>
      <c r="L72" s="58">
        <f>'1.18'!F29</f>
        <v>0</v>
      </c>
      <c r="M72" s="58"/>
      <c r="N72" s="58">
        <f>'1.18'!H29</f>
        <v>-169206</v>
      </c>
      <c r="O72" s="58"/>
      <c r="P72" s="112">
        <f>+L72-N72</f>
        <v>169206</v>
      </c>
    </row>
    <row r="73" spans="1:16" s="535" customFormat="1" x14ac:dyDescent="0.25">
      <c r="A73" s="533"/>
      <c r="B73" s="537"/>
      <c r="C73" s="537"/>
      <c r="D73" s="537"/>
      <c r="E73" s="145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1:16" s="535" customFormat="1" x14ac:dyDescent="0.25">
      <c r="A74" s="533">
        <f>1+A72</f>
        <v>22</v>
      </c>
      <c r="B74" s="537" t="s">
        <v>590</v>
      </c>
      <c r="E74" s="145">
        <f>E72+0.01</f>
        <v>1.1900000000000002</v>
      </c>
      <c r="F74" s="58">
        <v>0</v>
      </c>
      <c r="G74" s="58"/>
      <c r="H74" s="58">
        <f>'1.19'!G24</f>
        <v>245960</v>
      </c>
      <c r="I74" s="58"/>
      <c r="J74" s="112">
        <f>+F74-H74</f>
        <v>-245960</v>
      </c>
      <c r="K74" s="58"/>
      <c r="L74" s="58">
        <v>0</v>
      </c>
      <c r="M74" s="58"/>
      <c r="N74" s="58">
        <f>'1.19'!G26</f>
        <v>65342</v>
      </c>
      <c r="O74" s="58"/>
      <c r="P74" s="112">
        <f>+L74-N74</f>
        <v>-65342</v>
      </c>
    </row>
    <row r="75" spans="1:16" s="535" customFormat="1" x14ac:dyDescent="0.25">
      <c r="A75" s="533"/>
      <c r="B75" s="537"/>
      <c r="C75" s="537"/>
      <c r="D75" s="537"/>
      <c r="E75" s="145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1:16" s="535" customFormat="1" x14ac:dyDescent="0.25">
      <c r="A76" s="533">
        <f>1+A74</f>
        <v>23</v>
      </c>
      <c r="B76" s="537" t="s">
        <v>597</v>
      </c>
      <c r="E76" s="145">
        <f>E74+0.01</f>
        <v>1.2000000000000002</v>
      </c>
      <c r="F76" s="58">
        <v>0</v>
      </c>
      <c r="G76" s="58"/>
      <c r="H76" s="58">
        <f>'1.20'!D22</f>
        <v>-1504636</v>
      </c>
      <c r="I76" s="58"/>
      <c r="J76" s="112">
        <f>+F76-H76</f>
        <v>1504636</v>
      </c>
      <c r="K76" s="58"/>
      <c r="L76" s="58">
        <v>0</v>
      </c>
      <c r="M76" s="58"/>
      <c r="N76" s="58">
        <v>0</v>
      </c>
      <c r="O76" s="58"/>
      <c r="P76" s="112">
        <f>+L76-N76</f>
        <v>0</v>
      </c>
    </row>
    <row r="77" spans="1:16" s="535" customFormat="1" x14ac:dyDescent="0.25">
      <c r="A77" s="533"/>
      <c r="B77" s="537"/>
      <c r="C77" s="537"/>
      <c r="D77" s="537"/>
      <c r="E77" s="145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1:16" s="535" customFormat="1" x14ac:dyDescent="0.25">
      <c r="A78" s="533">
        <f>1+A76</f>
        <v>24</v>
      </c>
      <c r="B78" s="537" t="s">
        <v>569</v>
      </c>
      <c r="E78" s="145">
        <f>E76+0.01</f>
        <v>1.2100000000000002</v>
      </c>
      <c r="F78" s="58">
        <v>0</v>
      </c>
      <c r="G78" s="58"/>
      <c r="H78" s="58">
        <f>'1.21'!F37</f>
        <v>-1044188</v>
      </c>
      <c r="I78" s="58"/>
      <c r="J78" s="112">
        <f>+F78-H78</f>
        <v>1044188</v>
      </c>
      <c r="K78" s="58"/>
      <c r="L78" s="58">
        <v>0</v>
      </c>
      <c r="M78" s="58"/>
      <c r="N78" s="58">
        <v>0</v>
      </c>
      <c r="O78" s="58"/>
      <c r="P78" s="112">
        <f>+L78-N78</f>
        <v>0</v>
      </c>
    </row>
    <row r="79" spans="1:16" s="535" customFormat="1" x14ac:dyDescent="0.25">
      <c r="A79" s="533"/>
      <c r="B79" s="537"/>
      <c r="C79" s="537"/>
      <c r="D79" s="537"/>
      <c r="E79" s="145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1:16" s="535" customFormat="1" x14ac:dyDescent="0.25">
      <c r="A80" s="533">
        <f>1+A78</f>
        <v>25</v>
      </c>
      <c r="B80" s="537" t="s">
        <v>592</v>
      </c>
      <c r="E80" s="145">
        <f>E78+0.01</f>
        <v>1.2200000000000002</v>
      </c>
      <c r="F80" s="58">
        <v>0</v>
      </c>
      <c r="G80" s="58"/>
      <c r="H80" s="58">
        <f>'1.22'!C26</f>
        <v>30528</v>
      </c>
      <c r="I80" s="58"/>
      <c r="J80" s="112">
        <f>+F80-H80</f>
        <v>-30528</v>
      </c>
      <c r="K80" s="58"/>
      <c r="L80" s="58">
        <v>0</v>
      </c>
      <c r="M80" s="58"/>
      <c r="N80" s="58">
        <f>'1.22'!E26</f>
        <v>9941</v>
      </c>
      <c r="O80" s="58"/>
      <c r="P80" s="112">
        <f>+L80-N80</f>
        <v>-9941</v>
      </c>
    </row>
    <row r="81" spans="1:22" s="535" customFormat="1" x14ac:dyDescent="0.25">
      <c r="A81" s="533"/>
      <c r="B81" s="537"/>
      <c r="C81" s="537"/>
      <c r="D81" s="537"/>
      <c r="E81" s="145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1:22" s="535" customFormat="1" x14ac:dyDescent="0.25">
      <c r="A82" s="533">
        <f>1+A80</f>
        <v>26</v>
      </c>
      <c r="B82" s="537" t="s">
        <v>609</v>
      </c>
      <c r="E82" s="145">
        <f>E80+0.01</f>
        <v>1.2300000000000002</v>
      </c>
      <c r="F82" s="58">
        <v>0</v>
      </c>
      <c r="G82" s="58"/>
      <c r="H82" s="58">
        <f>'1.23'!D42</f>
        <v>-47037</v>
      </c>
      <c r="I82" s="58"/>
      <c r="J82" s="112">
        <f>+F82-H82</f>
        <v>47037</v>
      </c>
      <c r="K82" s="58"/>
      <c r="L82" s="58">
        <v>0</v>
      </c>
      <c r="M82" s="58"/>
      <c r="N82" s="58">
        <f>'1.23'!F42</f>
        <v>23863</v>
      </c>
      <c r="O82" s="58"/>
      <c r="P82" s="112">
        <f>+L82-N82</f>
        <v>-23863</v>
      </c>
    </row>
    <row r="83" spans="1:22" s="535" customFormat="1" x14ac:dyDescent="0.25">
      <c r="A83" s="533"/>
      <c r="B83" s="537"/>
      <c r="C83" s="537"/>
      <c r="D83" s="537"/>
      <c r="E83" s="145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4" spans="1:22" s="535" customFormat="1" x14ac:dyDescent="0.25">
      <c r="A84" s="533">
        <f>1+A82</f>
        <v>27</v>
      </c>
      <c r="B84" s="537" t="s">
        <v>583</v>
      </c>
      <c r="E84" s="145">
        <f>E82+0.01</f>
        <v>1.2400000000000002</v>
      </c>
      <c r="F84" s="58">
        <v>0</v>
      </c>
      <c r="G84" s="58"/>
      <c r="H84" s="58">
        <f>'1.24'!G32</f>
        <v>102858</v>
      </c>
      <c r="I84" s="58"/>
      <c r="J84" s="112">
        <f>+F84-H84</f>
        <v>-102858</v>
      </c>
      <c r="K84" s="58"/>
      <c r="L84" s="58">
        <v>0</v>
      </c>
      <c r="M84" s="58"/>
      <c r="N84" s="58">
        <f>'1.24'!G34</f>
        <v>27325</v>
      </c>
      <c r="O84" s="58"/>
      <c r="P84" s="112">
        <f>+L84-N84</f>
        <v>-27325</v>
      </c>
    </row>
    <row r="85" spans="1:22" s="535" customFormat="1" x14ac:dyDescent="0.25">
      <c r="A85" s="533"/>
      <c r="B85" s="537"/>
      <c r="C85" s="537"/>
      <c r="D85" s="537"/>
      <c r="E85" s="145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spans="1:22" s="535" customFormat="1" x14ac:dyDescent="0.25">
      <c r="A86" s="533">
        <f>1+A84</f>
        <v>28</v>
      </c>
      <c r="B86" s="537" t="s">
        <v>585</v>
      </c>
      <c r="E86" s="145">
        <f>E84+0.01</f>
        <v>1.2500000000000002</v>
      </c>
      <c r="F86" s="58">
        <v>0</v>
      </c>
      <c r="G86" s="58"/>
      <c r="H86" s="58">
        <f>'1.25'!C26</f>
        <v>1610425</v>
      </c>
      <c r="I86" s="58"/>
      <c r="J86" s="112">
        <f>+F86-H86</f>
        <v>-1610425</v>
      </c>
      <c r="K86" s="58"/>
      <c r="L86" s="58">
        <v>0</v>
      </c>
      <c r="M86" s="58"/>
      <c r="N86" s="58">
        <v>0</v>
      </c>
      <c r="O86" s="58"/>
      <c r="P86" s="112">
        <f>+L86-N86</f>
        <v>0</v>
      </c>
    </row>
    <row r="87" spans="1:22" s="535" customFormat="1" x14ac:dyDescent="0.25">
      <c r="A87" s="533"/>
      <c r="B87" s="537"/>
      <c r="C87" s="537"/>
      <c r="D87" s="537"/>
      <c r="E87" s="145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1:22" x14ac:dyDescent="0.25">
      <c r="A88" s="533">
        <f>1+A86</f>
        <v>29</v>
      </c>
      <c r="B88" s="139" t="s">
        <v>381</v>
      </c>
      <c r="C88" s="106"/>
      <c r="D88" s="106"/>
      <c r="E88" s="145"/>
      <c r="F88" s="110"/>
      <c r="G88" s="110"/>
      <c r="H88" s="110"/>
      <c r="I88" s="146"/>
      <c r="J88" s="112"/>
      <c r="K88" s="58"/>
      <c r="L88" s="110"/>
      <c r="M88" s="110"/>
      <c r="N88" s="110"/>
      <c r="O88" s="146"/>
      <c r="P88" s="58"/>
    </row>
    <row r="89" spans="1:22" x14ac:dyDescent="0.25">
      <c r="A89" s="119"/>
      <c r="B89" s="119" t="s">
        <v>382</v>
      </c>
      <c r="C89" s="106"/>
      <c r="D89" s="106"/>
      <c r="E89" s="145">
        <f>E86+0.01</f>
        <v>1.2600000000000002</v>
      </c>
      <c r="F89" s="112">
        <v>0</v>
      </c>
      <c r="G89" s="147"/>
      <c r="H89" s="112">
        <v>0</v>
      </c>
      <c r="I89" s="113"/>
      <c r="J89" s="112">
        <f>+F89-H89</f>
        <v>0</v>
      </c>
      <c r="K89" s="58"/>
      <c r="L89" s="110">
        <f>+'1.26'!F19</f>
        <v>-146406353</v>
      </c>
      <c r="M89" s="110"/>
      <c r="N89" s="110">
        <f>+'1.26'!F21</f>
        <v>-136419357</v>
      </c>
      <c r="O89" s="113"/>
      <c r="P89" s="58">
        <f>+L89-N89</f>
        <v>-9986996</v>
      </c>
      <c r="R89" s="110"/>
      <c r="S89" s="110"/>
      <c r="T89" s="110"/>
      <c r="U89" s="113"/>
      <c r="V89" s="58"/>
    </row>
    <row r="90" spans="1:22" x14ac:dyDescent="0.25">
      <c r="B90" s="148"/>
      <c r="C90" s="148"/>
      <c r="D90" s="148"/>
      <c r="E90" s="145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1:22" s="535" customFormat="1" x14ac:dyDescent="0.25">
      <c r="A91" s="533">
        <f>1+A88</f>
        <v>30</v>
      </c>
      <c r="B91" s="537" t="s">
        <v>480</v>
      </c>
      <c r="E91" s="145">
        <f>E89+0.01</f>
        <v>1.2700000000000002</v>
      </c>
      <c r="F91" s="58">
        <v>0</v>
      </c>
      <c r="G91" s="58"/>
      <c r="H91" s="58">
        <v>0</v>
      </c>
      <c r="I91" s="58"/>
      <c r="J91" s="112">
        <f>+F91-H91</f>
        <v>0</v>
      </c>
      <c r="K91" s="58"/>
      <c r="L91" s="58">
        <f>'1.27'!E18</f>
        <v>2313121</v>
      </c>
      <c r="M91" s="58"/>
      <c r="N91" s="58">
        <v>0</v>
      </c>
      <c r="O91" s="58"/>
      <c r="P91" s="112">
        <f>+L91-N91</f>
        <v>2313121</v>
      </c>
    </row>
    <row r="92" spans="1:22" s="535" customFormat="1" x14ac:dyDescent="0.25">
      <c r="A92" s="533"/>
      <c r="B92" s="537"/>
      <c r="C92" s="537"/>
      <c r="D92" s="537"/>
      <c r="E92" s="145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1:22" s="535" customFormat="1" x14ac:dyDescent="0.25">
      <c r="A93" s="533">
        <f>1+A91</f>
        <v>31</v>
      </c>
      <c r="B93" s="537" t="s">
        <v>638</v>
      </c>
      <c r="E93" s="145">
        <f>E91+0.01</f>
        <v>1.2800000000000002</v>
      </c>
      <c r="F93" s="58">
        <v>0</v>
      </c>
      <c r="G93" s="58"/>
      <c r="H93" s="58">
        <v>0</v>
      </c>
      <c r="I93" s="58"/>
      <c r="J93" s="112">
        <f>+F93-H93</f>
        <v>0</v>
      </c>
      <c r="K93" s="58"/>
      <c r="L93" s="58">
        <v>0</v>
      </c>
      <c r="M93" s="58"/>
      <c r="N93" s="58">
        <f>'1.28'!E24</f>
        <v>-440662</v>
      </c>
      <c r="O93" s="58"/>
      <c r="P93" s="112">
        <f>+L93-N93</f>
        <v>440662</v>
      </c>
    </row>
    <row r="94" spans="1:22" x14ac:dyDescent="0.25">
      <c r="B94" s="232" t="s">
        <v>97</v>
      </c>
      <c r="C94" s="106"/>
      <c r="D94" s="106"/>
      <c r="E94" s="145"/>
      <c r="F94" s="110"/>
      <c r="G94" s="110"/>
      <c r="H94" s="110"/>
      <c r="I94" s="146"/>
      <c r="J94" s="112"/>
      <c r="K94" s="58"/>
      <c r="L94" s="110"/>
      <c r="M94" s="110"/>
      <c r="N94" s="110"/>
      <c r="O94" s="146"/>
      <c r="P94" s="112"/>
    </row>
    <row r="95" spans="1:22" ht="21.75" customHeight="1" x14ac:dyDescent="0.25">
      <c r="A95" s="115">
        <f>A93+1</f>
        <v>32</v>
      </c>
      <c r="B95" s="148" t="s">
        <v>137</v>
      </c>
      <c r="C95" s="106"/>
      <c r="D95" s="106"/>
      <c r="E95" s="145"/>
      <c r="F95" s="158">
        <f>SUM(F19:F49)+SUM(F67:F93)</f>
        <v>-64637980</v>
      </c>
      <c r="G95" s="156"/>
      <c r="H95" s="158">
        <f>SUM(H19:H49)+SUM(H67:H93)</f>
        <v>-54520587</v>
      </c>
      <c r="I95" s="157"/>
      <c r="J95" s="158">
        <f>SUM(J19:J49)+SUM(J67:J93)</f>
        <v>-10117393</v>
      </c>
      <c r="K95" s="157"/>
      <c r="L95" s="158">
        <f>SUM(L19:L49)+SUM(L67:L93)</f>
        <v>-141623839</v>
      </c>
      <c r="M95" s="156"/>
      <c r="N95" s="158">
        <f>SUM(N19:N49)+SUM(N67:N93)</f>
        <v>-138660291</v>
      </c>
      <c r="O95" s="157"/>
      <c r="P95" s="158">
        <f>SUM(P19:P49)+SUM(P67:P93)</f>
        <v>-2963548</v>
      </c>
    </row>
    <row r="96" spans="1:22" x14ac:dyDescent="0.25">
      <c r="B96" s="106"/>
      <c r="C96" s="106"/>
      <c r="D96" s="106"/>
      <c r="E96" s="152"/>
      <c r="F96" s="153"/>
      <c r="G96" s="153"/>
      <c r="H96" s="153"/>
      <c r="I96" s="154"/>
      <c r="J96" s="154"/>
      <c r="K96" s="106"/>
      <c r="L96" s="155"/>
      <c r="M96" s="153"/>
      <c r="N96" s="155"/>
      <c r="O96" s="154"/>
      <c r="P96" s="152"/>
    </row>
    <row r="97" spans="1:16" s="535" customFormat="1" x14ac:dyDescent="0.25">
      <c r="A97" s="533"/>
      <c r="B97" s="149"/>
      <c r="C97" s="150"/>
      <c r="D97" s="150"/>
      <c r="E97" s="145"/>
      <c r="F97" s="151"/>
      <c r="G97" s="151"/>
      <c r="H97" s="151"/>
      <c r="I97" s="150"/>
      <c r="J97" s="150"/>
      <c r="K97" s="150"/>
      <c r="L97" s="151"/>
      <c r="M97" s="151"/>
      <c r="N97" s="151"/>
      <c r="O97" s="150"/>
      <c r="P97" s="536" t="str">
        <f>P1</f>
        <v>Exhibit 1</v>
      </c>
    </row>
    <row r="98" spans="1:16" s="535" customFormat="1" x14ac:dyDescent="0.25">
      <c r="A98" s="533"/>
      <c r="B98" s="149"/>
      <c r="C98" s="150"/>
      <c r="D98" s="150"/>
      <c r="E98" s="145"/>
      <c r="F98" s="151"/>
      <c r="G98" s="151"/>
      <c r="H98" s="151"/>
      <c r="I98" s="150"/>
      <c r="J98" s="150"/>
      <c r="K98" s="150"/>
      <c r="L98" s="151"/>
      <c r="M98" s="151"/>
      <c r="N98" s="151"/>
      <c r="O98" s="150"/>
      <c r="P98" s="536" t="str">
        <f>P2</f>
        <v>Sponsoring Witness: Blake</v>
      </c>
    </row>
    <row r="99" spans="1:16" s="535" customFormat="1" x14ac:dyDescent="0.25">
      <c r="A99" s="533"/>
      <c r="C99" s="120"/>
      <c r="D99" s="120"/>
      <c r="E99" s="120"/>
      <c r="F99" s="121"/>
      <c r="G99" s="121"/>
      <c r="H99" s="121"/>
      <c r="I99" s="120"/>
      <c r="J99" s="120"/>
      <c r="K99" s="120"/>
      <c r="L99" s="121"/>
      <c r="M99" s="121"/>
      <c r="N99" s="122"/>
      <c r="O99" s="123"/>
      <c r="P99" s="536" t="s">
        <v>641</v>
      </c>
    </row>
    <row r="100" spans="1:16" s="535" customFormat="1" x14ac:dyDescent="0.25">
      <c r="A100" s="533"/>
      <c r="B100" s="706" t="s">
        <v>222</v>
      </c>
      <c r="C100" s="706"/>
      <c r="D100" s="706"/>
      <c r="E100" s="706"/>
      <c r="F100" s="706"/>
      <c r="G100" s="706"/>
      <c r="H100" s="706"/>
      <c r="I100" s="706"/>
      <c r="J100" s="706"/>
      <c r="K100" s="706"/>
      <c r="L100" s="706"/>
      <c r="M100" s="706"/>
      <c r="N100" s="706"/>
      <c r="O100" s="706"/>
      <c r="P100" s="706"/>
    </row>
    <row r="101" spans="1:16" s="535" customFormat="1" x14ac:dyDescent="0.25">
      <c r="A101" s="533"/>
      <c r="B101" s="125"/>
      <c r="C101" s="520"/>
      <c r="D101" s="520"/>
      <c r="E101" s="520"/>
      <c r="F101" s="117"/>
      <c r="G101" s="117"/>
      <c r="H101" s="117"/>
      <c r="I101" s="520"/>
      <c r="J101" s="520"/>
      <c r="K101" s="520"/>
      <c r="L101" s="117"/>
      <c r="M101" s="117"/>
      <c r="N101" s="117"/>
      <c r="O101" s="520"/>
    </row>
    <row r="102" spans="1:16" s="535" customFormat="1" x14ac:dyDescent="0.25">
      <c r="A102" s="533"/>
      <c r="B102" s="127" t="s">
        <v>312</v>
      </c>
      <c r="C102" s="120"/>
      <c r="D102" s="120"/>
      <c r="E102" s="120"/>
      <c r="F102" s="121"/>
      <c r="G102" s="121"/>
      <c r="H102" s="121"/>
      <c r="I102" s="120"/>
      <c r="J102" s="120"/>
      <c r="K102" s="120"/>
      <c r="L102" s="121"/>
      <c r="M102" s="121"/>
      <c r="N102" s="121"/>
      <c r="O102" s="120"/>
      <c r="P102" s="120"/>
    </row>
    <row r="103" spans="1:16" s="535" customFormat="1" x14ac:dyDescent="0.25">
      <c r="A103" s="533"/>
      <c r="B103" s="128" t="str">
        <f>B7</f>
        <v>For the Twelve Months Ended March 31, 2012</v>
      </c>
      <c r="C103" s="120"/>
      <c r="D103" s="120"/>
      <c r="E103" s="120"/>
      <c r="F103" s="121"/>
      <c r="G103" s="121"/>
      <c r="H103" s="121"/>
      <c r="I103" s="120"/>
      <c r="J103" s="120"/>
      <c r="K103" s="120"/>
      <c r="L103" s="121"/>
      <c r="M103" s="121"/>
      <c r="N103" s="121"/>
      <c r="O103" s="120"/>
      <c r="P103" s="120"/>
    </row>
    <row r="104" spans="1:16" s="535" customFormat="1" x14ac:dyDescent="0.25">
      <c r="A104" s="533"/>
      <c r="B104" s="120"/>
      <c r="C104" s="120"/>
      <c r="D104" s="120"/>
      <c r="E104" s="120"/>
      <c r="F104" s="121"/>
      <c r="G104" s="121"/>
      <c r="H104" s="121"/>
      <c r="I104" s="120"/>
      <c r="J104" s="120"/>
      <c r="K104" s="120"/>
      <c r="L104" s="121"/>
      <c r="M104" s="121"/>
      <c r="N104" s="121"/>
      <c r="O104" s="120"/>
      <c r="P104" s="120"/>
    </row>
    <row r="105" spans="1:16" s="535" customFormat="1" x14ac:dyDescent="0.25">
      <c r="A105" s="533"/>
      <c r="B105" s="520"/>
      <c r="C105" s="520"/>
      <c r="D105" s="521"/>
      <c r="E105" s="520"/>
      <c r="F105" s="117"/>
      <c r="G105" s="117"/>
      <c r="H105" s="117"/>
      <c r="I105" s="520"/>
      <c r="J105" s="520"/>
      <c r="K105" s="520"/>
      <c r="L105" s="117"/>
      <c r="M105" s="117"/>
      <c r="N105" s="117"/>
      <c r="O105" s="520"/>
      <c r="P105" s="520"/>
    </row>
    <row r="106" spans="1:16" s="535" customFormat="1" x14ac:dyDescent="0.25">
      <c r="A106" s="533"/>
      <c r="B106" s="520"/>
      <c r="C106" s="520"/>
      <c r="D106" s="520"/>
      <c r="E106" s="520"/>
      <c r="F106" s="131" t="s">
        <v>223</v>
      </c>
      <c r="G106" s="131"/>
      <c r="H106" s="131"/>
      <c r="I106" s="132"/>
      <c r="J106" s="132"/>
      <c r="K106" s="520"/>
      <c r="L106" s="131" t="s">
        <v>224</v>
      </c>
      <c r="M106" s="131"/>
      <c r="N106" s="131"/>
      <c r="O106" s="132"/>
      <c r="P106" s="132"/>
    </row>
    <row r="107" spans="1:16" s="535" customFormat="1" x14ac:dyDescent="0.25">
      <c r="A107" s="533"/>
      <c r="B107" s="520"/>
      <c r="C107" s="520"/>
      <c r="D107" s="520"/>
      <c r="E107" s="520"/>
      <c r="F107" s="117"/>
      <c r="G107" s="117"/>
      <c r="H107" s="117"/>
      <c r="I107" s="520"/>
      <c r="J107" s="133" t="s">
        <v>225</v>
      </c>
      <c r="K107" s="520"/>
      <c r="L107" s="117"/>
      <c r="M107" s="117"/>
      <c r="N107" s="117"/>
      <c r="O107" s="520"/>
      <c r="P107" s="133" t="s">
        <v>226</v>
      </c>
    </row>
    <row r="108" spans="1:16" s="535" customFormat="1" x14ac:dyDescent="0.25">
      <c r="A108" s="533"/>
      <c r="B108" s="520"/>
      <c r="C108" s="520"/>
      <c r="D108" s="520"/>
      <c r="E108" s="133" t="s">
        <v>227</v>
      </c>
      <c r="F108" s="134" t="s">
        <v>228</v>
      </c>
      <c r="G108" s="134"/>
      <c r="H108" s="134" t="s">
        <v>229</v>
      </c>
      <c r="I108" s="133"/>
      <c r="J108" s="133" t="s">
        <v>229</v>
      </c>
      <c r="K108" s="520"/>
      <c r="L108" s="134" t="s">
        <v>230</v>
      </c>
      <c r="M108" s="134"/>
      <c r="N108" s="134" t="s">
        <v>230</v>
      </c>
      <c r="O108" s="133"/>
      <c r="P108" s="133" t="s">
        <v>230</v>
      </c>
    </row>
    <row r="109" spans="1:16" s="535" customFormat="1" x14ac:dyDescent="0.25">
      <c r="A109" s="533"/>
      <c r="B109" s="520"/>
      <c r="C109" s="520"/>
      <c r="D109" s="520"/>
      <c r="E109" s="133" t="s">
        <v>231</v>
      </c>
      <c r="F109" s="134" t="s">
        <v>232</v>
      </c>
      <c r="G109" s="134"/>
      <c r="H109" s="134" t="s">
        <v>233</v>
      </c>
      <c r="I109" s="133"/>
      <c r="J109" s="133" t="s">
        <v>234</v>
      </c>
      <c r="K109" s="520"/>
      <c r="L109" s="134" t="s">
        <v>235</v>
      </c>
      <c r="M109" s="134"/>
      <c r="N109" s="134" t="s">
        <v>236</v>
      </c>
      <c r="O109" s="133"/>
      <c r="P109" s="133" t="s">
        <v>237</v>
      </c>
    </row>
    <row r="110" spans="1:16" s="535" customFormat="1" x14ac:dyDescent="0.25">
      <c r="A110" s="533"/>
      <c r="B110" s="537"/>
      <c r="C110" s="520"/>
      <c r="D110" s="520"/>
      <c r="E110" s="500" t="s">
        <v>238</v>
      </c>
      <c r="F110" s="136" t="s">
        <v>239</v>
      </c>
      <c r="G110" s="136"/>
      <c r="H110" s="136" t="s">
        <v>240</v>
      </c>
      <c r="I110" s="501"/>
      <c r="J110" s="501" t="s">
        <v>241</v>
      </c>
      <c r="K110" s="520"/>
      <c r="L110" s="138">
        <v>-5</v>
      </c>
      <c r="M110" s="136"/>
      <c r="N110" s="138">
        <v>-6</v>
      </c>
      <c r="O110" s="501"/>
      <c r="P110" s="500">
        <v>-7</v>
      </c>
    </row>
    <row r="111" spans="1:16" s="535" customFormat="1" x14ac:dyDescent="0.25">
      <c r="A111" s="533"/>
      <c r="B111" s="537"/>
      <c r="C111" s="520"/>
      <c r="D111" s="520"/>
      <c r="E111" s="145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</row>
    <row r="112" spans="1:16" s="535" customFormat="1" x14ac:dyDescent="0.25">
      <c r="A112" s="533">
        <f>1+A95</f>
        <v>33</v>
      </c>
      <c r="B112" s="139" t="s">
        <v>368</v>
      </c>
      <c r="C112" s="520"/>
      <c r="D112" s="520"/>
      <c r="E112" s="145"/>
      <c r="F112" s="117"/>
      <c r="G112" s="117"/>
      <c r="H112" s="117"/>
      <c r="I112" s="520"/>
      <c r="J112" s="159"/>
      <c r="K112" s="520"/>
      <c r="L112" s="117"/>
      <c r="M112" s="117"/>
      <c r="N112" s="117"/>
      <c r="O112" s="520"/>
      <c r="P112" s="520"/>
    </row>
    <row r="113" spans="1:16" s="535" customFormat="1" x14ac:dyDescent="0.25">
      <c r="A113" s="533"/>
      <c r="B113" s="139" t="s">
        <v>369</v>
      </c>
      <c r="C113" s="520"/>
      <c r="D113" s="520"/>
      <c r="E113" s="145"/>
      <c r="F113" s="117"/>
      <c r="G113" s="117"/>
      <c r="H113" s="117"/>
      <c r="I113" s="520"/>
      <c r="J113" s="520"/>
      <c r="K113" s="520"/>
      <c r="L113" s="117"/>
      <c r="M113" s="117"/>
      <c r="N113" s="117"/>
      <c r="O113" s="520"/>
      <c r="P113" s="520"/>
    </row>
    <row r="114" spans="1:16" s="535" customFormat="1" x14ac:dyDescent="0.25">
      <c r="A114" s="533"/>
      <c r="B114" s="139" t="s">
        <v>370</v>
      </c>
      <c r="C114" s="551">
        <f>+'1.29'!F30</f>
        <v>37.367441999999997</v>
      </c>
      <c r="D114" s="521" t="s">
        <v>242</v>
      </c>
      <c r="E114" s="145">
        <v>1.29</v>
      </c>
      <c r="F114" s="109"/>
      <c r="G114" s="109"/>
      <c r="H114" s="109">
        <f>ROUND((+J95*C114/100),0)</f>
        <v>-3780611</v>
      </c>
      <c r="I114" s="58"/>
      <c r="J114" s="112">
        <f>IF(F114-H114&lt;&gt;0,F114-H114," ")</f>
        <v>3780611</v>
      </c>
      <c r="K114" s="58"/>
      <c r="L114" s="109"/>
      <c r="M114" s="109"/>
      <c r="N114" s="109">
        <f>ROUND(((+P95)*C114/100),0)</f>
        <v>-1107402</v>
      </c>
      <c r="O114" s="58"/>
      <c r="P114" s="58">
        <f>IF(L114-N114&lt;&gt;0,L114-N114," ")</f>
        <v>1107402</v>
      </c>
    </row>
    <row r="115" spans="1:16" s="535" customFormat="1" x14ac:dyDescent="0.25">
      <c r="A115" s="533"/>
      <c r="B115" s="520"/>
      <c r="C115" s="520"/>
      <c r="D115" s="520"/>
      <c r="E115" s="145"/>
      <c r="F115" s="109"/>
      <c r="G115" s="109"/>
      <c r="H115" s="109"/>
      <c r="I115" s="58"/>
      <c r="J115" s="58"/>
      <c r="K115" s="58"/>
      <c r="L115" s="109"/>
      <c r="M115" s="109"/>
      <c r="N115" s="109"/>
      <c r="O115" s="58"/>
      <c r="P115" s="58"/>
    </row>
    <row r="116" spans="1:16" s="535" customFormat="1" x14ac:dyDescent="0.25">
      <c r="A116" s="533">
        <f>1+A112</f>
        <v>34</v>
      </c>
      <c r="B116" s="537" t="s">
        <v>368</v>
      </c>
      <c r="C116" s="520"/>
      <c r="D116" s="520"/>
      <c r="F116" s="109"/>
      <c r="G116" s="109"/>
      <c r="H116" s="109"/>
      <c r="I116" s="58"/>
      <c r="J116" s="112" t="str">
        <f>IF(F116-H116&lt;&gt;0,F116-H116," ")</f>
        <v xml:space="preserve"> </v>
      </c>
      <c r="K116" s="58"/>
      <c r="L116" s="109"/>
      <c r="M116" s="109"/>
      <c r="N116" s="109"/>
      <c r="O116" s="58"/>
      <c r="P116" s="58"/>
    </row>
    <row r="117" spans="1:16" s="535" customFormat="1" x14ac:dyDescent="0.25">
      <c r="A117" s="533"/>
      <c r="B117" s="139" t="s">
        <v>372</v>
      </c>
      <c r="C117" s="520"/>
      <c r="D117" s="520"/>
      <c r="E117" s="145"/>
      <c r="F117" s="109"/>
      <c r="G117" s="109"/>
      <c r="H117" s="109"/>
      <c r="I117" s="58"/>
      <c r="J117" s="112" t="str">
        <f>IF(F117-H117&lt;&gt;0,F117-H117," ")</f>
        <v xml:space="preserve"> </v>
      </c>
      <c r="K117" s="58"/>
      <c r="L117" s="109"/>
      <c r="M117" s="109"/>
      <c r="N117" s="109"/>
      <c r="O117" s="58"/>
      <c r="P117" s="58" t="str">
        <f>IF(L117-N117&lt;&gt;0,L117-N117," ")</f>
        <v xml:space="preserve"> </v>
      </c>
    </row>
    <row r="118" spans="1:16" s="535" customFormat="1" x14ac:dyDescent="0.25">
      <c r="A118" s="533"/>
      <c r="B118" s="139" t="s">
        <v>371</v>
      </c>
      <c r="C118" s="520"/>
      <c r="D118" s="520"/>
      <c r="E118" s="145">
        <f>0.01+E114</f>
        <v>1.3</v>
      </c>
      <c r="F118" s="109"/>
      <c r="G118" s="109"/>
      <c r="H118" s="109">
        <f>'1.30'!G31</f>
        <v>28247</v>
      </c>
      <c r="I118" s="58"/>
      <c r="J118" s="112">
        <f>+F118-H118</f>
        <v>-28247</v>
      </c>
      <c r="K118" s="58"/>
      <c r="L118" s="109"/>
      <c r="M118" s="109"/>
      <c r="N118" s="109">
        <f>'1.30'!I31</f>
        <v>67221</v>
      </c>
      <c r="O118" s="58"/>
      <c r="P118" s="112">
        <f>+L118-N118</f>
        <v>-67221</v>
      </c>
    </row>
    <row r="119" spans="1:16" s="535" customFormat="1" x14ac:dyDescent="0.25">
      <c r="A119" s="533"/>
      <c r="B119" s="139"/>
      <c r="C119" s="520"/>
      <c r="D119" s="520"/>
      <c r="E119" s="145"/>
      <c r="F119" s="109"/>
      <c r="G119" s="109"/>
      <c r="H119" s="109"/>
      <c r="I119" s="58"/>
      <c r="J119" s="112"/>
      <c r="K119" s="58"/>
      <c r="L119" s="109"/>
      <c r="M119" s="109"/>
      <c r="N119" s="109"/>
      <c r="O119" s="58"/>
      <c r="P119" s="112"/>
    </row>
    <row r="120" spans="1:16" s="535" customFormat="1" x14ac:dyDescent="0.25">
      <c r="A120" s="533">
        <f>1+A116</f>
        <v>35</v>
      </c>
      <c r="B120" s="537" t="s">
        <v>345</v>
      </c>
      <c r="C120" s="520"/>
      <c r="D120" s="520"/>
      <c r="E120" s="145">
        <f>0.01+E118</f>
        <v>1.31</v>
      </c>
      <c r="F120" s="109"/>
      <c r="G120" s="109"/>
      <c r="H120" s="109">
        <f>'1.31'!H32</f>
        <v>-608114</v>
      </c>
      <c r="I120" s="58"/>
      <c r="J120" s="112">
        <f>+F120-H120</f>
        <v>608114</v>
      </c>
      <c r="K120" s="58"/>
      <c r="L120" s="109"/>
      <c r="M120" s="109"/>
      <c r="N120" s="112">
        <f>'1.31'!J32</f>
        <v>-113553</v>
      </c>
      <c r="O120" s="58"/>
      <c r="P120" s="112">
        <f>+L120-N120</f>
        <v>113553</v>
      </c>
    </row>
    <row r="121" spans="1:16" s="535" customFormat="1" x14ac:dyDescent="0.25">
      <c r="A121" s="533"/>
      <c r="B121" s="139"/>
      <c r="C121" s="520"/>
      <c r="D121" s="520"/>
      <c r="E121" s="145"/>
      <c r="F121" s="109"/>
      <c r="G121" s="109"/>
      <c r="H121" s="109"/>
      <c r="I121" s="58"/>
      <c r="J121" s="112"/>
      <c r="K121" s="58"/>
      <c r="L121" s="109"/>
      <c r="M121" s="109"/>
      <c r="N121" s="109"/>
      <c r="O121" s="58"/>
      <c r="P121" s="112"/>
    </row>
    <row r="122" spans="1:16" s="535" customFormat="1" x14ac:dyDescent="0.25">
      <c r="A122" s="533">
        <f>1+A120</f>
        <v>36</v>
      </c>
      <c r="B122" s="537" t="s">
        <v>749</v>
      </c>
      <c r="C122" s="520"/>
      <c r="D122" s="520"/>
      <c r="E122" s="145">
        <f>0.01+E120</f>
        <v>1.32</v>
      </c>
      <c r="F122" s="109"/>
      <c r="G122" s="109"/>
      <c r="H122" s="112">
        <f>'1.32'!H23</f>
        <v>-85392</v>
      </c>
      <c r="I122" s="58"/>
      <c r="J122" s="112">
        <f>+F122-H122</f>
        <v>85392</v>
      </c>
      <c r="K122" s="58"/>
      <c r="L122" s="109"/>
      <c r="M122" s="109"/>
      <c r="N122" s="112">
        <f>'1.32'!J23</f>
        <v>0</v>
      </c>
      <c r="O122" s="58"/>
      <c r="P122" s="112">
        <f>+L122-N122</f>
        <v>0</v>
      </c>
    </row>
    <row r="123" spans="1:16" s="535" customFormat="1" x14ac:dyDescent="0.25">
      <c r="A123" s="533"/>
      <c r="B123" s="139"/>
      <c r="C123" s="520"/>
      <c r="D123" s="520"/>
      <c r="E123" s="145"/>
      <c r="F123" s="109"/>
      <c r="G123" s="109"/>
      <c r="H123" s="109"/>
      <c r="I123" s="58"/>
      <c r="J123" s="112"/>
      <c r="K123" s="58"/>
      <c r="L123" s="109"/>
      <c r="M123" s="109"/>
      <c r="N123" s="109"/>
      <c r="O123" s="58"/>
      <c r="P123" s="112"/>
    </row>
    <row r="124" spans="1:16" s="535" customFormat="1" x14ac:dyDescent="0.25">
      <c r="A124" s="533">
        <f>1+A122</f>
        <v>37</v>
      </c>
      <c r="B124" s="139" t="s">
        <v>750</v>
      </c>
      <c r="C124" s="520"/>
      <c r="D124" s="520"/>
      <c r="E124" s="145">
        <f>0.01+E122</f>
        <v>1.33</v>
      </c>
      <c r="F124" s="109"/>
      <c r="G124" s="109"/>
      <c r="H124" s="112">
        <f>'1.33'!H22</f>
        <v>326330</v>
      </c>
      <c r="I124" s="58"/>
      <c r="J124" s="112">
        <f>+F124-H124</f>
        <v>-326330</v>
      </c>
      <c r="K124" s="58"/>
      <c r="L124" s="109"/>
      <c r="M124" s="109"/>
      <c r="N124" s="112">
        <f>'1.33'!J22</f>
        <v>7274</v>
      </c>
      <c r="O124" s="58"/>
      <c r="P124" s="112">
        <f>+L124-N124</f>
        <v>-7274</v>
      </c>
    </row>
    <row r="125" spans="1:16" x14ac:dyDescent="0.25">
      <c r="B125" s="106"/>
      <c r="C125" s="106"/>
      <c r="D125" s="106"/>
      <c r="E125" s="145"/>
      <c r="F125" s="160"/>
      <c r="G125" s="161"/>
      <c r="H125" s="160"/>
      <c r="I125" s="162"/>
      <c r="J125" s="163"/>
      <c r="K125" s="58"/>
      <c r="L125" s="160"/>
      <c r="M125" s="161"/>
      <c r="N125" s="160"/>
      <c r="O125" s="162"/>
      <c r="P125" s="163"/>
    </row>
    <row r="126" spans="1:16" ht="21" customHeight="1" x14ac:dyDescent="0.25">
      <c r="A126" s="115">
        <f>A124+1</f>
        <v>38</v>
      </c>
      <c r="B126" s="148" t="s">
        <v>138</v>
      </c>
      <c r="C126" s="106"/>
      <c r="D126" s="106"/>
      <c r="E126" s="145"/>
      <c r="F126" s="164">
        <f>F95+SUM(F112:F125)</f>
        <v>-64637980</v>
      </c>
      <c r="G126" s="156"/>
      <c r="H126" s="164">
        <f>H95+SUM(H112:H125)</f>
        <v>-58640127</v>
      </c>
      <c r="I126" s="157"/>
      <c r="J126" s="164">
        <f>J95+SUM(J112:J125)</f>
        <v>-5997853</v>
      </c>
      <c r="K126" s="157"/>
      <c r="L126" s="164">
        <f>L95+SUM(L112:L125)</f>
        <v>-141623839</v>
      </c>
      <c r="M126" s="156"/>
      <c r="N126" s="164">
        <f>N95+SUM(N112:N125)</f>
        <v>-139806751</v>
      </c>
      <c r="O126" s="157"/>
      <c r="P126" s="164">
        <f>P95+SUM(P112:P125)</f>
        <v>-1817088</v>
      </c>
    </row>
    <row r="127" spans="1:16" x14ac:dyDescent="0.25">
      <c r="B127" s="106"/>
      <c r="C127" s="106"/>
      <c r="D127" s="106"/>
      <c r="E127" s="145"/>
      <c r="F127" s="160"/>
      <c r="G127" s="161"/>
      <c r="H127" s="160"/>
      <c r="I127" s="162"/>
      <c r="J127" s="163"/>
      <c r="K127" s="58"/>
      <c r="L127" s="160"/>
      <c r="M127" s="161"/>
      <c r="N127" s="160"/>
      <c r="O127" s="162"/>
      <c r="P127" s="163"/>
    </row>
    <row r="128" spans="1:16" ht="21.75" customHeight="1" thickBot="1" x14ac:dyDescent="0.3">
      <c r="A128" s="115">
        <f>1+A126</f>
        <v>39</v>
      </c>
      <c r="B128" s="148" t="s">
        <v>334</v>
      </c>
      <c r="C128" s="106"/>
      <c r="D128" s="106"/>
      <c r="E128" s="145"/>
      <c r="F128" s="165">
        <f>+F15+F126</f>
        <v>983266246</v>
      </c>
      <c r="G128" s="156"/>
      <c r="H128" s="165">
        <f>+H15+H126</f>
        <v>867018610</v>
      </c>
      <c r="I128" s="157"/>
      <c r="J128" s="166">
        <f>+J15+J126</f>
        <v>116247636</v>
      </c>
      <c r="K128" s="157"/>
      <c r="L128" s="165">
        <f>+L15+L126</f>
        <v>134318108</v>
      </c>
      <c r="M128" s="165"/>
      <c r="N128" s="165">
        <f>+N15+N126</f>
        <v>104183491</v>
      </c>
      <c r="O128" s="157"/>
      <c r="P128" s="166">
        <f>+P15+P126</f>
        <v>30134617</v>
      </c>
    </row>
    <row r="129" ht="16.5" thickTop="1" x14ac:dyDescent="0.25"/>
  </sheetData>
  <mergeCells count="6">
    <mergeCell ref="B4:P4"/>
    <mergeCell ref="B55:P55"/>
    <mergeCell ref="Q23:T23"/>
    <mergeCell ref="Q26:T26"/>
    <mergeCell ref="B100:P100"/>
    <mergeCell ref="Q24:T24"/>
  </mergeCells>
  <phoneticPr fontId="0" type="noConversion"/>
  <printOptions horizontalCentered="1" gridLinesSet="0"/>
  <pageMargins left="0.5" right="0.5" top="1" bottom="0" header="0.5" footer="0"/>
  <pageSetup scale="58" fitToHeight="2" orientation="landscape" cellComments="asDisplayed" r:id="rId1"/>
  <headerFooter alignWithMargins="0"/>
  <rowBreaks count="2" manualBreakCount="2">
    <brk id="51" max="15" man="1"/>
    <brk id="9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3" enableFormatConditionsCalculation="0">
    <pageSetUpPr fitToPage="1"/>
  </sheetPr>
  <dimension ref="A3:I44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9.625" style="106"/>
    <col min="2" max="2" width="11.875" style="106" customWidth="1"/>
    <col min="3" max="3" width="12" style="106" customWidth="1"/>
    <col min="4" max="4" width="12.125" style="106" customWidth="1"/>
    <col min="5" max="5" width="8.25" style="106" customWidth="1"/>
    <col min="6" max="6" width="1.625" style="106" customWidth="1"/>
    <col min="7" max="7" width="14" style="106" customWidth="1"/>
    <col min="8" max="8" width="3.375" style="106" customWidth="1"/>
    <col min="9" max="9" width="14" style="106" customWidth="1"/>
    <col min="10" max="16384" width="9.625" style="106"/>
  </cols>
  <sheetData>
    <row r="3" spans="1:9" x14ac:dyDescent="0.25">
      <c r="I3" s="293" t="str">
        <f>'Ex 1'!$P$1</f>
        <v>Exhibit 1</v>
      </c>
    </row>
    <row r="4" spans="1:9" x14ac:dyDescent="0.25">
      <c r="I4" s="337" t="str">
        <f>"Reference Schedule "&amp;Inputs!$A23&amp;""</f>
        <v>Reference Schedule 1.07</v>
      </c>
    </row>
    <row r="5" spans="1:9" x14ac:dyDescent="0.25">
      <c r="I5" s="11" t="str">
        <f>"Sponsoring Witness: "&amp;Inputs!$B23&amp;""</f>
        <v>Sponsoring Witness: Scott</v>
      </c>
    </row>
    <row r="8" spans="1:9" x14ac:dyDescent="0.25">
      <c r="A8" s="712" t="s">
        <v>222</v>
      </c>
      <c r="B8" s="712"/>
      <c r="C8" s="712"/>
      <c r="D8" s="712"/>
      <c r="E8" s="712"/>
      <c r="F8" s="712"/>
      <c r="G8" s="712"/>
      <c r="H8" s="712"/>
      <c r="I8" s="712"/>
    </row>
    <row r="9" spans="1:9" x14ac:dyDescent="0.25">
      <c r="A9" s="127"/>
      <c r="B9" s="127"/>
      <c r="C9" s="127"/>
      <c r="D9" s="127"/>
      <c r="E9" s="127"/>
      <c r="F9" s="127"/>
      <c r="G9" s="127"/>
    </row>
    <row r="10" spans="1:9" x14ac:dyDescent="0.25">
      <c r="A10" s="352"/>
      <c r="B10" s="127"/>
      <c r="C10" s="127"/>
      <c r="D10" s="127"/>
      <c r="E10" s="127"/>
      <c r="F10" s="127"/>
      <c r="G10" s="127"/>
    </row>
    <row r="11" spans="1:9" x14ac:dyDescent="0.25">
      <c r="A11" s="723" t="s">
        <v>490</v>
      </c>
      <c r="B11" s="709"/>
      <c r="C11" s="709"/>
      <c r="D11" s="709"/>
      <c r="E11" s="709"/>
      <c r="F11" s="709"/>
      <c r="G11" s="709"/>
      <c r="H11" s="709"/>
      <c r="I11" s="709"/>
    </row>
    <row r="12" spans="1:9" x14ac:dyDescent="0.25">
      <c r="A12" s="708" t="str">
        <f>"For the Twelve Months Ended "&amp;Inputs!B3&amp;""</f>
        <v>For the Twelve Months Ended March 31, 2012</v>
      </c>
      <c r="B12" s="708"/>
      <c r="C12" s="708"/>
      <c r="D12" s="708"/>
      <c r="E12" s="708"/>
      <c r="F12" s="708"/>
      <c r="G12" s="708"/>
      <c r="H12" s="708"/>
      <c r="I12" s="708"/>
    </row>
    <row r="13" spans="1:9" x14ac:dyDescent="0.25">
      <c r="B13" s="139"/>
    </row>
    <row r="15" spans="1:9" x14ac:dyDescent="0.25">
      <c r="G15" s="133"/>
    </row>
    <row r="16" spans="1:9" ht="26.25" customHeight="1" x14ac:dyDescent="0.4">
      <c r="F16" s="178"/>
      <c r="G16" s="183" t="s">
        <v>220</v>
      </c>
      <c r="I16" s="183" t="s">
        <v>221</v>
      </c>
    </row>
    <row r="17" spans="1:9" x14ac:dyDescent="0.25">
      <c r="F17" s="119"/>
    </row>
    <row r="18" spans="1:9" x14ac:dyDescent="0.25">
      <c r="A18" s="148" t="s">
        <v>4</v>
      </c>
      <c r="F18" s="111"/>
      <c r="G18" s="174">
        <v>-6021907</v>
      </c>
      <c r="I18" s="174">
        <v>0</v>
      </c>
    </row>
    <row r="19" spans="1:9" x14ac:dyDescent="0.25">
      <c r="A19" s="139"/>
      <c r="F19" s="111"/>
      <c r="G19" s="58"/>
    </row>
    <row r="20" spans="1:9" x14ac:dyDescent="0.25">
      <c r="A20" s="537" t="s">
        <v>483</v>
      </c>
      <c r="F20" s="111"/>
      <c r="G20" s="58">
        <f>2635+336</f>
        <v>2971</v>
      </c>
      <c r="I20" s="58">
        <v>0</v>
      </c>
    </row>
    <row r="21" spans="1:9" s="520" customFormat="1" x14ac:dyDescent="0.25">
      <c r="A21" s="139"/>
      <c r="F21" s="111"/>
      <c r="G21" s="58"/>
    </row>
    <row r="22" spans="1:9" s="520" customFormat="1" x14ac:dyDescent="0.25">
      <c r="A22" s="537" t="s">
        <v>458</v>
      </c>
      <c r="F22" s="111"/>
      <c r="G22" s="58">
        <v>3970877</v>
      </c>
      <c r="I22" s="58">
        <v>0</v>
      </c>
    </row>
    <row r="23" spans="1:9" x14ac:dyDescent="0.25">
      <c r="A23" s="139"/>
      <c r="F23" s="111"/>
      <c r="G23" s="58"/>
    </row>
    <row r="24" spans="1:9" x14ac:dyDescent="0.25">
      <c r="A24" s="537" t="s">
        <v>459</v>
      </c>
      <c r="F24" s="111"/>
      <c r="G24" s="58">
        <v>0</v>
      </c>
      <c r="I24" s="58">
        <v>-635460</v>
      </c>
    </row>
    <row r="25" spans="1:9" x14ac:dyDescent="0.25">
      <c r="A25" s="139"/>
      <c r="F25" s="111"/>
      <c r="G25" s="58"/>
    </row>
    <row r="26" spans="1:9" x14ac:dyDescent="0.25">
      <c r="A26" s="537" t="s">
        <v>460</v>
      </c>
      <c r="F26" s="111"/>
      <c r="G26" s="58">
        <v>3712000</v>
      </c>
      <c r="H26" s="520"/>
      <c r="I26" s="58">
        <v>0</v>
      </c>
    </row>
    <row r="27" spans="1:9" x14ac:dyDescent="0.25">
      <c r="A27" s="139"/>
      <c r="F27" s="119"/>
      <c r="G27" s="286"/>
      <c r="I27" s="286"/>
    </row>
    <row r="28" spans="1:9" ht="16.5" thickBot="1" x14ac:dyDescent="0.3">
      <c r="A28" s="537" t="s">
        <v>747</v>
      </c>
      <c r="F28" s="119"/>
      <c r="G28" s="248">
        <f>SUM(G18:G26)</f>
        <v>1663941</v>
      </c>
      <c r="I28" s="248">
        <f>SUM(I18:I26)</f>
        <v>-635460</v>
      </c>
    </row>
    <row r="29" spans="1:9" ht="16.5" thickTop="1" x14ac:dyDescent="0.25">
      <c r="A29" s="139"/>
      <c r="F29" s="119"/>
      <c r="G29" s="286"/>
      <c r="I29" s="286"/>
    </row>
    <row r="30" spans="1:9" ht="16.5" thickBot="1" x14ac:dyDescent="0.3">
      <c r="A30" s="537" t="s">
        <v>748</v>
      </c>
      <c r="F30" s="119"/>
      <c r="G30" s="248">
        <f>-G28</f>
        <v>-1663941</v>
      </c>
      <c r="I30" s="248">
        <f>-I28</f>
        <v>635460</v>
      </c>
    </row>
    <row r="31" spans="1:9" ht="16.5" thickTop="1" x14ac:dyDescent="0.25"/>
    <row r="33" spans="4:7" x14ac:dyDescent="0.25">
      <c r="D33" s="354"/>
      <c r="E33" s="119"/>
      <c r="F33" s="119"/>
      <c r="G33" s="119"/>
    </row>
    <row r="34" spans="4:7" x14ac:dyDescent="0.25">
      <c r="D34" s="209"/>
      <c r="E34" s="209"/>
      <c r="F34" s="119"/>
      <c r="G34" s="119"/>
    </row>
    <row r="35" spans="4:7" x14ac:dyDescent="0.25">
      <c r="D35" s="209"/>
      <c r="E35" s="209"/>
      <c r="F35" s="119"/>
      <c r="G35" s="119"/>
    </row>
    <row r="36" spans="4:7" x14ac:dyDescent="0.25">
      <c r="D36" s="209"/>
      <c r="E36" s="209"/>
      <c r="F36" s="119"/>
      <c r="G36" s="119"/>
    </row>
    <row r="37" spans="4:7" x14ac:dyDescent="0.25">
      <c r="D37" s="119"/>
      <c r="E37" s="209"/>
      <c r="F37" s="119"/>
      <c r="G37" s="111"/>
    </row>
    <row r="38" spans="4:7" x14ac:dyDescent="0.25">
      <c r="D38" s="354"/>
      <c r="E38" s="119"/>
      <c r="F38" s="119"/>
      <c r="G38" s="119"/>
    </row>
    <row r="39" spans="4:7" x14ac:dyDescent="0.25">
      <c r="D39" s="209"/>
      <c r="E39" s="209"/>
      <c r="F39" s="119"/>
      <c r="G39" s="119"/>
    </row>
    <row r="40" spans="4:7" x14ac:dyDescent="0.25">
      <c r="D40" s="209"/>
      <c r="E40" s="209"/>
      <c r="F40" s="119"/>
      <c r="G40" s="119"/>
    </row>
    <row r="41" spans="4:7" x14ac:dyDescent="0.25">
      <c r="D41" s="209"/>
      <c r="E41" s="209"/>
      <c r="F41" s="119"/>
      <c r="G41" s="119"/>
    </row>
    <row r="42" spans="4:7" x14ac:dyDescent="0.25">
      <c r="D42" s="119"/>
      <c r="E42" s="209"/>
      <c r="F42" s="119"/>
      <c r="G42" s="111"/>
    </row>
    <row r="43" spans="4:7" x14ac:dyDescent="0.25">
      <c r="D43" s="119"/>
      <c r="E43" s="119"/>
      <c r="F43" s="119"/>
      <c r="G43" s="119"/>
    </row>
    <row r="44" spans="4:7" x14ac:dyDescent="0.25">
      <c r="D44" s="119"/>
      <c r="E44" s="119"/>
      <c r="F44" s="119"/>
      <c r="G44" s="119"/>
    </row>
  </sheetData>
  <mergeCells count="3">
    <mergeCell ref="A8:I8"/>
    <mergeCell ref="A11:I11"/>
    <mergeCell ref="A12:I12"/>
  </mergeCells>
  <phoneticPr fontId="0" type="noConversion"/>
  <printOptions horizontalCentered="1" gridLinesSet="0"/>
  <pageMargins left="1.25" right="0.75" top="1" bottom="1" header="0.5" footer="0.5"/>
  <pageSetup scale="8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 enableFormatConditionsCalculation="0">
    <pageSetUpPr fitToPage="1"/>
  </sheetPr>
  <dimension ref="A3:D37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66.375" style="106" customWidth="1"/>
    <col min="2" max="2" width="14.125" style="106" customWidth="1"/>
    <col min="3" max="3" width="2.125" style="106" customWidth="1"/>
    <col min="4" max="16384" width="9.625" style="106"/>
  </cols>
  <sheetData>
    <row r="3" spans="1:2" x14ac:dyDescent="0.25">
      <c r="B3" s="293" t="str">
        <f>'Ex 1'!$P$1</f>
        <v>Exhibit 1</v>
      </c>
    </row>
    <row r="4" spans="1:2" x14ac:dyDescent="0.25">
      <c r="B4" s="337" t="str">
        <f>"Reference Schedule "&amp;Inputs!$A24&amp;""</f>
        <v>Reference Schedule 1.08</v>
      </c>
    </row>
    <row r="5" spans="1:2" x14ac:dyDescent="0.25">
      <c r="B5" s="11" t="str">
        <f>"Sponsoring Witness: "&amp;Inputs!$B24&amp;""</f>
        <v>Sponsoring Witness: Scott</v>
      </c>
    </row>
    <row r="8" spans="1:2" x14ac:dyDescent="0.25">
      <c r="A8" s="344" t="s">
        <v>222</v>
      </c>
      <c r="B8" s="127"/>
    </row>
    <row r="9" spans="1:2" x14ac:dyDescent="0.25">
      <c r="A9" s="127"/>
      <c r="B9" s="127"/>
    </row>
    <row r="10" spans="1:2" x14ac:dyDescent="0.25">
      <c r="A10" s="352"/>
      <c r="B10" s="127"/>
    </row>
    <row r="11" spans="1:2" x14ac:dyDescent="0.25">
      <c r="A11" s="120" t="s">
        <v>427</v>
      </c>
      <c r="B11" s="120"/>
    </row>
    <row r="12" spans="1:2" x14ac:dyDescent="0.25">
      <c r="A12" s="128" t="str">
        <f>"For the Twelve Months Ended "&amp;Inputs!B3&amp;""</f>
        <v>For the Twelve Months Ended March 31, 2012</v>
      </c>
      <c r="B12" s="128"/>
    </row>
    <row r="15" spans="1:2" x14ac:dyDescent="0.25">
      <c r="B15" s="133"/>
    </row>
    <row r="16" spans="1:2" ht="21.75" customHeight="1" x14ac:dyDescent="0.4">
      <c r="B16" s="183" t="s">
        <v>220</v>
      </c>
    </row>
    <row r="17" spans="1:4" x14ac:dyDescent="0.25">
      <c r="B17" s="129"/>
    </row>
    <row r="18" spans="1:4" x14ac:dyDescent="0.25">
      <c r="A18" s="139" t="s">
        <v>428</v>
      </c>
      <c r="B18" s="71">
        <v>2055720</v>
      </c>
    </row>
    <row r="20" spans="1:4" x14ac:dyDescent="0.25">
      <c r="A20" s="139" t="s">
        <v>429</v>
      </c>
      <c r="B20" s="58">
        <v>4796799</v>
      </c>
    </row>
    <row r="21" spans="1:4" x14ac:dyDescent="0.25">
      <c r="A21" s="148" t="s">
        <v>284</v>
      </c>
      <c r="B21" s="353"/>
    </row>
    <row r="22" spans="1:4" ht="16.5" thickBot="1" x14ac:dyDescent="0.3">
      <c r="A22" s="139" t="s">
        <v>430</v>
      </c>
      <c r="B22" s="248">
        <f>+B18-B20</f>
        <v>-2741079</v>
      </c>
    </row>
    <row r="23" spans="1:4" ht="16.5" thickTop="1" x14ac:dyDescent="0.25">
      <c r="A23" s="139"/>
      <c r="B23" s="111"/>
    </row>
    <row r="24" spans="1:4" ht="16.5" thickBot="1" x14ac:dyDescent="0.3">
      <c r="A24" s="139" t="s">
        <v>431</v>
      </c>
      <c r="B24" s="248">
        <f>-B22</f>
        <v>2741079</v>
      </c>
    </row>
    <row r="25" spans="1:4" ht="16.5" thickTop="1" x14ac:dyDescent="0.25">
      <c r="B25" s="58"/>
    </row>
    <row r="26" spans="1:4" ht="16.5" thickBot="1" x14ac:dyDescent="0.3">
      <c r="A26" s="139" t="s">
        <v>432</v>
      </c>
      <c r="B26" s="248">
        <v>67301</v>
      </c>
      <c r="C26" s="106" t="s">
        <v>366</v>
      </c>
      <c r="D26" s="148"/>
    </row>
    <row r="27" spans="1:4" ht="16.5" thickTop="1" x14ac:dyDescent="0.25">
      <c r="B27" s="174"/>
    </row>
    <row r="28" spans="1:4" ht="16.5" thickBot="1" x14ac:dyDescent="0.3">
      <c r="A28" s="139" t="s">
        <v>433</v>
      </c>
      <c r="B28" s="248">
        <f>-B26</f>
        <v>-67301</v>
      </c>
    </row>
    <row r="29" spans="1:4" ht="16.5" thickTop="1" x14ac:dyDescent="0.25">
      <c r="B29" s="174"/>
    </row>
    <row r="30" spans="1:4" ht="16.5" thickBot="1" x14ac:dyDescent="0.3">
      <c r="A30" s="139" t="s">
        <v>186</v>
      </c>
      <c r="B30" s="248">
        <f>+B24-B28</f>
        <v>2808380</v>
      </c>
    </row>
    <row r="31" spans="1:4" ht="16.5" thickTop="1" x14ac:dyDescent="0.25">
      <c r="A31" s="139"/>
    </row>
    <row r="33" spans="1:2" x14ac:dyDescent="0.25">
      <c r="A33" s="148"/>
    </row>
    <row r="34" spans="1:2" x14ac:dyDescent="0.25">
      <c r="A34" s="537" t="s">
        <v>635</v>
      </c>
    </row>
    <row r="35" spans="1:2" x14ac:dyDescent="0.25">
      <c r="A35" s="148" t="s">
        <v>68</v>
      </c>
    </row>
    <row r="36" spans="1:2" x14ac:dyDescent="0.25">
      <c r="A36" s="139"/>
    </row>
    <row r="37" spans="1:2" x14ac:dyDescent="0.25">
      <c r="A37" s="139"/>
      <c r="B37" s="139"/>
    </row>
  </sheetData>
  <phoneticPr fontId="0" type="noConversion"/>
  <printOptions horizontalCentered="1" gridLinesSet="0"/>
  <pageMargins left="1.25" right="0.75" top="1" bottom="1" header="0.5" footer="0.5"/>
  <pageSetup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pageSetUpPr fitToPage="1"/>
  </sheetPr>
  <dimension ref="A3:B28"/>
  <sheetViews>
    <sheetView showGridLines="0" zoomScaleNormal="100" zoomScaleSheetLayoutView="70" workbookViewId="0">
      <selection activeCell="A3" sqref="A3"/>
    </sheetView>
  </sheetViews>
  <sheetFormatPr defaultColWidth="9.625" defaultRowHeight="15.75" x14ac:dyDescent="0.25"/>
  <cols>
    <col min="1" max="1" width="76.25" style="431" customWidth="1"/>
    <col min="2" max="2" width="14.125" style="431" customWidth="1"/>
    <col min="3" max="3" width="2.125" style="431" customWidth="1"/>
    <col min="4" max="4" width="11" style="431" customWidth="1"/>
    <col min="5" max="16384" width="9.625" style="431"/>
  </cols>
  <sheetData>
    <row r="3" spans="1:2" x14ac:dyDescent="0.25">
      <c r="B3" s="293" t="str">
        <f>'Ex 1'!$P$1</f>
        <v>Exhibit 1</v>
      </c>
    </row>
    <row r="4" spans="1:2" x14ac:dyDescent="0.25">
      <c r="B4" s="337" t="str">
        <f>"Reference Schedule "&amp;Inputs!$A25&amp;""</f>
        <v>Reference Schedule 1.09</v>
      </c>
    </row>
    <row r="5" spans="1:2" x14ac:dyDescent="0.25">
      <c r="B5" s="11" t="str">
        <f>"Sponsoring Witness: "&amp;Inputs!$B25&amp;""</f>
        <v>Sponsoring Witness: Bellar</v>
      </c>
    </row>
    <row r="8" spans="1:2" x14ac:dyDescent="0.25">
      <c r="A8" s="344" t="s">
        <v>222</v>
      </c>
      <c r="B8" s="432"/>
    </row>
    <row r="9" spans="1:2" x14ac:dyDescent="0.25">
      <c r="A9" s="432"/>
      <c r="B9" s="432"/>
    </row>
    <row r="10" spans="1:2" x14ac:dyDescent="0.25">
      <c r="A10" s="658"/>
      <c r="B10" s="432"/>
    </row>
    <row r="11" spans="1:2" x14ac:dyDescent="0.25">
      <c r="A11" s="432" t="s">
        <v>662</v>
      </c>
      <c r="B11" s="432"/>
    </row>
    <row r="12" spans="1:2" x14ac:dyDescent="0.25">
      <c r="A12" s="433" t="str">
        <f>"For the Twelve Months Ended "&amp;Inputs!B3&amp;""</f>
        <v>For the Twelve Months Ended March 31, 2012</v>
      </c>
      <c r="B12" s="433"/>
    </row>
    <row r="15" spans="1:2" x14ac:dyDescent="0.25">
      <c r="B15" s="649"/>
    </row>
    <row r="16" spans="1:2" ht="20.100000000000001" customHeight="1" x14ac:dyDescent="0.4">
      <c r="B16" s="183" t="s">
        <v>220</v>
      </c>
    </row>
    <row r="17" spans="1:2" x14ac:dyDescent="0.25">
      <c r="B17" s="435"/>
    </row>
    <row r="18" spans="1:2" x14ac:dyDescent="0.25">
      <c r="A18" s="436" t="s">
        <v>730</v>
      </c>
      <c r="B18" s="35">
        <v>209249</v>
      </c>
    </row>
    <row r="19" spans="1:2" x14ac:dyDescent="0.25">
      <c r="B19" s="435"/>
    </row>
    <row r="20" spans="1:2" x14ac:dyDescent="0.25">
      <c r="A20" s="436" t="s">
        <v>666</v>
      </c>
      <c r="B20" s="35">
        <f>ROUND(B18*4,0)</f>
        <v>836996</v>
      </c>
    </row>
    <row r="21" spans="1:2" x14ac:dyDescent="0.25">
      <c r="B21" s="435"/>
    </row>
    <row r="22" spans="1:2" x14ac:dyDescent="0.25">
      <c r="A22" s="436" t="s">
        <v>664</v>
      </c>
      <c r="B22" s="422">
        <f>4204382+2741079</f>
        <v>6945461</v>
      </c>
    </row>
    <row r="23" spans="1:2" x14ac:dyDescent="0.25">
      <c r="B23" s="525"/>
    </row>
    <row r="24" spans="1:2" ht="16.5" thickBot="1" x14ac:dyDescent="0.3">
      <c r="A24" s="436" t="s">
        <v>665</v>
      </c>
      <c r="B24" s="40">
        <f>B20-B22</f>
        <v>-6108465</v>
      </c>
    </row>
    <row r="25" spans="1:2" ht="16.5" thickTop="1" x14ac:dyDescent="0.25">
      <c r="A25" s="434"/>
    </row>
    <row r="26" spans="1:2" x14ac:dyDescent="0.25">
      <c r="A26" s="434"/>
    </row>
    <row r="27" spans="1:2" x14ac:dyDescent="0.25">
      <c r="A27" s="436" t="s">
        <v>738</v>
      </c>
    </row>
    <row r="28" spans="1:2" x14ac:dyDescent="0.25">
      <c r="A28" s="436" t="s">
        <v>737</v>
      </c>
    </row>
  </sheetData>
  <printOptions horizontalCentered="1" gridLinesSet="0"/>
  <pageMargins left="1.25" right="0.75" top="1" bottom="1" header="0.5" footer="0.5"/>
  <pageSetup scale="8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 enableFormatConditionsCalculation="0">
    <pageSetUpPr fitToPage="1"/>
  </sheetPr>
  <dimension ref="A3:H24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43.625" style="2" customWidth="1"/>
    <col min="2" max="2" width="14.125" style="2" bestFit="1" customWidth="1"/>
    <col min="3" max="3" width="1.75" style="2" customWidth="1"/>
    <col min="4" max="4" width="12.5" style="2" customWidth="1"/>
    <col min="5" max="7" width="9.625" style="2"/>
    <col min="8" max="8" width="13.5" style="2" customWidth="1"/>
    <col min="9" max="16384" width="9.625" style="2"/>
  </cols>
  <sheetData>
    <row r="3" spans="1:4" x14ac:dyDescent="0.25">
      <c r="D3" s="293" t="str">
        <f>'Ex 1'!$P$1</f>
        <v>Exhibit 1</v>
      </c>
    </row>
    <row r="4" spans="1:4" x14ac:dyDescent="0.25">
      <c r="D4" s="337" t="str">
        <f>"Reference Schedule "&amp;Inputs!$A26&amp;""</f>
        <v>Reference Schedule 1.10</v>
      </c>
    </row>
    <row r="5" spans="1:4" x14ac:dyDescent="0.25">
      <c r="D5" s="11" t="str">
        <f>"Sponsoring Witness: "&amp;Inputs!$B26&amp;""</f>
        <v>Sponsoring Witness: Conroy</v>
      </c>
    </row>
    <row r="6" spans="1:4" x14ac:dyDescent="0.25">
      <c r="D6" s="7"/>
    </row>
    <row r="7" spans="1:4" x14ac:dyDescent="0.25">
      <c r="D7" s="7"/>
    </row>
    <row r="8" spans="1:4" x14ac:dyDescent="0.25">
      <c r="A8" s="14" t="s">
        <v>222</v>
      </c>
      <c r="B8" s="13"/>
      <c r="C8" s="13"/>
      <c r="D8" s="13"/>
    </row>
    <row r="9" spans="1:4" x14ac:dyDescent="0.25">
      <c r="A9" s="13"/>
      <c r="B9" s="13"/>
      <c r="C9" s="13"/>
      <c r="D9" s="13"/>
    </row>
    <row r="10" spans="1:4" s="528" customFormat="1" x14ac:dyDescent="0.25">
      <c r="A10" s="530"/>
      <c r="B10" s="530"/>
      <c r="C10" s="530"/>
      <c r="D10" s="530"/>
    </row>
    <row r="11" spans="1:4" x14ac:dyDescent="0.25">
      <c r="A11" s="5" t="s">
        <v>374</v>
      </c>
      <c r="B11" s="5"/>
      <c r="C11" s="5"/>
      <c r="D11" s="5"/>
    </row>
    <row r="12" spans="1:4" x14ac:dyDescent="0.25">
      <c r="A12" s="4" t="str">
        <f>"At "&amp;Inputs!B3&amp;""</f>
        <v>At March 31, 2012</v>
      </c>
      <c r="B12" s="4"/>
      <c r="C12" s="4"/>
      <c r="D12" s="4"/>
    </row>
    <row r="15" spans="1:4" x14ac:dyDescent="0.25">
      <c r="B15" s="8"/>
      <c r="D15" s="8"/>
    </row>
    <row r="16" spans="1:4" ht="23.25" customHeight="1" x14ac:dyDescent="0.4">
      <c r="B16" s="38" t="s">
        <v>220</v>
      </c>
      <c r="C16" s="39"/>
      <c r="D16" s="454" t="s">
        <v>221</v>
      </c>
    </row>
    <row r="17" spans="1:8" x14ac:dyDescent="0.25">
      <c r="B17" s="3"/>
      <c r="D17" s="3"/>
      <c r="H17" s="520"/>
    </row>
    <row r="18" spans="1:8" x14ac:dyDescent="0.25">
      <c r="A18" s="1" t="s">
        <v>169</v>
      </c>
      <c r="B18" s="71">
        <v>1202528</v>
      </c>
      <c r="C18" s="71"/>
      <c r="D18" s="71">
        <v>387739</v>
      </c>
      <c r="H18" s="71"/>
    </row>
    <row r="19" spans="1:8" x14ac:dyDescent="0.25">
      <c r="A19" s="1"/>
      <c r="B19" s="58"/>
      <c r="C19" s="58"/>
      <c r="D19" s="58"/>
      <c r="H19" s="58"/>
    </row>
    <row r="20" spans="1:8" x14ac:dyDescent="0.25">
      <c r="A20" s="1" t="s">
        <v>170</v>
      </c>
      <c r="B20" s="58">
        <v>803321</v>
      </c>
      <c r="C20" s="58"/>
      <c r="D20" s="58">
        <v>90963</v>
      </c>
      <c r="H20" s="58"/>
    </row>
    <row r="21" spans="1:8" x14ac:dyDescent="0.25">
      <c r="A21" s="12" t="s">
        <v>284</v>
      </c>
      <c r="B21" s="25"/>
      <c r="C21" s="37"/>
      <c r="D21" s="25"/>
      <c r="H21" s="679"/>
    </row>
    <row r="22" spans="1:8" x14ac:dyDescent="0.25">
      <c r="B22" s="57"/>
      <c r="C22" s="37"/>
      <c r="D22" s="57"/>
      <c r="H22" s="520"/>
    </row>
    <row r="23" spans="1:8" ht="16.5" thickBot="1" x14ac:dyDescent="0.3">
      <c r="A23" s="1" t="s">
        <v>171</v>
      </c>
      <c r="B23" s="166">
        <f>B18-B20</f>
        <v>399207</v>
      </c>
      <c r="C23" s="247"/>
      <c r="D23" s="166">
        <f>D18-D20</f>
        <v>296776</v>
      </c>
    </row>
    <row r="24" spans="1:8" ht="16.5" thickTop="1" x14ac:dyDescent="0.25"/>
  </sheetData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1111111111" enableFormatConditionsCalculation="0"/>
  <dimension ref="A1:I41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4" width="9.625" style="81"/>
    <col min="5" max="5" width="5.75" style="81" customWidth="1"/>
    <col min="6" max="6" width="12.625" style="81" customWidth="1"/>
    <col min="7" max="7" width="14.25" style="83" customWidth="1"/>
    <col min="8" max="8" width="2.75" style="81" customWidth="1"/>
    <col min="9" max="9" width="14" style="81" customWidth="1"/>
    <col min="10" max="10" width="12.75" style="81" customWidth="1"/>
    <col min="11" max="16384" width="9.625" style="81"/>
  </cols>
  <sheetData>
    <row r="1" spans="1:9" ht="15.75" x14ac:dyDescent="0.25">
      <c r="A1" s="10"/>
      <c r="B1" s="10"/>
      <c r="C1" s="10"/>
      <c r="D1" s="10"/>
      <c r="E1" s="10"/>
      <c r="F1" s="21"/>
      <c r="G1" s="81"/>
    </row>
    <row r="2" spans="1:9" ht="15.75" x14ac:dyDescent="0.25">
      <c r="A2" s="2"/>
      <c r="B2" s="2"/>
      <c r="C2" s="2"/>
      <c r="D2" s="2"/>
      <c r="E2" s="2"/>
      <c r="F2" s="21"/>
      <c r="G2" s="81"/>
    </row>
    <row r="3" spans="1:9" ht="15.75" x14ac:dyDescent="0.25">
      <c r="A3" s="2"/>
      <c r="B3" s="2"/>
      <c r="C3" s="2"/>
      <c r="D3" s="2"/>
      <c r="F3" s="21"/>
      <c r="G3" s="81"/>
      <c r="I3" s="293" t="str">
        <f>'Ex 1'!$P$1</f>
        <v>Exhibit 1</v>
      </c>
    </row>
    <row r="4" spans="1:9" ht="15.75" x14ac:dyDescent="0.25">
      <c r="A4" s="2"/>
      <c r="B4" s="2"/>
      <c r="C4" s="2"/>
      <c r="D4" s="2"/>
      <c r="F4" s="21"/>
      <c r="G4" s="81"/>
      <c r="I4" s="337" t="str">
        <f>"Reference Schedule "&amp;Inputs!$A27&amp;""</f>
        <v>Reference Schedule 1.11</v>
      </c>
    </row>
    <row r="5" spans="1:9" ht="15.75" x14ac:dyDescent="0.25">
      <c r="A5" s="2"/>
      <c r="B5" s="2"/>
      <c r="C5" s="2"/>
      <c r="D5" s="2"/>
      <c r="E5" s="2"/>
      <c r="F5" s="21"/>
      <c r="G5" s="81"/>
      <c r="I5" s="11" t="str">
        <f>"Sponsoring Witness: "&amp;Inputs!$B27&amp;""</f>
        <v>Sponsoring Witness: Conroy</v>
      </c>
    </row>
    <row r="6" spans="1:9" ht="15.75" x14ac:dyDescent="0.25">
      <c r="A6" s="2"/>
      <c r="B6" s="2"/>
      <c r="C6" s="2"/>
      <c r="D6" s="2"/>
      <c r="E6" s="2"/>
      <c r="F6" s="21"/>
      <c r="G6" s="7"/>
      <c r="I6" s="7"/>
    </row>
    <row r="7" spans="1:9" ht="15.75" x14ac:dyDescent="0.25">
      <c r="A7" s="2"/>
      <c r="B7" s="2"/>
      <c r="C7" s="2"/>
      <c r="D7" s="2"/>
      <c r="E7" s="2"/>
      <c r="F7" s="21"/>
      <c r="G7" s="7"/>
      <c r="I7" s="7"/>
    </row>
    <row r="8" spans="1:9" ht="15.75" x14ac:dyDescent="0.25">
      <c r="A8" s="721" t="s">
        <v>222</v>
      </c>
      <c r="B8" s="721"/>
      <c r="C8" s="721"/>
      <c r="D8" s="721"/>
      <c r="E8" s="721"/>
      <c r="F8" s="721"/>
      <c r="G8" s="721"/>
      <c r="H8" s="721"/>
      <c r="I8" s="721"/>
    </row>
    <row r="9" spans="1:9" ht="15.75" x14ac:dyDescent="0.25">
      <c r="A9" s="13"/>
      <c r="B9" s="13"/>
      <c r="C9" s="13"/>
      <c r="D9" s="13"/>
      <c r="E9" s="13"/>
      <c r="F9" s="21"/>
      <c r="G9" s="81"/>
    </row>
    <row r="10" spans="1:9" ht="15.75" x14ac:dyDescent="0.25">
      <c r="A10" s="13"/>
      <c r="B10" s="13"/>
      <c r="C10" s="13"/>
      <c r="D10" s="13"/>
      <c r="E10" s="13"/>
      <c r="F10" s="21"/>
      <c r="G10" s="81"/>
    </row>
    <row r="11" spans="1:9" ht="15.75" x14ac:dyDescent="0.25">
      <c r="A11" s="717" t="s">
        <v>712</v>
      </c>
      <c r="B11" s="707"/>
      <c r="C11" s="707"/>
      <c r="D11" s="707"/>
      <c r="E11" s="707"/>
      <c r="F11" s="707"/>
      <c r="G11" s="707"/>
      <c r="H11" s="707"/>
      <c r="I11" s="707"/>
    </row>
    <row r="12" spans="1:9" ht="15.75" x14ac:dyDescent="0.25">
      <c r="A12" s="708" t="str">
        <f>"As Applied to the Twelve Months Ended "&amp;Inputs!B3&amp;""</f>
        <v>As Applied to the Twelve Months Ended March 31, 2012</v>
      </c>
      <c r="B12" s="708"/>
      <c r="C12" s="708"/>
      <c r="D12" s="708"/>
      <c r="E12" s="708"/>
      <c r="F12" s="708"/>
      <c r="G12" s="708"/>
      <c r="H12" s="708"/>
      <c r="I12" s="708"/>
    </row>
    <row r="13" spans="1:9" ht="15.75" x14ac:dyDescent="0.25">
      <c r="A13" s="4"/>
      <c r="B13" s="4"/>
      <c r="C13" s="4"/>
      <c r="D13" s="4"/>
      <c r="E13" s="4"/>
      <c r="F13" s="104"/>
      <c r="G13" s="4"/>
      <c r="I13" s="4"/>
    </row>
    <row r="14" spans="1:9" ht="15.75" x14ac:dyDescent="0.25">
      <c r="A14" s="1"/>
      <c r="B14" s="2"/>
      <c r="C14" s="2"/>
      <c r="D14" s="2"/>
      <c r="E14" s="2"/>
      <c r="F14" s="21"/>
      <c r="G14" s="81"/>
    </row>
    <row r="15" spans="1:9" ht="15.75" x14ac:dyDescent="0.25">
      <c r="A15" s="2"/>
      <c r="B15" s="2"/>
      <c r="C15" s="2"/>
      <c r="D15" s="2"/>
      <c r="E15" s="2"/>
      <c r="F15" s="21"/>
      <c r="G15" s="81"/>
    </row>
    <row r="16" spans="1:9" ht="15.75" x14ac:dyDescent="0.25">
      <c r="A16" s="2"/>
      <c r="B16" s="2"/>
      <c r="C16" s="2"/>
      <c r="D16" s="2"/>
      <c r="E16" s="2"/>
      <c r="F16" s="17"/>
      <c r="G16" s="15" t="s">
        <v>220</v>
      </c>
      <c r="I16" s="15" t="s">
        <v>221</v>
      </c>
    </row>
    <row r="17" spans="1:9" ht="15.75" x14ac:dyDescent="0.25">
      <c r="A17" s="2"/>
      <c r="B17" s="2"/>
      <c r="C17" s="2"/>
      <c r="D17" s="2"/>
      <c r="E17" s="2"/>
      <c r="F17" s="83"/>
      <c r="G17" s="81"/>
    </row>
    <row r="18" spans="1:9" ht="15.75" x14ac:dyDescent="0.25">
      <c r="A18" s="12" t="s">
        <v>649</v>
      </c>
      <c r="F18" s="24"/>
      <c r="G18" s="33">
        <f>(19495-97974)-4099-5001</f>
        <v>-87579</v>
      </c>
      <c r="H18" s="443"/>
      <c r="I18" s="33">
        <v>0</v>
      </c>
    </row>
    <row r="19" spans="1:9" ht="15.75" x14ac:dyDescent="0.25">
      <c r="A19" s="12"/>
      <c r="F19" s="24"/>
      <c r="G19" s="24"/>
      <c r="I19" s="24"/>
    </row>
    <row r="20" spans="1:9" ht="15.75" x14ac:dyDescent="0.25">
      <c r="A20" s="12" t="s">
        <v>685</v>
      </c>
      <c r="F20" s="24"/>
      <c r="G20" s="24">
        <f>(190243-1310510)+(1198405-2223904)-103-3056</f>
        <v>-2148925</v>
      </c>
      <c r="I20" s="24">
        <v>0</v>
      </c>
    </row>
    <row r="21" spans="1:9" ht="15.75" x14ac:dyDescent="0.25">
      <c r="A21" s="12"/>
      <c r="F21" s="24"/>
      <c r="G21" s="24"/>
      <c r="I21" s="24"/>
    </row>
    <row r="22" spans="1:9" ht="15.75" x14ac:dyDescent="0.25">
      <c r="A22" s="12" t="s">
        <v>686</v>
      </c>
      <c r="F22" s="24"/>
      <c r="G22" s="24">
        <f>(2583250-3839632)+(10201-311216)</f>
        <v>-1557397</v>
      </c>
      <c r="I22" s="24">
        <v>0</v>
      </c>
    </row>
    <row r="23" spans="1:9" ht="15.75" x14ac:dyDescent="0.25">
      <c r="A23" s="12"/>
      <c r="F23" s="24"/>
      <c r="G23" s="24"/>
      <c r="I23" s="24"/>
    </row>
    <row r="24" spans="1:9" ht="15.75" x14ac:dyDescent="0.25">
      <c r="A24" s="12" t="s">
        <v>687</v>
      </c>
      <c r="F24" s="24"/>
      <c r="G24" s="24">
        <f>(2320061-140752)</f>
        <v>2179309</v>
      </c>
      <c r="I24" s="24">
        <v>0</v>
      </c>
    </row>
    <row r="25" spans="1:9" ht="15.75" x14ac:dyDescent="0.25">
      <c r="A25" s="12"/>
      <c r="F25" s="24"/>
      <c r="G25" s="24"/>
      <c r="I25" s="24"/>
    </row>
    <row r="26" spans="1:9" ht="15.75" x14ac:dyDescent="0.25">
      <c r="A26" s="12" t="s">
        <v>688</v>
      </c>
      <c r="F26" s="24"/>
      <c r="G26" s="24">
        <v>170526</v>
      </c>
      <c r="I26" s="24">
        <v>0</v>
      </c>
    </row>
    <row r="27" spans="1:9" ht="15.75" x14ac:dyDescent="0.25">
      <c r="A27" s="12"/>
      <c r="F27" s="24"/>
      <c r="G27" s="24"/>
      <c r="I27" s="24"/>
    </row>
    <row r="28" spans="1:9" ht="15.75" x14ac:dyDescent="0.25">
      <c r="A28" s="12" t="s">
        <v>689</v>
      </c>
      <c r="F28" s="24"/>
      <c r="G28" s="24">
        <v>837487</v>
      </c>
      <c r="I28" s="24">
        <v>0</v>
      </c>
    </row>
    <row r="29" spans="1:9" ht="15.75" x14ac:dyDescent="0.25">
      <c r="A29" s="12"/>
      <c r="F29" s="24"/>
      <c r="G29" s="24"/>
      <c r="I29" s="24"/>
    </row>
    <row r="30" spans="1:9" ht="15.75" x14ac:dyDescent="0.25">
      <c r="A30" s="12" t="s">
        <v>690</v>
      </c>
      <c r="F30" s="24"/>
      <c r="G30" s="24">
        <f>(294395-11476)</f>
        <v>282919</v>
      </c>
      <c r="I30" s="24">
        <v>0</v>
      </c>
    </row>
    <row r="31" spans="1:9" ht="15.75" x14ac:dyDescent="0.25">
      <c r="A31" s="12"/>
      <c r="F31" s="24"/>
      <c r="G31" s="24"/>
      <c r="I31" s="24"/>
    </row>
    <row r="32" spans="1:9" ht="15.75" x14ac:dyDescent="0.25">
      <c r="A32" s="12" t="s">
        <v>691</v>
      </c>
      <c r="F32" s="24"/>
      <c r="G32" s="24">
        <v>365</v>
      </c>
      <c r="I32" s="24">
        <v>0</v>
      </c>
    </row>
    <row r="33" spans="1:9" ht="15.75" x14ac:dyDescent="0.25">
      <c r="B33" s="9"/>
      <c r="C33" s="9"/>
      <c r="D33" s="9"/>
      <c r="F33" s="41"/>
      <c r="G33" s="33"/>
      <c r="I33" s="33"/>
    </row>
    <row r="34" spans="1:9" ht="15.75" x14ac:dyDescent="0.25">
      <c r="A34" s="12" t="s">
        <v>692</v>
      </c>
      <c r="F34" s="24"/>
      <c r="G34" s="112">
        <v>0</v>
      </c>
      <c r="H34" s="114"/>
      <c r="I34" s="112">
        <f>ROUND(-17638.73+-30632.44,0)</f>
        <v>-48271</v>
      </c>
    </row>
    <row r="35" spans="1:9" ht="15.75" x14ac:dyDescent="0.25">
      <c r="B35" s="9"/>
      <c r="C35" s="9"/>
      <c r="D35" s="9"/>
      <c r="F35" s="41"/>
      <c r="G35" s="33"/>
      <c r="I35" s="33"/>
    </row>
    <row r="36" spans="1:9" ht="15.75" x14ac:dyDescent="0.25">
      <c r="A36" s="12" t="s">
        <v>760</v>
      </c>
      <c r="F36" s="24"/>
      <c r="G36" s="112">
        <f>128769+93094</f>
        <v>221863</v>
      </c>
      <c r="H36" s="114"/>
      <c r="I36" s="112">
        <v>0</v>
      </c>
    </row>
    <row r="37" spans="1:9" ht="15.75" x14ac:dyDescent="0.25">
      <c r="B37" s="9"/>
      <c r="C37" s="9"/>
      <c r="D37" s="9"/>
      <c r="F37" s="41"/>
      <c r="G37" s="33"/>
      <c r="I37" s="33"/>
    </row>
    <row r="38" spans="1:9" ht="15.75" x14ac:dyDescent="0.25">
      <c r="A38" s="12" t="s">
        <v>761</v>
      </c>
      <c r="F38" s="24"/>
      <c r="G38" s="112">
        <v>0</v>
      </c>
      <c r="H38" s="114"/>
      <c r="I38" s="112">
        <v>-247029</v>
      </c>
    </row>
    <row r="39" spans="1:9" ht="15.75" x14ac:dyDescent="0.25">
      <c r="A39" s="1"/>
      <c r="F39" s="30"/>
      <c r="G39" s="70"/>
      <c r="I39" s="70"/>
    </row>
    <row r="40" spans="1:9" ht="16.5" thickBot="1" x14ac:dyDescent="0.3">
      <c r="A40" s="12" t="s">
        <v>762</v>
      </c>
      <c r="F40" s="30"/>
      <c r="G40" s="34">
        <f>ROUND(SUM(G18:G38),0)</f>
        <v>-101432</v>
      </c>
      <c r="I40" s="34">
        <f>ROUND(SUM(I18:I38),0)</f>
        <v>-295300</v>
      </c>
    </row>
    <row r="41" spans="1:9" ht="12.75" thickTop="1" x14ac:dyDescent="0.15">
      <c r="F41" s="83"/>
      <c r="G41" s="81"/>
    </row>
  </sheetData>
  <mergeCells count="3">
    <mergeCell ref="A8:I8"/>
    <mergeCell ref="A11:I11"/>
    <mergeCell ref="A12:I12"/>
  </mergeCells>
  <phoneticPr fontId="0" type="noConversion"/>
  <printOptions horizontalCentered="1" gridLinesSet="0"/>
  <pageMargins left="1.25" right="0.75" top="1" bottom="1" header="0.5" footer="0.5"/>
  <pageSetup scale="8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>
    <pageSetUpPr fitToPage="1"/>
  </sheetPr>
  <dimension ref="A3:D36"/>
  <sheetViews>
    <sheetView showGridLines="0" zoomScaleNormal="100" workbookViewId="0">
      <selection activeCell="B28" sqref="B28"/>
    </sheetView>
  </sheetViews>
  <sheetFormatPr defaultColWidth="9.625" defaultRowHeight="15.75" x14ac:dyDescent="0.25"/>
  <cols>
    <col min="1" max="1" width="73.125" style="2" customWidth="1"/>
    <col min="2" max="2" width="14.375" style="2" customWidth="1"/>
    <col min="3" max="3" width="3.75" style="21" customWidth="1"/>
    <col min="4" max="4" width="14.375" style="2" customWidth="1"/>
    <col min="5" max="5" width="9.625" style="2"/>
    <col min="6" max="6" width="13.125" style="2" customWidth="1"/>
    <col min="7" max="7" width="9.625" style="2"/>
    <col min="8" max="8" width="17.5" style="2" customWidth="1"/>
    <col min="9" max="256" width="9.625" style="2"/>
    <col min="257" max="257" width="63.625" style="2" customWidth="1"/>
    <col min="258" max="258" width="0" style="2" hidden="1" customWidth="1"/>
    <col min="259" max="259" width="14.375" style="2" customWidth="1"/>
    <col min="260" max="260" width="0" style="2" hidden="1" customWidth="1"/>
    <col min="261" max="512" width="9.625" style="2"/>
    <col min="513" max="513" width="63.625" style="2" customWidth="1"/>
    <col min="514" max="514" width="0" style="2" hidden="1" customWidth="1"/>
    <col min="515" max="515" width="14.375" style="2" customWidth="1"/>
    <col min="516" max="516" width="0" style="2" hidden="1" customWidth="1"/>
    <col min="517" max="768" width="9.625" style="2"/>
    <col min="769" max="769" width="63.625" style="2" customWidth="1"/>
    <col min="770" max="770" width="0" style="2" hidden="1" customWidth="1"/>
    <col min="771" max="771" width="14.375" style="2" customWidth="1"/>
    <col min="772" max="772" width="0" style="2" hidden="1" customWidth="1"/>
    <col min="773" max="1024" width="9.625" style="2"/>
    <col min="1025" max="1025" width="63.625" style="2" customWidth="1"/>
    <col min="1026" max="1026" width="0" style="2" hidden="1" customWidth="1"/>
    <col min="1027" max="1027" width="14.375" style="2" customWidth="1"/>
    <col min="1028" max="1028" width="0" style="2" hidden="1" customWidth="1"/>
    <col min="1029" max="1280" width="9.625" style="2"/>
    <col min="1281" max="1281" width="63.625" style="2" customWidth="1"/>
    <col min="1282" max="1282" width="0" style="2" hidden="1" customWidth="1"/>
    <col min="1283" max="1283" width="14.375" style="2" customWidth="1"/>
    <col min="1284" max="1284" width="0" style="2" hidden="1" customWidth="1"/>
    <col min="1285" max="1536" width="9.625" style="2"/>
    <col min="1537" max="1537" width="63.625" style="2" customWidth="1"/>
    <col min="1538" max="1538" width="0" style="2" hidden="1" customWidth="1"/>
    <col min="1539" max="1539" width="14.375" style="2" customWidth="1"/>
    <col min="1540" max="1540" width="0" style="2" hidden="1" customWidth="1"/>
    <col min="1541" max="1792" width="9.625" style="2"/>
    <col min="1793" max="1793" width="63.625" style="2" customWidth="1"/>
    <col min="1794" max="1794" width="0" style="2" hidden="1" customWidth="1"/>
    <col min="1795" max="1795" width="14.375" style="2" customWidth="1"/>
    <col min="1796" max="1796" width="0" style="2" hidden="1" customWidth="1"/>
    <col min="1797" max="2048" width="9.625" style="2"/>
    <col min="2049" max="2049" width="63.625" style="2" customWidth="1"/>
    <col min="2050" max="2050" width="0" style="2" hidden="1" customWidth="1"/>
    <col min="2051" max="2051" width="14.375" style="2" customWidth="1"/>
    <col min="2052" max="2052" width="0" style="2" hidden="1" customWidth="1"/>
    <col min="2053" max="2304" width="9.625" style="2"/>
    <col min="2305" max="2305" width="63.625" style="2" customWidth="1"/>
    <col min="2306" max="2306" width="0" style="2" hidden="1" customWidth="1"/>
    <col min="2307" max="2307" width="14.375" style="2" customWidth="1"/>
    <col min="2308" max="2308" width="0" style="2" hidden="1" customWidth="1"/>
    <col min="2309" max="2560" width="9.625" style="2"/>
    <col min="2561" max="2561" width="63.625" style="2" customWidth="1"/>
    <col min="2562" max="2562" width="0" style="2" hidden="1" customWidth="1"/>
    <col min="2563" max="2563" width="14.375" style="2" customWidth="1"/>
    <col min="2564" max="2564" width="0" style="2" hidden="1" customWidth="1"/>
    <col min="2565" max="2816" width="9.625" style="2"/>
    <col min="2817" max="2817" width="63.625" style="2" customWidth="1"/>
    <col min="2818" max="2818" width="0" style="2" hidden="1" customWidth="1"/>
    <col min="2819" max="2819" width="14.375" style="2" customWidth="1"/>
    <col min="2820" max="2820" width="0" style="2" hidden="1" customWidth="1"/>
    <col min="2821" max="3072" width="9.625" style="2"/>
    <col min="3073" max="3073" width="63.625" style="2" customWidth="1"/>
    <col min="3074" max="3074" width="0" style="2" hidden="1" customWidth="1"/>
    <col min="3075" max="3075" width="14.375" style="2" customWidth="1"/>
    <col min="3076" max="3076" width="0" style="2" hidden="1" customWidth="1"/>
    <col min="3077" max="3328" width="9.625" style="2"/>
    <col min="3329" max="3329" width="63.625" style="2" customWidth="1"/>
    <col min="3330" max="3330" width="0" style="2" hidden="1" customWidth="1"/>
    <col min="3331" max="3331" width="14.375" style="2" customWidth="1"/>
    <col min="3332" max="3332" width="0" style="2" hidden="1" customWidth="1"/>
    <col min="3333" max="3584" width="9.625" style="2"/>
    <col min="3585" max="3585" width="63.625" style="2" customWidth="1"/>
    <col min="3586" max="3586" width="0" style="2" hidden="1" customWidth="1"/>
    <col min="3587" max="3587" width="14.375" style="2" customWidth="1"/>
    <col min="3588" max="3588" width="0" style="2" hidden="1" customWidth="1"/>
    <col min="3589" max="3840" width="9.625" style="2"/>
    <col min="3841" max="3841" width="63.625" style="2" customWidth="1"/>
    <col min="3842" max="3842" width="0" style="2" hidden="1" customWidth="1"/>
    <col min="3843" max="3843" width="14.375" style="2" customWidth="1"/>
    <col min="3844" max="3844" width="0" style="2" hidden="1" customWidth="1"/>
    <col min="3845" max="4096" width="9.625" style="2"/>
    <col min="4097" max="4097" width="63.625" style="2" customWidth="1"/>
    <col min="4098" max="4098" width="0" style="2" hidden="1" customWidth="1"/>
    <col min="4099" max="4099" width="14.375" style="2" customWidth="1"/>
    <col min="4100" max="4100" width="0" style="2" hidden="1" customWidth="1"/>
    <col min="4101" max="4352" width="9.625" style="2"/>
    <col min="4353" max="4353" width="63.625" style="2" customWidth="1"/>
    <col min="4354" max="4354" width="0" style="2" hidden="1" customWidth="1"/>
    <col min="4355" max="4355" width="14.375" style="2" customWidth="1"/>
    <col min="4356" max="4356" width="0" style="2" hidden="1" customWidth="1"/>
    <col min="4357" max="4608" width="9.625" style="2"/>
    <col min="4609" max="4609" width="63.625" style="2" customWidth="1"/>
    <col min="4610" max="4610" width="0" style="2" hidden="1" customWidth="1"/>
    <col min="4611" max="4611" width="14.375" style="2" customWidth="1"/>
    <col min="4612" max="4612" width="0" style="2" hidden="1" customWidth="1"/>
    <col min="4613" max="4864" width="9.625" style="2"/>
    <col min="4865" max="4865" width="63.625" style="2" customWidth="1"/>
    <col min="4866" max="4866" width="0" style="2" hidden="1" customWidth="1"/>
    <col min="4867" max="4867" width="14.375" style="2" customWidth="1"/>
    <col min="4868" max="4868" width="0" style="2" hidden="1" customWidth="1"/>
    <col min="4869" max="5120" width="9.625" style="2"/>
    <col min="5121" max="5121" width="63.625" style="2" customWidth="1"/>
    <col min="5122" max="5122" width="0" style="2" hidden="1" customWidth="1"/>
    <col min="5123" max="5123" width="14.375" style="2" customWidth="1"/>
    <col min="5124" max="5124" width="0" style="2" hidden="1" customWidth="1"/>
    <col min="5125" max="5376" width="9.625" style="2"/>
    <col min="5377" max="5377" width="63.625" style="2" customWidth="1"/>
    <col min="5378" max="5378" width="0" style="2" hidden="1" customWidth="1"/>
    <col min="5379" max="5379" width="14.375" style="2" customWidth="1"/>
    <col min="5380" max="5380" width="0" style="2" hidden="1" customWidth="1"/>
    <col min="5381" max="5632" width="9.625" style="2"/>
    <col min="5633" max="5633" width="63.625" style="2" customWidth="1"/>
    <col min="5634" max="5634" width="0" style="2" hidden="1" customWidth="1"/>
    <col min="5635" max="5635" width="14.375" style="2" customWidth="1"/>
    <col min="5636" max="5636" width="0" style="2" hidden="1" customWidth="1"/>
    <col min="5637" max="5888" width="9.625" style="2"/>
    <col min="5889" max="5889" width="63.625" style="2" customWidth="1"/>
    <col min="5890" max="5890" width="0" style="2" hidden="1" customWidth="1"/>
    <col min="5891" max="5891" width="14.375" style="2" customWidth="1"/>
    <col min="5892" max="5892" width="0" style="2" hidden="1" customWidth="1"/>
    <col min="5893" max="6144" width="9.625" style="2"/>
    <col min="6145" max="6145" width="63.625" style="2" customWidth="1"/>
    <col min="6146" max="6146" width="0" style="2" hidden="1" customWidth="1"/>
    <col min="6147" max="6147" width="14.375" style="2" customWidth="1"/>
    <col min="6148" max="6148" width="0" style="2" hidden="1" customWidth="1"/>
    <col min="6149" max="6400" width="9.625" style="2"/>
    <col min="6401" max="6401" width="63.625" style="2" customWidth="1"/>
    <col min="6402" max="6402" width="0" style="2" hidden="1" customWidth="1"/>
    <col min="6403" max="6403" width="14.375" style="2" customWidth="1"/>
    <col min="6404" max="6404" width="0" style="2" hidden="1" customWidth="1"/>
    <col min="6405" max="6656" width="9.625" style="2"/>
    <col min="6657" max="6657" width="63.625" style="2" customWidth="1"/>
    <col min="6658" max="6658" width="0" style="2" hidden="1" customWidth="1"/>
    <col min="6659" max="6659" width="14.375" style="2" customWidth="1"/>
    <col min="6660" max="6660" width="0" style="2" hidden="1" customWidth="1"/>
    <col min="6661" max="6912" width="9.625" style="2"/>
    <col min="6913" max="6913" width="63.625" style="2" customWidth="1"/>
    <col min="6914" max="6914" width="0" style="2" hidden="1" customWidth="1"/>
    <col min="6915" max="6915" width="14.375" style="2" customWidth="1"/>
    <col min="6916" max="6916" width="0" style="2" hidden="1" customWidth="1"/>
    <col min="6917" max="7168" width="9.625" style="2"/>
    <col min="7169" max="7169" width="63.625" style="2" customWidth="1"/>
    <col min="7170" max="7170" width="0" style="2" hidden="1" customWidth="1"/>
    <col min="7171" max="7171" width="14.375" style="2" customWidth="1"/>
    <col min="7172" max="7172" width="0" style="2" hidden="1" customWidth="1"/>
    <col min="7173" max="7424" width="9.625" style="2"/>
    <col min="7425" max="7425" width="63.625" style="2" customWidth="1"/>
    <col min="7426" max="7426" width="0" style="2" hidden="1" customWidth="1"/>
    <col min="7427" max="7427" width="14.375" style="2" customWidth="1"/>
    <col min="7428" max="7428" width="0" style="2" hidden="1" customWidth="1"/>
    <col min="7429" max="7680" width="9.625" style="2"/>
    <col min="7681" max="7681" width="63.625" style="2" customWidth="1"/>
    <col min="7682" max="7682" width="0" style="2" hidden="1" customWidth="1"/>
    <col min="7683" max="7683" width="14.375" style="2" customWidth="1"/>
    <col min="7684" max="7684" width="0" style="2" hidden="1" customWidth="1"/>
    <col min="7685" max="7936" width="9.625" style="2"/>
    <col min="7937" max="7937" width="63.625" style="2" customWidth="1"/>
    <col min="7938" max="7938" width="0" style="2" hidden="1" customWidth="1"/>
    <col min="7939" max="7939" width="14.375" style="2" customWidth="1"/>
    <col min="7940" max="7940" width="0" style="2" hidden="1" customWidth="1"/>
    <col min="7941" max="8192" width="9.625" style="2"/>
    <col min="8193" max="8193" width="63.625" style="2" customWidth="1"/>
    <col min="8194" max="8194" width="0" style="2" hidden="1" customWidth="1"/>
    <col min="8195" max="8195" width="14.375" style="2" customWidth="1"/>
    <col min="8196" max="8196" width="0" style="2" hidden="1" customWidth="1"/>
    <col min="8197" max="8448" width="9.625" style="2"/>
    <col min="8449" max="8449" width="63.625" style="2" customWidth="1"/>
    <col min="8450" max="8450" width="0" style="2" hidden="1" customWidth="1"/>
    <col min="8451" max="8451" width="14.375" style="2" customWidth="1"/>
    <col min="8452" max="8452" width="0" style="2" hidden="1" customWidth="1"/>
    <col min="8453" max="8704" width="9.625" style="2"/>
    <col min="8705" max="8705" width="63.625" style="2" customWidth="1"/>
    <col min="8706" max="8706" width="0" style="2" hidden="1" customWidth="1"/>
    <col min="8707" max="8707" width="14.375" style="2" customWidth="1"/>
    <col min="8708" max="8708" width="0" style="2" hidden="1" customWidth="1"/>
    <col min="8709" max="8960" width="9.625" style="2"/>
    <col min="8961" max="8961" width="63.625" style="2" customWidth="1"/>
    <col min="8962" max="8962" width="0" style="2" hidden="1" customWidth="1"/>
    <col min="8963" max="8963" width="14.375" style="2" customWidth="1"/>
    <col min="8964" max="8964" width="0" style="2" hidden="1" customWidth="1"/>
    <col min="8965" max="9216" width="9.625" style="2"/>
    <col min="9217" max="9217" width="63.625" style="2" customWidth="1"/>
    <col min="9218" max="9218" width="0" style="2" hidden="1" customWidth="1"/>
    <col min="9219" max="9219" width="14.375" style="2" customWidth="1"/>
    <col min="9220" max="9220" width="0" style="2" hidden="1" customWidth="1"/>
    <col min="9221" max="9472" width="9.625" style="2"/>
    <col min="9473" max="9473" width="63.625" style="2" customWidth="1"/>
    <col min="9474" max="9474" width="0" style="2" hidden="1" customWidth="1"/>
    <col min="9475" max="9475" width="14.375" style="2" customWidth="1"/>
    <col min="9476" max="9476" width="0" style="2" hidden="1" customWidth="1"/>
    <col min="9477" max="9728" width="9.625" style="2"/>
    <col min="9729" max="9729" width="63.625" style="2" customWidth="1"/>
    <col min="9730" max="9730" width="0" style="2" hidden="1" customWidth="1"/>
    <col min="9731" max="9731" width="14.375" style="2" customWidth="1"/>
    <col min="9732" max="9732" width="0" style="2" hidden="1" customWidth="1"/>
    <col min="9733" max="9984" width="9.625" style="2"/>
    <col min="9985" max="9985" width="63.625" style="2" customWidth="1"/>
    <col min="9986" max="9986" width="0" style="2" hidden="1" customWidth="1"/>
    <col min="9987" max="9987" width="14.375" style="2" customWidth="1"/>
    <col min="9988" max="9988" width="0" style="2" hidden="1" customWidth="1"/>
    <col min="9989" max="10240" width="9.625" style="2"/>
    <col min="10241" max="10241" width="63.625" style="2" customWidth="1"/>
    <col min="10242" max="10242" width="0" style="2" hidden="1" customWidth="1"/>
    <col min="10243" max="10243" width="14.375" style="2" customWidth="1"/>
    <col min="10244" max="10244" width="0" style="2" hidden="1" customWidth="1"/>
    <col min="10245" max="10496" width="9.625" style="2"/>
    <col min="10497" max="10497" width="63.625" style="2" customWidth="1"/>
    <col min="10498" max="10498" width="0" style="2" hidden="1" customWidth="1"/>
    <col min="10499" max="10499" width="14.375" style="2" customWidth="1"/>
    <col min="10500" max="10500" width="0" style="2" hidden="1" customWidth="1"/>
    <col min="10501" max="10752" width="9.625" style="2"/>
    <col min="10753" max="10753" width="63.625" style="2" customWidth="1"/>
    <col min="10754" max="10754" width="0" style="2" hidden="1" customWidth="1"/>
    <col min="10755" max="10755" width="14.375" style="2" customWidth="1"/>
    <col min="10756" max="10756" width="0" style="2" hidden="1" customWidth="1"/>
    <col min="10757" max="11008" width="9.625" style="2"/>
    <col min="11009" max="11009" width="63.625" style="2" customWidth="1"/>
    <col min="11010" max="11010" width="0" style="2" hidden="1" customWidth="1"/>
    <col min="11011" max="11011" width="14.375" style="2" customWidth="1"/>
    <col min="11012" max="11012" width="0" style="2" hidden="1" customWidth="1"/>
    <col min="11013" max="11264" width="9.625" style="2"/>
    <col min="11265" max="11265" width="63.625" style="2" customWidth="1"/>
    <col min="11266" max="11266" width="0" style="2" hidden="1" customWidth="1"/>
    <col min="11267" max="11267" width="14.375" style="2" customWidth="1"/>
    <col min="11268" max="11268" width="0" style="2" hidden="1" customWidth="1"/>
    <col min="11269" max="11520" width="9.625" style="2"/>
    <col min="11521" max="11521" width="63.625" style="2" customWidth="1"/>
    <col min="11522" max="11522" width="0" style="2" hidden="1" customWidth="1"/>
    <col min="11523" max="11523" width="14.375" style="2" customWidth="1"/>
    <col min="11524" max="11524" width="0" style="2" hidden="1" customWidth="1"/>
    <col min="11525" max="11776" width="9.625" style="2"/>
    <col min="11777" max="11777" width="63.625" style="2" customWidth="1"/>
    <col min="11778" max="11778" width="0" style="2" hidden="1" customWidth="1"/>
    <col min="11779" max="11779" width="14.375" style="2" customWidth="1"/>
    <col min="11780" max="11780" width="0" style="2" hidden="1" customWidth="1"/>
    <col min="11781" max="12032" width="9.625" style="2"/>
    <col min="12033" max="12033" width="63.625" style="2" customWidth="1"/>
    <col min="12034" max="12034" width="0" style="2" hidden="1" customWidth="1"/>
    <col min="12035" max="12035" width="14.375" style="2" customWidth="1"/>
    <col min="12036" max="12036" width="0" style="2" hidden="1" customWidth="1"/>
    <col min="12037" max="12288" width="9.625" style="2"/>
    <col min="12289" max="12289" width="63.625" style="2" customWidth="1"/>
    <col min="12290" max="12290" width="0" style="2" hidden="1" customWidth="1"/>
    <col min="12291" max="12291" width="14.375" style="2" customWidth="1"/>
    <col min="12292" max="12292" width="0" style="2" hidden="1" customWidth="1"/>
    <col min="12293" max="12544" width="9.625" style="2"/>
    <col min="12545" max="12545" width="63.625" style="2" customWidth="1"/>
    <col min="12546" max="12546" width="0" style="2" hidden="1" customWidth="1"/>
    <col min="12547" max="12547" width="14.375" style="2" customWidth="1"/>
    <col min="12548" max="12548" width="0" style="2" hidden="1" customWidth="1"/>
    <col min="12549" max="12800" width="9.625" style="2"/>
    <col min="12801" max="12801" width="63.625" style="2" customWidth="1"/>
    <col min="12802" max="12802" width="0" style="2" hidden="1" customWidth="1"/>
    <col min="12803" max="12803" width="14.375" style="2" customWidth="1"/>
    <col min="12804" max="12804" width="0" style="2" hidden="1" customWidth="1"/>
    <col min="12805" max="13056" width="9.625" style="2"/>
    <col min="13057" max="13057" width="63.625" style="2" customWidth="1"/>
    <col min="13058" max="13058" width="0" style="2" hidden="1" customWidth="1"/>
    <col min="13059" max="13059" width="14.375" style="2" customWidth="1"/>
    <col min="13060" max="13060" width="0" style="2" hidden="1" customWidth="1"/>
    <col min="13061" max="13312" width="9.625" style="2"/>
    <col min="13313" max="13313" width="63.625" style="2" customWidth="1"/>
    <col min="13314" max="13314" width="0" style="2" hidden="1" customWidth="1"/>
    <col min="13315" max="13315" width="14.375" style="2" customWidth="1"/>
    <col min="13316" max="13316" width="0" style="2" hidden="1" customWidth="1"/>
    <col min="13317" max="13568" width="9.625" style="2"/>
    <col min="13569" max="13569" width="63.625" style="2" customWidth="1"/>
    <col min="13570" max="13570" width="0" style="2" hidden="1" customWidth="1"/>
    <col min="13571" max="13571" width="14.375" style="2" customWidth="1"/>
    <col min="13572" max="13572" width="0" style="2" hidden="1" customWidth="1"/>
    <col min="13573" max="13824" width="9.625" style="2"/>
    <col min="13825" max="13825" width="63.625" style="2" customWidth="1"/>
    <col min="13826" max="13826" width="0" style="2" hidden="1" customWidth="1"/>
    <col min="13827" max="13827" width="14.375" style="2" customWidth="1"/>
    <col min="13828" max="13828" width="0" style="2" hidden="1" customWidth="1"/>
    <col min="13829" max="14080" width="9.625" style="2"/>
    <col min="14081" max="14081" width="63.625" style="2" customWidth="1"/>
    <col min="14082" max="14082" width="0" style="2" hidden="1" customWidth="1"/>
    <col min="14083" max="14083" width="14.375" style="2" customWidth="1"/>
    <col min="14084" max="14084" width="0" style="2" hidden="1" customWidth="1"/>
    <col min="14085" max="14336" width="9.625" style="2"/>
    <col min="14337" max="14337" width="63.625" style="2" customWidth="1"/>
    <col min="14338" max="14338" width="0" style="2" hidden="1" customWidth="1"/>
    <col min="14339" max="14339" width="14.375" style="2" customWidth="1"/>
    <col min="14340" max="14340" width="0" style="2" hidden="1" customWidth="1"/>
    <col min="14341" max="14592" width="9.625" style="2"/>
    <col min="14593" max="14593" width="63.625" style="2" customWidth="1"/>
    <col min="14594" max="14594" width="0" style="2" hidden="1" customWidth="1"/>
    <col min="14595" max="14595" width="14.375" style="2" customWidth="1"/>
    <col min="14596" max="14596" width="0" style="2" hidden="1" customWidth="1"/>
    <col min="14597" max="14848" width="9.625" style="2"/>
    <col min="14849" max="14849" width="63.625" style="2" customWidth="1"/>
    <col min="14850" max="14850" width="0" style="2" hidden="1" customWidth="1"/>
    <col min="14851" max="14851" width="14.375" style="2" customWidth="1"/>
    <col min="14852" max="14852" width="0" style="2" hidden="1" customWidth="1"/>
    <col min="14853" max="15104" width="9.625" style="2"/>
    <col min="15105" max="15105" width="63.625" style="2" customWidth="1"/>
    <col min="15106" max="15106" width="0" style="2" hidden="1" customWidth="1"/>
    <col min="15107" max="15107" width="14.375" style="2" customWidth="1"/>
    <col min="15108" max="15108" width="0" style="2" hidden="1" customWidth="1"/>
    <col min="15109" max="15360" width="9.625" style="2"/>
    <col min="15361" max="15361" width="63.625" style="2" customWidth="1"/>
    <col min="15362" max="15362" width="0" style="2" hidden="1" customWidth="1"/>
    <col min="15363" max="15363" width="14.375" style="2" customWidth="1"/>
    <col min="15364" max="15364" width="0" style="2" hidden="1" customWidth="1"/>
    <col min="15365" max="15616" width="9.625" style="2"/>
    <col min="15617" max="15617" width="63.625" style="2" customWidth="1"/>
    <col min="15618" max="15618" width="0" style="2" hidden="1" customWidth="1"/>
    <col min="15619" max="15619" width="14.375" style="2" customWidth="1"/>
    <col min="15620" max="15620" width="0" style="2" hidden="1" customWidth="1"/>
    <col min="15621" max="15872" width="9.625" style="2"/>
    <col min="15873" max="15873" width="63.625" style="2" customWidth="1"/>
    <col min="15874" max="15874" width="0" style="2" hidden="1" customWidth="1"/>
    <col min="15875" max="15875" width="14.375" style="2" customWidth="1"/>
    <col min="15876" max="15876" width="0" style="2" hidden="1" customWidth="1"/>
    <col min="15877" max="16128" width="9.625" style="2"/>
    <col min="16129" max="16129" width="63.625" style="2" customWidth="1"/>
    <col min="16130" max="16130" width="0" style="2" hidden="1" customWidth="1"/>
    <col min="16131" max="16131" width="14.375" style="2" customWidth="1"/>
    <col min="16132" max="16132" width="0" style="2" hidden="1" customWidth="1"/>
    <col min="16133" max="16384" width="9.625" style="2"/>
  </cols>
  <sheetData>
    <row r="3" spans="1:4" x14ac:dyDescent="0.25">
      <c r="B3" s="7"/>
      <c r="C3" s="496"/>
      <c r="D3" s="293" t="str">
        <f>'Ex 1'!$P$1</f>
        <v>Exhibit 1</v>
      </c>
    </row>
    <row r="4" spans="1:4" x14ac:dyDescent="0.25">
      <c r="B4" s="493"/>
      <c r="C4" s="497"/>
      <c r="D4" s="337" t="str">
        <f>"Reference Schedule "&amp;Inputs!$A28&amp;""</f>
        <v>Reference Schedule 1.12</v>
      </c>
    </row>
    <row r="5" spans="1:4" x14ac:dyDescent="0.25">
      <c r="B5" s="7"/>
      <c r="C5" s="496"/>
      <c r="D5" s="11" t="str">
        <f>"Sponsoring Witness: "&amp;Inputs!$B28&amp;""</f>
        <v>Sponsoring Witness: Charnas</v>
      </c>
    </row>
    <row r="8" spans="1:4" x14ac:dyDescent="0.25">
      <c r="A8" s="716" t="s">
        <v>222</v>
      </c>
      <c r="B8" s="716"/>
      <c r="C8" s="716"/>
      <c r="D8" s="716"/>
    </row>
    <row r="9" spans="1:4" x14ac:dyDescent="0.25">
      <c r="A9" s="494"/>
    </row>
    <row r="10" spans="1:4" x14ac:dyDescent="0.25">
      <c r="A10" s="495"/>
    </row>
    <row r="11" spans="1:4" x14ac:dyDescent="0.25">
      <c r="A11" s="717" t="s">
        <v>415</v>
      </c>
      <c r="B11" s="717"/>
      <c r="C11" s="717"/>
      <c r="D11" s="717"/>
    </row>
    <row r="12" spans="1:4" x14ac:dyDescent="0.25">
      <c r="A12" s="721" t="str">
        <f>"At "&amp;Inputs!B3&amp;""</f>
        <v>At March 31, 2012</v>
      </c>
      <c r="B12" s="716"/>
      <c r="C12" s="716"/>
      <c r="D12" s="716"/>
    </row>
    <row r="15" spans="1:4" x14ac:dyDescent="0.25">
      <c r="B15" s="15" t="s">
        <v>220</v>
      </c>
      <c r="C15" s="17"/>
      <c r="D15" s="15" t="s">
        <v>221</v>
      </c>
    </row>
    <row r="16" spans="1:4" x14ac:dyDescent="0.25">
      <c r="B16" s="17"/>
      <c r="C16" s="17"/>
      <c r="D16" s="17"/>
    </row>
    <row r="17" spans="1:4" s="660" customFormat="1" x14ac:dyDescent="0.25">
      <c r="A17" s="659" t="s">
        <v>650</v>
      </c>
      <c r="B17" s="174">
        <v>111689000</v>
      </c>
      <c r="C17" s="174"/>
      <c r="D17" s="174">
        <v>18845830</v>
      </c>
    </row>
    <row r="18" spans="1:4" s="660" customFormat="1" x14ac:dyDescent="0.25">
      <c r="A18" s="659"/>
      <c r="B18" s="661"/>
      <c r="C18" s="661"/>
      <c r="D18" s="661"/>
    </row>
    <row r="19" spans="1:4" s="660" customFormat="1" x14ac:dyDescent="0.25">
      <c r="A19" s="659" t="s">
        <v>651</v>
      </c>
      <c r="B19" s="29">
        <v>1892892</v>
      </c>
      <c r="C19" s="29"/>
      <c r="D19" s="29">
        <v>0</v>
      </c>
    </row>
    <row r="20" spans="1:4" s="660" customFormat="1" x14ac:dyDescent="0.25">
      <c r="A20" s="659"/>
      <c r="B20" s="29"/>
      <c r="C20" s="29"/>
      <c r="D20" s="29"/>
    </row>
    <row r="21" spans="1:4" s="660" customFormat="1" x14ac:dyDescent="0.25">
      <c r="A21" s="659" t="s">
        <v>700</v>
      </c>
      <c r="B21" s="36">
        <v>12731875</v>
      </c>
      <c r="C21" s="29"/>
      <c r="D21" s="36">
        <v>5200343</v>
      </c>
    </row>
    <row r="22" spans="1:4" s="660" customFormat="1" x14ac:dyDescent="0.25">
      <c r="A22" s="659"/>
      <c r="B22" s="661"/>
      <c r="C22" s="661"/>
      <c r="D22" s="661"/>
    </row>
    <row r="23" spans="1:4" s="660" customFormat="1" ht="16.5" thickBot="1" x14ac:dyDescent="0.3">
      <c r="A23" s="659" t="s">
        <v>701</v>
      </c>
      <c r="B23" s="662">
        <f>SUM(B17:B21)</f>
        <v>126313767</v>
      </c>
      <c r="C23" s="661"/>
      <c r="D23" s="662">
        <f>SUM(D17:D21)</f>
        <v>24046173</v>
      </c>
    </row>
    <row r="24" spans="1:4" s="660" customFormat="1" ht="16.5" thickTop="1" x14ac:dyDescent="0.25">
      <c r="A24" s="659"/>
      <c r="B24" s="661"/>
      <c r="C24" s="661"/>
      <c r="D24" s="661"/>
    </row>
    <row r="25" spans="1:4" s="660" customFormat="1" x14ac:dyDescent="0.25">
      <c r="A25" s="659" t="s">
        <v>702</v>
      </c>
      <c r="B25" s="174">
        <f>ROUND((119763710.25+2206652.69+5925054.51),0)</f>
        <v>127895417</v>
      </c>
      <c r="C25" s="503"/>
      <c r="D25" s="174">
        <f>ROUND((20349972.68+1045200.27+2456200.73),0)</f>
        <v>23851374</v>
      </c>
    </row>
    <row r="26" spans="1:4" s="660" customFormat="1" x14ac:dyDescent="0.25">
      <c r="A26" s="659" t="s">
        <v>703</v>
      </c>
      <c r="B26" s="663">
        <f>-ROUND(2206652.69,0)</f>
        <v>-2206653</v>
      </c>
      <c r="C26" s="503"/>
      <c r="D26" s="663">
        <f>-ROUND(1045200.27,0)</f>
        <v>-1045200</v>
      </c>
    </row>
    <row r="27" spans="1:4" s="660" customFormat="1" x14ac:dyDescent="0.25">
      <c r="A27" s="659" t="s">
        <v>704</v>
      </c>
      <c r="B27" s="664">
        <v>-71533</v>
      </c>
      <c r="C27" s="665"/>
      <c r="D27" s="664">
        <v>0</v>
      </c>
    </row>
    <row r="28" spans="1:4" s="660" customFormat="1" ht="30.75" customHeight="1" thickBot="1" x14ac:dyDescent="0.3">
      <c r="A28" s="659" t="s">
        <v>705</v>
      </c>
      <c r="B28" s="662">
        <f>B25+B26+B27</f>
        <v>125617231</v>
      </c>
      <c r="C28" s="661"/>
      <c r="D28" s="662">
        <f>D25+D26</f>
        <v>22806174</v>
      </c>
    </row>
    <row r="29" spans="1:4" s="660" customFormat="1" ht="16.5" thickTop="1" x14ac:dyDescent="0.25">
      <c r="A29" s="659"/>
      <c r="B29" s="666"/>
      <c r="C29" s="661"/>
      <c r="D29" s="666"/>
    </row>
    <row r="30" spans="1:4" s="660" customFormat="1" x14ac:dyDescent="0.25">
      <c r="A30" s="659" t="s">
        <v>707</v>
      </c>
      <c r="C30" s="667"/>
    </row>
    <row r="31" spans="1:4" s="660" customFormat="1" ht="16.5" thickBot="1" x14ac:dyDescent="0.3">
      <c r="A31" s="659" t="s">
        <v>706</v>
      </c>
      <c r="B31" s="662">
        <f>ROUND(B23-B28,0)</f>
        <v>696536</v>
      </c>
      <c r="C31" s="661"/>
      <c r="D31" s="662">
        <f>ROUND(D23-D28,0)</f>
        <v>1239999</v>
      </c>
    </row>
    <row r="32" spans="1:4" s="660" customFormat="1" ht="16.5" thickTop="1" x14ac:dyDescent="0.25">
      <c r="B32" s="668"/>
      <c r="C32" s="668"/>
      <c r="D32" s="668"/>
    </row>
    <row r="33" spans="1:3" s="660" customFormat="1" x14ac:dyDescent="0.25">
      <c r="C33" s="667"/>
    </row>
    <row r="34" spans="1:3" s="660" customFormat="1" x14ac:dyDescent="0.25">
      <c r="A34" s="660" t="s">
        <v>652</v>
      </c>
      <c r="C34" s="667"/>
    </row>
    <row r="35" spans="1:3" s="660" customFormat="1" x14ac:dyDescent="0.25">
      <c r="A35" s="660" t="s">
        <v>653</v>
      </c>
      <c r="C35" s="667"/>
    </row>
    <row r="36" spans="1:3" s="660" customFormat="1" x14ac:dyDescent="0.25">
      <c r="A36" s="660" t="s">
        <v>654</v>
      </c>
      <c r="C36" s="667"/>
    </row>
  </sheetData>
  <mergeCells count="3">
    <mergeCell ref="A8:D8"/>
    <mergeCell ref="A11:D11"/>
    <mergeCell ref="A12:D12"/>
  </mergeCells>
  <printOptions horizontalCentered="1" gridLinesSet="0"/>
  <pageMargins left="1" right="0.75" top="1" bottom="0.5" header="0.5" footer="0.5"/>
  <pageSetup scale="7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172"/>
  <sheetViews>
    <sheetView showGridLines="0" zoomScaleNormal="100" workbookViewId="0">
      <selection activeCell="E55" sqref="E55"/>
    </sheetView>
  </sheetViews>
  <sheetFormatPr defaultColWidth="10.875" defaultRowHeight="15.75" x14ac:dyDescent="0.25"/>
  <cols>
    <col min="1" max="1" width="3.25" style="520" customWidth="1"/>
    <col min="2" max="2" width="4.125" style="139" bestFit="1" customWidth="1"/>
    <col min="3" max="3" width="25.125" style="520" customWidth="1"/>
    <col min="4" max="4" width="18.5" style="520" customWidth="1"/>
    <col min="5" max="5" width="33.875" style="520" customWidth="1"/>
    <col min="6" max="6" width="16.125" style="520" customWidth="1"/>
    <col min="7" max="7" width="16.25" style="520" customWidth="1"/>
    <col min="8" max="8" width="14.75" style="520" customWidth="1"/>
    <col min="9" max="9" width="2.375" style="535" customWidth="1"/>
    <col min="10" max="10" width="15.875" style="573" customWidth="1"/>
    <col min="11" max="11" width="14.75" style="573" customWidth="1"/>
    <col min="12" max="13" width="10.875" style="520"/>
    <col min="14" max="14" width="11.875" style="520" bestFit="1" customWidth="1"/>
    <col min="15" max="16384" width="10.875" style="520"/>
  </cols>
  <sheetData>
    <row r="1" spans="1:9" x14ac:dyDescent="0.25">
      <c r="A1" s="150"/>
      <c r="C1" s="150"/>
      <c r="D1" s="150"/>
      <c r="E1" s="150"/>
      <c r="F1" s="150"/>
      <c r="G1" s="150"/>
      <c r="H1" s="150"/>
      <c r="I1" s="574"/>
    </row>
    <row r="2" spans="1:9" x14ac:dyDescent="0.25">
      <c r="A2" s="139"/>
    </row>
    <row r="3" spans="1:9" x14ac:dyDescent="0.25">
      <c r="H3" s="293" t="str">
        <f>'Ex 1'!$P$1</f>
        <v>Exhibit 1</v>
      </c>
      <c r="I3" s="575"/>
    </row>
    <row r="4" spans="1:9" x14ac:dyDescent="0.25">
      <c r="H4" s="337" t="str">
        <f>"Reference Schedule "&amp;Inputs!$A29&amp;""</f>
        <v>Reference Schedule 1.13</v>
      </c>
      <c r="I4" s="576"/>
    </row>
    <row r="5" spans="1:9" x14ac:dyDescent="0.25">
      <c r="H5" s="11" t="str">
        <f>"Sponsoring Witness: "&amp;Inputs!$B29&amp;""</f>
        <v>Sponsoring Witness: Scott</v>
      </c>
      <c r="I5" s="576"/>
    </row>
    <row r="6" spans="1:9" x14ac:dyDescent="0.25">
      <c r="H6" s="577" t="s">
        <v>378</v>
      </c>
    </row>
    <row r="9" spans="1:9" x14ac:dyDescent="0.25">
      <c r="A9" s="708" t="s">
        <v>222</v>
      </c>
      <c r="B9" s="708"/>
      <c r="C9" s="708"/>
      <c r="D9" s="708"/>
      <c r="E9" s="708"/>
      <c r="F9" s="708"/>
      <c r="G9" s="708"/>
      <c r="H9" s="708"/>
      <c r="I9" s="579"/>
    </row>
    <row r="10" spans="1:9" x14ac:dyDescent="0.25">
      <c r="A10" s="578"/>
      <c r="D10" s="578"/>
      <c r="E10" s="578"/>
      <c r="F10" s="578"/>
      <c r="G10" s="578"/>
      <c r="H10" s="578"/>
      <c r="I10" s="579"/>
    </row>
    <row r="11" spans="1:9" x14ac:dyDescent="0.25">
      <c r="A11" s="120"/>
      <c r="D11" s="578"/>
      <c r="E11" s="578"/>
      <c r="F11" s="578"/>
      <c r="G11" s="578"/>
      <c r="H11" s="578"/>
      <c r="I11" s="579"/>
    </row>
    <row r="12" spans="1:9" x14ac:dyDescent="0.25">
      <c r="A12" s="724" t="s">
        <v>181</v>
      </c>
      <c r="B12" s="724"/>
      <c r="C12" s="724"/>
      <c r="D12" s="724"/>
      <c r="E12" s="724"/>
      <c r="F12" s="724"/>
      <c r="G12" s="724"/>
      <c r="H12" s="724"/>
      <c r="I12" s="579"/>
    </row>
    <row r="13" spans="1:9" x14ac:dyDescent="0.25">
      <c r="A13" s="708" t="str">
        <f>"As Applied to the Twelve Months Ended "&amp;Inputs!B3&amp;""</f>
        <v>As Applied to the Twelve Months Ended March 31, 2012</v>
      </c>
      <c r="B13" s="708"/>
      <c r="C13" s="708"/>
      <c r="D13" s="708"/>
      <c r="E13" s="708"/>
      <c r="F13" s="708"/>
      <c r="G13" s="708"/>
      <c r="H13" s="708"/>
      <c r="I13" s="580"/>
    </row>
    <row r="14" spans="1:9" x14ac:dyDescent="0.25">
      <c r="C14" s="521"/>
    </row>
    <row r="17" spans="2:12" x14ac:dyDescent="0.25">
      <c r="F17" s="491"/>
      <c r="G17" s="491"/>
      <c r="H17" s="171"/>
      <c r="I17" s="491"/>
    </row>
    <row r="18" spans="2:12" x14ac:dyDescent="0.25">
      <c r="F18" s="492" t="s">
        <v>220</v>
      </c>
      <c r="G18" s="492" t="s">
        <v>221</v>
      </c>
      <c r="H18" s="492" t="s">
        <v>213</v>
      </c>
      <c r="I18" s="581"/>
    </row>
    <row r="19" spans="2:12" x14ac:dyDescent="0.25">
      <c r="F19" s="500" t="s">
        <v>238</v>
      </c>
      <c r="G19" s="500" t="s">
        <v>253</v>
      </c>
      <c r="H19" s="500" t="s">
        <v>352</v>
      </c>
      <c r="I19" s="144"/>
    </row>
    <row r="20" spans="2:12" x14ac:dyDescent="0.25">
      <c r="F20" s="535"/>
      <c r="G20" s="535"/>
    </row>
    <row r="21" spans="2:12" x14ac:dyDescent="0.25">
      <c r="B21" s="139">
        <v>1</v>
      </c>
      <c r="C21" s="520" t="s">
        <v>214</v>
      </c>
      <c r="F21" s="157">
        <f>H88</f>
        <v>2948819</v>
      </c>
      <c r="G21" s="157">
        <f>H90</f>
        <v>737205</v>
      </c>
      <c r="H21" s="157">
        <f>SUM(F21:G21)</f>
        <v>3686024</v>
      </c>
      <c r="I21" s="372"/>
      <c r="J21" s="167"/>
      <c r="K21" s="167"/>
    </row>
    <row r="22" spans="2:12" x14ac:dyDescent="0.25">
      <c r="B22" s="139">
        <v>2</v>
      </c>
      <c r="C22" s="520" t="s">
        <v>215</v>
      </c>
      <c r="F22" s="159">
        <f>H125</f>
        <v>210722</v>
      </c>
      <c r="G22" s="159">
        <f>H127</f>
        <v>52681</v>
      </c>
      <c r="H22" s="159">
        <f>SUM(F22:G22)</f>
        <v>263403</v>
      </c>
      <c r="I22" s="345"/>
      <c r="J22" s="345"/>
      <c r="K22" s="345"/>
    </row>
    <row r="23" spans="2:12" x14ac:dyDescent="0.25">
      <c r="B23" s="139">
        <v>3</v>
      </c>
      <c r="C23" s="520" t="s">
        <v>216</v>
      </c>
      <c r="F23" s="251">
        <f>H162</f>
        <v>113382</v>
      </c>
      <c r="G23" s="251">
        <f>H164</f>
        <v>28346</v>
      </c>
      <c r="H23" s="251">
        <f>SUM(F23:G23)</f>
        <v>141728</v>
      </c>
      <c r="I23" s="345"/>
      <c r="J23" s="345"/>
      <c r="K23" s="345"/>
    </row>
    <row r="24" spans="2:12" ht="27" customHeight="1" thickBot="1" x14ac:dyDescent="0.3">
      <c r="B24" s="139">
        <v>4</v>
      </c>
      <c r="C24" s="520" t="s">
        <v>213</v>
      </c>
      <c r="F24" s="166">
        <f>ROUND(SUM(F21:F23),0)</f>
        <v>3272923</v>
      </c>
      <c r="G24" s="166">
        <f>ROUND(SUM(G21:G23),0)</f>
        <v>818232</v>
      </c>
      <c r="H24" s="166">
        <f>ROUND(SUM(H21:H23),0)</f>
        <v>4091155</v>
      </c>
      <c r="I24" s="372"/>
      <c r="J24" s="167"/>
      <c r="K24" s="167"/>
      <c r="L24" s="236"/>
    </row>
    <row r="25" spans="2:12" ht="16.5" thickTop="1" x14ac:dyDescent="0.25">
      <c r="C25" s="343"/>
      <c r="D25" s="535"/>
      <c r="E25" s="535"/>
      <c r="F25" s="535"/>
      <c r="G25" s="535"/>
      <c r="H25" s="167"/>
    </row>
    <row r="26" spans="2:12" x14ac:dyDescent="0.25">
      <c r="C26" s="343"/>
      <c r="D26" s="535"/>
      <c r="E26" s="535"/>
      <c r="F26" s="535"/>
      <c r="G26" s="535"/>
      <c r="H26" s="273"/>
    </row>
    <row r="27" spans="2:12" x14ac:dyDescent="0.25">
      <c r="C27" s="343"/>
      <c r="D27" s="535"/>
      <c r="E27" s="535"/>
      <c r="F27" s="535"/>
      <c r="G27" s="535"/>
      <c r="H27" s="273"/>
    </row>
    <row r="28" spans="2:12" x14ac:dyDescent="0.25">
      <c r="C28" s="343"/>
      <c r="D28" s="535"/>
      <c r="E28" s="535"/>
      <c r="F28" s="535"/>
      <c r="G28" s="535"/>
      <c r="H28" s="167"/>
    </row>
    <row r="29" spans="2:12" x14ac:dyDescent="0.25">
      <c r="C29" s="343"/>
      <c r="D29" s="535"/>
      <c r="E29" s="535"/>
      <c r="F29" s="535"/>
      <c r="G29" s="535"/>
      <c r="H29" s="410"/>
    </row>
    <row r="30" spans="2:12" x14ac:dyDescent="0.25">
      <c r="C30" s="343"/>
      <c r="D30" s="535"/>
      <c r="E30" s="535"/>
      <c r="F30" s="535"/>
      <c r="G30" s="535"/>
      <c r="H30" s="167"/>
    </row>
    <row r="31" spans="2:12" x14ac:dyDescent="0.25">
      <c r="C31" s="343"/>
      <c r="D31" s="535"/>
      <c r="E31" s="535"/>
      <c r="F31" s="535"/>
      <c r="G31" s="535"/>
      <c r="H31" s="167"/>
    </row>
    <row r="32" spans="2:12" x14ac:dyDescent="0.25">
      <c r="C32" s="343"/>
      <c r="D32" s="535"/>
      <c r="E32" s="535"/>
      <c r="F32" s="535"/>
      <c r="G32" s="535"/>
      <c r="H32" s="167"/>
    </row>
    <row r="33" spans="1:11" x14ac:dyDescent="0.25">
      <c r="C33" s="139"/>
      <c r="H33" s="167"/>
    </row>
    <row r="34" spans="1:11" x14ac:dyDescent="0.25">
      <c r="C34" s="139"/>
      <c r="H34" s="167"/>
    </row>
    <row r="35" spans="1:11" x14ac:dyDescent="0.25">
      <c r="C35" s="139"/>
      <c r="H35" s="167"/>
    </row>
    <row r="36" spans="1:11" x14ac:dyDescent="0.25">
      <c r="C36" s="139"/>
      <c r="H36" s="167"/>
    </row>
    <row r="38" spans="1:11" x14ac:dyDescent="0.25">
      <c r="A38" s="139"/>
    </row>
    <row r="39" spans="1:11" x14ac:dyDescent="0.25">
      <c r="H39" s="577" t="str">
        <f>H3</f>
        <v>Exhibit 1</v>
      </c>
      <c r="I39" s="575"/>
    </row>
    <row r="40" spans="1:11" x14ac:dyDescent="0.25">
      <c r="H40" s="577" t="str">
        <f>H4</f>
        <v>Reference Schedule 1.13</v>
      </c>
      <c r="I40" s="576"/>
    </row>
    <row r="41" spans="1:11" x14ac:dyDescent="0.25">
      <c r="A41" s="139"/>
      <c r="H41" s="577" t="str">
        <f>H5</f>
        <v>Sponsoring Witness: Scott</v>
      </c>
      <c r="I41" s="576"/>
    </row>
    <row r="42" spans="1:11" x14ac:dyDescent="0.25">
      <c r="H42" s="577" t="s">
        <v>112</v>
      </c>
    </row>
    <row r="43" spans="1:11" x14ac:dyDescent="0.25">
      <c r="H43" s="577"/>
      <c r="J43" s="627"/>
      <c r="K43" s="627"/>
    </row>
    <row r="44" spans="1:11" x14ac:dyDescent="0.25">
      <c r="H44" s="534"/>
    </row>
    <row r="45" spans="1:11" x14ac:dyDescent="0.25">
      <c r="A45" s="708" t="str">
        <f>A9</f>
        <v>LOUISVILLE GAS AND ELECTRIC COMPANY</v>
      </c>
      <c r="B45" s="708"/>
      <c r="C45" s="708"/>
      <c r="D45" s="708"/>
      <c r="E45" s="708"/>
      <c r="F45" s="708"/>
      <c r="G45" s="708"/>
      <c r="H45" s="708"/>
      <c r="I45" s="375"/>
    </row>
    <row r="46" spans="1:11" x14ac:dyDescent="0.25">
      <c r="A46" s="123"/>
      <c r="D46" s="123"/>
      <c r="E46" s="123"/>
      <c r="F46" s="123"/>
      <c r="G46" s="123"/>
      <c r="H46" s="123"/>
      <c r="I46" s="375"/>
    </row>
    <row r="47" spans="1:11" x14ac:dyDescent="0.25">
      <c r="A47" s="578"/>
      <c r="D47" s="123"/>
      <c r="E47" s="123"/>
      <c r="F47" s="123"/>
      <c r="G47" s="123"/>
      <c r="H47" s="123"/>
      <c r="I47" s="375"/>
    </row>
    <row r="48" spans="1:11" x14ac:dyDescent="0.25">
      <c r="A48" s="724" t="str">
        <f>A12</f>
        <v>Adjustment to Reflect Increases in Labor and Labor-Related Costs</v>
      </c>
      <c r="B48" s="724"/>
      <c r="C48" s="724"/>
      <c r="D48" s="724"/>
      <c r="E48" s="724"/>
      <c r="F48" s="724"/>
      <c r="G48" s="724"/>
      <c r="H48" s="724"/>
      <c r="I48" s="375"/>
    </row>
    <row r="49" spans="1:14" x14ac:dyDescent="0.25">
      <c r="A49" s="708" t="str">
        <f>A13</f>
        <v>As Applied to the Twelve Months Ended March 31, 2012</v>
      </c>
      <c r="B49" s="708"/>
      <c r="C49" s="708"/>
      <c r="D49" s="708"/>
      <c r="E49" s="708"/>
      <c r="F49" s="708"/>
      <c r="G49" s="708"/>
      <c r="H49" s="708"/>
      <c r="I49" s="375"/>
    </row>
    <row r="50" spans="1:14" x14ac:dyDescent="0.25">
      <c r="C50" s="128"/>
      <c r="D50" s="123"/>
      <c r="E50" s="123"/>
      <c r="F50" s="123"/>
      <c r="G50" s="123"/>
      <c r="H50" s="123"/>
      <c r="I50" s="375"/>
      <c r="J50" s="627"/>
      <c r="K50" s="627"/>
    </row>
    <row r="52" spans="1:14" s="503" customFormat="1" x14ac:dyDescent="0.25">
      <c r="B52" s="557"/>
      <c r="G52" s="370" t="s">
        <v>113</v>
      </c>
      <c r="I52" s="556"/>
      <c r="J52" s="582"/>
      <c r="K52" s="582"/>
    </row>
    <row r="53" spans="1:14" s="503" customFormat="1" x14ac:dyDescent="0.25">
      <c r="B53" s="557">
        <v>1</v>
      </c>
      <c r="C53" s="503" t="s">
        <v>655</v>
      </c>
      <c r="F53" s="583" t="s">
        <v>114</v>
      </c>
      <c r="G53" s="583" t="s">
        <v>115</v>
      </c>
      <c r="H53" s="583" t="s">
        <v>213</v>
      </c>
      <c r="I53" s="556"/>
      <c r="J53" s="582"/>
      <c r="K53" s="582"/>
    </row>
    <row r="54" spans="1:14" s="503" customFormat="1" x14ac:dyDescent="0.25">
      <c r="B54" s="557">
        <f t="shared" ref="B54:B56" si="0">B53+1</f>
        <v>2</v>
      </c>
      <c r="C54" s="503" t="s">
        <v>116</v>
      </c>
      <c r="F54" s="600">
        <v>86617529</v>
      </c>
      <c r="G54" s="600">
        <v>31158154</v>
      </c>
      <c r="H54" s="600">
        <f>SUM(F54:G54)</f>
        <v>117775683</v>
      </c>
      <c r="I54" s="584"/>
      <c r="J54" s="582"/>
      <c r="K54" s="582"/>
    </row>
    <row r="55" spans="1:14" s="503" customFormat="1" x14ac:dyDescent="0.25">
      <c r="B55" s="557">
        <f t="shared" si="0"/>
        <v>3</v>
      </c>
      <c r="C55" s="503" t="s">
        <v>117</v>
      </c>
      <c r="F55" s="601">
        <v>11045201</v>
      </c>
      <c r="G55" s="601">
        <v>4531565</v>
      </c>
      <c r="H55" s="601">
        <f>SUM(F55:G55)</f>
        <v>15576766</v>
      </c>
      <c r="I55" s="556"/>
      <c r="J55" s="582"/>
      <c r="K55" s="582"/>
    </row>
    <row r="56" spans="1:14" s="503" customFormat="1" x14ac:dyDescent="0.25">
      <c r="B56" s="557">
        <f t="shared" si="0"/>
        <v>4</v>
      </c>
      <c r="C56" s="503" t="s">
        <v>656</v>
      </c>
      <c r="F56" s="601">
        <v>-522586.21</v>
      </c>
      <c r="G56" s="601"/>
      <c r="H56" s="601">
        <f>SUM(F56:G56)</f>
        <v>-522586.21</v>
      </c>
      <c r="I56" s="556"/>
      <c r="J56" s="602"/>
      <c r="K56" s="582"/>
    </row>
    <row r="57" spans="1:14" s="503" customFormat="1" ht="24.75" customHeight="1" thickBot="1" x14ac:dyDescent="0.3">
      <c r="B57" s="557">
        <f>B56+1</f>
        <v>5</v>
      </c>
      <c r="C57" s="554" t="s">
        <v>763</v>
      </c>
      <c r="F57" s="604">
        <f>SUM(F54:F56)</f>
        <v>97140143.790000007</v>
      </c>
      <c r="G57" s="604">
        <f>SUM(G54:G56)</f>
        <v>35689719</v>
      </c>
      <c r="H57" s="604">
        <f>SUM(H54:H56)</f>
        <v>132829862.79000001</v>
      </c>
      <c r="I57" s="372"/>
      <c r="J57" s="582"/>
      <c r="K57" s="582"/>
      <c r="N57" s="190"/>
    </row>
    <row r="58" spans="1:14" s="503" customFormat="1" ht="20.25" customHeight="1" thickTop="1" x14ac:dyDescent="0.25">
      <c r="B58" s="554">
        <f>B57+1</f>
        <v>6</v>
      </c>
      <c r="C58" s="503" t="s">
        <v>118</v>
      </c>
      <c r="F58" s="607">
        <f>ROUND(F57/$H57,5)</f>
        <v>0.73131000000000002</v>
      </c>
      <c r="G58" s="607">
        <f>ROUND(G57/$H57,5)</f>
        <v>0.26868999999999998</v>
      </c>
      <c r="H58" s="608">
        <f>+F58+G58</f>
        <v>1</v>
      </c>
      <c r="I58" s="585"/>
      <c r="J58" s="582"/>
      <c r="K58" s="582"/>
    </row>
    <row r="59" spans="1:14" s="503" customFormat="1" x14ac:dyDescent="0.25">
      <c r="B59" s="554"/>
      <c r="F59" s="609"/>
      <c r="H59" s="606"/>
      <c r="I59" s="585"/>
      <c r="J59" s="582"/>
      <c r="K59" s="582"/>
    </row>
    <row r="60" spans="1:14" s="503" customFormat="1" x14ac:dyDescent="0.25">
      <c r="B60" s="554">
        <f>B58+1</f>
        <v>7</v>
      </c>
      <c r="C60" s="503" t="s">
        <v>657</v>
      </c>
      <c r="G60" s="555"/>
      <c r="I60" s="556"/>
      <c r="J60" s="582"/>
      <c r="K60" s="582"/>
    </row>
    <row r="61" spans="1:14" s="503" customFormat="1" x14ac:dyDescent="0.25">
      <c r="B61" s="557">
        <f>B60+1</f>
        <v>8</v>
      </c>
      <c r="C61" s="503" t="s">
        <v>461</v>
      </c>
      <c r="F61" s="558">
        <v>1</v>
      </c>
      <c r="G61" s="559" t="s">
        <v>484</v>
      </c>
      <c r="H61" s="610">
        <v>46123708.799999997</v>
      </c>
      <c r="I61" s="401"/>
      <c r="J61" s="561"/>
      <c r="K61" s="561"/>
    </row>
    <row r="62" spans="1:14" s="503" customFormat="1" x14ac:dyDescent="0.25">
      <c r="B62" s="557">
        <f t="shared" ref="B62:B69" si="1">B61+1</f>
        <v>9</v>
      </c>
      <c r="C62" s="503" t="s">
        <v>119</v>
      </c>
      <c r="E62" s="560"/>
      <c r="F62" s="558">
        <v>1</v>
      </c>
      <c r="G62" s="559" t="s">
        <v>484</v>
      </c>
      <c r="H62" s="140">
        <f>21696059.4+694390</f>
        <v>22390449.399999999</v>
      </c>
      <c r="I62" s="214"/>
      <c r="J62" s="561"/>
      <c r="K62" s="561"/>
    </row>
    <row r="63" spans="1:14" s="503" customFormat="1" x14ac:dyDescent="0.25">
      <c r="B63" s="557">
        <f t="shared" si="1"/>
        <v>10</v>
      </c>
      <c r="C63" s="503" t="s">
        <v>463</v>
      </c>
      <c r="F63" s="558">
        <v>1</v>
      </c>
      <c r="G63" s="559" t="s">
        <v>484</v>
      </c>
      <c r="H63" s="214">
        <v>2636761</v>
      </c>
      <c r="I63" s="214"/>
      <c r="J63" s="561"/>
      <c r="K63" s="561"/>
    </row>
    <row r="64" spans="1:14" s="503" customFormat="1" x14ac:dyDescent="0.25">
      <c r="B64" s="557">
        <f>B63+1</f>
        <v>11</v>
      </c>
      <c r="C64" s="503" t="s">
        <v>120</v>
      </c>
      <c r="F64" s="624">
        <v>0.45477000000000001</v>
      </c>
      <c r="G64" s="559" t="s">
        <v>462</v>
      </c>
      <c r="H64" s="214">
        <f>SUM(80569613.8+12875130)*F64</f>
        <v>42495866.137925997</v>
      </c>
      <c r="I64" s="214"/>
      <c r="J64" s="669"/>
      <c r="K64" s="670"/>
      <c r="L64" s="189"/>
    </row>
    <row r="65" spans="1:17" s="503" customFormat="1" x14ac:dyDescent="0.25">
      <c r="B65" s="557">
        <f t="shared" si="1"/>
        <v>12</v>
      </c>
      <c r="C65" s="503" t="s">
        <v>121</v>
      </c>
      <c r="F65" s="624">
        <v>0.45477000000000001</v>
      </c>
      <c r="G65" s="559" t="s">
        <v>462</v>
      </c>
      <c r="H65" s="214">
        <f>ROUND(17531678.6*F65,0)</f>
        <v>7972881</v>
      </c>
      <c r="I65" s="214"/>
      <c r="J65" s="561"/>
      <c r="K65" s="561"/>
    </row>
    <row r="66" spans="1:17" s="503" customFormat="1" x14ac:dyDescent="0.25">
      <c r="B66" s="557">
        <f>B65+1</f>
        <v>13</v>
      </c>
      <c r="C66" s="503" t="s">
        <v>464</v>
      </c>
      <c r="F66" s="624">
        <v>1.525E-2</v>
      </c>
      <c r="G66" s="559" t="s">
        <v>462</v>
      </c>
      <c r="H66" s="214">
        <f>ROUND(9418593.6*F66,0)</f>
        <v>143634</v>
      </c>
      <c r="I66" s="214"/>
      <c r="J66" s="561"/>
      <c r="K66" s="561"/>
    </row>
    <row r="67" spans="1:17" s="503" customFormat="1" x14ac:dyDescent="0.25">
      <c r="B67" s="557">
        <f t="shared" si="1"/>
        <v>14</v>
      </c>
      <c r="C67" s="503" t="s">
        <v>465</v>
      </c>
      <c r="F67" s="625">
        <v>1.525E-2</v>
      </c>
      <c r="G67" s="559" t="s">
        <v>462</v>
      </c>
      <c r="H67" s="214">
        <f>SUM(11953350+502380)*F67</f>
        <v>189949.88250000001</v>
      </c>
      <c r="I67" s="214"/>
      <c r="J67" s="561"/>
      <c r="K67" s="561"/>
    </row>
    <row r="68" spans="1:17" s="503" customFormat="1" x14ac:dyDescent="0.25">
      <c r="B68" s="557">
        <f t="shared" si="1"/>
        <v>15</v>
      </c>
      <c r="C68" s="503" t="s">
        <v>466</v>
      </c>
      <c r="F68" s="625">
        <v>1.525E-2</v>
      </c>
      <c r="G68" s="559" t="s">
        <v>462</v>
      </c>
      <c r="H68" s="214">
        <f>ROUND(12012756.4*F68,0)</f>
        <v>183195</v>
      </c>
      <c r="I68" s="214"/>
      <c r="J68" s="561"/>
      <c r="K68" s="561"/>
    </row>
    <row r="69" spans="1:17" s="503" customFormat="1" x14ac:dyDescent="0.25">
      <c r="B69" s="557">
        <f t="shared" si="1"/>
        <v>16</v>
      </c>
      <c r="C69" s="503" t="s">
        <v>467</v>
      </c>
      <c r="F69" s="625">
        <v>1.525E-2</v>
      </c>
      <c r="G69" s="559" t="s">
        <v>462</v>
      </c>
      <c r="H69" s="369">
        <f>ROUND(31062532.8*F69,0)</f>
        <v>473704</v>
      </c>
      <c r="I69" s="214"/>
      <c r="J69" s="561"/>
      <c r="K69" s="561"/>
    </row>
    <row r="70" spans="1:17" s="503" customFormat="1" x14ac:dyDescent="0.25">
      <c r="B70" s="557">
        <f>B69+1</f>
        <v>17</v>
      </c>
      <c r="C70" s="554" t="s">
        <v>764</v>
      </c>
      <c r="G70" s="159"/>
      <c r="H70" s="611">
        <f>ROUND(SUM(H61:H69),0)</f>
        <v>122610149</v>
      </c>
      <c r="I70" s="372"/>
      <c r="J70" s="561"/>
      <c r="K70" s="561"/>
      <c r="N70" s="236"/>
    </row>
    <row r="71" spans="1:17" s="503" customFormat="1" x14ac:dyDescent="0.25">
      <c r="G71" s="159"/>
      <c r="H71" s="142"/>
      <c r="I71" s="372"/>
      <c r="J71" s="561"/>
      <c r="K71" s="561"/>
    </row>
    <row r="72" spans="1:17" s="503" customFormat="1" x14ac:dyDescent="0.25">
      <c r="B72" s="557">
        <f>B70+1</f>
        <v>18</v>
      </c>
      <c r="C72" s="503" t="s">
        <v>468</v>
      </c>
      <c r="H72" s="140">
        <v>15556887</v>
      </c>
      <c r="I72" s="214"/>
      <c r="J72" s="561"/>
      <c r="K72" s="561"/>
    </row>
    <row r="73" spans="1:17" s="503" customFormat="1" x14ac:dyDescent="0.25">
      <c r="A73" s="562"/>
      <c r="B73" s="557">
        <f t="shared" ref="B73:B80" si="2">B72+1</f>
        <v>19</v>
      </c>
      <c r="C73" s="672" t="s">
        <v>725</v>
      </c>
      <c r="H73" s="140">
        <f>ROUND((8881958.08*2.5%),0)</f>
        <v>222049</v>
      </c>
      <c r="I73" s="214"/>
      <c r="J73" s="586"/>
      <c r="K73" s="561"/>
    </row>
    <row r="74" spans="1:17" s="503" customFormat="1" x14ac:dyDescent="0.25">
      <c r="A74" s="562"/>
      <c r="B74" s="557">
        <f t="shared" si="2"/>
        <v>20</v>
      </c>
      <c r="C74" s="672" t="s">
        <v>726</v>
      </c>
      <c r="H74" s="140">
        <f>ROUND((81077.14*3%),0)</f>
        <v>2432</v>
      </c>
      <c r="I74" s="214"/>
      <c r="J74" s="561"/>
      <c r="K74" s="561"/>
    </row>
    <row r="75" spans="1:17" s="503" customFormat="1" x14ac:dyDescent="0.25">
      <c r="A75" s="562"/>
      <c r="B75" s="557">
        <f t="shared" si="2"/>
        <v>21</v>
      </c>
      <c r="C75" s="672" t="s">
        <v>727</v>
      </c>
      <c r="H75" s="140">
        <f>ROUND((1054067.94*3%),0)*F64</f>
        <v>14380.736940000001</v>
      </c>
      <c r="I75" s="214"/>
      <c r="J75" s="561"/>
      <c r="K75" s="561"/>
    </row>
    <row r="76" spans="1:17" s="503" customFormat="1" x14ac:dyDescent="0.25">
      <c r="A76" s="562"/>
      <c r="B76" s="557">
        <f t="shared" si="2"/>
        <v>22</v>
      </c>
      <c r="C76" s="672" t="s">
        <v>728</v>
      </c>
      <c r="H76" s="140">
        <f>ROUND(153436.25*3%,0)*F66</f>
        <v>70.195750000000004</v>
      </c>
      <c r="I76" s="214"/>
      <c r="J76" s="561"/>
      <c r="K76" s="561"/>
    </row>
    <row r="77" spans="1:17" s="503" customFormat="1" x14ac:dyDescent="0.25">
      <c r="A77" s="562"/>
      <c r="B77" s="557">
        <f t="shared" si="2"/>
        <v>23</v>
      </c>
      <c r="C77" s="672" t="s">
        <v>729</v>
      </c>
      <c r="H77" s="140">
        <f>ROUND(672232.85*3%,0)*F68</f>
        <v>307.54674999999997</v>
      </c>
      <c r="I77" s="214"/>
      <c r="J77" s="561"/>
      <c r="K77" s="561"/>
    </row>
    <row r="78" spans="1:17" s="503" customFormat="1" x14ac:dyDescent="0.25">
      <c r="A78" s="562"/>
      <c r="B78" s="557">
        <f t="shared" si="2"/>
        <v>24</v>
      </c>
      <c r="C78" s="672" t="s">
        <v>660</v>
      </c>
      <c r="H78" s="140">
        <v>-522586</v>
      </c>
      <c r="I78" s="214"/>
      <c r="J78" s="563"/>
      <c r="K78" s="564"/>
      <c r="L78" s="565"/>
      <c r="M78" s="565"/>
      <c r="N78" s="565"/>
      <c r="O78" s="565"/>
      <c r="P78" s="565"/>
      <c r="Q78" s="565"/>
    </row>
    <row r="79" spans="1:17" s="503" customFormat="1" x14ac:dyDescent="0.25">
      <c r="B79" s="557">
        <f t="shared" si="2"/>
        <v>25</v>
      </c>
      <c r="C79" s="672" t="s">
        <v>659</v>
      </c>
      <c r="H79" s="140">
        <f>-522586*2.5%</f>
        <v>-13064.650000000001</v>
      </c>
      <c r="I79" s="214"/>
      <c r="J79" s="566"/>
      <c r="K79" s="563"/>
      <c r="L79" s="563"/>
      <c r="M79" s="563"/>
      <c r="N79" s="563"/>
      <c r="O79" s="563"/>
      <c r="P79" s="563"/>
    </row>
    <row r="80" spans="1:17" s="503" customFormat="1" ht="26.25" customHeight="1" thickBot="1" x14ac:dyDescent="0.3">
      <c r="B80" s="557">
        <f t="shared" si="2"/>
        <v>26</v>
      </c>
      <c r="C80" s="554" t="s">
        <v>765</v>
      </c>
      <c r="H80" s="604">
        <f>ROUND(SUM(H70:H79),0)</f>
        <v>137870625</v>
      </c>
      <c r="I80" s="214"/>
      <c r="J80" s="563"/>
      <c r="K80" s="582"/>
    </row>
    <row r="81" spans="1:14" s="503" customFormat="1" ht="16.5" thickTop="1" x14ac:dyDescent="0.25">
      <c r="I81" s="372"/>
      <c r="J81" s="582"/>
      <c r="K81" s="582"/>
    </row>
    <row r="82" spans="1:14" s="503" customFormat="1" x14ac:dyDescent="0.25">
      <c r="B82" s="557">
        <f>B80+1</f>
        <v>27</v>
      </c>
      <c r="C82" s="554" t="s">
        <v>766</v>
      </c>
      <c r="H82" s="600">
        <f>F57</f>
        <v>97140143.790000007</v>
      </c>
      <c r="I82" s="556"/>
      <c r="J82" s="582"/>
      <c r="K82" s="582"/>
    </row>
    <row r="83" spans="1:14" s="503" customFormat="1" x14ac:dyDescent="0.25">
      <c r="B83" s="557">
        <f>B82+1</f>
        <v>28</v>
      </c>
      <c r="C83" s="503" t="s">
        <v>122</v>
      </c>
      <c r="H83" s="612"/>
      <c r="I83" s="372"/>
      <c r="J83" s="582"/>
      <c r="K83" s="582"/>
    </row>
    <row r="84" spans="1:14" s="503" customFormat="1" x14ac:dyDescent="0.25">
      <c r="B84" s="557"/>
      <c r="D84" s="600">
        <f>+H80</f>
        <v>137870625</v>
      </c>
      <c r="E84" s="370" t="s">
        <v>123</v>
      </c>
      <c r="F84" s="613">
        <f>F58</f>
        <v>0.73131000000000002</v>
      </c>
      <c r="H84" s="671">
        <f>ROUND(D84*F84,0)</f>
        <v>100826167</v>
      </c>
      <c r="I84" s="345"/>
      <c r="J84" s="582"/>
      <c r="K84" s="582"/>
    </row>
    <row r="85" spans="1:14" s="503" customFormat="1" x14ac:dyDescent="0.25">
      <c r="D85" s="600"/>
      <c r="E85" s="370"/>
      <c r="F85" s="605"/>
      <c r="H85" s="345"/>
      <c r="I85" s="345"/>
      <c r="J85" s="582"/>
      <c r="K85" s="582"/>
    </row>
    <row r="86" spans="1:14" s="582" customFormat="1" ht="16.5" thickBot="1" x14ac:dyDescent="0.3">
      <c r="A86" s="503"/>
      <c r="B86" s="557">
        <f>B83+1</f>
        <v>29</v>
      </c>
      <c r="C86" s="554" t="s">
        <v>767</v>
      </c>
      <c r="D86" s="503"/>
      <c r="E86" s="503"/>
      <c r="F86" s="503"/>
      <c r="G86" s="503"/>
      <c r="H86" s="614">
        <f>+H84-H82</f>
        <v>3686023.2099999934</v>
      </c>
      <c r="I86" s="345"/>
      <c r="L86" s="503"/>
      <c r="M86" s="503"/>
      <c r="N86" s="503"/>
    </row>
    <row r="87" spans="1:14" s="582" customFormat="1" ht="16.5" thickTop="1" x14ac:dyDescent="0.25">
      <c r="A87" s="503"/>
      <c r="B87" s="557"/>
      <c r="C87" s="503"/>
      <c r="D87" s="503"/>
      <c r="E87" s="503"/>
      <c r="F87" s="503"/>
      <c r="G87" s="503"/>
      <c r="H87" s="615"/>
      <c r="I87" s="345"/>
      <c r="L87" s="503"/>
      <c r="M87" s="503"/>
      <c r="N87" s="503"/>
    </row>
    <row r="88" spans="1:14" s="582" customFormat="1" x14ac:dyDescent="0.25">
      <c r="A88" s="503"/>
      <c r="B88" s="557">
        <f>B86+1</f>
        <v>30</v>
      </c>
      <c r="C88" s="503" t="s">
        <v>223</v>
      </c>
      <c r="D88" s="503"/>
      <c r="E88" s="503"/>
      <c r="F88" s="503"/>
      <c r="G88" s="616">
        <v>0.8</v>
      </c>
      <c r="H88" s="600">
        <f>ROUND(H86*G88,0)</f>
        <v>2948819</v>
      </c>
      <c r="I88" s="345"/>
      <c r="L88" s="503"/>
      <c r="M88" s="503"/>
      <c r="N88" s="503"/>
    </row>
    <row r="89" spans="1:14" s="582" customFormat="1" x14ac:dyDescent="0.25">
      <c r="A89" s="503"/>
      <c r="B89" s="557"/>
      <c r="C89" s="503"/>
      <c r="D89" s="503"/>
      <c r="E89" s="503"/>
      <c r="F89" s="503"/>
      <c r="G89" s="617"/>
      <c r="H89" s="615"/>
      <c r="I89" s="345"/>
      <c r="L89" s="503"/>
      <c r="M89" s="503"/>
      <c r="N89" s="503"/>
    </row>
    <row r="90" spans="1:14" s="582" customFormat="1" x14ac:dyDescent="0.25">
      <c r="A90" s="503"/>
      <c r="B90" s="557">
        <f>B88+1</f>
        <v>31</v>
      </c>
      <c r="C90" s="503" t="s">
        <v>224</v>
      </c>
      <c r="D90" s="503"/>
      <c r="E90" s="503"/>
      <c r="F90" s="503"/>
      <c r="G90" s="616">
        <v>0.2</v>
      </c>
      <c r="H90" s="618">
        <f>ROUND(H86*G90,0)</f>
        <v>737205</v>
      </c>
      <c r="I90" s="345"/>
      <c r="L90" s="503"/>
      <c r="M90" s="503"/>
      <c r="N90" s="503"/>
    </row>
    <row r="91" spans="1:14" s="582" customFormat="1" x14ac:dyDescent="0.25">
      <c r="A91" s="503"/>
      <c r="B91" s="557"/>
      <c r="C91" s="503"/>
      <c r="D91" s="503"/>
      <c r="E91" s="503"/>
      <c r="F91" s="503"/>
      <c r="G91" s="503"/>
      <c r="H91" s="615"/>
      <c r="I91" s="345"/>
      <c r="L91" s="503"/>
      <c r="M91" s="503"/>
      <c r="N91" s="503"/>
    </row>
    <row r="92" spans="1:14" s="582" customFormat="1" ht="16.5" thickBot="1" x14ac:dyDescent="0.3">
      <c r="A92" s="503"/>
      <c r="B92" s="557">
        <f>B90+1</f>
        <v>32</v>
      </c>
      <c r="C92" s="557" t="s">
        <v>213</v>
      </c>
      <c r="D92" s="503"/>
      <c r="E92" s="503"/>
      <c r="F92" s="503"/>
      <c r="G92" s="503"/>
      <c r="H92" s="614">
        <f>SUM(H88:H90)</f>
        <v>3686024</v>
      </c>
      <c r="I92" s="345"/>
      <c r="L92" s="503"/>
      <c r="M92" s="503"/>
      <c r="N92" s="503"/>
    </row>
    <row r="93" spans="1:14" s="582" customFormat="1" ht="16.5" thickTop="1" x14ac:dyDescent="0.25">
      <c r="A93" s="503"/>
      <c r="B93" s="557"/>
      <c r="C93" s="557"/>
      <c r="D93" s="503"/>
      <c r="E93" s="503"/>
      <c r="F93" s="503"/>
      <c r="G93" s="503"/>
      <c r="H93" s="587"/>
      <c r="I93" s="345"/>
      <c r="L93" s="503"/>
      <c r="M93" s="503"/>
      <c r="N93" s="503"/>
    </row>
    <row r="94" spans="1:14" s="582" customFormat="1" x14ac:dyDescent="0.25">
      <c r="A94" s="503"/>
      <c r="B94" s="557" t="s">
        <v>272</v>
      </c>
      <c r="C94" s="557" t="s">
        <v>124</v>
      </c>
      <c r="D94" s="503"/>
      <c r="E94" s="503"/>
      <c r="F94" s="503"/>
      <c r="G94" s="503"/>
      <c r="H94" s="503"/>
      <c r="I94" s="556"/>
      <c r="L94" s="503"/>
      <c r="M94" s="503"/>
      <c r="N94" s="503"/>
    </row>
    <row r="95" spans="1:14" s="582" customFormat="1" x14ac:dyDescent="0.25">
      <c r="A95" s="503"/>
      <c r="B95" s="557"/>
      <c r="C95" s="554" t="s">
        <v>658</v>
      </c>
      <c r="D95" s="503"/>
      <c r="E95" s="503"/>
      <c r="F95" s="503"/>
      <c r="G95" s="503"/>
      <c r="H95" s="503"/>
      <c r="I95" s="556"/>
      <c r="L95" s="503"/>
      <c r="M95" s="503"/>
      <c r="N95" s="503"/>
    </row>
    <row r="96" spans="1:14" s="582" customFormat="1" x14ac:dyDescent="0.25">
      <c r="A96" s="503"/>
      <c r="B96" s="557"/>
      <c r="C96" s="557"/>
      <c r="D96" s="503"/>
      <c r="E96" s="503"/>
      <c r="F96" s="503"/>
      <c r="G96" s="503"/>
      <c r="H96" s="503"/>
      <c r="I96" s="556"/>
      <c r="L96" s="503"/>
      <c r="M96" s="503"/>
      <c r="N96" s="503"/>
    </row>
    <row r="97" spans="1:14" s="582" customFormat="1" x14ac:dyDescent="0.25">
      <c r="A97" s="503"/>
      <c r="B97" s="557" t="s">
        <v>210</v>
      </c>
      <c r="C97" s="554" t="s">
        <v>485</v>
      </c>
      <c r="D97" s="503"/>
      <c r="E97" s="503"/>
      <c r="F97" s="503"/>
      <c r="G97" s="503"/>
      <c r="H97" s="503"/>
      <c r="I97" s="556"/>
      <c r="L97" s="503"/>
      <c r="M97" s="503"/>
      <c r="N97" s="503"/>
    </row>
    <row r="100" spans="1:14" x14ac:dyDescent="0.25">
      <c r="A100" s="139"/>
      <c r="H100" s="577" t="str">
        <f>+H3</f>
        <v>Exhibit 1</v>
      </c>
      <c r="I100" s="575"/>
    </row>
    <row r="101" spans="1:14" x14ac:dyDescent="0.25">
      <c r="H101" s="577" t="str">
        <f>+H4</f>
        <v>Reference Schedule 1.13</v>
      </c>
      <c r="I101" s="576"/>
    </row>
    <row r="102" spans="1:14" x14ac:dyDescent="0.25">
      <c r="H102" s="577" t="str">
        <f>+H5</f>
        <v>Sponsoring Witness: Scott</v>
      </c>
      <c r="I102" s="576"/>
    </row>
    <row r="103" spans="1:14" x14ac:dyDescent="0.25">
      <c r="H103" s="577" t="s">
        <v>125</v>
      </c>
    </row>
    <row r="106" spans="1:14" x14ac:dyDescent="0.25">
      <c r="A106" s="708" t="str">
        <f>A45</f>
        <v>LOUISVILLE GAS AND ELECTRIC COMPANY</v>
      </c>
      <c r="B106" s="708"/>
      <c r="C106" s="708"/>
      <c r="D106" s="708"/>
      <c r="E106" s="708"/>
      <c r="F106" s="708"/>
      <c r="G106" s="708"/>
      <c r="H106" s="708"/>
    </row>
    <row r="107" spans="1:14" x14ac:dyDescent="0.25">
      <c r="A107" s="120"/>
      <c r="B107" s="588"/>
      <c r="C107" s="578"/>
      <c r="D107" s="578"/>
      <c r="E107" s="578"/>
      <c r="F107" s="578"/>
      <c r="G107" s="578"/>
      <c r="H107" s="578"/>
      <c r="I107" s="579"/>
    </row>
    <row r="108" spans="1:14" x14ac:dyDescent="0.25">
      <c r="C108" s="120"/>
      <c r="D108" s="578"/>
      <c r="E108" s="578"/>
      <c r="F108" s="578"/>
      <c r="G108" s="578"/>
      <c r="H108" s="578"/>
      <c r="I108" s="579"/>
    </row>
    <row r="109" spans="1:14" x14ac:dyDescent="0.25">
      <c r="A109" s="726" t="s">
        <v>126</v>
      </c>
      <c r="B109" s="726"/>
      <c r="C109" s="726"/>
      <c r="D109" s="726"/>
      <c r="E109" s="726"/>
      <c r="F109" s="726"/>
      <c r="G109" s="726"/>
      <c r="H109" s="726"/>
      <c r="I109" s="579"/>
    </row>
    <row r="110" spans="1:14" x14ac:dyDescent="0.25">
      <c r="A110" s="708" t="str">
        <f>A49</f>
        <v>As Applied to the Twelve Months Ended March 31, 2012</v>
      </c>
      <c r="B110" s="708"/>
      <c r="C110" s="708"/>
      <c r="D110" s="708"/>
      <c r="E110" s="708"/>
      <c r="F110" s="708"/>
      <c r="G110" s="708"/>
      <c r="H110" s="708"/>
      <c r="I110" s="579"/>
    </row>
    <row r="111" spans="1:14" x14ac:dyDescent="0.25">
      <c r="C111" s="537"/>
      <c r="D111" s="578"/>
      <c r="E111" s="578"/>
      <c r="F111" s="578"/>
      <c r="G111" s="578"/>
      <c r="H111" s="578"/>
      <c r="I111" s="579"/>
    </row>
    <row r="113" spans="2:9" x14ac:dyDescent="0.25">
      <c r="B113" s="557">
        <v>1</v>
      </c>
      <c r="C113" s="554" t="s">
        <v>768</v>
      </c>
      <c r="D113" s="503"/>
      <c r="E113" s="503"/>
      <c r="F113" s="503"/>
      <c r="G113" s="503"/>
      <c r="H113" s="600">
        <f>H86</f>
        <v>3686023.2099999934</v>
      </c>
      <c r="I113" s="520"/>
    </row>
    <row r="114" spans="2:9" x14ac:dyDescent="0.25">
      <c r="B114" s="557"/>
      <c r="C114" s="503"/>
      <c r="D114" s="503"/>
      <c r="E114" s="503"/>
      <c r="F114" s="503"/>
      <c r="G114" s="503"/>
      <c r="H114" s="600"/>
      <c r="I114" s="520"/>
    </row>
    <row r="115" spans="2:9" x14ac:dyDescent="0.25">
      <c r="B115" s="557">
        <f>B113+1</f>
        <v>2</v>
      </c>
      <c r="C115" s="503" t="s">
        <v>127</v>
      </c>
      <c r="D115" s="503"/>
      <c r="E115" s="503"/>
      <c r="F115" s="503"/>
      <c r="G115" s="503"/>
      <c r="H115" s="673">
        <v>0.91871000000000003</v>
      </c>
      <c r="I115" s="520"/>
    </row>
    <row r="116" spans="2:9" x14ac:dyDescent="0.25">
      <c r="B116" s="557"/>
      <c r="C116" s="503"/>
      <c r="D116" s="503"/>
      <c r="E116" s="503"/>
      <c r="F116" s="503"/>
      <c r="G116" s="503"/>
      <c r="H116" s="600"/>
      <c r="I116" s="520"/>
    </row>
    <row r="117" spans="2:9" ht="16.5" thickBot="1" x14ac:dyDescent="0.3">
      <c r="B117" s="557">
        <f>B115+1</f>
        <v>3</v>
      </c>
      <c r="C117" s="503" t="s">
        <v>128</v>
      </c>
      <c r="D117" s="503"/>
      <c r="E117" s="503"/>
      <c r="F117" s="503"/>
      <c r="G117" s="503"/>
      <c r="H117" s="674">
        <f>ROUND(H113*H115,0)</f>
        <v>3386386</v>
      </c>
      <c r="I117" s="520"/>
    </row>
    <row r="118" spans="2:9" ht="16.5" thickTop="1" x14ac:dyDescent="0.25">
      <c r="B118" s="557"/>
      <c r="C118" s="503"/>
      <c r="D118" s="503"/>
      <c r="E118" s="503"/>
      <c r="F118" s="503"/>
      <c r="G118" s="503"/>
      <c r="H118" s="600"/>
      <c r="I118" s="520"/>
    </row>
    <row r="119" spans="2:9" x14ac:dyDescent="0.25">
      <c r="B119" s="557">
        <f>B117+1</f>
        <v>4</v>
      </c>
      <c r="C119" s="503" t="s">
        <v>129</v>
      </c>
      <c r="D119" s="503"/>
      <c r="E119" s="503"/>
      <c r="F119" s="503"/>
      <c r="G119" s="503"/>
      <c r="H119" s="600">
        <f>ROUND(+H113*0.0145,0)</f>
        <v>53447</v>
      </c>
      <c r="I119" s="520"/>
    </row>
    <row r="120" spans="2:9" x14ac:dyDescent="0.25">
      <c r="B120" s="557"/>
      <c r="C120" s="503"/>
      <c r="D120" s="503"/>
      <c r="E120" s="503"/>
      <c r="F120" s="503"/>
      <c r="G120" s="503"/>
      <c r="H120" s="600"/>
      <c r="I120" s="520"/>
    </row>
    <row r="121" spans="2:9" x14ac:dyDescent="0.25">
      <c r="B121" s="557">
        <f>B119+1</f>
        <v>5</v>
      </c>
      <c r="C121" s="503" t="s">
        <v>130</v>
      </c>
      <c r="D121" s="503"/>
      <c r="E121" s="503"/>
      <c r="F121" s="503"/>
      <c r="G121" s="503"/>
      <c r="H121" s="675">
        <f>ROUND(+H117*0.062,0)</f>
        <v>209956</v>
      </c>
      <c r="I121" s="520"/>
    </row>
    <row r="122" spans="2:9" x14ac:dyDescent="0.25">
      <c r="B122" s="554"/>
      <c r="C122" s="503"/>
      <c r="D122" s="503"/>
      <c r="E122" s="503"/>
      <c r="F122" s="503"/>
      <c r="G122" s="503"/>
      <c r="H122" s="503"/>
      <c r="I122" s="520"/>
    </row>
    <row r="123" spans="2:9" ht="16.5" thickBot="1" x14ac:dyDescent="0.3">
      <c r="B123" s="557">
        <f>B121+1</f>
        <v>6</v>
      </c>
      <c r="C123" s="503" t="s">
        <v>131</v>
      </c>
      <c r="D123" s="503"/>
      <c r="E123" s="503"/>
      <c r="F123" s="503"/>
      <c r="G123" s="503"/>
      <c r="H123" s="674">
        <f>+H119+H121</f>
        <v>263403</v>
      </c>
      <c r="I123" s="520"/>
    </row>
    <row r="124" spans="2:9" ht="16.5" thickTop="1" x14ac:dyDescent="0.25">
      <c r="H124" s="174"/>
      <c r="I124" s="520"/>
    </row>
    <row r="125" spans="2:9" x14ac:dyDescent="0.25">
      <c r="B125" s="139">
        <f>B123+1</f>
        <v>7</v>
      </c>
      <c r="C125" s="520" t="s">
        <v>223</v>
      </c>
      <c r="G125" s="619">
        <f>G88</f>
        <v>0.8</v>
      </c>
      <c r="H125" s="174">
        <f>ROUND(H123*G125,0)</f>
        <v>210722</v>
      </c>
      <c r="I125" s="520"/>
    </row>
    <row r="126" spans="2:9" x14ac:dyDescent="0.25">
      <c r="G126" s="617"/>
      <c r="H126" s="174"/>
      <c r="I126" s="520"/>
    </row>
    <row r="127" spans="2:9" x14ac:dyDescent="0.25">
      <c r="B127" s="139">
        <f>B125+1</f>
        <v>8</v>
      </c>
      <c r="C127" s="520" t="s">
        <v>224</v>
      </c>
      <c r="G127" s="619">
        <f>G90</f>
        <v>0.2</v>
      </c>
      <c r="H127" s="424">
        <f>ROUND(H123*G127,0)</f>
        <v>52681</v>
      </c>
      <c r="I127" s="520"/>
    </row>
    <row r="128" spans="2:9" x14ac:dyDescent="0.25">
      <c r="G128" s="617"/>
      <c r="H128" s="174"/>
      <c r="I128" s="520"/>
    </row>
    <row r="129" spans="1:9" ht="16.5" thickBot="1" x14ac:dyDescent="0.3">
      <c r="B129" s="139">
        <f>B127+1</f>
        <v>9</v>
      </c>
      <c r="C129" s="520" t="s">
        <v>213</v>
      </c>
      <c r="H129" s="248">
        <f>SUM(H125:H128)</f>
        <v>263403</v>
      </c>
      <c r="I129" s="520"/>
    </row>
    <row r="130" spans="1:9" ht="16.5" thickTop="1" x14ac:dyDescent="0.25">
      <c r="I130" s="520"/>
    </row>
    <row r="131" spans="1:9" x14ac:dyDescent="0.25">
      <c r="I131" s="175"/>
    </row>
    <row r="133" spans="1:9" x14ac:dyDescent="0.25">
      <c r="H133" s="521"/>
      <c r="I133" s="144"/>
    </row>
    <row r="136" spans="1:9" x14ac:dyDescent="0.25">
      <c r="A136" s="139"/>
      <c r="H136" s="577" t="str">
        <f>+H3</f>
        <v>Exhibit 1</v>
      </c>
      <c r="I136" s="575"/>
    </row>
    <row r="137" spans="1:9" x14ac:dyDescent="0.25">
      <c r="H137" s="577" t="str">
        <f>+H4</f>
        <v>Reference Schedule 1.13</v>
      </c>
      <c r="I137" s="576"/>
    </row>
    <row r="138" spans="1:9" x14ac:dyDescent="0.25">
      <c r="H138" s="577" t="str">
        <f>+H5</f>
        <v>Sponsoring Witness: Scott</v>
      </c>
      <c r="I138" s="576"/>
    </row>
    <row r="139" spans="1:9" x14ac:dyDescent="0.25">
      <c r="H139" s="577" t="s">
        <v>132</v>
      </c>
    </row>
    <row r="140" spans="1:9" x14ac:dyDescent="0.25">
      <c r="H140" s="534"/>
    </row>
    <row r="142" spans="1:9" x14ac:dyDescent="0.25">
      <c r="A142" s="712" t="str">
        <f>A9</f>
        <v>LOUISVILLE GAS AND ELECTRIC COMPANY</v>
      </c>
      <c r="B142" s="712"/>
      <c r="C142" s="712"/>
      <c r="D142" s="712"/>
      <c r="E142" s="712"/>
      <c r="F142" s="712"/>
      <c r="G142" s="712"/>
      <c r="H142" s="712"/>
    </row>
    <row r="143" spans="1:9" x14ac:dyDescent="0.25">
      <c r="A143" s="578"/>
      <c r="D143" s="578"/>
      <c r="E143" s="578"/>
      <c r="F143" s="578"/>
      <c r="G143" s="578"/>
      <c r="H143" s="578"/>
      <c r="I143" s="579"/>
    </row>
    <row r="144" spans="1:9" x14ac:dyDescent="0.25">
      <c r="A144" s="120"/>
      <c r="D144" s="578"/>
      <c r="E144" s="578"/>
      <c r="F144" s="578"/>
      <c r="G144" s="578"/>
      <c r="H144" s="578"/>
      <c r="I144" s="579"/>
    </row>
    <row r="145" spans="1:14" x14ac:dyDescent="0.25">
      <c r="A145" s="726" t="s">
        <v>133</v>
      </c>
      <c r="B145" s="726"/>
      <c r="C145" s="726"/>
      <c r="D145" s="726"/>
      <c r="E145" s="726"/>
      <c r="F145" s="726"/>
      <c r="G145" s="726"/>
      <c r="H145" s="726"/>
      <c r="I145" s="579"/>
    </row>
    <row r="146" spans="1:14" x14ac:dyDescent="0.25">
      <c r="A146" s="708" t="str">
        <f>A13</f>
        <v>As Applied to the Twelve Months Ended March 31, 2012</v>
      </c>
      <c r="B146" s="708"/>
      <c r="C146" s="708"/>
      <c r="D146" s="708"/>
      <c r="E146" s="708"/>
      <c r="F146" s="708"/>
      <c r="G146" s="708"/>
      <c r="H146" s="708"/>
      <c r="I146" s="579"/>
    </row>
    <row r="147" spans="1:14" x14ac:dyDescent="0.25">
      <c r="C147" s="139"/>
      <c r="D147" s="578"/>
      <c r="E147" s="578"/>
      <c r="F147" s="578"/>
      <c r="G147" s="578"/>
      <c r="H147" s="578"/>
      <c r="I147" s="579"/>
    </row>
    <row r="149" spans="1:14" s="503" customFormat="1" ht="15.95" customHeight="1" x14ac:dyDescent="0.25">
      <c r="B149" s="557">
        <f>B148+1</f>
        <v>1</v>
      </c>
      <c r="C149" s="554" t="s">
        <v>769</v>
      </c>
      <c r="H149" s="600">
        <f>H57</f>
        <v>132829862.79000001</v>
      </c>
      <c r="I149" s="372"/>
      <c r="J149" s="582"/>
      <c r="K149" s="582"/>
      <c r="N149" s="190"/>
    </row>
    <row r="150" spans="1:14" x14ac:dyDescent="0.25">
      <c r="A150" s="503"/>
      <c r="B150" s="139">
        <f>B149+1</f>
        <v>2</v>
      </c>
      <c r="C150" s="554" t="s">
        <v>770</v>
      </c>
      <c r="D150" s="503"/>
      <c r="E150" s="503"/>
      <c r="F150" s="503"/>
      <c r="G150" s="503"/>
      <c r="H150" s="676">
        <f>7676589+2675120</f>
        <v>10351709</v>
      </c>
      <c r="I150" s="589"/>
      <c r="J150" s="627"/>
      <c r="K150" s="627"/>
    </row>
    <row r="151" spans="1:14" s="503" customFormat="1" ht="15.95" customHeight="1" x14ac:dyDescent="0.25">
      <c r="B151" s="557"/>
      <c r="C151" s="554"/>
      <c r="H151" s="600"/>
      <c r="I151" s="372"/>
      <c r="J151" s="582"/>
      <c r="K151" s="582"/>
      <c r="N151" s="190"/>
    </row>
    <row r="152" spans="1:14" x14ac:dyDescent="0.25">
      <c r="B152" s="139">
        <f>B150+1</f>
        <v>3</v>
      </c>
      <c r="C152" s="554" t="s">
        <v>771</v>
      </c>
      <c r="D152" s="503"/>
      <c r="E152" s="503"/>
      <c r="F152" s="503"/>
      <c r="G152" s="503"/>
      <c r="H152" s="600">
        <f>SUM(H149:H151)</f>
        <v>143181571.79000002</v>
      </c>
      <c r="I152" s="589"/>
    </row>
    <row r="153" spans="1:14" x14ac:dyDescent="0.25">
      <c r="B153" s="520"/>
      <c r="C153" s="503"/>
      <c r="D153" s="503"/>
      <c r="E153" s="503"/>
      <c r="F153" s="503"/>
      <c r="G153" s="503"/>
      <c r="H153" s="503"/>
    </row>
    <row r="154" spans="1:14" x14ac:dyDescent="0.25">
      <c r="A154" s="725"/>
      <c r="B154" s="139">
        <f>B152+1</f>
        <v>4</v>
      </c>
      <c r="C154" s="503" t="s">
        <v>661</v>
      </c>
      <c r="D154" s="503"/>
      <c r="E154" s="503"/>
      <c r="F154" s="503"/>
      <c r="G154" s="503"/>
      <c r="H154" s="676">
        <v>5505176</v>
      </c>
      <c r="I154" s="589"/>
    </row>
    <row r="155" spans="1:14" x14ac:dyDescent="0.25">
      <c r="A155" s="725"/>
      <c r="B155" s="537"/>
      <c r="C155" s="503"/>
      <c r="D155" s="503"/>
      <c r="E155" s="503"/>
      <c r="F155" s="503"/>
      <c r="G155" s="503"/>
      <c r="H155" s="503"/>
    </row>
    <row r="156" spans="1:14" ht="20.25" customHeight="1" x14ac:dyDescent="0.25">
      <c r="B156" s="139">
        <f>B154+1</f>
        <v>5</v>
      </c>
      <c r="C156" s="503" t="s">
        <v>772</v>
      </c>
      <c r="D156" s="503"/>
      <c r="E156" s="503"/>
      <c r="F156" s="503"/>
      <c r="G156" s="503"/>
      <c r="H156" s="613">
        <f>ROUND(+H154/H152,5)</f>
        <v>3.8449999999999998E-2</v>
      </c>
      <c r="I156" s="175"/>
    </row>
    <row r="157" spans="1:14" x14ac:dyDescent="0.25">
      <c r="B157" s="520"/>
      <c r="C157" s="503"/>
      <c r="D157" s="503"/>
      <c r="E157" s="503"/>
      <c r="F157" s="503"/>
      <c r="G157" s="503"/>
      <c r="H157" s="503"/>
    </row>
    <row r="158" spans="1:14" x14ac:dyDescent="0.25">
      <c r="B158" s="139">
        <f>B156+1</f>
        <v>6</v>
      </c>
      <c r="C158" s="554" t="s">
        <v>768</v>
      </c>
      <c r="D158" s="503"/>
      <c r="E158" s="503"/>
      <c r="F158" s="503"/>
      <c r="G158" s="503"/>
      <c r="H158" s="676">
        <f>H92</f>
        <v>3686024</v>
      </c>
      <c r="I158" s="589"/>
    </row>
    <row r="159" spans="1:14" x14ac:dyDescent="0.25">
      <c r="B159" s="520"/>
      <c r="C159" s="503"/>
      <c r="D159" s="503"/>
      <c r="E159" s="503"/>
      <c r="F159" s="503"/>
      <c r="G159" s="503"/>
      <c r="H159" s="503"/>
    </row>
    <row r="160" spans="1:14" ht="16.5" thickBot="1" x14ac:dyDescent="0.3">
      <c r="B160" s="139">
        <f>B158+1</f>
        <v>7</v>
      </c>
      <c r="C160" s="554" t="s">
        <v>773</v>
      </c>
      <c r="D160" s="503"/>
      <c r="E160" s="503"/>
      <c r="F160" s="503"/>
      <c r="G160" s="503"/>
      <c r="H160" s="674">
        <f>ROUND(+H156*H158,0)</f>
        <v>141728</v>
      </c>
      <c r="I160" s="372"/>
    </row>
    <row r="161" spans="1:11" ht="16.5" thickTop="1" x14ac:dyDescent="0.25">
      <c r="H161" s="174"/>
      <c r="I161" s="520"/>
    </row>
    <row r="162" spans="1:11" x14ac:dyDescent="0.25">
      <c r="B162" s="139">
        <f>B160+1</f>
        <v>8</v>
      </c>
      <c r="C162" s="520" t="s">
        <v>223</v>
      </c>
      <c r="G162" s="619">
        <f>G88</f>
        <v>0.8</v>
      </c>
      <c r="H162" s="174">
        <f>ROUND(H160*G162,0)</f>
        <v>113382</v>
      </c>
      <c r="I162" s="520"/>
    </row>
    <row r="163" spans="1:11" x14ac:dyDescent="0.25">
      <c r="G163" s="617"/>
      <c r="H163" s="174"/>
      <c r="I163" s="520"/>
    </row>
    <row r="164" spans="1:11" x14ac:dyDescent="0.25">
      <c r="B164" s="139">
        <f>B162+1</f>
        <v>9</v>
      </c>
      <c r="C164" s="520" t="s">
        <v>224</v>
      </c>
      <c r="G164" s="619">
        <f>G90</f>
        <v>0.2</v>
      </c>
      <c r="H164" s="424">
        <f>ROUND(H160*G164,0)</f>
        <v>28346</v>
      </c>
      <c r="I164" s="520"/>
    </row>
    <row r="165" spans="1:11" x14ac:dyDescent="0.25">
      <c r="H165" s="174"/>
      <c r="I165" s="520"/>
    </row>
    <row r="166" spans="1:11" ht="16.5" thickBot="1" x14ac:dyDescent="0.3">
      <c r="B166" s="139">
        <f>B164+1</f>
        <v>10</v>
      </c>
      <c r="C166" s="520" t="s">
        <v>213</v>
      </c>
      <c r="H166" s="248">
        <f>SUM(H162:H165)</f>
        <v>141728</v>
      </c>
      <c r="I166" s="520"/>
    </row>
    <row r="167" spans="1:11" ht="16.5" thickTop="1" x14ac:dyDescent="0.25">
      <c r="C167" s="139"/>
    </row>
    <row r="170" spans="1:11" x14ac:dyDescent="0.25">
      <c r="A170" s="139"/>
    </row>
    <row r="172" spans="1:11" s="503" customFormat="1" x14ac:dyDescent="0.25">
      <c r="B172" s="557"/>
      <c r="F172" s="603"/>
      <c r="G172" s="601"/>
      <c r="H172" s="601"/>
      <c r="I172" s="556"/>
      <c r="J172" s="582"/>
      <c r="K172" s="582"/>
    </row>
  </sheetData>
  <mergeCells count="13">
    <mergeCell ref="A9:H9"/>
    <mergeCell ref="A12:H12"/>
    <mergeCell ref="A13:H13"/>
    <mergeCell ref="A154:A155"/>
    <mergeCell ref="A106:H106"/>
    <mergeCell ref="A45:H45"/>
    <mergeCell ref="A48:H48"/>
    <mergeCell ref="A49:H49"/>
    <mergeCell ref="A109:H109"/>
    <mergeCell ref="A110:H110"/>
    <mergeCell ref="A142:H142"/>
    <mergeCell ref="A145:H145"/>
    <mergeCell ref="A146:H146"/>
  </mergeCells>
  <phoneticPr fontId="4" type="noConversion"/>
  <printOptions horizontalCentered="1"/>
  <pageMargins left="0.5" right="0.5" top="1" bottom="0.25" header="0.5" footer="0.5"/>
  <pageSetup scale="60" fitToHeight="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3:J30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68.25" style="252" customWidth="1"/>
    <col min="2" max="2" width="14.375" style="252" customWidth="1"/>
    <col min="3" max="3" width="3.75" style="252" customWidth="1"/>
    <col min="4" max="4" width="14.375" style="252" customWidth="1"/>
    <col min="5" max="5" width="3.75" style="252" customWidth="1"/>
    <col min="6" max="6" width="14.375" style="252" customWidth="1"/>
    <col min="7" max="7" width="4" style="252" customWidth="1"/>
    <col min="8" max="8" width="14.375" style="252" customWidth="1"/>
    <col min="9" max="16384" width="9.625" style="252"/>
  </cols>
  <sheetData>
    <row r="3" spans="1:8" x14ac:dyDescent="0.25">
      <c r="H3" s="293" t="str">
        <f>'Ex 1'!$P$1</f>
        <v>Exhibit 1</v>
      </c>
    </row>
    <row r="4" spans="1:8" x14ac:dyDescent="0.25">
      <c r="H4" s="337" t="str">
        <f>"Reference Schedule "&amp;Inputs!$A30&amp;""</f>
        <v>Reference Schedule 1.14</v>
      </c>
    </row>
    <row r="5" spans="1:8" x14ac:dyDescent="0.25">
      <c r="H5" s="11" t="str">
        <f>"Sponsoring Witness: "&amp;Inputs!$B30&amp;""</f>
        <v>Sponsoring Witness: Arbough</v>
      </c>
    </row>
    <row r="8" spans="1:8" x14ac:dyDescent="0.25">
      <c r="A8" s="356" t="s">
        <v>222</v>
      </c>
      <c r="B8" s="356"/>
      <c r="C8" s="356"/>
      <c r="D8" s="356"/>
      <c r="E8" s="356"/>
      <c r="F8" s="356"/>
      <c r="G8" s="356"/>
      <c r="H8" s="357"/>
    </row>
    <row r="9" spans="1:8" x14ac:dyDescent="0.25">
      <c r="A9" s="357"/>
      <c r="B9" s="357"/>
      <c r="C9" s="357"/>
      <c r="D9" s="357"/>
      <c r="E9" s="357"/>
      <c r="F9" s="357"/>
      <c r="G9" s="357"/>
      <c r="H9" s="357"/>
    </row>
    <row r="10" spans="1:8" x14ac:dyDescent="0.25">
      <c r="A10" s="543"/>
      <c r="B10" s="358"/>
      <c r="C10" s="358"/>
      <c r="D10" s="358"/>
      <c r="E10" s="358"/>
      <c r="F10" s="358"/>
      <c r="G10" s="358"/>
      <c r="H10" s="357"/>
    </row>
    <row r="11" spans="1:8" x14ac:dyDescent="0.25">
      <c r="A11" s="543" t="s">
        <v>743</v>
      </c>
      <c r="B11" s="358"/>
      <c r="C11" s="358"/>
      <c r="D11" s="358"/>
      <c r="E11" s="358"/>
      <c r="F11" s="358"/>
      <c r="G11" s="358"/>
      <c r="H11" s="357"/>
    </row>
    <row r="12" spans="1:8" x14ac:dyDescent="0.25">
      <c r="A12" s="411" t="str">
        <f>+'1.06'!A12:E12</f>
        <v>For the Twelve Months Ended March 31, 2012</v>
      </c>
      <c r="B12" s="356"/>
      <c r="C12" s="356"/>
      <c r="D12" s="356"/>
      <c r="E12" s="356"/>
      <c r="F12" s="356"/>
      <c r="G12" s="356"/>
      <c r="H12" s="357"/>
    </row>
    <row r="14" spans="1:8" x14ac:dyDescent="0.25">
      <c r="H14" s="359"/>
    </row>
    <row r="15" spans="1:8" x14ac:dyDescent="0.25">
      <c r="A15" s="360"/>
      <c r="B15" s="137" t="s">
        <v>90</v>
      </c>
      <c r="C15" s="119"/>
      <c r="D15" s="137" t="s">
        <v>91</v>
      </c>
      <c r="E15" s="119"/>
      <c r="F15" s="452" t="s">
        <v>399</v>
      </c>
      <c r="G15" s="106"/>
      <c r="H15" s="137" t="s">
        <v>213</v>
      </c>
    </row>
    <row r="16" spans="1:8" x14ac:dyDescent="0.25">
      <c r="A16" s="360"/>
      <c r="B16" s="360"/>
      <c r="C16" s="360"/>
      <c r="D16" s="360"/>
      <c r="E16" s="360"/>
      <c r="F16" s="360"/>
      <c r="G16" s="360"/>
    </row>
    <row r="17" spans="1:10" x14ac:dyDescent="0.25">
      <c r="A17" s="360" t="s">
        <v>401</v>
      </c>
      <c r="B17" s="157">
        <v>23170424</v>
      </c>
      <c r="C17" s="157"/>
      <c r="D17" s="157">
        <v>6028587</v>
      </c>
      <c r="E17" s="157"/>
      <c r="F17" s="237">
        <v>203293</v>
      </c>
      <c r="G17" s="360"/>
      <c r="H17" s="157">
        <f>SUM(B17:F17)</f>
        <v>29402304</v>
      </c>
    </row>
    <row r="19" spans="1:10" x14ac:dyDescent="0.25">
      <c r="A19" s="361" t="s">
        <v>400</v>
      </c>
      <c r="B19" s="361"/>
      <c r="C19" s="361"/>
      <c r="D19" s="361"/>
      <c r="E19" s="361"/>
      <c r="F19" s="361"/>
      <c r="G19" s="361"/>
    </row>
    <row r="20" spans="1:10" x14ac:dyDescent="0.25">
      <c r="A20" s="361" t="s">
        <v>494</v>
      </c>
      <c r="B20" s="362">
        <v>19095127</v>
      </c>
      <c r="C20" s="273"/>
      <c r="D20" s="363">
        <v>5377848</v>
      </c>
      <c r="E20" s="273"/>
      <c r="F20" s="238">
        <v>429325</v>
      </c>
      <c r="G20" s="361"/>
      <c r="H20" s="362">
        <f>SUM(B20:F20)</f>
        <v>24902300</v>
      </c>
    </row>
    <row r="21" spans="1:10" x14ac:dyDescent="0.25">
      <c r="B21" s="129"/>
      <c r="C21" s="129"/>
      <c r="D21" s="106"/>
      <c r="E21" s="129"/>
      <c r="F21" s="106"/>
      <c r="H21" s="359"/>
    </row>
    <row r="22" spans="1:10" ht="16.5" thickBot="1" x14ac:dyDescent="0.3">
      <c r="A22" s="343" t="s">
        <v>347</v>
      </c>
      <c r="B22" s="364">
        <f>B20-B17</f>
        <v>-4075297</v>
      </c>
      <c r="C22" s="365"/>
      <c r="D22" s="364">
        <f>D20-D17</f>
        <v>-650739</v>
      </c>
      <c r="E22" s="365"/>
      <c r="F22" s="364">
        <f>F20-F17</f>
        <v>226032</v>
      </c>
      <c r="G22" s="360"/>
      <c r="H22" s="364">
        <f>SUM(B22:F22)</f>
        <v>-4500004</v>
      </c>
    </row>
    <row r="23" spans="1:10" ht="16.5" thickTop="1" x14ac:dyDescent="0.25">
      <c r="H23" s="359"/>
    </row>
    <row r="24" spans="1:10" x14ac:dyDescent="0.25">
      <c r="A24" s="361" t="s">
        <v>435</v>
      </c>
      <c r="B24" s="361"/>
      <c r="C24" s="361"/>
      <c r="D24" s="361"/>
      <c r="E24" s="361"/>
      <c r="F24" s="361"/>
      <c r="G24" s="361"/>
      <c r="H24" s="366">
        <f>ROUND(H22*0.8,0)</f>
        <v>-3600003</v>
      </c>
      <c r="J24" s="366"/>
    </row>
    <row r="25" spans="1:10" x14ac:dyDescent="0.25">
      <c r="A25" s="360"/>
      <c r="B25" s="360"/>
      <c r="C25" s="360"/>
      <c r="D25" s="360"/>
      <c r="E25" s="360"/>
      <c r="F25" s="360"/>
      <c r="G25" s="360"/>
      <c r="J25" s="596"/>
    </row>
    <row r="26" spans="1:10" x14ac:dyDescent="0.25">
      <c r="A26" s="361" t="s">
        <v>486</v>
      </c>
      <c r="B26" s="361"/>
      <c r="C26" s="361"/>
      <c r="D26" s="361"/>
      <c r="E26" s="361"/>
      <c r="F26" s="361"/>
      <c r="G26" s="361"/>
      <c r="H26" s="367">
        <f>ROUND(H22-H24,0)</f>
        <v>-900001</v>
      </c>
      <c r="J26" s="597"/>
    </row>
    <row r="27" spans="1:10" x14ac:dyDescent="0.25">
      <c r="J27" s="596"/>
    </row>
    <row r="28" spans="1:10" ht="16.5" thickBot="1" x14ac:dyDescent="0.3">
      <c r="A28" s="360" t="s">
        <v>21</v>
      </c>
      <c r="B28" s="360"/>
      <c r="C28" s="360"/>
      <c r="D28" s="360"/>
      <c r="E28" s="360"/>
      <c r="F28" s="360"/>
      <c r="G28" s="360"/>
      <c r="H28" s="368">
        <f>H24+H26</f>
        <v>-4500004</v>
      </c>
      <c r="J28" s="598"/>
    </row>
    <row r="29" spans="1:10" ht="16.5" thickTop="1" x14ac:dyDescent="0.25"/>
    <row r="30" spans="1:10" x14ac:dyDescent="0.25">
      <c r="A30" s="361" t="s">
        <v>502</v>
      </c>
    </row>
  </sheetData>
  <phoneticPr fontId="7" type="noConversion"/>
  <printOptions horizontalCentered="1"/>
  <pageMargins left="0.75" right="0.75" top="1" bottom="1" header="0.5" footer="0.5"/>
  <pageSetup scale="8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2">
    <pageSetUpPr fitToPage="1"/>
  </sheetPr>
  <dimension ref="A3:G66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15.625" style="525" customWidth="1"/>
    <col min="2" max="2" width="14" style="525" customWidth="1"/>
    <col min="3" max="3" width="4.625" style="525" customWidth="1"/>
    <col min="4" max="4" width="15.625" style="525" customWidth="1"/>
    <col min="5" max="5" width="12.5" style="525" customWidth="1"/>
    <col min="6" max="6" width="14.625" style="525" customWidth="1"/>
    <col min="7" max="7" width="15.625" style="525" customWidth="1"/>
    <col min="8" max="16384" width="9.625" style="525"/>
  </cols>
  <sheetData>
    <row r="3" spans="1:7" x14ac:dyDescent="0.25">
      <c r="F3" s="293" t="str">
        <f>'Ex 1'!$P$1</f>
        <v>Exhibit 1</v>
      </c>
      <c r="G3" s="524"/>
    </row>
    <row r="4" spans="1:7" x14ac:dyDescent="0.25">
      <c r="F4" s="337" t="str">
        <f>"Reference Schedule "&amp;Inputs!$A31&amp;""</f>
        <v>Reference Schedule 1.15</v>
      </c>
      <c r="G4" s="524"/>
    </row>
    <row r="5" spans="1:7" x14ac:dyDescent="0.25">
      <c r="F5" s="11" t="str">
        <f>"Sponsoring Witness: "&amp;Inputs!$B31&amp;""</f>
        <v>Sponsoring Witness: Scott</v>
      </c>
      <c r="G5" s="524"/>
    </row>
    <row r="6" spans="1:7" x14ac:dyDescent="0.25">
      <c r="G6" s="524"/>
    </row>
    <row r="8" spans="1:7" x14ac:dyDescent="0.25">
      <c r="A8" s="523" t="s">
        <v>222</v>
      </c>
      <c r="B8" s="522"/>
      <c r="C8" s="522"/>
      <c r="D8" s="522"/>
      <c r="E8" s="522"/>
      <c r="F8" s="522"/>
    </row>
    <row r="9" spans="1:7" x14ac:dyDescent="0.25">
      <c r="A9" s="522"/>
      <c r="B9" s="522"/>
      <c r="C9" s="522"/>
      <c r="D9" s="522"/>
      <c r="E9" s="522"/>
      <c r="F9" s="522"/>
    </row>
    <row r="10" spans="1:7" x14ac:dyDescent="0.25">
      <c r="A10" s="522"/>
      <c r="B10" s="522"/>
      <c r="C10" s="522"/>
      <c r="D10" s="522"/>
      <c r="E10" s="522"/>
      <c r="F10" s="522"/>
    </row>
    <row r="11" spans="1:7" x14ac:dyDescent="0.25">
      <c r="A11" s="522" t="s">
        <v>337</v>
      </c>
      <c r="B11" s="522"/>
      <c r="C11" s="522"/>
      <c r="D11" s="522"/>
      <c r="E11" s="522"/>
      <c r="F11" s="522"/>
    </row>
    <row r="12" spans="1:7" x14ac:dyDescent="0.25">
      <c r="A12" s="505" t="str">
        <f>"For the Twelve Months Ended "&amp;Inputs!B3&amp;""</f>
        <v>For the Twelve Months Ended March 31, 2012</v>
      </c>
      <c r="B12" s="522"/>
      <c r="C12" s="522"/>
      <c r="D12" s="522"/>
      <c r="E12" s="522"/>
      <c r="F12" s="522"/>
    </row>
    <row r="16" spans="1:7" x14ac:dyDescent="0.25">
      <c r="F16" s="506" t="s">
        <v>220</v>
      </c>
    </row>
    <row r="18" spans="1:7" x14ac:dyDescent="0.25">
      <c r="A18" s="507" t="s">
        <v>338</v>
      </c>
    </row>
    <row r="19" spans="1:7" x14ac:dyDescent="0.25">
      <c r="A19" s="507" t="s">
        <v>151</v>
      </c>
      <c r="F19" s="157">
        <f>+E40</f>
        <v>5889868</v>
      </c>
    </row>
    <row r="21" spans="1:7" x14ac:dyDescent="0.25">
      <c r="A21" s="507" t="s">
        <v>339</v>
      </c>
    </row>
    <row r="22" spans="1:7" x14ac:dyDescent="0.25">
      <c r="A22" s="515" t="str">
        <f>"     the 12 months ended "&amp;Inputs!B3&amp;""</f>
        <v xml:space="preserve">     the 12 months ended March 31, 2012</v>
      </c>
      <c r="F22" s="508">
        <f>E29</f>
        <v>7685591</v>
      </c>
    </row>
    <row r="23" spans="1:7" x14ac:dyDescent="0.25">
      <c r="F23" s="509"/>
    </row>
    <row r="24" spans="1:7" ht="16.5" thickBot="1" x14ac:dyDescent="0.3">
      <c r="A24" s="507" t="s">
        <v>340</v>
      </c>
      <c r="F24" s="166">
        <f>ROUND((+F19-F22),0)</f>
        <v>-1795723</v>
      </c>
    </row>
    <row r="25" spans="1:7" ht="16.5" thickTop="1" x14ac:dyDescent="0.25">
      <c r="F25" s="509"/>
    </row>
    <row r="26" spans="1:7" x14ac:dyDescent="0.25">
      <c r="A26" s="510"/>
      <c r="B26" s="510"/>
      <c r="C26" s="510"/>
      <c r="D26" s="510"/>
      <c r="E26" s="510"/>
      <c r="F26" s="510"/>
      <c r="G26" s="510"/>
    </row>
    <row r="27" spans="1:7" x14ac:dyDescent="0.25">
      <c r="A27" s="510"/>
      <c r="B27" s="510"/>
      <c r="C27" s="510"/>
      <c r="D27" s="511" t="s">
        <v>176</v>
      </c>
      <c r="E27" s="510"/>
      <c r="F27" s="510"/>
      <c r="G27" s="510"/>
    </row>
    <row r="28" spans="1:7" x14ac:dyDescent="0.25">
      <c r="A28" s="506" t="s">
        <v>375</v>
      </c>
      <c r="B28" s="512" t="s">
        <v>648</v>
      </c>
      <c r="C28" s="512"/>
      <c r="D28" s="506" t="s">
        <v>165</v>
      </c>
      <c r="E28" s="506" t="s">
        <v>303</v>
      </c>
      <c r="F28" s="510"/>
      <c r="G28" s="510"/>
    </row>
    <row r="29" spans="1:7" ht="18" customHeight="1" x14ac:dyDescent="0.25">
      <c r="A29" s="491" t="s">
        <v>527</v>
      </c>
      <c r="B29" s="371">
        <v>7685591.0999999996</v>
      </c>
      <c r="C29" s="498"/>
      <c r="D29" s="514">
        <f>ROUND(D66/D66,4)</f>
        <v>1</v>
      </c>
      <c r="E29" s="371">
        <f>ROUND(+B29*D29,0)</f>
        <v>7685591</v>
      </c>
      <c r="F29" s="538"/>
      <c r="G29" s="510"/>
    </row>
    <row r="30" spans="1:7" ht="18" customHeight="1" x14ac:dyDescent="0.25">
      <c r="A30" s="491" t="s">
        <v>440</v>
      </c>
      <c r="B30" s="509">
        <v>6814290</v>
      </c>
      <c r="C30" s="498" t="s">
        <v>210</v>
      </c>
      <c r="D30" s="514">
        <f>ROUND(D66/224.939,4)</f>
        <v>1.0068999999999999</v>
      </c>
      <c r="E30" s="162">
        <f>ROUND(+B30*D30,0)</f>
        <v>6861309</v>
      </c>
      <c r="F30" s="538"/>
      <c r="G30" s="510"/>
    </row>
    <row r="31" spans="1:7" ht="18" customHeight="1" x14ac:dyDescent="0.25">
      <c r="A31" s="491" t="s">
        <v>441</v>
      </c>
      <c r="B31" s="509">
        <v>1535593</v>
      </c>
      <c r="C31" s="498"/>
      <c r="D31" s="514">
        <f>ROUND(D66/218.056,4)</f>
        <v>1.0387</v>
      </c>
      <c r="E31" s="162">
        <f>ROUND(+B31*D31,0)</f>
        <v>1595020</v>
      </c>
      <c r="F31" s="538"/>
      <c r="G31" s="510"/>
    </row>
    <row r="32" spans="1:7" ht="18" customHeight="1" x14ac:dyDescent="0.25">
      <c r="A32" s="491" t="s">
        <v>139</v>
      </c>
      <c r="B32" s="509">
        <v>5405075</v>
      </c>
      <c r="C32" s="498" t="s">
        <v>210</v>
      </c>
      <c r="D32" s="514">
        <f>ROUND(D66/214.537,4)</f>
        <v>1.0558000000000001</v>
      </c>
      <c r="E32" s="162">
        <f>ROUND(+B32*D32,0)</f>
        <v>5706678</v>
      </c>
      <c r="F32" s="538"/>
      <c r="G32" s="510"/>
    </row>
    <row r="33" spans="1:7" x14ac:dyDescent="0.25">
      <c r="A33" s="513">
        <v>2008</v>
      </c>
      <c r="B33" s="509">
        <v>6107323</v>
      </c>
      <c r="C33" s="498" t="s">
        <v>210</v>
      </c>
      <c r="D33" s="514">
        <f>ROUND(D66/215.303,4)</f>
        <v>1.052</v>
      </c>
      <c r="E33" s="162">
        <f t="shared" ref="E33:E38" si="0">ROUND(+B33*D33,0)</f>
        <v>6424904</v>
      </c>
      <c r="F33" s="538"/>
      <c r="G33" s="510"/>
    </row>
    <row r="34" spans="1:7" x14ac:dyDescent="0.25">
      <c r="A34" s="513">
        <v>2007</v>
      </c>
      <c r="B34" s="509">
        <v>2172237</v>
      </c>
      <c r="C34" s="509"/>
      <c r="D34" s="514">
        <f>ROUND(D66/207.342,4)</f>
        <v>1.0924</v>
      </c>
      <c r="E34" s="509">
        <f t="shared" si="0"/>
        <v>2372952</v>
      </c>
      <c r="F34" s="538"/>
      <c r="G34" s="510"/>
    </row>
    <row r="35" spans="1:7" x14ac:dyDescent="0.25">
      <c r="A35" s="513">
        <v>2006</v>
      </c>
      <c r="B35" s="509">
        <v>5725974</v>
      </c>
      <c r="C35" s="509"/>
      <c r="D35" s="514">
        <f>ROUND(D66/201.6,4)</f>
        <v>1.1234999999999999</v>
      </c>
      <c r="E35" s="509">
        <f t="shared" si="0"/>
        <v>6433132</v>
      </c>
      <c r="F35" s="538"/>
      <c r="G35" s="510"/>
    </row>
    <row r="36" spans="1:7" x14ac:dyDescent="0.25">
      <c r="A36" s="513">
        <v>2005</v>
      </c>
      <c r="B36" s="509">
        <v>1982820</v>
      </c>
      <c r="C36" s="509"/>
      <c r="D36" s="514">
        <f>ROUND(D66/195.3,4)</f>
        <v>1.1597999999999999</v>
      </c>
      <c r="E36" s="509">
        <f t="shared" si="0"/>
        <v>2299675</v>
      </c>
      <c r="F36" s="538"/>
      <c r="G36" s="510"/>
    </row>
    <row r="37" spans="1:7" x14ac:dyDescent="0.25">
      <c r="A37" s="513">
        <v>2004</v>
      </c>
      <c r="B37" s="509">
        <v>13866592</v>
      </c>
      <c r="C37" s="509"/>
      <c r="D37" s="514">
        <f>ROUND(D66/188.9,4)</f>
        <v>1.1990000000000001</v>
      </c>
      <c r="E37" s="509">
        <f t="shared" si="0"/>
        <v>16626044</v>
      </c>
      <c r="F37" s="510"/>
      <c r="G37" s="510"/>
    </row>
    <row r="38" spans="1:7" x14ac:dyDescent="0.25">
      <c r="A38" s="513">
        <v>2003</v>
      </c>
      <c r="B38" s="509">
        <v>2350428</v>
      </c>
      <c r="C38" s="509"/>
      <c r="D38" s="514">
        <f>ROUND(D66/184,4)</f>
        <v>1.2310000000000001</v>
      </c>
      <c r="E38" s="509">
        <f t="shared" si="0"/>
        <v>2893377</v>
      </c>
      <c r="F38" s="510"/>
      <c r="G38" s="510"/>
    </row>
    <row r="39" spans="1:7" ht="21.75" customHeight="1" thickBot="1" x14ac:dyDescent="0.3">
      <c r="A39" s="511" t="s">
        <v>213</v>
      </c>
      <c r="B39" s="509"/>
      <c r="C39" s="509"/>
      <c r="D39" s="511"/>
      <c r="E39" s="373">
        <f>SUM(E29:E38)</f>
        <v>58898682</v>
      </c>
      <c r="F39" s="540"/>
      <c r="G39" s="510"/>
    </row>
    <row r="40" spans="1:7" ht="24" customHeight="1" thickTop="1" thickBot="1" x14ac:dyDescent="0.3">
      <c r="A40" s="507" t="s">
        <v>5</v>
      </c>
      <c r="B40" s="509"/>
      <c r="C40" s="509"/>
      <c r="D40" s="511"/>
      <c r="E40" s="374">
        <f>ROUND(E39/10,0)</f>
        <v>5889868</v>
      </c>
      <c r="F40" s="273"/>
      <c r="G40" s="510"/>
    </row>
    <row r="41" spans="1:7" ht="16.5" thickTop="1" x14ac:dyDescent="0.25"/>
    <row r="42" spans="1:7" ht="23.25" customHeight="1" x14ac:dyDescent="0.25">
      <c r="A42" s="515" t="s">
        <v>529</v>
      </c>
    </row>
    <row r="43" spans="1:7" x14ac:dyDescent="0.25">
      <c r="A43" s="515" t="s">
        <v>419</v>
      </c>
    </row>
    <row r="44" spans="1:7" x14ac:dyDescent="0.25">
      <c r="A44" s="541"/>
    </row>
    <row r="45" spans="1:7" ht="21.75" customHeight="1" x14ac:dyDescent="0.25">
      <c r="A45" s="515" t="s">
        <v>525</v>
      </c>
    </row>
    <row r="46" spans="1:7" x14ac:dyDescent="0.25">
      <c r="A46" s="515" t="s">
        <v>444</v>
      </c>
    </row>
    <row r="47" spans="1:7" x14ac:dyDescent="0.25">
      <c r="A47" s="515"/>
    </row>
    <row r="48" spans="1:7" x14ac:dyDescent="0.25">
      <c r="A48" s="515"/>
    </row>
    <row r="49" spans="1:6" x14ac:dyDescent="0.25">
      <c r="A49" s="515"/>
    </row>
    <row r="50" spans="1:6" x14ac:dyDescent="0.25">
      <c r="A50" s="515"/>
    </row>
    <row r="51" spans="1:6" x14ac:dyDescent="0.25">
      <c r="A51" s="515"/>
    </row>
    <row r="52" spans="1:6" x14ac:dyDescent="0.25">
      <c r="A52" s="515"/>
    </row>
    <row r="53" spans="1:6" x14ac:dyDescent="0.25">
      <c r="B53" s="510"/>
      <c r="C53" s="510"/>
      <c r="D53" s="539" t="s">
        <v>87</v>
      </c>
    </row>
    <row r="54" spans="1:6" x14ac:dyDescent="0.25">
      <c r="B54" s="525" t="s">
        <v>200</v>
      </c>
      <c r="D54" s="542">
        <v>224.90600000000001</v>
      </c>
      <c r="E54" s="542"/>
      <c r="F54" s="542"/>
    </row>
    <row r="55" spans="1:6" x14ac:dyDescent="0.25">
      <c r="B55" s="525" t="s">
        <v>189</v>
      </c>
      <c r="D55" s="542">
        <v>225.964</v>
      </c>
      <c r="E55" s="542"/>
      <c r="F55" s="542"/>
    </row>
    <row r="56" spans="1:6" x14ac:dyDescent="0.25">
      <c r="B56" s="525" t="s">
        <v>201</v>
      </c>
      <c r="D56" s="542">
        <v>225.72200000000001</v>
      </c>
      <c r="E56" s="542"/>
      <c r="F56" s="542"/>
    </row>
    <row r="57" spans="1:6" x14ac:dyDescent="0.25">
      <c r="B57" s="525" t="s">
        <v>202</v>
      </c>
      <c r="D57" s="542">
        <v>225.922</v>
      </c>
    </row>
    <row r="58" spans="1:6" x14ac:dyDescent="0.25">
      <c r="B58" s="525" t="s">
        <v>203</v>
      </c>
      <c r="D58" s="542">
        <v>226.54499999999999</v>
      </c>
    </row>
    <row r="59" spans="1:6" x14ac:dyDescent="0.25">
      <c r="B59" s="525" t="s">
        <v>204</v>
      </c>
      <c r="D59" s="542">
        <v>226.88900000000001</v>
      </c>
    </row>
    <row r="60" spans="1:6" x14ac:dyDescent="0.25">
      <c r="B60" s="525" t="s">
        <v>205</v>
      </c>
      <c r="D60" s="542">
        <v>226.42099999999999</v>
      </c>
    </row>
    <row r="61" spans="1:6" x14ac:dyDescent="0.25">
      <c r="B61" s="525" t="s">
        <v>206</v>
      </c>
      <c r="D61" s="542">
        <v>226.23</v>
      </c>
    </row>
    <row r="62" spans="1:6" x14ac:dyDescent="0.25">
      <c r="B62" s="525" t="s">
        <v>443</v>
      </c>
      <c r="D62" s="542">
        <v>225.672</v>
      </c>
    </row>
    <row r="63" spans="1:6" s="431" customFormat="1" x14ac:dyDescent="0.25">
      <c r="B63" s="525" t="s">
        <v>442</v>
      </c>
      <c r="D63" s="542">
        <v>226.66499999999999</v>
      </c>
    </row>
    <row r="64" spans="1:6" s="431" customFormat="1" x14ac:dyDescent="0.25">
      <c r="B64" s="525" t="s">
        <v>198</v>
      </c>
      <c r="D64" s="542">
        <v>227.66300000000001</v>
      </c>
    </row>
    <row r="65" spans="2:4" s="431" customFormat="1" x14ac:dyDescent="0.25">
      <c r="B65" s="525" t="s">
        <v>199</v>
      </c>
      <c r="D65" s="542">
        <v>229.392</v>
      </c>
    </row>
    <row r="66" spans="2:4" x14ac:dyDescent="0.25">
      <c r="B66" s="515" t="s">
        <v>526</v>
      </c>
      <c r="D66" s="542">
        <f>AVERAGE(D54:D65)</f>
        <v>226.49924999999999</v>
      </c>
    </row>
  </sheetData>
  <printOptions horizontalCentered="1" gridLinesSet="0"/>
  <pageMargins left="0.75" right="0.5" top="1" bottom="0.75" header="0.5" footer="0.5"/>
  <pageSetup scale="8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13" enableFormatConditionsCalculation="0">
    <pageSetUpPr fitToPage="1"/>
  </sheetPr>
  <dimension ref="A3:L42"/>
  <sheetViews>
    <sheetView showGridLines="0" zoomScaleNormal="100" workbookViewId="0">
      <selection activeCell="A3" sqref="A3"/>
    </sheetView>
  </sheetViews>
  <sheetFormatPr defaultColWidth="10.875" defaultRowHeight="15.75" x14ac:dyDescent="0.25"/>
  <cols>
    <col min="1" max="1" width="10.875" style="106"/>
    <col min="2" max="2" width="1.625" style="106" customWidth="1"/>
    <col min="3" max="3" width="13" style="106" customWidth="1"/>
    <col min="4" max="4" width="2.625" style="119" customWidth="1"/>
    <col min="5" max="5" width="14" style="106" bestFit="1" customWidth="1"/>
    <col min="6" max="6" width="1.625" style="119" customWidth="1"/>
    <col min="7" max="7" width="10.75" style="106" customWidth="1"/>
    <col min="8" max="8" width="1.625" style="106" customWidth="1"/>
    <col min="9" max="9" width="13" style="106" customWidth="1"/>
    <col min="10" max="10" width="2.625" style="106" customWidth="1"/>
    <col min="11" max="11" width="12.625" style="106" customWidth="1"/>
    <col min="12" max="16384" width="10.875" style="106"/>
  </cols>
  <sheetData>
    <row r="3" spans="1:11" x14ac:dyDescent="0.25">
      <c r="K3" s="293" t="str">
        <f>'Ex 1'!$P$1</f>
        <v>Exhibit 1</v>
      </c>
    </row>
    <row r="4" spans="1:11" x14ac:dyDescent="0.25">
      <c r="K4" s="337" t="str">
        <f>"Reference Schedule "&amp;Inputs!$A32&amp;""</f>
        <v>Reference Schedule 1.16</v>
      </c>
    </row>
    <row r="5" spans="1:11" x14ac:dyDescent="0.25">
      <c r="K5" s="11" t="str">
        <f>"Sponsoring Witness: "&amp;Inputs!$B32&amp;""</f>
        <v>Sponsoring Witness: Scott</v>
      </c>
    </row>
    <row r="6" spans="1:11" x14ac:dyDescent="0.25">
      <c r="K6" s="129"/>
    </row>
    <row r="8" spans="1:11" x14ac:dyDescent="0.25">
      <c r="A8" s="344" t="s">
        <v>222</v>
      </c>
      <c r="B8" s="123"/>
      <c r="C8" s="123"/>
      <c r="D8" s="375"/>
      <c r="E8" s="123"/>
      <c r="F8" s="375"/>
      <c r="G8" s="123"/>
      <c r="H8" s="123"/>
      <c r="I8" s="123"/>
      <c r="J8" s="123"/>
      <c r="K8" s="123"/>
    </row>
    <row r="9" spans="1:11" x14ac:dyDescent="0.25">
      <c r="A9" s="120"/>
      <c r="B9" s="123"/>
      <c r="C9" s="123"/>
      <c r="D9" s="375"/>
      <c r="E9" s="123"/>
      <c r="F9" s="375"/>
      <c r="G9" s="123"/>
      <c r="H9" s="123"/>
      <c r="I9" s="123"/>
      <c r="J9" s="123"/>
      <c r="K9" s="123"/>
    </row>
    <row r="10" spans="1:11" x14ac:dyDescent="0.25">
      <c r="A10" s="120"/>
      <c r="B10" s="123"/>
      <c r="C10" s="123"/>
      <c r="D10" s="375"/>
      <c r="E10" s="123"/>
      <c r="F10" s="375"/>
      <c r="G10" s="123"/>
      <c r="H10" s="123"/>
      <c r="I10" s="123"/>
      <c r="J10" s="123"/>
      <c r="K10" s="123"/>
    </row>
    <row r="11" spans="1:11" x14ac:dyDescent="0.25">
      <c r="A11" s="376" t="s">
        <v>367</v>
      </c>
      <c r="B11" s="123"/>
      <c r="C11" s="123"/>
      <c r="D11" s="375"/>
      <c r="E11" s="123"/>
      <c r="F11" s="375"/>
      <c r="G11" s="123"/>
      <c r="H11" s="123"/>
      <c r="I11" s="123"/>
      <c r="J11" s="123"/>
      <c r="K11" s="123"/>
    </row>
    <row r="12" spans="1:11" x14ac:dyDescent="0.25">
      <c r="A12" s="128" t="str">
        <f>"For the Twelve Months Ended "&amp;Inputs!B3&amp;""</f>
        <v>For the Twelve Months Ended March 31, 2012</v>
      </c>
      <c r="B12" s="123"/>
      <c r="C12" s="123"/>
      <c r="D12" s="375"/>
      <c r="E12" s="123"/>
      <c r="F12" s="375"/>
      <c r="G12" s="123"/>
      <c r="H12" s="123"/>
      <c r="I12" s="123"/>
      <c r="J12" s="123"/>
      <c r="K12" s="123"/>
    </row>
    <row r="13" spans="1:11" x14ac:dyDescent="0.25">
      <c r="B13" s="139"/>
    </row>
    <row r="14" spans="1:11" x14ac:dyDescent="0.25">
      <c r="B14" s="139"/>
    </row>
    <row r="15" spans="1:11" ht="18" x14ac:dyDescent="0.4">
      <c r="G15" s="191"/>
      <c r="H15" s="377"/>
      <c r="I15" s="191"/>
      <c r="J15" s="378"/>
      <c r="K15" s="191"/>
    </row>
    <row r="16" spans="1:11" x14ac:dyDescent="0.25">
      <c r="G16" s="144"/>
      <c r="H16" s="119"/>
      <c r="I16" s="137" t="s">
        <v>220</v>
      </c>
      <c r="K16" s="137" t="s">
        <v>221</v>
      </c>
    </row>
    <row r="17" spans="1:11" x14ac:dyDescent="0.25">
      <c r="A17" s="139" t="s">
        <v>152</v>
      </c>
      <c r="H17" s="119"/>
    </row>
    <row r="18" spans="1:11" x14ac:dyDescent="0.25">
      <c r="A18" s="139" t="s">
        <v>172</v>
      </c>
      <c r="H18" s="119"/>
      <c r="I18" s="157">
        <f>+I39</f>
        <v>2069198</v>
      </c>
      <c r="K18" s="157">
        <f>+K39</f>
        <v>513084</v>
      </c>
    </row>
    <row r="20" spans="1:11" x14ac:dyDescent="0.25">
      <c r="A20" s="139" t="s">
        <v>173</v>
      </c>
      <c r="I20" s="265"/>
      <c r="J20" s="265"/>
      <c r="K20" s="265"/>
    </row>
    <row r="21" spans="1:11" x14ac:dyDescent="0.25">
      <c r="A21" s="139" t="str">
        <f>"    months ended "&amp;Inputs!B3&amp;""</f>
        <v xml:space="preserve">    months ended March 31, 2012</v>
      </c>
      <c r="I21" s="369">
        <f>+I28</f>
        <v>2448360</v>
      </c>
      <c r="K21" s="369">
        <f>+K28</f>
        <v>621607</v>
      </c>
    </row>
    <row r="23" spans="1:11" ht="16.5" thickBot="1" x14ac:dyDescent="0.3">
      <c r="A23" s="139" t="s">
        <v>340</v>
      </c>
      <c r="I23" s="166">
        <f>ROUND((+I18-I21),0)</f>
        <v>-379162</v>
      </c>
      <c r="K23" s="166">
        <f>ROUND((+K18-K21),0)</f>
        <v>-108523</v>
      </c>
    </row>
    <row r="24" spans="1:11" ht="16.5" thickTop="1" x14ac:dyDescent="0.25">
      <c r="A24" s="139"/>
      <c r="I24" s="167"/>
      <c r="K24" s="372"/>
    </row>
    <row r="25" spans="1:11" x14ac:dyDescent="0.25">
      <c r="A25" s="139"/>
      <c r="I25" s="167"/>
      <c r="K25" s="372"/>
    </row>
    <row r="26" spans="1:11" x14ac:dyDescent="0.25">
      <c r="G26" s="133" t="s">
        <v>176</v>
      </c>
      <c r="I26" s="133" t="s">
        <v>251</v>
      </c>
      <c r="K26" s="133" t="s">
        <v>251</v>
      </c>
    </row>
    <row r="27" spans="1:11" x14ac:dyDescent="0.25">
      <c r="A27" s="137" t="s">
        <v>341</v>
      </c>
      <c r="B27" s="208"/>
      <c r="C27" s="500" t="s">
        <v>410</v>
      </c>
      <c r="D27" s="137"/>
      <c r="E27" s="500" t="s">
        <v>528</v>
      </c>
      <c r="F27" s="137"/>
      <c r="G27" s="137" t="s">
        <v>165</v>
      </c>
      <c r="H27" s="208"/>
      <c r="I27" s="137" t="s">
        <v>220</v>
      </c>
      <c r="J27" s="208"/>
      <c r="K27" s="137" t="s">
        <v>221</v>
      </c>
    </row>
    <row r="28" spans="1:11" s="520" customFormat="1" x14ac:dyDescent="0.25">
      <c r="A28" s="491" t="s">
        <v>527</v>
      </c>
      <c r="B28" s="535"/>
      <c r="C28" s="371">
        <v>2448359.89</v>
      </c>
      <c r="D28" s="113"/>
      <c r="E28" s="371">
        <v>621606.66</v>
      </c>
      <c r="F28" s="492"/>
      <c r="G28" s="514">
        <f>'1.15'!D29</f>
        <v>1</v>
      </c>
      <c r="H28" s="535"/>
      <c r="I28" s="371">
        <f>ROUND(+C28*G28,0)</f>
        <v>2448360</v>
      </c>
      <c r="J28" s="58"/>
      <c r="K28" s="371">
        <f>ROUND(+E28*G28,0)</f>
        <v>621607</v>
      </c>
    </row>
    <row r="29" spans="1:11" s="520" customFormat="1" x14ac:dyDescent="0.25">
      <c r="A29" s="491" t="s">
        <v>440</v>
      </c>
      <c r="B29" s="535"/>
      <c r="C29" s="162">
        <v>2523088</v>
      </c>
      <c r="D29" s="162"/>
      <c r="E29" s="162">
        <v>750642</v>
      </c>
      <c r="F29" s="492"/>
      <c r="G29" s="514">
        <f>'1.15'!D30</f>
        <v>1.0068999999999999</v>
      </c>
      <c r="H29" s="535"/>
      <c r="I29" s="162">
        <f>ROUND(+C29*G29,0)</f>
        <v>2540497</v>
      </c>
      <c r="J29" s="162"/>
      <c r="K29" s="162">
        <f>ROUND(+E29*G29,0)</f>
        <v>755821</v>
      </c>
    </row>
    <row r="30" spans="1:11" s="520" customFormat="1" x14ac:dyDescent="0.25">
      <c r="A30" s="491" t="s">
        <v>441</v>
      </c>
      <c r="B30" s="535"/>
      <c r="C30" s="162">
        <v>1530489</v>
      </c>
      <c r="D30" s="162"/>
      <c r="E30" s="162">
        <v>259966</v>
      </c>
      <c r="F30" s="492"/>
      <c r="G30" s="514">
        <f>'1.15'!D31</f>
        <v>1.0387</v>
      </c>
      <c r="H30" s="535"/>
      <c r="I30" s="162">
        <f>ROUND(+C30*G30,0)</f>
        <v>1589719</v>
      </c>
      <c r="J30" s="162"/>
      <c r="K30" s="162">
        <f>ROUND(+E30*G30,0)</f>
        <v>270027</v>
      </c>
    </row>
    <row r="31" spans="1:11" x14ac:dyDescent="0.25">
      <c r="A31" s="152" t="s">
        <v>139</v>
      </c>
      <c r="B31" s="119"/>
      <c r="C31" s="162">
        <v>1771382</v>
      </c>
      <c r="D31" s="162"/>
      <c r="E31" s="162">
        <v>459701</v>
      </c>
      <c r="F31" s="154"/>
      <c r="G31" s="514">
        <f>'1.15'!D32</f>
        <v>1.0558000000000001</v>
      </c>
      <c r="H31" s="119"/>
      <c r="I31" s="162">
        <f>ROUND(+C31*G31,0)</f>
        <v>1870225</v>
      </c>
      <c r="J31" s="162"/>
      <c r="K31" s="162">
        <f>ROUND(+E31*G31,0)</f>
        <v>485352</v>
      </c>
    </row>
    <row r="32" spans="1:11" x14ac:dyDescent="0.25">
      <c r="A32" s="152" t="s">
        <v>88</v>
      </c>
      <c r="B32" s="119"/>
      <c r="C32" s="162">
        <v>1364902</v>
      </c>
      <c r="D32" s="113"/>
      <c r="E32" s="162">
        <v>412850</v>
      </c>
      <c r="F32" s="113"/>
      <c r="G32" s="514">
        <f>'1.15'!D33</f>
        <v>1.052</v>
      </c>
      <c r="H32" s="58"/>
      <c r="I32" s="162">
        <f t="shared" ref="I32:I37" si="0">ROUND(+C32*G32,0)</f>
        <v>1435877</v>
      </c>
      <c r="J32" s="58"/>
      <c r="K32" s="162">
        <f t="shared" ref="K32:K37" si="1">ROUND(+E32*G32,0)</f>
        <v>434318</v>
      </c>
    </row>
    <row r="33" spans="1:12" x14ac:dyDescent="0.25">
      <c r="A33" s="152" t="s">
        <v>98</v>
      </c>
      <c r="B33" s="119"/>
      <c r="C33" s="162">
        <v>2246508</v>
      </c>
      <c r="D33" s="113"/>
      <c r="E33" s="162">
        <v>344007</v>
      </c>
      <c r="F33" s="113"/>
      <c r="G33" s="514">
        <f>'1.15'!D34</f>
        <v>1.0924</v>
      </c>
      <c r="H33" s="58"/>
      <c r="I33" s="162">
        <f t="shared" si="0"/>
        <v>2454085</v>
      </c>
      <c r="J33" s="58"/>
      <c r="K33" s="162">
        <f t="shared" si="1"/>
        <v>375793</v>
      </c>
      <c r="L33" s="69"/>
    </row>
    <row r="34" spans="1:12" x14ac:dyDescent="0.25">
      <c r="A34" s="370">
        <v>2006</v>
      </c>
      <c r="B34" s="58"/>
      <c r="C34" s="162">
        <v>1719223</v>
      </c>
      <c r="D34" s="113"/>
      <c r="E34" s="162">
        <v>467962</v>
      </c>
      <c r="F34" s="113"/>
      <c r="G34" s="514">
        <f>'1.15'!D35</f>
        <v>1.1234999999999999</v>
      </c>
      <c r="H34" s="58"/>
      <c r="I34" s="162">
        <f t="shared" si="0"/>
        <v>1931547</v>
      </c>
      <c r="J34" s="58"/>
      <c r="K34" s="162">
        <f t="shared" si="1"/>
        <v>525755</v>
      </c>
      <c r="L34" s="69"/>
    </row>
    <row r="35" spans="1:12" x14ac:dyDescent="0.25">
      <c r="A35" s="370">
        <v>2005</v>
      </c>
      <c r="B35" s="58"/>
      <c r="C35" s="162">
        <v>2782603</v>
      </c>
      <c r="D35" s="113"/>
      <c r="E35" s="162">
        <v>664940</v>
      </c>
      <c r="F35" s="113"/>
      <c r="G35" s="514">
        <f>'1.15'!D36</f>
        <v>1.1597999999999999</v>
      </c>
      <c r="H35" s="58"/>
      <c r="I35" s="162">
        <f t="shared" si="0"/>
        <v>3227263</v>
      </c>
      <c r="J35" s="58"/>
      <c r="K35" s="162">
        <f t="shared" si="1"/>
        <v>771197</v>
      </c>
      <c r="L35" s="69"/>
    </row>
    <row r="36" spans="1:12" x14ac:dyDescent="0.25">
      <c r="A36" s="370">
        <v>2004</v>
      </c>
      <c r="B36" s="58"/>
      <c r="C36" s="162">
        <v>1326433</v>
      </c>
      <c r="D36" s="113"/>
      <c r="E36" s="162">
        <v>384722</v>
      </c>
      <c r="F36" s="113"/>
      <c r="G36" s="514">
        <f>'1.15'!D37</f>
        <v>1.1990000000000001</v>
      </c>
      <c r="H36" s="58"/>
      <c r="I36" s="162">
        <f t="shared" si="0"/>
        <v>1590393</v>
      </c>
      <c r="J36" s="58"/>
      <c r="K36" s="162">
        <f t="shared" si="1"/>
        <v>461282</v>
      </c>
      <c r="L36" s="69"/>
    </row>
    <row r="37" spans="1:12" x14ac:dyDescent="0.25">
      <c r="A37" s="370">
        <v>2003</v>
      </c>
      <c r="C37" s="162">
        <v>1303019</v>
      </c>
      <c r="D37" s="182"/>
      <c r="E37" s="129">
        <v>349057</v>
      </c>
      <c r="F37" s="144"/>
      <c r="G37" s="514">
        <f>'1.15'!D38</f>
        <v>1.2310000000000001</v>
      </c>
      <c r="I37" s="129">
        <f t="shared" si="0"/>
        <v>1604016</v>
      </c>
      <c r="K37" s="129">
        <f t="shared" si="1"/>
        <v>429689</v>
      </c>
      <c r="L37" s="69"/>
    </row>
    <row r="38" spans="1:12" ht="21.75" customHeight="1" thickBot="1" x14ac:dyDescent="0.3">
      <c r="A38" s="133" t="s">
        <v>213</v>
      </c>
      <c r="C38" s="182"/>
      <c r="D38" s="182"/>
      <c r="E38" s="182"/>
      <c r="F38" s="182"/>
      <c r="H38" s="119"/>
      <c r="I38" s="373">
        <f>SUM(I28:I37)</f>
        <v>20691982</v>
      </c>
      <c r="K38" s="373">
        <f>SUM(K28:K37)</f>
        <v>5130841</v>
      </c>
    </row>
    <row r="39" spans="1:12" ht="24" customHeight="1" thickTop="1" thickBot="1" x14ac:dyDescent="0.3">
      <c r="A39" s="139" t="s">
        <v>5</v>
      </c>
      <c r="C39" s="182"/>
      <c r="D39" s="182"/>
      <c r="E39" s="182"/>
      <c r="F39" s="182"/>
      <c r="H39" s="144"/>
      <c r="I39" s="374">
        <f>ROUND(I38/10,0)</f>
        <v>2069198</v>
      </c>
      <c r="K39" s="374">
        <f>ROUND(K38/10,0)</f>
        <v>513084</v>
      </c>
    </row>
    <row r="40" spans="1:12" ht="16.5" thickTop="1" x14ac:dyDescent="0.25"/>
    <row r="41" spans="1:12" x14ac:dyDescent="0.25">
      <c r="A41" s="537" t="s">
        <v>529</v>
      </c>
    </row>
    <row r="42" spans="1:12" x14ac:dyDescent="0.25">
      <c r="A42" s="148" t="s">
        <v>419</v>
      </c>
    </row>
  </sheetData>
  <phoneticPr fontId="0" type="noConversion"/>
  <printOptions horizontalCentered="1" gridLinesSet="0"/>
  <pageMargins left="1.25" right="0.75" top="1" bottom="1" header="0.5" footer="0.5"/>
  <pageSetup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3" enableFormatConditionsCalculation="0"/>
  <dimension ref="A1:AB91"/>
  <sheetViews>
    <sheetView showGridLines="0" zoomScale="85" zoomScaleNormal="85" zoomScaleSheetLayoutView="70" workbookViewId="0">
      <selection activeCell="A3" sqref="A3"/>
    </sheetView>
  </sheetViews>
  <sheetFormatPr defaultColWidth="15.625" defaultRowHeight="15.75" x14ac:dyDescent="0.25"/>
  <cols>
    <col min="1" max="1" width="4.625" style="119" customWidth="1"/>
    <col min="2" max="2" width="29.125" style="119" customWidth="1"/>
    <col min="3" max="3" width="15.875" style="119" customWidth="1"/>
    <col min="4" max="5" width="1.5" style="119" customWidth="1"/>
    <col min="6" max="6" width="13.125" style="119" customWidth="1"/>
    <col min="7" max="7" width="3.375" style="535" customWidth="1"/>
    <col min="8" max="8" width="17.25" style="119" customWidth="1"/>
    <col min="9" max="9" width="3.875" style="119" customWidth="1"/>
    <col min="10" max="10" width="19" style="119" customWidth="1"/>
    <col min="11" max="11" width="4.625" style="119" customWidth="1"/>
    <col min="12" max="12" width="15.5" style="119" customWidth="1"/>
    <col min="13" max="13" width="3.125" style="119" customWidth="1"/>
    <col min="14" max="14" width="16.25" style="119" customWidth="1"/>
    <col min="15" max="15" width="2" style="119" customWidth="1"/>
    <col min="16" max="16" width="16.625" style="119" customWidth="1"/>
    <col min="17" max="17" width="1.625" style="119" customWidth="1"/>
    <col min="18" max="18" width="16.25" style="119" customWidth="1"/>
    <col min="19" max="19" width="3.625" style="119" customWidth="1"/>
    <col min="20" max="20" width="15.25" style="119" customWidth="1"/>
    <col min="21" max="21" width="3.625" style="119" customWidth="1"/>
    <col min="22" max="22" width="14.5" style="119" customWidth="1"/>
    <col min="23" max="23" width="3.625" style="119" customWidth="1"/>
    <col min="24" max="24" width="13.125" style="119" customWidth="1"/>
    <col min="25" max="25" width="2" style="119" customWidth="1"/>
    <col min="26" max="26" width="15.625" style="119" customWidth="1"/>
    <col min="27" max="28" width="15.625" style="119"/>
    <col min="29" max="30" width="15.625" style="119" customWidth="1"/>
    <col min="31" max="16384" width="15.625" style="119"/>
  </cols>
  <sheetData>
    <row r="1" spans="1:26" x14ac:dyDescent="0.25">
      <c r="A1" s="169"/>
      <c r="B1" s="169"/>
      <c r="C1" s="106"/>
      <c r="D1" s="106"/>
      <c r="E1" s="106"/>
      <c r="F1" s="106"/>
      <c r="G1" s="520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534"/>
      <c r="S1" s="106"/>
      <c r="T1" s="536" t="s">
        <v>154</v>
      </c>
      <c r="U1" s="106"/>
      <c r="V1" s="106"/>
      <c r="W1" s="106"/>
    </row>
    <row r="2" spans="1:26" x14ac:dyDescent="0.25">
      <c r="A2" s="169"/>
      <c r="B2" s="169"/>
      <c r="C2" s="106"/>
      <c r="D2" s="106"/>
      <c r="E2" s="106"/>
      <c r="F2" s="106"/>
      <c r="G2" s="520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1" t="str">
        <f>"Sponsoring Witness: "&amp;Inputs!$B8&amp;""</f>
        <v>Sponsoring Witness: Blake</v>
      </c>
      <c r="U2" s="106"/>
      <c r="V2" s="106"/>
      <c r="W2" s="106"/>
    </row>
    <row r="3" spans="1:26" ht="20.25" x14ac:dyDescent="0.3">
      <c r="A3" s="169"/>
      <c r="B3" s="546"/>
      <c r="C3" s="106"/>
      <c r="D3" s="106"/>
      <c r="E3" s="106"/>
      <c r="F3" s="106"/>
      <c r="G3" s="520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18" t="s">
        <v>246</v>
      </c>
      <c r="U3" s="106"/>
      <c r="V3" s="106"/>
      <c r="W3" s="106"/>
    </row>
    <row r="4" spans="1:26" x14ac:dyDescent="0.25">
      <c r="A4" s="708" t="s">
        <v>222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567"/>
      <c r="V4" s="567"/>
      <c r="W4" s="567"/>
      <c r="X4" s="567"/>
      <c r="Y4" s="567"/>
      <c r="Z4" s="120"/>
    </row>
    <row r="5" spans="1:26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x14ac:dyDescent="0.25">
      <c r="A6" s="708" t="str">
        <f>"Capitalization at "&amp;Inputs!B3&amp;""</f>
        <v>Capitalization at March 31, 2012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567"/>
      <c r="V6" s="567"/>
      <c r="W6" s="567"/>
      <c r="X6" s="567"/>
      <c r="Y6" s="567"/>
      <c r="Z6" s="120"/>
    </row>
    <row r="7" spans="1:26" s="535" customFormat="1" x14ac:dyDescent="0.25">
      <c r="A7" s="708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120"/>
    </row>
    <row r="8" spans="1:26" s="535" customFormat="1" x14ac:dyDescent="0.25">
      <c r="A8" s="708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120"/>
    </row>
    <row r="9" spans="1:26" ht="18" x14ac:dyDescent="0.4">
      <c r="A9" s="169"/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6" x14ac:dyDescent="0.25">
      <c r="A10" s="169"/>
      <c r="B10" s="169"/>
      <c r="C10" s="106"/>
      <c r="D10" s="106"/>
      <c r="E10" s="106"/>
      <c r="F10" s="106"/>
      <c r="G10" s="520"/>
      <c r="H10" s="106"/>
      <c r="I10" s="106"/>
      <c r="K10" s="106"/>
      <c r="L10" s="106"/>
      <c r="M10" s="106"/>
      <c r="N10" s="106"/>
      <c r="O10" s="106"/>
      <c r="P10" s="106"/>
      <c r="Q10" s="106"/>
      <c r="V10" s="106"/>
      <c r="W10" s="106"/>
    </row>
    <row r="11" spans="1:26" x14ac:dyDescent="0.25">
      <c r="A11" s="169"/>
      <c r="B11" s="169"/>
      <c r="C11" s="133"/>
      <c r="D11" s="133"/>
      <c r="E11" s="133"/>
      <c r="F11" s="133"/>
      <c r="G11" s="133"/>
      <c r="H11" s="133"/>
      <c r="I11" s="133"/>
      <c r="J11" s="133"/>
      <c r="K11" s="133"/>
      <c r="L11" s="133" t="s">
        <v>243</v>
      </c>
      <c r="M11" s="133"/>
      <c r="S11" s="133"/>
      <c r="T11" s="133" t="s">
        <v>247</v>
      </c>
    </row>
    <row r="12" spans="1:26" x14ac:dyDescent="0.25">
      <c r="A12" s="169"/>
      <c r="B12" s="169"/>
      <c r="C12" s="133"/>
      <c r="D12" s="133"/>
      <c r="E12" s="133"/>
      <c r="F12" s="133"/>
      <c r="G12" s="133"/>
      <c r="H12" s="133" t="s">
        <v>317</v>
      </c>
      <c r="I12" s="133"/>
      <c r="J12" s="133"/>
      <c r="K12" s="133"/>
      <c r="L12" s="133" t="s">
        <v>322</v>
      </c>
      <c r="M12" s="133"/>
      <c r="N12" s="154" t="s">
        <v>251</v>
      </c>
      <c r="P12" s="154" t="s">
        <v>251</v>
      </c>
      <c r="R12" s="133" t="s">
        <v>249</v>
      </c>
      <c r="S12" s="133"/>
      <c r="T12" s="133" t="s">
        <v>248</v>
      </c>
    </row>
    <row r="13" spans="1:26" x14ac:dyDescent="0.25">
      <c r="A13" s="169"/>
      <c r="B13" s="106"/>
      <c r="C13" s="133" t="s">
        <v>244</v>
      </c>
      <c r="D13" s="133"/>
      <c r="E13" s="133"/>
      <c r="F13" s="154" t="s">
        <v>331</v>
      </c>
      <c r="G13" s="133"/>
      <c r="H13" s="133" t="s">
        <v>318</v>
      </c>
      <c r="I13" s="133"/>
      <c r="J13" s="133" t="s">
        <v>311</v>
      </c>
      <c r="K13" s="133"/>
      <c r="L13" s="133" t="s">
        <v>311</v>
      </c>
      <c r="M13" s="133"/>
      <c r="N13" s="154" t="s">
        <v>311</v>
      </c>
      <c r="P13" s="154" t="s">
        <v>331</v>
      </c>
      <c r="R13" s="133" t="s">
        <v>247</v>
      </c>
      <c r="S13" s="133"/>
      <c r="T13" s="133" t="s">
        <v>250</v>
      </c>
    </row>
    <row r="14" spans="1:26" x14ac:dyDescent="0.25">
      <c r="A14" s="106"/>
      <c r="B14" s="106"/>
      <c r="C14" s="171" t="str">
        <f>+Inputs!B5</f>
        <v>3-31-2012</v>
      </c>
      <c r="D14" s="133"/>
      <c r="E14" s="133"/>
      <c r="F14" s="154" t="s">
        <v>332</v>
      </c>
      <c r="G14" s="133"/>
      <c r="H14" s="185" t="s">
        <v>667</v>
      </c>
      <c r="I14" s="133"/>
      <c r="J14" s="569" t="s">
        <v>471</v>
      </c>
      <c r="K14" s="133"/>
      <c r="L14" s="185" t="s">
        <v>470</v>
      </c>
      <c r="M14" s="133"/>
      <c r="N14" s="185" t="s">
        <v>472</v>
      </c>
      <c r="P14" s="154" t="s">
        <v>332</v>
      </c>
      <c r="R14" s="133" t="s">
        <v>252</v>
      </c>
      <c r="S14" s="133"/>
      <c r="T14" s="185" t="s">
        <v>473</v>
      </c>
    </row>
    <row r="15" spans="1:26" x14ac:dyDescent="0.25">
      <c r="A15" s="106"/>
      <c r="B15" s="106"/>
      <c r="C15" s="137" t="s">
        <v>238</v>
      </c>
      <c r="D15" s="133"/>
      <c r="E15" s="154"/>
      <c r="F15" s="137">
        <v>-2</v>
      </c>
      <c r="G15" s="133"/>
      <c r="H15" s="137">
        <v>-3</v>
      </c>
      <c r="I15" s="133"/>
      <c r="J15" s="570">
        <v>-4</v>
      </c>
      <c r="K15" s="133"/>
      <c r="L15" s="137">
        <v>-5</v>
      </c>
      <c r="M15" s="133"/>
      <c r="N15" s="137">
        <v>-6</v>
      </c>
      <c r="P15" s="137">
        <v>-7</v>
      </c>
      <c r="R15" s="137">
        <v>-8</v>
      </c>
      <c r="S15" s="133"/>
      <c r="T15" s="137">
        <v>-9</v>
      </c>
    </row>
    <row r="16" spans="1:26" x14ac:dyDescent="0.25">
      <c r="A16" s="172" t="s">
        <v>321</v>
      </c>
      <c r="B16" s="106"/>
      <c r="C16" s="173"/>
      <c r="D16" s="106"/>
      <c r="E16" s="173"/>
      <c r="F16" s="133"/>
      <c r="G16" s="133"/>
      <c r="H16" s="133"/>
      <c r="I16" s="133"/>
      <c r="J16" s="571"/>
      <c r="K16" s="133"/>
      <c r="L16" s="133"/>
      <c r="M16" s="133"/>
      <c r="R16" s="133"/>
      <c r="S16" s="106"/>
      <c r="T16" s="133"/>
    </row>
    <row r="17" spans="1:28" x14ac:dyDescent="0.25">
      <c r="A17" s="106"/>
      <c r="B17" s="106"/>
      <c r="C17" s="106"/>
      <c r="D17" s="106"/>
      <c r="E17" s="106"/>
      <c r="F17" s="106"/>
      <c r="G17" s="520"/>
      <c r="H17" s="106"/>
      <c r="I17" s="106"/>
      <c r="J17" s="572"/>
      <c r="K17" s="106"/>
      <c r="L17" s="106"/>
      <c r="M17" s="106"/>
      <c r="R17" s="106"/>
      <c r="S17" s="106"/>
      <c r="T17" s="106"/>
    </row>
    <row r="18" spans="1:28" x14ac:dyDescent="0.25">
      <c r="A18" s="148" t="s">
        <v>254</v>
      </c>
      <c r="B18" s="106" t="s">
        <v>314</v>
      </c>
      <c r="C18" s="199">
        <v>0</v>
      </c>
      <c r="D18" s="106"/>
      <c r="E18" s="106"/>
      <c r="F18" s="69">
        <f>ROUND(+C18/$C$24,4)</f>
        <v>0</v>
      </c>
      <c r="G18" s="520"/>
      <c r="H18" s="69">
        <f>+'Ex 3'!E39</f>
        <v>0.79010000000000002</v>
      </c>
      <c r="I18" s="106"/>
      <c r="J18" s="71">
        <f>ROUND(+C18*H18,0)</f>
        <v>0</v>
      </c>
      <c r="K18" s="106"/>
      <c r="L18" s="71">
        <f>+R59</f>
        <v>0</v>
      </c>
      <c r="M18" s="106"/>
      <c r="N18" s="174">
        <f>+J18+L18</f>
        <v>0</v>
      </c>
      <c r="P18" s="175">
        <f>ROUND(+N18/$N$24,4)</f>
        <v>0</v>
      </c>
      <c r="R18" s="412">
        <v>4.1000000000000003E-3</v>
      </c>
      <c r="S18" s="12" t="s">
        <v>272</v>
      </c>
      <c r="T18" s="105">
        <f>ROUND(+$P$18*$R$18,4)</f>
        <v>0</v>
      </c>
    </row>
    <row r="19" spans="1:28" x14ac:dyDescent="0.25">
      <c r="A19" s="148"/>
      <c r="B19" s="106"/>
      <c r="C19" s="106"/>
      <c r="D19" s="106"/>
      <c r="E19" s="106"/>
      <c r="F19" s="69"/>
      <c r="G19" s="520"/>
      <c r="H19" s="106"/>
      <c r="I19" s="106"/>
      <c r="J19" s="572"/>
      <c r="K19" s="106"/>
      <c r="L19" s="106"/>
      <c r="M19" s="106"/>
      <c r="R19" s="413"/>
      <c r="S19" s="528"/>
      <c r="T19" s="243"/>
    </row>
    <row r="20" spans="1:28" x14ac:dyDescent="0.25">
      <c r="A20" s="148" t="s">
        <v>255</v>
      </c>
      <c r="B20" s="106" t="s">
        <v>315</v>
      </c>
      <c r="C20" s="200">
        <v>1105705507</v>
      </c>
      <c r="D20" s="106"/>
      <c r="E20" s="106"/>
      <c r="F20" s="69">
        <f>ROUND(+C20/$C$24,4)</f>
        <v>0.44359999999999999</v>
      </c>
      <c r="G20" s="520"/>
      <c r="H20" s="69">
        <f>+H18</f>
        <v>0.79010000000000002</v>
      </c>
      <c r="I20" s="106"/>
      <c r="J20" s="58">
        <f>ROUND(+C20*H20,0)</f>
        <v>873617921</v>
      </c>
      <c r="K20" s="106"/>
      <c r="L20" s="106">
        <f>+R61</f>
        <v>7385010</v>
      </c>
      <c r="M20" s="106"/>
      <c r="N20" s="119">
        <f>+J20+L20</f>
        <v>881002931</v>
      </c>
      <c r="P20" s="175">
        <f>ROUND(+N20/$N$24,4)</f>
        <v>0.44359999999999999</v>
      </c>
      <c r="R20" s="412">
        <v>3.78E-2</v>
      </c>
      <c r="S20" s="12" t="s">
        <v>272</v>
      </c>
      <c r="T20" s="105">
        <f>ROUND(+$P$20*$R$20,4)</f>
        <v>1.6799999999999999E-2</v>
      </c>
    </row>
    <row r="21" spans="1:28" x14ac:dyDescent="0.25">
      <c r="A21" s="106"/>
      <c r="B21" s="106"/>
      <c r="C21" s="106"/>
      <c r="D21" s="106"/>
      <c r="E21" s="106"/>
      <c r="F21" s="69"/>
      <c r="G21" s="520"/>
      <c r="H21" s="69"/>
      <c r="I21" s="106"/>
      <c r="J21" s="58"/>
      <c r="K21" s="106"/>
      <c r="L21" s="106"/>
      <c r="M21" s="106"/>
      <c r="R21" s="105"/>
      <c r="S21" s="528"/>
      <c r="T21" s="242"/>
    </row>
    <row r="22" spans="1:28" x14ac:dyDescent="0.25">
      <c r="A22" s="148" t="s">
        <v>256</v>
      </c>
      <c r="B22" s="106" t="s">
        <v>316</v>
      </c>
      <c r="C22" s="200">
        <v>1387034687</v>
      </c>
      <c r="D22" s="106"/>
      <c r="E22" s="106"/>
      <c r="F22" s="175">
        <f>ROUND(1-F18-F20,4)</f>
        <v>0.55640000000000001</v>
      </c>
      <c r="G22" s="520"/>
      <c r="H22" s="69">
        <f>+H18</f>
        <v>0.79010000000000002</v>
      </c>
      <c r="I22" s="106"/>
      <c r="J22" s="58">
        <f>ROUND(+C22*H22,0)</f>
        <v>1095896106</v>
      </c>
      <c r="K22" s="106"/>
      <c r="L22" s="106">
        <f>+R63</f>
        <v>9262895</v>
      </c>
      <c r="M22" s="106"/>
      <c r="N22" s="119">
        <f>+J22+L22</f>
        <v>1105159001</v>
      </c>
      <c r="P22" s="175">
        <f>ROUND(1-P18-P20,4)</f>
        <v>0.55640000000000001</v>
      </c>
      <c r="R22" s="414">
        <v>0.11</v>
      </c>
      <c r="S22" s="12" t="s">
        <v>210</v>
      </c>
      <c r="T22" s="105">
        <f>ROUND(+$P$22*$R$22,4)</f>
        <v>6.1199999999999997E-2</v>
      </c>
      <c r="Z22" s="255"/>
      <c r="AA22" s="175"/>
      <c r="AB22" s="175"/>
    </row>
    <row r="23" spans="1:28" x14ac:dyDescent="0.25">
      <c r="A23" s="106"/>
      <c r="B23" s="106"/>
      <c r="C23" s="106"/>
      <c r="D23" s="106"/>
      <c r="E23" s="106"/>
      <c r="F23" s="69"/>
      <c r="G23" s="520"/>
      <c r="H23" s="106"/>
      <c r="I23" s="106"/>
      <c r="J23" s="106"/>
      <c r="K23" s="106"/>
      <c r="L23" s="106"/>
      <c r="M23" s="106"/>
      <c r="R23" s="69"/>
      <c r="S23" s="106"/>
      <c r="T23" s="106"/>
      <c r="Z23" s="255"/>
      <c r="AA23" s="175"/>
      <c r="AB23" s="175"/>
    </row>
    <row r="24" spans="1:28" ht="27" customHeight="1" thickBot="1" x14ac:dyDescent="0.3">
      <c r="A24" s="148" t="s">
        <v>257</v>
      </c>
      <c r="B24" s="106" t="s">
        <v>271</v>
      </c>
      <c r="C24" s="86">
        <f>SUM(C18:C22)</f>
        <v>2492740194</v>
      </c>
      <c r="D24" s="106"/>
      <c r="E24" s="106"/>
      <c r="F24" s="176">
        <f>SUM(F18:F22)</f>
        <v>1</v>
      </c>
      <c r="G24" s="520"/>
      <c r="H24" s="106"/>
      <c r="I24" s="106"/>
      <c r="J24" s="86">
        <f>SUM(J18:J22)</f>
        <v>1969514027</v>
      </c>
      <c r="K24" s="106"/>
      <c r="L24" s="86">
        <f>SUM(L18:L22)</f>
        <v>16647905</v>
      </c>
      <c r="M24" s="106"/>
      <c r="N24" s="86">
        <f>SUM(N18:N22)</f>
        <v>1986161932</v>
      </c>
      <c r="P24" s="176">
        <f>SUM(P18:P22)</f>
        <v>1</v>
      </c>
      <c r="R24" s="177"/>
      <c r="S24" s="106"/>
      <c r="T24" s="245">
        <f>SUM(T18:T22)</f>
        <v>7.8E-2</v>
      </c>
      <c r="Z24" s="255"/>
      <c r="AA24" s="175"/>
      <c r="AB24" s="175"/>
    </row>
    <row r="25" spans="1:28" ht="18.75" thickTop="1" x14ac:dyDescent="0.4">
      <c r="A25" s="106"/>
      <c r="B25" s="106"/>
      <c r="C25" s="106"/>
      <c r="D25" s="178"/>
      <c r="E25" s="106"/>
      <c r="F25" s="106"/>
      <c r="G25" s="520"/>
      <c r="H25" s="106"/>
      <c r="I25" s="106"/>
      <c r="J25" s="106"/>
      <c r="K25" s="106"/>
      <c r="L25" s="106"/>
      <c r="M25" s="106"/>
      <c r="R25" s="175"/>
      <c r="S25" s="106"/>
      <c r="T25" s="106"/>
    </row>
    <row r="26" spans="1:28" x14ac:dyDescent="0.25">
      <c r="A26" s="106"/>
      <c r="B26" s="106"/>
      <c r="C26" s="106"/>
      <c r="E26" s="106"/>
      <c r="F26" s="106"/>
      <c r="G26" s="520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69"/>
      <c r="S26" s="106"/>
      <c r="T26" s="106"/>
    </row>
    <row r="27" spans="1:28" ht="18" x14ac:dyDescent="0.4">
      <c r="C27" s="178"/>
      <c r="D27" s="154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78"/>
      <c r="T27" s="178"/>
    </row>
    <row r="28" spans="1:28" x14ac:dyDescent="0.25">
      <c r="A28" s="172" t="s">
        <v>323</v>
      </c>
      <c r="B28" s="180"/>
      <c r="D28" s="106"/>
      <c r="R28" s="181"/>
      <c r="S28" s="154"/>
    </row>
    <row r="29" spans="1:28" x14ac:dyDescent="0.25">
      <c r="A29" s="180"/>
      <c r="B29" s="180"/>
      <c r="C29" s="154"/>
      <c r="D29" s="106"/>
      <c r="E29" s="154"/>
      <c r="F29" s="154"/>
      <c r="G29" s="492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81"/>
      <c r="S29" s="154"/>
      <c r="T29" s="154"/>
    </row>
    <row r="30" spans="1:28" x14ac:dyDescent="0.25">
      <c r="A30" s="148" t="s">
        <v>254</v>
      </c>
      <c r="B30" s="106" t="s">
        <v>314</v>
      </c>
      <c r="C30" s="71">
        <f>+C18</f>
        <v>0</v>
      </c>
      <c r="E30" s="106"/>
      <c r="F30" s="69">
        <f>ROUND(+C30/$C$24,4)</f>
        <v>0</v>
      </c>
      <c r="G30" s="520"/>
      <c r="H30" s="69">
        <f>+'Ex 3'!G39</f>
        <v>0.2099</v>
      </c>
      <c r="I30" s="106"/>
      <c r="J30" s="71">
        <f>ROUND(+C30*H30,0)</f>
        <v>0</v>
      </c>
      <c r="K30" s="154"/>
      <c r="L30" s="182">
        <f>+R71</f>
        <v>0</v>
      </c>
      <c r="M30" s="154"/>
      <c r="N30" s="174">
        <f>+J30+L30</f>
        <v>0</v>
      </c>
      <c r="P30" s="175">
        <f>ROUND(+N30/$N$36,4)</f>
        <v>0</v>
      </c>
      <c r="Q30" s="154"/>
      <c r="R30" s="181">
        <f>+R18</f>
        <v>4.1000000000000003E-3</v>
      </c>
      <c r="S30" s="12" t="s">
        <v>272</v>
      </c>
      <c r="T30" s="105">
        <f>ROUND(+$P$30*$R$30,4)</f>
        <v>0</v>
      </c>
    </row>
    <row r="31" spans="1:28" x14ac:dyDescent="0.25">
      <c r="A31" s="148"/>
      <c r="B31" s="106"/>
      <c r="C31" s="106"/>
      <c r="D31" s="106"/>
      <c r="E31" s="106"/>
      <c r="F31" s="69"/>
      <c r="G31" s="520"/>
      <c r="H31" s="106"/>
      <c r="I31" s="106"/>
      <c r="J31" s="572"/>
      <c r="K31" s="154"/>
      <c r="L31" s="144"/>
      <c r="M31" s="154"/>
      <c r="Q31" s="154"/>
      <c r="R31" s="181"/>
      <c r="S31" s="528"/>
      <c r="T31" s="244"/>
    </row>
    <row r="32" spans="1:28" x14ac:dyDescent="0.25">
      <c r="A32" s="148" t="s">
        <v>255</v>
      </c>
      <c r="B32" s="106" t="s">
        <v>315</v>
      </c>
      <c r="C32" s="106">
        <f>+C20</f>
        <v>1105705507</v>
      </c>
      <c r="D32" s="106"/>
      <c r="E32" s="106"/>
      <c r="F32" s="69">
        <f>ROUND(+C32/$C$24,4)</f>
        <v>0.44359999999999999</v>
      </c>
      <c r="G32" s="520"/>
      <c r="H32" s="69">
        <f>+H30</f>
        <v>0.2099</v>
      </c>
      <c r="I32" s="106"/>
      <c r="J32" s="58">
        <f>ROUND(+C32*H32,0)</f>
        <v>232087586</v>
      </c>
      <c r="K32" s="154"/>
      <c r="L32" s="144">
        <f>+R73</f>
        <v>232802</v>
      </c>
      <c r="M32" s="154"/>
      <c r="N32" s="119">
        <f>+J32+L32</f>
        <v>232320388</v>
      </c>
      <c r="P32" s="175">
        <f>ROUND(+N32/$N$36,4)</f>
        <v>0.44359999999999999</v>
      </c>
      <c r="R32" s="181">
        <f>+R20</f>
        <v>3.78E-2</v>
      </c>
      <c r="S32" s="12" t="s">
        <v>272</v>
      </c>
      <c r="T32" s="105">
        <f>ROUND(+$P$32*$R$32,4)</f>
        <v>1.6799999999999999E-2</v>
      </c>
    </row>
    <row r="33" spans="1:28" x14ac:dyDescent="0.25">
      <c r="A33" s="106"/>
      <c r="B33" s="106"/>
      <c r="C33" s="106"/>
      <c r="D33" s="106"/>
      <c r="E33" s="106"/>
      <c r="F33" s="69"/>
      <c r="G33" s="520"/>
      <c r="H33" s="69"/>
      <c r="I33" s="106"/>
      <c r="J33" s="58"/>
      <c r="L33" s="144"/>
      <c r="R33" s="181"/>
      <c r="S33" s="528"/>
      <c r="T33" s="244"/>
    </row>
    <row r="34" spans="1:28" x14ac:dyDescent="0.25">
      <c r="A34" s="148" t="s">
        <v>256</v>
      </c>
      <c r="B34" s="106" t="s">
        <v>316</v>
      </c>
      <c r="C34" s="106">
        <f>+C22</f>
        <v>1387034687</v>
      </c>
      <c r="D34" s="106"/>
      <c r="E34" s="106"/>
      <c r="F34" s="175">
        <f>ROUND(1-F30-F32,4)</f>
        <v>0.55640000000000001</v>
      </c>
      <c r="G34" s="520"/>
      <c r="H34" s="69">
        <f>+H30</f>
        <v>0.2099</v>
      </c>
      <c r="I34" s="106"/>
      <c r="J34" s="58">
        <f>ROUND(+C34*H34,0)</f>
        <v>291138581</v>
      </c>
      <c r="L34" s="144">
        <f>+R75</f>
        <v>291999</v>
      </c>
      <c r="N34" s="119">
        <f>+J34+L34</f>
        <v>291430580</v>
      </c>
      <c r="P34" s="175">
        <f>ROUND(1-P30-P32,4)</f>
        <v>0.55640000000000001</v>
      </c>
      <c r="R34" s="181">
        <f>+R22</f>
        <v>0.11</v>
      </c>
      <c r="S34" s="12" t="s">
        <v>210</v>
      </c>
      <c r="T34" s="105">
        <f>ROUND(+$P$34*$R$34,4)</f>
        <v>6.1199999999999997E-2</v>
      </c>
      <c r="Z34" s="255"/>
      <c r="AA34" s="175"/>
      <c r="AB34" s="175"/>
    </row>
    <row r="35" spans="1:28" x14ac:dyDescent="0.25">
      <c r="A35" s="106"/>
      <c r="B35" s="106"/>
      <c r="C35" s="106"/>
      <c r="D35" s="106"/>
      <c r="E35" s="106"/>
      <c r="F35" s="69"/>
      <c r="G35" s="520"/>
      <c r="H35" s="106"/>
      <c r="I35" s="106"/>
      <c r="J35" s="106"/>
      <c r="L35" s="144"/>
      <c r="R35" s="101"/>
      <c r="T35" s="106"/>
      <c r="Z35" s="255"/>
      <c r="AA35" s="175"/>
      <c r="AB35" s="175"/>
    </row>
    <row r="36" spans="1:28" ht="27" customHeight="1" thickBot="1" x14ac:dyDescent="0.3">
      <c r="A36" s="148" t="s">
        <v>257</v>
      </c>
      <c r="B36" s="106" t="s">
        <v>271</v>
      </c>
      <c r="C36" s="86">
        <f>SUM(C30:C34)</f>
        <v>2492740194</v>
      </c>
      <c r="D36" s="106"/>
      <c r="E36" s="106"/>
      <c r="F36" s="176">
        <f>SUM(F30:F34)</f>
        <v>1</v>
      </c>
      <c r="G36" s="520"/>
      <c r="H36" s="106"/>
      <c r="I36" s="106"/>
      <c r="J36" s="86">
        <f>SUM(J30:J34)</f>
        <v>523226167</v>
      </c>
      <c r="L36" s="86">
        <f>SUM(L30:L34)</f>
        <v>524801</v>
      </c>
      <c r="N36" s="86">
        <f>SUM(N30:N34)</f>
        <v>523750968</v>
      </c>
      <c r="P36" s="176">
        <f>SUM(P30:P34)</f>
        <v>1</v>
      </c>
      <c r="R36" s="175"/>
      <c r="T36" s="245">
        <f>SUM(T30:T34)</f>
        <v>7.8E-2</v>
      </c>
      <c r="Z36" s="255"/>
      <c r="AA36" s="175"/>
      <c r="AB36" s="175"/>
    </row>
    <row r="37" spans="1:28" s="535" customFormat="1" ht="16.5" thickTop="1" x14ac:dyDescent="0.25">
      <c r="A37" s="537"/>
      <c r="B37" s="520"/>
      <c r="C37" s="174"/>
      <c r="D37" s="520"/>
      <c r="E37" s="520"/>
      <c r="F37" s="175"/>
      <c r="G37" s="520"/>
      <c r="H37" s="520"/>
      <c r="I37" s="520"/>
      <c r="J37" s="174"/>
      <c r="L37" s="174"/>
      <c r="N37" s="174"/>
      <c r="P37" s="175"/>
      <c r="R37" s="175"/>
      <c r="T37" s="626"/>
      <c r="Z37" s="255"/>
      <c r="AA37" s="175"/>
      <c r="AB37" s="175"/>
    </row>
    <row r="38" spans="1:28" s="535" customFormat="1" x14ac:dyDescent="0.25">
      <c r="A38" s="537"/>
      <c r="B38" s="520"/>
      <c r="C38" s="174"/>
      <c r="D38" s="520"/>
      <c r="E38" s="520"/>
      <c r="F38" s="175"/>
      <c r="G38" s="520"/>
      <c r="H38" s="520"/>
      <c r="I38" s="520"/>
      <c r="J38" s="174"/>
      <c r="L38" s="174"/>
      <c r="N38" s="174"/>
      <c r="P38" s="175"/>
      <c r="R38" s="175"/>
      <c r="T38" s="626"/>
      <c r="Z38" s="255"/>
      <c r="AA38" s="175"/>
      <c r="AB38" s="175"/>
    </row>
    <row r="39" spans="1:28" s="535" customFormat="1" x14ac:dyDescent="0.25">
      <c r="C39" s="174"/>
      <c r="D39" s="520"/>
      <c r="E39" s="520"/>
      <c r="F39" s="175"/>
      <c r="G39" s="520"/>
      <c r="H39" s="520"/>
      <c r="I39" s="520"/>
      <c r="J39" s="174"/>
      <c r="L39" s="174"/>
      <c r="N39" s="174"/>
      <c r="P39" s="175"/>
      <c r="R39" s="175"/>
      <c r="T39" s="626"/>
      <c r="Z39" s="255"/>
      <c r="AA39" s="175"/>
      <c r="AB39" s="175"/>
    </row>
    <row r="40" spans="1:28" s="535" customFormat="1" x14ac:dyDescent="0.25">
      <c r="A40" s="229" t="s">
        <v>272</v>
      </c>
      <c r="B40" s="550" t="s">
        <v>554</v>
      </c>
      <c r="C40" s="174"/>
      <c r="D40" s="520"/>
      <c r="E40" s="520"/>
      <c r="F40" s="175"/>
      <c r="G40" s="520"/>
      <c r="H40" s="520"/>
      <c r="I40" s="520"/>
      <c r="J40" s="174"/>
      <c r="L40" s="174"/>
      <c r="N40" s="174"/>
      <c r="P40" s="175"/>
      <c r="R40" s="175"/>
      <c r="T40" s="626"/>
      <c r="Z40" s="255"/>
      <c r="AA40" s="175"/>
      <c r="AB40" s="175"/>
    </row>
    <row r="41" spans="1:28" x14ac:dyDescent="0.25">
      <c r="A41" s="12" t="s">
        <v>210</v>
      </c>
      <c r="B41" s="550" t="s">
        <v>553</v>
      </c>
      <c r="F41" s="175"/>
      <c r="G41" s="234"/>
      <c r="H41" s="234"/>
      <c r="I41" s="234"/>
      <c r="J41" s="234"/>
      <c r="L41" s="175"/>
    </row>
    <row r="42" spans="1:28" x14ac:dyDescent="0.25">
      <c r="A42" s="169"/>
      <c r="B42" s="169"/>
      <c r="C42" s="106"/>
      <c r="D42" s="106"/>
      <c r="E42" s="106"/>
      <c r="F42" s="106"/>
      <c r="G42" s="234"/>
      <c r="H42" s="234"/>
      <c r="I42" s="234"/>
      <c r="J42" s="234"/>
      <c r="K42" s="106"/>
      <c r="L42" s="106"/>
      <c r="M42" s="106"/>
      <c r="N42" s="106"/>
      <c r="O42" s="106"/>
      <c r="P42" s="106"/>
      <c r="Q42" s="106"/>
      <c r="R42" s="106"/>
      <c r="S42" s="106"/>
      <c r="T42" s="536" t="str">
        <f>T1</f>
        <v>Exhibit 2</v>
      </c>
      <c r="U42" s="106"/>
      <c r="V42" s="106"/>
      <c r="W42" s="106"/>
    </row>
    <row r="43" spans="1:28" x14ac:dyDescent="0.25">
      <c r="A43" s="169"/>
      <c r="B43" s="169"/>
      <c r="C43" s="106"/>
      <c r="D43" s="106"/>
      <c r="E43" s="106"/>
      <c r="F43" s="106"/>
      <c r="G43" s="234"/>
      <c r="H43" s="234"/>
      <c r="I43" s="234"/>
      <c r="J43" s="234"/>
      <c r="K43" s="106"/>
      <c r="L43" s="106"/>
      <c r="M43" s="106"/>
      <c r="N43" s="106"/>
      <c r="O43" s="106"/>
      <c r="P43" s="106"/>
      <c r="Q43" s="106"/>
      <c r="R43" s="106"/>
      <c r="S43" s="106"/>
      <c r="T43" s="124" t="str">
        <f>T2</f>
        <v>Sponsoring Witness: Blake</v>
      </c>
      <c r="U43" s="106"/>
      <c r="V43" s="106"/>
      <c r="W43" s="106"/>
    </row>
    <row r="44" spans="1:28" x14ac:dyDescent="0.25">
      <c r="A44" s="169"/>
      <c r="B44" s="169"/>
      <c r="C44" s="106"/>
      <c r="D44" s="106"/>
      <c r="E44" s="106"/>
      <c r="F44" s="106"/>
      <c r="G44" s="234"/>
      <c r="H44" s="234"/>
      <c r="I44" s="234"/>
      <c r="J44" s="234"/>
      <c r="K44" s="106"/>
      <c r="L44" s="106"/>
      <c r="M44" s="106"/>
      <c r="N44" s="106"/>
      <c r="O44" s="106"/>
      <c r="P44" s="106"/>
      <c r="Q44" s="106"/>
      <c r="R44" s="106"/>
      <c r="S44" s="106"/>
      <c r="T44" s="118" t="s">
        <v>324</v>
      </c>
      <c r="U44" s="106"/>
      <c r="V44" s="106"/>
      <c r="W44" s="106"/>
    </row>
    <row r="45" spans="1:28" x14ac:dyDescent="0.25">
      <c r="A45" s="708" t="s">
        <v>222</v>
      </c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8"/>
      <c r="S45" s="708"/>
      <c r="T45" s="708"/>
      <c r="U45" s="567"/>
      <c r="V45" s="567"/>
      <c r="W45" s="567"/>
      <c r="X45" s="567"/>
      <c r="Y45" s="567"/>
      <c r="Z45" s="120"/>
    </row>
    <row r="46" spans="1:28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:28" x14ac:dyDescent="0.25">
      <c r="A47" s="708" t="str">
        <f>"Capitalization at "&amp;Inputs!B3&amp;""</f>
        <v>Capitalization at March 31, 2012</v>
      </c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U47" s="567"/>
      <c r="V47" s="567"/>
      <c r="W47" s="567"/>
      <c r="X47" s="567"/>
      <c r="Y47" s="567"/>
      <c r="Z47" s="120"/>
    </row>
    <row r="48" spans="1:28" s="535" customFormat="1" x14ac:dyDescent="0.25">
      <c r="A48" s="708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120"/>
    </row>
    <row r="49" spans="1:26" s="535" customFormat="1" x14ac:dyDescent="0.25">
      <c r="A49" s="708"/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08"/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120"/>
    </row>
    <row r="50" spans="1:26" ht="18" x14ac:dyDescent="0.4">
      <c r="A50" s="169"/>
      <c r="B50" s="169"/>
      <c r="C50" s="183"/>
      <c r="D50" s="183"/>
      <c r="E50" s="183"/>
      <c r="F50" s="183"/>
      <c r="G50" s="492"/>
      <c r="H50" s="152"/>
      <c r="I50" s="154"/>
      <c r="J50" s="154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x14ac:dyDescent="0.25">
      <c r="A51" s="169"/>
      <c r="B51" s="169"/>
      <c r="C51" s="106"/>
      <c r="D51" s="106"/>
      <c r="E51" s="106"/>
      <c r="G51" s="492"/>
      <c r="H51" s="235"/>
      <c r="I51" s="154"/>
      <c r="J51" s="235"/>
      <c r="L51" s="106"/>
      <c r="M51" s="106"/>
      <c r="N51" s="106"/>
      <c r="O51" s="106"/>
      <c r="P51" s="106"/>
      <c r="Q51" s="106"/>
      <c r="R51" s="106"/>
      <c r="S51" s="106"/>
      <c r="T51" s="133"/>
      <c r="U51" s="106"/>
      <c r="V51" s="184"/>
      <c r="W51" s="106"/>
      <c r="X51" s="133"/>
    </row>
    <row r="52" spans="1:26" x14ac:dyDescent="0.25">
      <c r="A52" s="169"/>
      <c r="B52" s="169"/>
      <c r="C52" s="133"/>
      <c r="D52" s="133"/>
      <c r="E52" s="133"/>
      <c r="G52" s="133"/>
      <c r="H52" s="184"/>
      <c r="I52" s="133"/>
      <c r="J52" s="184"/>
      <c r="K52" s="133"/>
      <c r="L52" s="184"/>
      <c r="M52" s="133"/>
      <c r="N52" s="133" t="s">
        <v>328</v>
      </c>
      <c r="O52" s="133"/>
      <c r="P52" s="133" t="s">
        <v>157</v>
      </c>
      <c r="R52" s="133"/>
    </row>
    <row r="53" spans="1:26" x14ac:dyDescent="0.25">
      <c r="A53" s="169"/>
      <c r="B53" s="169"/>
      <c r="C53" s="133"/>
      <c r="D53" s="133"/>
      <c r="E53" s="133"/>
      <c r="F53" s="133"/>
      <c r="G53" s="133"/>
      <c r="H53" s="133" t="s">
        <v>325</v>
      </c>
      <c r="I53" s="133"/>
      <c r="J53" s="133" t="s">
        <v>104</v>
      </c>
      <c r="K53" s="133"/>
      <c r="L53" s="133"/>
      <c r="M53" s="133"/>
      <c r="N53" s="133" t="s">
        <v>403</v>
      </c>
      <c r="O53" s="133"/>
      <c r="P53" s="133" t="s">
        <v>158</v>
      </c>
      <c r="R53" s="133" t="s">
        <v>213</v>
      </c>
    </row>
    <row r="54" spans="1:26" x14ac:dyDescent="0.25">
      <c r="A54" s="169"/>
      <c r="B54" s="106"/>
      <c r="C54" s="133" t="s">
        <v>311</v>
      </c>
      <c r="D54" s="133"/>
      <c r="E54" s="133"/>
      <c r="F54" s="154" t="s">
        <v>331</v>
      </c>
      <c r="G54" s="133"/>
      <c r="H54" s="171" t="s">
        <v>491</v>
      </c>
      <c r="I54" s="133"/>
      <c r="J54" s="133" t="s">
        <v>414</v>
      </c>
      <c r="K54" s="133"/>
      <c r="L54" s="133" t="s">
        <v>327</v>
      </c>
      <c r="M54" s="133"/>
      <c r="N54" s="450" t="s">
        <v>492</v>
      </c>
      <c r="O54" s="133"/>
      <c r="P54" s="450" t="s">
        <v>159</v>
      </c>
      <c r="R54" s="133" t="s">
        <v>243</v>
      </c>
    </row>
    <row r="55" spans="1:26" x14ac:dyDescent="0.25">
      <c r="A55" s="106"/>
      <c r="B55" s="106"/>
      <c r="C55" s="185" t="s">
        <v>89</v>
      </c>
      <c r="D55" s="133"/>
      <c r="E55" s="133"/>
      <c r="F55" s="154" t="s">
        <v>332</v>
      </c>
      <c r="G55" s="133"/>
      <c r="H55" s="185" t="s">
        <v>105</v>
      </c>
      <c r="I55" s="133"/>
      <c r="J55" s="185" t="s">
        <v>106</v>
      </c>
      <c r="K55" s="133"/>
      <c r="L55" s="185" t="s">
        <v>107</v>
      </c>
      <c r="M55" s="133"/>
      <c r="N55" s="185" t="s">
        <v>108</v>
      </c>
      <c r="O55" s="133"/>
      <c r="P55" s="185" t="s">
        <v>109</v>
      </c>
      <c r="R55" s="133" t="s">
        <v>330</v>
      </c>
    </row>
    <row r="56" spans="1:26" x14ac:dyDescent="0.25">
      <c r="A56" s="106"/>
      <c r="B56" s="106"/>
      <c r="C56" s="137" t="s">
        <v>238</v>
      </c>
      <c r="D56" s="133"/>
      <c r="E56" s="154"/>
      <c r="F56" s="137">
        <v>-2</v>
      </c>
      <c r="G56" s="133"/>
      <c r="H56" s="137">
        <v>-3</v>
      </c>
      <c r="I56" s="133"/>
      <c r="J56" s="137">
        <v>-4</v>
      </c>
      <c r="K56" s="133"/>
      <c r="L56" s="137">
        <v>-5</v>
      </c>
      <c r="M56" s="133"/>
      <c r="N56" s="137">
        <v>-6</v>
      </c>
      <c r="O56" s="133"/>
      <c r="P56" s="137">
        <v>-7</v>
      </c>
      <c r="R56" s="137">
        <v>-8</v>
      </c>
    </row>
    <row r="57" spans="1:26" x14ac:dyDescent="0.25">
      <c r="A57" s="172" t="s">
        <v>321</v>
      </c>
      <c r="B57" s="106"/>
      <c r="C57" s="173"/>
      <c r="D57" s="106"/>
      <c r="E57" s="17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R57" s="133"/>
    </row>
    <row r="58" spans="1:26" x14ac:dyDescent="0.25">
      <c r="A58" s="106"/>
      <c r="B58" s="106"/>
      <c r="C58" s="106"/>
      <c r="D58" s="106"/>
      <c r="E58" s="106"/>
      <c r="F58" s="106"/>
      <c r="G58" s="520"/>
      <c r="H58" s="106"/>
      <c r="I58" s="106"/>
      <c r="J58" s="106"/>
      <c r="K58" s="106"/>
      <c r="L58" s="106"/>
      <c r="M58" s="106"/>
      <c r="N58" s="106"/>
      <c r="O58" s="106"/>
      <c r="P58" s="106"/>
      <c r="R58" s="106"/>
    </row>
    <row r="59" spans="1:26" x14ac:dyDescent="0.25">
      <c r="A59" s="148" t="s">
        <v>254</v>
      </c>
      <c r="B59" s="106" t="s">
        <v>314</v>
      </c>
      <c r="C59" s="71">
        <f>+J18</f>
        <v>0</v>
      </c>
      <c r="D59" s="106"/>
      <c r="E59" s="106"/>
      <c r="F59" s="69">
        <f>ROUND(+C59/$C$65,4)</f>
        <v>0</v>
      </c>
      <c r="G59" s="520"/>
      <c r="H59" s="71">
        <f>ROUND(+F59*$H$65,0)</f>
        <v>0</v>
      </c>
      <c r="I59" s="106"/>
      <c r="J59" s="71">
        <f>ROUND(+F59*$J$65,0)</f>
        <v>0</v>
      </c>
      <c r="K59" s="106"/>
      <c r="L59" s="71">
        <f>ROUND(+F59*$L$65,0)</f>
        <v>0</v>
      </c>
      <c r="M59" s="106"/>
      <c r="N59" s="71">
        <f>ROUND(+F59*$N$65,0)</f>
        <v>0</v>
      </c>
      <c r="O59" s="106"/>
      <c r="P59" s="71">
        <f>ROUND(+F59*$P$65,0)</f>
        <v>0</v>
      </c>
      <c r="R59" s="71">
        <f>SUM(H59:P59)</f>
        <v>0</v>
      </c>
    </row>
    <row r="60" spans="1:26" x14ac:dyDescent="0.25">
      <c r="A60" s="148"/>
      <c r="B60" s="106"/>
      <c r="C60" s="106"/>
      <c r="D60" s="106"/>
      <c r="E60" s="106"/>
      <c r="F60" s="69"/>
      <c r="G60" s="520"/>
      <c r="H60" s="58"/>
      <c r="I60" s="106"/>
      <c r="J60" s="106"/>
      <c r="K60" s="106"/>
      <c r="L60" s="106"/>
      <c r="M60" s="106"/>
      <c r="N60" s="106"/>
      <c r="O60" s="106"/>
      <c r="P60" s="106"/>
      <c r="R60" s="106"/>
    </row>
    <row r="61" spans="1:26" x14ac:dyDescent="0.25">
      <c r="A61" s="148" t="s">
        <v>255</v>
      </c>
      <c r="B61" s="106" t="s">
        <v>315</v>
      </c>
      <c r="C61" s="106">
        <f>+J20</f>
        <v>873617921</v>
      </c>
      <c r="D61" s="106"/>
      <c r="E61" s="106"/>
      <c r="F61" s="69">
        <f>ROUND(+C61/$C$65,4)</f>
        <v>0.44359999999999999</v>
      </c>
      <c r="G61" s="520"/>
      <c r="H61" s="58">
        <f>ROUND(+F61*$H$65,0)</f>
        <v>-1853698</v>
      </c>
      <c r="I61" s="106"/>
      <c r="J61" s="58">
        <f>ROUND(+F61*$J$65,0)</f>
        <v>-268895</v>
      </c>
      <c r="K61" s="106"/>
      <c r="L61" s="106">
        <f>ROUND(+F61*$L$65,0)</f>
        <v>8227659</v>
      </c>
      <c r="M61" s="106"/>
      <c r="N61" s="106">
        <f>ROUND(+F61*$N$65,0)</f>
        <v>-8912431</v>
      </c>
      <c r="O61" s="106"/>
      <c r="P61" s="58">
        <f>ROUND(+F61*$P$65,0)</f>
        <v>10192375</v>
      </c>
      <c r="R61" s="106">
        <f>SUM(H61:P61)</f>
        <v>7385010</v>
      </c>
    </row>
    <row r="62" spans="1:26" x14ac:dyDescent="0.25">
      <c r="A62" s="106"/>
      <c r="B62" s="106"/>
      <c r="C62" s="106"/>
      <c r="D62" s="106"/>
      <c r="E62" s="106"/>
      <c r="F62" s="69"/>
      <c r="G62" s="520"/>
      <c r="H62" s="58"/>
      <c r="I62" s="106"/>
      <c r="J62" s="69"/>
      <c r="K62" s="106"/>
      <c r="L62" s="106"/>
      <c r="M62" s="106"/>
      <c r="N62" s="106"/>
      <c r="O62" s="106"/>
      <c r="P62" s="58"/>
      <c r="R62" s="106"/>
    </row>
    <row r="63" spans="1:26" x14ac:dyDescent="0.25">
      <c r="A63" s="148" t="s">
        <v>256</v>
      </c>
      <c r="B63" s="106" t="s">
        <v>316</v>
      </c>
      <c r="C63" s="106">
        <f>+J22</f>
        <v>1095896106</v>
      </c>
      <c r="D63" s="106"/>
      <c r="E63" s="106"/>
      <c r="F63" s="175">
        <f>ROUND(1-F59-F61,4)</f>
        <v>0.55640000000000001</v>
      </c>
      <c r="G63" s="520"/>
      <c r="H63" s="58">
        <f>ROUND(+F63*$H$65,0)</f>
        <v>-2325063</v>
      </c>
      <c r="I63" s="106"/>
      <c r="J63" s="58">
        <f>ROUND(+F63*$J$65,0)</f>
        <v>-337270</v>
      </c>
      <c r="K63" s="106"/>
      <c r="L63" s="106">
        <f>+L65-L59-L61</f>
        <v>10319815</v>
      </c>
      <c r="M63" s="106"/>
      <c r="N63" s="106">
        <f>+N65-N59-N61</f>
        <v>-11178712</v>
      </c>
      <c r="O63" s="106"/>
      <c r="P63" s="58">
        <f>ROUND(+F63*$P$65,0)</f>
        <v>12784125</v>
      </c>
      <c r="R63" s="106">
        <f>SUM(H63:P63)</f>
        <v>9262895</v>
      </c>
    </row>
    <row r="64" spans="1:26" x14ac:dyDescent="0.25">
      <c r="A64" s="106"/>
      <c r="B64" s="106"/>
      <c r="C64" s="106"/>
      <c r="D64" s="106"/>
      <c r="E64" s="106"/>
      <c r="F64" s="69"/>
      <c r="G64" s="520"/>
      <c r="H64" s="58"/>
      <c r="I64" s="106"/>
      <c r="J64" s="106"/>
      <c r="K64" s="106"/>
      <c r="L64" s="106"/>
      <c r="M64" s="106"/>
      <c r="N64" s="106"/>
      <c r="O64" s="106"/>
      <c r="P64" s="106"/>
      <c r="R64" s="106"/>
    </row>
    <row r="65" spans="1:19" ht="27" customHeight="1" thickBot="1" x14ac:dyDescent="0.3">
      <c r="A65" s="148" t="s">
        <v>257</v>
      </c>
      <c r="B65" s="106" t="s">
        <v>271</v>
      </c>
      <c r="C65" s="86">
        <f>SUM(C59:C63)</f>
        <v>1969514027</v>
      </c>
      <c r="D65" s="106"/>
      <c r="E65" s="106"/>
      <c r="F65" s="176">
        <f>SUM(F59:F63)</f>
        <v>1</v>
      </c>
      <c r="G65" s="520"/>
      <c r="H65" s="86">
        <f>-F90</f>
        <v>-4178761</v>
      </c>
      <c r="I65" s="106"/>
      <c r="J65" s="419">
        <f>-594286-11879</f>
        <v>-606165</v>
      </c>
      <c r="K65" s="106"/>
      <c r="L65" s="419">
        <v>18547474</v>
      </c>
      <c r="M65" s="106"/>
      <c r="N65" s="86">
        <f>-L82</f>
        <v>-20091143</v>
      </c>
      <c r="O65" s="106"/>
      <c r="P65" s="419">
        <v>22976500</v>
      </c>
      <c r="R65" s="86">
        <f>SUM(R59:R63)</f>
        <v>16647905</v>
      </c>
    </row>
    <row r="66" spans="1:19" ht="16.5" thickTop="1" x14ac:dyDescent="0.25">
      <c r="A66" s="106"/>
      <c r="B66" s="106"/>
      <c r="C66" s="106"/>
      <c r="D66" s="106"/>
      <c r="E66" s="106"/>
      <c r="F66" s="106"/>
      <c r="G66" s="520"/>
      <c r="H66" s="186"/>
      <c r="I66" s="106"/>
      <c r="J66" s="106"/>
      <c r="K66" s="106"/>
      <c r="L66" s="186"/>
      <c r="M66" s="106"/>
      <c r="N66" s="186"/>
      <c r="O66" s="106"/>
      <c r="P66" s="106"/>
      <c r="R66" s="106"/>
      <c r="S66" s="106"/>
    </row>
    <row r="67" spans="1:19" x14ac:dyDescent="0.25">
      <c r="A67" s="106"/>
      <c r="B67" s="106"/>
      <c r="C67" s="106"/>
      <c r="D67" s="106"/>
      <c r="E67" s="106"/>
      <c r="F67" s="106"/>
      <c r="G67" s="520"/>
      <c r="H67" s="106"/>
      <c r="I67" s="106"/>
      <c r="J67" s="106"/>
      <c r="K67" s="106"/>
      <c r="L67" s="106"/>
      <c r="M67" s="106"/>
      <c r="N67" s="106"/>
      <c r="O67" s="106"/>
      <c r="P67" s="187"/>
      <c r="R67" s="106"/>
      <c r="S67" s="106"/>
    </row>
    <row r="68" spans="1:19" ht="18" x14ac:dyDescent="0.4"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R68" s="178"/>
      <c r="S68" s="178"/>
    </row>
    <row r="69" spans="1:19" x14ac:dyDescent="0.25">
      <c r="A69" s="172" t="s">
        <v>323</v>
      </c>
      <c r="B69" s="180"/>
    </row>
    <row r="70" spans="1:19" x14ac:dyDescent="0.25">
      <c r="A70" s="180"/>
      <c r="B70" s="180"/>
      <c r="C70" s="154"/>
      <c r="D70" s="154"/>
      <c r="E70" s="154"/>
      <c r="F70" s="154"/>
      <c r="G70" s="492"/>
      <c r="H70" s="154"/>
      <c r="I70" s="154"/>
      <c r="J70" s="154"/>
      <c r="K70" s="154"/>
      <c r="L70" s="154"/>
      <c r="M70" s="154"/>
      <c r="N70" s="154"/>
      <c r="O70" s="154"/>
      <c r="P70" s="154"/>
      <c r="R70" s="154"/>
      <c r="S70" s="154"/>
    </row>
    <row r="71" spans="1:19" x14ac:dyDescent="0.25">
      <c r="A71" s="148" t="s">
        <v>254</v>
      </c>
      <c r="B71" s="106" t="s">
        <v>314</v>
      </c>
      <c r="C71" s="71">
        <f>+J30</f>
        <v>0</v>
      </c>
      <c r="D71" s="106"/>
      <c r="E71" s="106"/>
      <c r="F71" s="69">
        <f>ROUND(+C71/$C$77,4)</f>
        <v>0</v>
      </c>
      <c r="G71" s="492"/>
      <c r="H71" s="71">
        <v>0</v>
      </c>
      <c r="I71" s="154"/>
      <c r="J71" s="71">
        <v>0</v>
      </c>
      <c r="K71" s="106"/>
      <c r="L71" s="71">
        <f>ROUND(+F71*$L$77,0)</f>
        <v>0</v>
      </c>
      <c r="M71" s="154"/>
      <c r="N71" s="188">
        <v>0</v>
      </c>
      <c r="O71" s="154"/>
      <c r="P71" s="71">
        <v>0</v>
      </c>
      <c r="R71" s="71">
        <f>SUM(H71:P71)</f>
        <v>0</v>
      </c>
    </row>
    <row r="72" spans="1:19" x14ac:dyDescent="0.25">
      <c r="A72" s="148"/>
      <c r="B72" s="106"/>
      <c r="C72" s="106"/>
      <c r="D72" s="106"/>
      <c r="E72" s="106"/>
      <c r="F72" s="69"/>
      <c r="G72" s="492"/>
      <c r="H72" s="189"/>
      <c r="I72" s="154"/>
      <c r="J72" s="189"/>
      <c r="K72" s="106"/>
      <c r="L72" s="190"/>
      <c r="M72" s="154"/>
      <c r="N72" s="191"/>
      <c r="O72" s="154"/>
      <c r="P72" s="106"/>
      <c r="R72" s="520"/>
    </row>
    <row r="73" spans="1:19" x14ac:dyDescent="0.25">
      <c r="A73" s="148" t="s">
        <v>255</v>
      </c>
      <c r="B73" s="106" t="s">
        <v>315</v>
      </c>
      <c r="C73" s="106">
        <f>+J32</f>
        <v>232087586</v>
      </c>
      <c r="D73" s="106"/>
      <c r="E73" s="106"/>
      <c r="F73" s="69">
        <f>ROUND(+C73/$C$77,4)</f>
        <v>0.44359999999999999</v>
      </c>
      <c r="G73" s="492"/>
      <c r="H73" s="189">
        <v>0</v>
      </c>
      <c r="I73" s="154"/>
      <c r="J73" s="189">
        <v>0</v>
      </c>
      <c r="K73" s="106"/>
      <c r="L73" s="106">
        <f>ROUND(+F73*$L$77,0)</f>
        <v>232802</v>
      </c>
      <c r="M73" s="154"/>
      <c r="N73" s="191">
        <v>0</v>
      </c>
      <c r="O73" s="154"/>
      <c r="P73" s="191">
        <v>0</v>
      </c>
      <c r="R73" s="520">
        <f>SUM(H73:P73)</f>
        <v>232802</v>
      </c>
    </row>
    <row r="74" spans="1:19" x14ac:dyDescent="0.25">
      <c r="A74" s="106"/>
      <c r="B74" s="106"/>
      <c r="C74" s="106"/>
      <c r="D74" s="106"/>
      <c r="E74" s="106"/>
      <c r="F74" s="69"/>
      <c r="H74" s="189"/>
      <c r="J74" s="189"/>
      <c r="K74" s="106"/>
      <c r="L74" s="106"/>
      <c r="N74" s="192"/>
      <c r="P74" s="192"/>
      <c r="R74" s="520"/>
    </row>
    <row r="75" spans="1:19" x14ac:dyDescent="0.25">
      <c r="A75" s="148" t="s">
        <v>256</v>
      </c>
      <c r="B75" s="106" t="s">
        <v>316</v>
      </c>
      <c r="C75" s="106">
        <f>+J34</f>
        <v>291138581</v>
      </c>
      <c r="D75" s="106"/>
      <c r="E75" s="106"/>
      <c r="F75" s="175">
        <f>ROUND(1-F71-F73,4)</f>
        <v>0.55640000000000001</v>
      </c>
      <c r="H75" s="189">
        <v>0</v>
      </c>
      <c r="J75" s="189">
        <v>0</v>
      </c>
      <c r="K75" s="106"/>
      <c r="L75" s="106">
        <f>ROUND(+F75*$L$77,0)</f>
        <v>291999</v>
      </c>
      <c r="N75" s="192">
        <v>0</v>
      </c>
      <c r="P75" s="192">
        <v>0</v>
      </c>
      <c r="R75" s="520">
        <f>SUM(H75:P75)</f>
        <v>291999</v>
      </c>
    </row>
    <row r="76" spans="1:19" x14ac:dyDescent="0.25">
      <c r="A76" s="106"/>
      <c r="B76" s="106"/>
      <c r="C76" s="106"/>
      <c r="D76" s="106"/>
      <c r="E76" s="106"/>
      <c r="F76" s="69"/>
      <c r="H76" s="189"/>
      <c r="J76" s="189"/>
      <c r="K76" s="106"/>
      <c r="L76" s="106"/>
      <c r="N76" s="192"/>
      <c r="P76" s="106"/>
      <c r="R76" s="106"/>
    </row>
    <row r="77" spans="1:19" ht="27" customHeight="1" thickBot="1" x14ac:dyDescent="0.3">
      <c r="A77" s="148" t="s">
        <v>257</v>
      </c>
      <c r="B77" s="106" t="s">
        <v>271</v>
      </c>
      <c r="C77" s="86">
        <f>SUM(C71:C75)</f>
        <v>523226167</v>
      </c>
      <c r="D77" s="106"/>
      <c r="E77" s="106"/>
      <c r="F77" s="176">
        <f>SUM(F71:F75)</f>
        <v>1</v>
      </c>
      <c r="H77" s="86">
        <f>SUM(H71:H75)</f>
        <v>0</v>
      </c>
      <c r="J77" s="86">
        <f>SUM(J71:J75)</f>
        <v>0</v>
      </c>
      <c r="K77" s="106"/>
      <c r="L77" s="419">
        <v>524801</v>
      </c>
      <c r="N77" s="86">
        <f>SUM(N71:N75)</f>
        <v>0</v>
      </c>
      <c r="P77" s="86">
        <f>SUM(P71:P75)</f>
        <v>0</v>
      </c>
      <c r="R77" s="86">
        <f>SUM(R71:R75)</f>
        <v>524801</v>
      </c>
    </row>
    <row r="78" spans="1:19" ht="16.5" thickTop="1" x14ac:dyDescent="0.25">
      <c r="B78" s="106"/>
      <c r="C78" s="106"/>
      <c r="D78" s="106"/>
      <c r="E78" s="129"/>
      <c r="F78" s="129"/>
      <c r="H78" s="211"/>
      <c r="K78" s="106"/>
      <c r="P78" s="186"/>
    </row>
    <row r="79" spans="1:19" x14ac:dyDescent="0.25">
      <c r="A79" s="193"/>
      <c r="B79" s="139"/>
      <c r="C79" s="106"/>
      <c r="D79" s="106"/>
      <c r="E79" s="106"/>
      <c r="G79" s="568"/>
      <c r="H79" s="211"/>
      <c r="I79" s="197"/>
      <c r="J79" s="197"/>
      <c r="P79" s="194"/>
    </row>
    <row r="80" spans="1:19" x14ac:dyDescent="0.25">
      <c r="H80" s="175"/>
    </row>
    <row r="81" spans="1:22" x14ac:dyDescent="0.25">
      <c r="A81" s="229" t="s">
        <v>245</v>
      </c>
      <c r="B81" s="139" t="str">
        <f>"Trimble County 1 Inventories @ "&amp;Inputs!B3&amp;""</f>
        <v>Trimble County 1 Inventories @ March 31, 2012</v>
      </c>
      <c r="F81" s="230"/>
      <c r="G81" s="229" t="s">
        <v>319</v>
      </c>
      <c r="H81" s="174" t="s">
        <v>407</v>
      </c>
      <c r="L81" s="195"/>
      <c r="R81" s="196"/>
      <c r="S81" s="196"/>
      <c r="T81" s="196"/>
      <c r="V81" s="196"/>
    </row>
    <row r="82" spans="1:22" ht="16.5" thickBot="1" x14ac:dyDescent="0.3">
      <c r="B82" s="119" t="s">
        <v>274</v>
      </c>
      <c r="E82" s="535"/>
      <c r="F82" s="210">
        <v>5960215</v>
      </c>
      <c r="H82" s="550" t="s">
        <v>675</v>
      </c>
      <c r="L82" s="248">
        <f>'Supp Sch-Ex 3'!K40</f>
        <v>20091143</v>
      </c>
      <c r="R82" s="174"/>
      <c r="S82" s="111"/>
      <c r="T82" s="174"/>
      <c r="U82" s="174"/>
      <c r="V82" s="174"/>
    </row>
    <row r="83" spans="1:22" ht="16.5" thickTop="1" x14ac:dyDescent="0.25">
      <c r="B83" s="119" t="s">
        <v>278</v>
      </c>
      <c r="E83" s="535"/>
      <c r="F83" s="211">
        <v>1100624</v>
      </c>
      <c r="H83" s="174"/>
      <c r="I83" s="535"/>
      <c r="J83" s="535"/>
      <c r="K83" s="535"/>
      <c r="L83" s="535"/>
      <c r="M83" s="535"/>
      <c r="N83" s="535"/>
      <c r="R83" s="174"/>
      <c r="T83" s="174"/>
      <c r="U83" s="174"/>
      <c r="V83" s="174"/>
    </row>
    <row r="84" spans="1:22" x14ac:dyDescent="0.25">
      <c r="B84" s="119" t="s">
        <v>275</v>
      </c>
      <c r="E84" s="535"/>
      <c r="F84" s="211">
        <v>9196703</v>
      </c>
      <c r="H84" s="174"/>
      <c r="I84" s="535"/>
      <c r="J84" s="535"/>
      <c r="K84" s="535"/>
      <c r="L84" s="174"/>
      <c r="M84" s="535"/>
      <c r="N84" s="535"/>
    </row>
    <row r="85" spans="1:22" x14ac:dyDescent="0.25">
      <c r="B85" s="119" t="s">
        <v>276</v>
      </c>
      <c r="E85" s="535"/>
      <c r="F85" s="211">
        <v>240236</v>
      </c>
    </row>
    <row r="86" spans="1:22" x14ac:dyDescent="0.25">
      <c r="B86" s="119" t="s">
        <v>277</v>
      </c>
      <c r="E86" s="535"/>
      <c r="F86" s="211">
        <v>216813</v>
      </c>
      <c r="L86" s="197"/>
      <c r="M86" s="197"/>
      <c r="N86" s="197"/>
      <c r="O86" s="197"/>
      <c r="P86" s="197"/>
      <c r="Q86" s="197"/>
      <c r="R86" s="197"/>
    </row>
    <row r="87" spans="1:22" x14ac:dyDescent="0.25">
      <c r="B87" s="119" t="s">
        <v>188</v>
      </c>
      <c r="E87" s="535"/>
      <c r="F87" s="211">
        <v>451</v>
      </c>
      <c r="L87" s="197"/>
      <c r="M87" s="197"/>
      <c r="N87" s="197"/>
      <c r="O87" s="197"/>
      <c r="P87" s="197"/>
      <c r="Q87" s="197"/>
      <c r="R87" s="197"/>
    </row>
    <row r="88" spans="1:22" ht="20.25" customHeight="1" x14ac:dyDescent="0.25">
      <c r="B88" s="119" t="s">
        <v>279</v>
      </c>
      <c r="F88" s="198">
        <f>SUM(F82:F87)</f>
        <v>16715042</v>
      </c>
      <c r="L88" s="197"/>
      <c r="M88" s="197"/>
      <c r="N88" s="197"/>
      <c r="O88" s="197"/>
      <c r="P88" s="197"/>
      <c r="Q88" s="197"/>
      <c r="R88" s="197"/>
    </row>
    <row r="89" spans="1:22" x14ac:dyDescent="0.25">
      <c r="B89" s="119" t="s">
        <v>280</v>
      </c>
      <c r="F89" s="175">
        <v>0.25</v>
      </c>
    </row>
    <row r="90" spans="1:22" ht="22.5" customHeight="1" thickBot="1" x14ac:dyDescent="0.3">
      <c r="B90" s="119" t="s">
        <v>326</v>
      </c>
      <c r="F90" s="86">
        <f>ROUND(+F88*F89,0)</f>
        <v>4178761</v>
      </c>
    </row>
    <row r="91" spans="1:22" ht="16.5" thickTop="1" x14ac:dyDescent="0.25"/>
  </sheetData>
  <mergeCells count="8">
    <mergeCell ref="A49:Y49"/>
    <mergeCell ref="A48:Y48"/>
    <mergeCell ref="A7:Y7"/>
    <mergeCell ref="A8:Y8"/>
    <mergeCell ref="A4:T4"/>
    <mergeCell ref="A6:T6"/>
    <mergeCell ref="A45:T45"/>
    <mergeCell ref="A47:T47"/>
  </mergeCells>
  <phoneticPr fontId="49" type="noConversion"/>
  <printOptions horizontalCentered="1" gridLinesSet="0"/>
  <pageMargins left="0.5" right="0.5" top="0.75" bottom="0.5" header="0.5" footer="0.5"/>
  <pageSetup scale="58" fitToHeight="2" orientation="landscape" r:id="rId1"/>
  <headerFooter alignWithMargins="0"/>
  <rowBreaks count="1" manualBreakCount="1">
    <brk id="41" max="1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" enableFormatConditionsCalculation="0">
    <pageSetUpPr fitToPage="1"/>
  </sheetPr>
  <dimension ref="A3:E28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39" style="106" customWidth="1"/>
    <col min="2" max="2" width="13.25" style="106" customWidth="1"/>
    <col min="3" max="3" width="3.625" style="106" customWidth="1"/>
    <col min="4" max="4" width="14.625" style="106" customWidth="1"/>
    <col min="5" max="5" width="3.125" style="106" customWidth="1"/>
    <col min="6" max="16384" width="9.625" style="106"/>
  </cols>
  <sheetData>
    <row r="3" spans="1:5" x14ac:dyDescent="0.25">
      <c r="D3" s="293" t="str">
        <f>'Ex 1'!$P$1</f>
        <v>Exhibit 1</v>
      </c>
    </row>
    <row r="4" spans="1:5" x14ac:dyDescent="0.25">
      <c r="D4" s="337" t="str">
        <f>"Reference Schedule "&amp;Inputs!$A33&amp;""</f>
        <v>Reference Schedule 1.17</v>
      </c>
    </row>
    <row r="5" spans="1:5" x14ac:dyDescent="0.25">
      <c r="D5" s="11" t="str">
        <f>"Sponsoring Witness: "&amp;Inputs!$B33&amp;""</f>
        <v>Sponsoring Witness: Scott</v>
      </c>
    </row>
    <row r="6" spans="1:5" x14ac:dyDescent="0.25">
      <c r="D6" s="118"/>
    </row>
    <row r="8" spans="1:5" x14ac:dyDescent="0.25">
      <c r="A8" s="712" t="s">
        <v>222</v>
      </c>
      <c r="B8" s="712"/>
      <c r="C8" s="712"/>
      <c r="D8" s="712"/>
      <c r="E8" s="712"/>
    </row>
    <row r="9" spans="1:5" x14ac:dyDescent="0.25">
      <c r="A9" s="120"/>
      <c r="B9" s="120"/>
      <c r="C9" s="120"/>
      <c r="D9" s="120"/>
      <c r="E9" s="120"/>
    </row>
    <row r="10" spans="1:5" x14ac:dyDescent="0.25">
      <c r="A10" s="120"/>
      <c r="B10" s="120"/>
      <c r="C10" s="120"/>
      <c r="D10" s="120"/>
      <c r="E10" s="120"/>
    </row>
    <row r="11" spans="1:5" x14ac:dyDescent="0.25">
      <c r="A11" s="723" t="s">
        <v>343</v>
      </c>
      <c r="B11" s="723"/>
      <c r="C11" s="723"/>
      <c r="D11" s="723"/>
      <c r="E11" s="723"/>
    </row>
    <row r="12" spans="1:5" x14ac:dyDescent="0.25">
      <c r="A12" s="723" t="s">
        <v>281</v>
      </c>
      <c r="B12" s="723"/>
      <c r="C12" s="723"/>
      <c r="D12" s="723"/>
      <c r="E12" s="723"/>
    </row>
    <row r="13" spans="1:5" x14ac:dyDescent="0.25">
      <c r="A13" s="712" t="str">
        <f>"For the Twelve Months Ended "&amp;Inputs!B3&amp;""</f>
        <v>For the Twelve Months Ended March 31, 2012</v>
      </c>
      <c r="B13" s="708"/>
      <c r="C13" s="708"/>
      <c r="D13" s="708"/>
      <c r="E13" s="708"/>
    </row>
    <row r="16" spans="1:5" x14ac:dyDescent="0.25">
      <c r="B16" s="133"/>
    </row>
    <row r="17" spans="1:5" ht="23.25" customHeight="1" x14ac:dyDescent="0.4">
      <c r="B17" s="379" t="s">
        <v>220</v>
      </c>
      <c r="C17" s="378"/>
      <c r="D17" s="379" t="s">
        <v>221</v>
      </c>
      <c r="E17" s="378"/>
    </row>
    <row r="18" spans="1:5" x14ac:dyDescent="0.25">
      <c r="B18" s="129"/>
      <c r="D18" s="129"/>
    </row>
    <row r="19" spans="1:5" x14ac:dyDescent="0.25">
      <c r="A19" s="139" t="s">
        <v>282</v>
      </c>
    </row>
    <row r="20" spans="1:5" x14ac:dyDescent="0.25">
      <c r="A20" s="139" t="s">
        <v>304</v>
      </c>
      <c r="B20" s="380"/>
      <c r="D20" s="380"/>
    </row>
    <row r="21" spans="1:5" x14ac:dyDescent="0.25">
      <c r="A21" s="139" t="s">
        <v>305</v>
      </c>
      <c r="B21" s="157">
        <v>520853.64</v>
      </c>
      <c r="C21" s="71"/>
      <c r="D21" s="157">
        <v>205863.59</v>
      </c>
      <c r="E21" s="71"/>
    </row>
    <row r="23" spans="1:5" x14ac:dyDescent="0.25">
      <c r="A23" s="139" t="s">
        <v>166</v>
      </c>
      <c r="B23" s="251">
        <v>19133.990000000002</v>
      </c>
      <c r="D23" s="251">
        <v>6347.45</v>
      </c>
    </row>
    <row r="24" spans="1:5" x14ac:dyDescent="0.25">
      <c r="B24" s="129"/>
      <c r="D24" s="129"/>
    </row>
    <row r="25" spans="1:5" ht="16.5" thickBot="1" x14ac:dyDescent="0.3">
      <c r="A25" s="139" t="s">
        <v>283</v>
      </c>
      <c r="B25" s="166">
        <f>SUM(B20:B24)</f>
        <v>539987.63</v>
      </c>
      <c r="C25" s="247"/>
      <c r="D25" s="166">
        <f>SUM(D20:D24)</f>
        <v>212211.04</v>
      </c>
      <c r="E25" s="247"/>
    </row>
    <row r="26" spans="1:5" ht="16.5" thickTop="1" x14ac:dyDescent="0.25"/>
    <row r="27" spans="1:5" ht="16.5" thickBot="1" x14ac:dyDescent="0.3">
      <c r="A27" s="139" t="s">
        <v>185</v>
      </c>
      <c r="B27" s="166">
        <f>ROUND(-B25,0)</f>
        <v>-539988</v>
      </c>
      <c r="D27" s="166">
        <f>ROUND(-D25,0)</f>
        <v>-212211</v>
      </c>
    </row>
    <row r="28" spans="1:5" ht="16.5" thickTop="1" x14ac:dyDescent="0.25"/>
  </sheetData>
  <mergeCells count="4">
    <mergeCell ref="A8:E8"/>
    <mergeCell ref="A11:E11"/>
    <mergeCell ref="A12:E12"/>
    <mergeCell ref="A13:E13"/>
  </mergeCells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8">
    <pageSetUpPr fitToPage="1"/>
  </sheetPr>
  <dimension ref="A3:H30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38.625" style="528" customWidth="1"/>
    <col min="2" max="2" width="14.125" style="528" bestFit="1" customWidth="1"/>
    <col min="3" max="3" width="1.75" style="528" customWidth="1"/>
    <col min="4" max="4" width="12.5" style="528" customWidth="1"/>
    <col min="5" max="5" width="2.75" style="528" customWidth="1"/>
    <col min="6" max="6" width="14.125" style="528" bestFit="1" customWidth="1"/>
    <col min="7" max="7" width="1.75" style="528" customWidth="1"/>
    <col min="8" max="8" width="12.5" style="528" customWidth="1"/>
    <col min="9" max="16384" width="9.625" style="528"/>
  </cols>
  <sheetData>
    <row r="3" spans="1:8" x14ac:dyDescent="0.25">
      <c r="D3" s="293"/>
      <c r="H3" s="293" t="str">
        <f>'Ex 1'!$P$1</f>
        <v>Exhibit 1</v>
      </c>
    </row>
    <row r="4" spans="1:8" x14ac:dyDescent="0.25">
      <c r="D4" s="337"/>
      <c r="H4" s="337" t="str">
        <f>"Reference Schedule "&amp;Inputs!$A34&amp;""</f>
        <v>Reference Schedule 1.18</v>
      </c>
    </row>
    <row r="5" spans="1:8" x14ac:dyDescent="0.25">
      <c r="D5" s="11"/>
      <c r="H5" s="11" t="str">
        <f>"Sponsoring Witness: "&amp;Inputs!$B34&amp;""</f>
        <v>Sponsoring Witness: Scott</v>
      </c>
    </row>
    <row r="6" spans="1:8" x14ac:dyDescent="0.25">
      <c r="D6" s="7"/>
      <c r="H6" s="7"/>
    </row>
    <row r="7" spans="1:8" x14ac:dyDescent="0.25">
      <c r="D7" s="7"/>
      <c r="H7" s="7"/>
    </row>
    <row r="8" spans="1:8" x14ac:dyDescent="0.25">
      <c r="A8" s="721" t="s">
        <v>222</v>
      </c>
      <c r="B8" s="721"/>
      <c r="C8" s="721"/>
      <c r="D8" s="721"/>
      <c r="E8" s="721"/>
      <c r="F8" s="721"/>
      <c r="G8" s="721"/>
      <c r="H8" s="721"/>
    </row>
    <row r="9" spans="1:8" x14ac:dyDescent="0.25">
      <c r="A9" s="13"/>
      <c r="B9" s="13"/>
      <c r="C9" s="13"/>
      <c r="D9" s="13"/>
      <c r="F9" s="13"/>
      <c r="G9" s="13"/>
      <c r="H9" s="13"/>
    </row>
    <row r="10" spans="1:8" x14ac:dyDescent="0.25">
      <c r="A10" s="530"/>
      <c r="B10" s="530"/>
      <c r="C10" s="530"/>
      <c r="D10" s="530"/>
      <c r="F10" s="530"/>
      <c r="G10" s="530"/>
      <c r="H10" s="530"/>
    </row>
    <row r="11" spans="1:8" x14ac:dyDescent="0.25">
      <c r="A11" s="707" t="s">
        <v>488</v>
      </c>
      <c r="B11" s="707"/>
      <c r="C11" s="707"/>
      <c r="D11" s="707"/>
      <c r="E11" s="707"/>
      <c r="F11" s="707"/>
      <c r="G11" s="707"/>
      <c r="H11" s="707"/>
    </row>
    <row r="12" spans="1:8" x14ac:dyDescent="0.25">
      <c r="A12" s="712" t="str">
        <f>"For the Twelve Months Ended "&amp;Inputs!B3&amp;""</f>
        <v>For the Twelve Months Ended March 31, 2012</v>
      </c>
      <c r="B12" s="712"/>
      <c r="C12" s="712"/>
      <c r="D12" s="712"/>
      <c r="E12" s="712"/>
      <c r="F12" s="712"/>
      <c r="G12" s="712"/>
      <c r="H12" s="712"/>
    </row>
    <row r="15" spans="1:8" x14ac:dyDescent="0.25">
      <c r="B15" s="8"/>
      <c r="D15" s="8"/>
      <c r="F15" s="8"/>
      <c r="H15" s="8"/>
    </row>
    <row r="16" spans="1:8" ht="23.25" customHeight="1" x14ac:dyDescent="0.4">
      <c r="B16" s="722" t="s">
        <v>220</v>
      </c>
      <c r="C16" s="722"/>
      <c r="D16" s="722"/>
      <c r="F16" s="722" t="s">
        <v>221</v>
      </c>
      <c r="G16" s="722"/>
      <c r="H16" s="722"/>
    </row>
    <row r="17" spans="1:8" ht="23.25" customHeight="1" x14ac:dyDescent="0.4">
      <c r="B17" s="681" t="s">
        <v>356</v>
      </c>
      <c r="C17" s="39"/>
      <c r="D17" s="681" t="s">
        <v>342</v>
      </c>
      <c r="F17" s="681" t="s">
        <v>356</v>
      </c>
      <c r="G17" s="39"/>
      <c r="H17" s="681" t="s">
        <v>342</v>
      </c>
    </row>
    <row r="18" spans="1:8" x14ac:dyDescent="0.25">
      <c r="A18" s="1" t="s">
        <v>716</v>
      </c>
      <c r="B18" s="71"/>
      <c r="C18" s="71"/>
      <c r="D18" s="71"/>
      <c r="F18" s="71"/>
      <c r="G18" s="71"/>
      <c r="H18" s="71"/>
    </row>
    <row r="19" spans="1:8" x14ac:dyDescent="0.25">
      <c r="A19" s="1"/>
      <c r="B19" s="58"/>
      <c r="C19" s="58"/>
      <c r="D19" s="58"/>
      <c r="F19" s="58"/>
      <c r="G19" s="58"/>
      <c r="H19" s="58"/>
    </row>
    <row r="20" spans="1:8" x14ac:dyDescent="0.25">
      <c r="A20" s="1" t="s">
        <v>717</v>
      </c>
      <c r="B20" s="157">
        <v>0</v>
      </c>
      <c r="C20" s="58"/>
      <c r="D20" s="157">
        <v>890449</v>
      </c>
      <c r="F20" s="157">
        <v>0</v>
      </c>
      <c r="G20" s="58"/>
      <c r="H20" s="157">
        <v>0</v>
      </c>
    </row>
    <row r="21" spans="1:8" x14ac:dyDescent="0.25">
      <c r="A21" s="12" t="s">
        <v>718</v>
      </c>
      <c r="B21" s="58">
        <v>0</v>
      </c>
      <c r="C21" s="58"/>
      <c r="D21" s="58">
        <v>122860</v>
      </c>
      <c r="F21" s="58">
        <v>0</v>
      </c>
      <c r="G21" s="58"/>
      <c r="H21" s="58">
        <v>-122860</v>
      </c>
    </row>
    <row r="22" spans="1:8" x14ac:dyDescent="0.25">
      <c r="A22" s="12" t="s">
        <v>719</v>
      </c>
      <c r="B22" s="58">
        <v>0</v>
      </c>
      <c r="C22" s="58"/>
      <c r="D22" s="58">
        <v>-23320</v>
      </c>
      <c r="F22" s="58">
        <v>0</v>
      </c>
      <c r="G22" s="58"/>
      <c r="H22" s="58">
        <v>-5830</v>
      </c>
    </row>
    <row r="23" spans="1:8" x14ac:dyDescent="0.25">
      <c r="A23" s="12" t="s">
        <v>720</v>
      </c>
      <c r="B23" s="58">
        <v>0</v>
      </c>
      <c r="C23" s="58"/>
      <c r="D23" s="58">
        <v>-36624</v>
      </c>
      <c r="F23" s="58">
        <v>0</v>
      </c>
      <c r="G23" s="58"/>
      <c r="H23" s="58">
        <v>-9156</v>
      </c>
    </row>
    <row r="24" spans="1:8" x14ac:dyDescent="0.25">
      <c r="A24" s="12" t="s">
        <v>721</v>
      </c>
      <c r="B24" s="58">
        <v>0</v>
      </c>
      <c r="C24" s="58"/>
      <c r="D24" s="58">
        <v>18452</v>
      </c>
      <c r="F24" s="58">
        <v>0</v>
      </c>
      <c r="G24" s="58"/>
      <c r="H24" s="58">
        <v>-16198</v>
      </c>
    </row>
    <row r="25" spans="1:8" x14ac:dyDescent="0.25">
      <c r="A25" s="12" t="s">
        <v>722</v>
      </c>
      <c r="B25" s="58">
        <v>0</v>
      </c>
      <c r="C25" s="58"/>
      <c r="D25" s="58">
        <v>-16863</v>
      </c>
      <c r="F25" s="58">
        <v>0</v>
      </c>
      <c r="G25" s="58"/>
      <c r="H25" s="58">
        <v>-2363</v>
      </c>
    </row>
    <row r="26" spans="1:8" x14ac:dyDescent="0.25">
      <c r="A26" s="12" t="s">
        <v>723</v>
      </c>
      <c r="B26" s="58">
        <v>10864</v>
      </c>
      <c r="C26" s="58"/>
      <c r="D26" s="58">
        <v>-10334</v>
      </c>
      <c r="F26" s="58">
        <v>0</v>
      </c>
      <c r="G26" s="58"/>
      <c r="H26" s="58">
        <v>-12799</v>
      </c>
    </row>
    <row r="27" spans="1:8" x14ac:dyDescent="0.25">
      <c r="A27" s="12"/>
      <c r="B27" s="25"/>
      <c r="C27" s="37"/>
      <c r="D27" s="25"/>
      <c r="F27" s="25"/>
      <c r="G27" s="37"/>
      <c r="H27" s="25"/>
    </row>
    <row r="28" spans="1:8" x14ac:dyDescent="0.25">
      <c r="B28" s="57"/>
      <c r="C28" s="37"/>
      <c r="D28" s="57"/>
      <c r="F28" s="57"/>
      <c r="G28" s="37"/>
      <c r="H28" s="57"/>
    </row>
    <row r="29" spans="1:8" ht="16.5" thickBot="1" x14ac:dyDescent="0.3">
      <c r="A29" s="12" t="s">
        <v>724</v>
      </c>
      <c r="B29" s="166">
        <f>SUM(B20:B27)</f>
        <v>10864</v>
      </c>
      <c r="C29" s="247"/>
      <c r="D29" s="166">
        <f>SUM(D20:D27)</f>
        <v>944620</v>
      </c>
      <c r="F29" s="166">
        <f>SUM(F20:F27)</f>
        <v>0</v>
      </c>
      <c r="G29" s="247"/>
      <c r="H29" s="166">
        <f>SUM(H20:H27)</f>
        <v>-169206</v>
      </c>
    </row>
    <row r="30" spans="1:8" ht="16.5" thickTop="1" x14ac:dyDescent="0.25"/>
  </sheetData>
  <mergeCells count="5">
    <mergeCell ref="B16:D16"/>
    <mergeCell ref="F16:H16"/>
    <mergeCell ref="A8:H8"/>
    <mergeCell ref="A11:H11"/>
    <mergeCell ref="A12:H12"/>
  </mergeCells>
  <printOptions horizontalCentered="1" gridLinesSet="0"/>
  <pageMargins left="1.25" right="0.75" top="1" bottom="1" header="0.5" footer="0.5"/>
  <pageSetup scale="7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5" enableFormatConditionsCalculation="0">
    <pageSetUpPr fitToPage="1"/>
  </sheetPr>
  <dimension ref="A3:H29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2" width="9.625" style="2"/>
    <col min="3" max="3" width="10.625" style="2" customWidth="1"/>
    <col min="4" max="4" width="9.625" style="2"/>
    <col min="5" max="5" width="17.375" style="2" customWidth="1"/>
    <col min="6" max="6" width="4.75" style="2" customWidth="1"/>
    <col min="7" max="7" width="14.75" style="2" customWidth="1"/>
    <col min="8" max="8" width="4.125" style="2" customWidth="1"/>
    <col min="9" max="16384" width="9.625" style="2"/>
  </cols>
  <sheetData>
    <row r="3" spans="1:8" x14ac:dyDescent="0.25">
      <c r="G3" s="293" t="str">
        <f>'Ex 1'!$P$1</f>
        <v>Exhibit 1</v>
      </c>
    </row>
    <row r="4" spans="1:8" x14ac:dyDescent="0.25">
      <c r="G4" s="337" t="str">
        <f>"Reference Schedule "&amp;Inputs!$A35&amp;""</f>
        <v>Reference Schedule 1.19</v>
      </c>
    </row>
    <row r="5" spans="1:8" x14ac:dyDescent="0.25">
      <c r="G5" s="11" t="str">
        <f>"Sponsoring Witness: "&amp;Inputs!$B35&amp;""</f>
        <v>Sponsoring Witness: Arbough</v>
      </c>
    </row>
    <row r="8" spans="1:8" x14ac:dyDescent="0.25">
      <c r="A8" s="721" t="s">
        <v>222</v>
      </c>
      <c r="B8" s="721"/>
      <c r="C8" s="721"/>
      <c r="D8" s="721"/>
      <c r="E8" s="721"/>
      <c r="F8" s="721"/>
      <c r="G8" s="721"/>
      <c r="H8" s="13"/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717" t="s">
        <v>744</v>
      </c>
      <c r="B11" s="707"/>
      <c r="C11" s="707"/>
      <c r="D11" s="707"/>
      <c r="E11" s="707"/>
      <c r="F11" s="707"/>
      <c r="G11" s="707"/>
      <c r="H11" s="13"/>
    </row>
    <row r="12" spans="1:8" x14ac:dyDescent="0.25">
      <c r="A12" s="712" t="str">
        <f>"For the Twelve Months Ended "&amp;Inputs!B3&amp;""</f>
        <v>For the Twelve Months Ended March 31, 2012</v>
      </c>
      <c r="B12" s="712"/>
      <c r="C12" s="712"/>
      <c r="D12" s="712"/>
      <c r="E12" s="712"/>
      <c r="F12" s="712"/>
      <c r="G12" s="712"/>
      <c r="H12" s="13"/>
    </row>
    <row r="13" spans="1:8" x14ac:dyDescent="0.25">
      <c r="A13" s="4"/>
      <c r="B13" s="13"/>
      <c r="C13" s="13"/>
      <c r="D13" s="13"/>
      <c r="E13" s="13"/>
      <c r="F13" s="13"/>
      <c r="G13" s="13"/>
      <c r="H13" s="13"/>
    </row>
    <row r="14" spans="1:8" x14ac:dyDescent="0.25">
      <c r="B14" s="1"/>
    </row>
    <row r="16" spans="1:8" x14ac:dyDescent="0.25">
      <c r="E16" s="8"/>
      <c r="G16" s="55"/>
    </row>
    <row r="17" spans="1:8" x14ac:dyDescent="0.25">
      <c r="E17" s="8"/>
      <c r="G17" s="55"/>
    </row>
    <row r="18" spans="1:8" ht="15.75" customHeight="1" x14ac:dyDescent="0.25">
      <c r="A18" s="12" t="s">
        <v>93</v>
      </c>
      <c r="E18" s="8"/>
      <c r="G18" s="188">
        <v>3876743.61</v>
      </c>
    </row>
    <row r="19" spans="1:8" ht="15.75" customHeight="1" x14ac:dyDescent="0.25">
      <c r="E19" s="8"/>
      <c r="G19" s="191"/>
    </row>
    <row r="20" spans="1:8" ht="15.75" customHeight="1" x14ac:dyDescent="0.25">
      <c r="A20" s="12" t="s">
        <v>589</v>
      </c>
      <c r="E20" s="8"/>
      <c r="G20" s="415">
        <v>4188045.65</v>
      </c>
    </row>
    <row r="21" spans="1:8" ht="15.75" customHeight="1" x14ac:dyDescent="0.25">
      <c r="E21" s="8"/>
      <c r="G21" s="191"/>
    </row>
    <row r="22" spans="1:8" ht="15.75" customHeight="1" thickBot="1" x14ac:dyDescent="0.3">
      <c r="A22" s="12" t="s">
        <v>385</v>
      </c>
      <c r="E22" s="21"/>
      <c r="F22" s="54"/>
      <c r="G22" s="40">
        <f>+G20-G18</f>
        <v>311302.04000000004</v>
      </c>
    </row>
    <row r="23" spans="1:8" ht="15.75" customHeight="1" thickTop="1" x14ac:dyDescent="0.25">
      <c r="E23" s="20"/>
      <c r="F23" s="21"/>
      <c r="G23" s="129"/>
    </row>
    <row r="24" spans="1:8" ht="15.75" customHeight="1" x14ac:dyDescent="0.25">
      <c r="A24" s="12" t="s">
        <v>94</v>
      </c>
      <c r="E24" s="239">
        <f>'Ex 3'!E39</f>
        <v>0.79010000000000002</v>
      </c>
      <c r="F24" s="54"/>
      <c r="G24" s="205">
        <f>ROUND(E24*G22,0)</f>
        <v>245960</v>
      </c>
      <c r="H24" s="32"/>
    </row>
    <row r="25" spans="1:8" ht="15.75" customHeight="1" x14ac:dyDescent="0.25">
      <c r="A25" s="12"/>
      <c r="E25" s="528"/>
      <c r="F25" s="54"/>
      <c r="G25" s="226"/>
      <c r="H25" s="32"/>
    </row>
    <row r="26" spans="1:8" ht="15.75" customHeight="1" x14ac:dyDescent="0.25">
      <c r="A26" s="12" t="s">
        <v>95</v>
      </c>
      <c r="E26" s="241">
        <f>'Ex 3'!G39</f>
        <v>0.2099</v>
      </c>
      <c r="F26" s="54"/>
      <c r="G26" s="400">
        <f>ROUND(E26*G22,0)</f>
        <v>65342</v>
      </c>
      <c r="H26" s="32"/>
    </row>
    <row r="27" spans="1:8" ht="15.75" customHeight="1" x14ac:dyDescent="0.25">
      <c r="A27" s="1"/>
    </row>
    <row r="28" spans="1:8" ht="15.75" customHeight="1" thickBot="1" x14ac:dyDescent="0.3">
      <c r="A28" s="12" t="s">
        <v>69</v>
      </c>
      <c r="G28" s="40">
        <f>SUM(G24:G26)</f>
        <v>311302</v>
      </c>
    </row>
    <row r="29" spans="1:8" ht="16.5" thickTop="1" x14ac:dyDescent="0.25"/>
  </sheetData>
  <mergeCells count="3">
    <mergeCell ref="A8:G8"/>
    <mergeCell ref="A11:G11"/>
    <mergeCell ref="A12:G12"/>
  </mergeCells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6" enableFormatConditionsCalculation="0">
    <pageSetUpPr fitToPage="1"/>
  </sheetPr>
  <dimension ref="A1:D23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28.875" style="81" customWidth="1"/>
    <col min="2" max="2" width="12.75" style="81" customWidth="1"/>
    <col min="3" max="3" width="13.125" style="81" customWidth="1"/>
    <col min="4" max="4" width="16.75" style="81" customWidth="1"/>
    <col min="5" max="16384" width="9.625" style="81"/>
  </cols>
  <sheetData>
    <row r="1" spans="1:4" ht="15.75" x14ac:dyDescent="0.25">
      <c r="A1" s="1"/>
      <c r="B1" s="2"/>
      <c r="C1" s="2"/>
      <c r="D1" s="2"/>
    </row>
    <row r="2" spans="1:4" ht="15.75" x14ac:dyDescent="0.25">
      <c r="A2" s="2"/>
      <c r="B2" s="2"/>
      <c r="C2" s="2"/>
      <c r="D2" s="2"/>
    </row>
    <row r="3" spans="1:4" ht="15.75" x14ac:dyDescent="0.25">
      <c r="A3" s="2"/>
      <c r="B3" s="2"/>
      <c r="C3" s="1"/>
      <c r="D3" s="293" t="str">
        <f>'Ex 1'!$P$1</f>
        <v>Exhibit 1</v>
      </c>
    </row>
    <row r="4" spans="1:4" ht="15.75" x14ac:dyDescent="0.25">
      <c r="A4" s="2"/>
      <c r="B4" s="2"/>
      <c r="C4" s="1"/>
      <c r="D4" s="337" t="str">
        <f>"Reference Schedule "&amp;Inputs!$A36&amp;""</f>
        <v>Reference Schedule 1.20</v>
      </c>
    </row>
    <row r="5" spans="1:4" ht="15.75" x14ac:dyDescent="0.25">
      <c r="A5" s="2"/>
      <c r="B5" s="2"/>
      <c r="C5" s="2"/>
      <c r="D5" s="11" t="str">
        <f>"Sponsoring Witness: "&amp;Inputs!$B36&amp;""</f>
        <v>Sponsoring Witness: Bellar</v>
      </c>
    </row>
    <row r="6" spans="1:4" ht="15.75" x14ac:dyDescent="0.25">
      <c r="A6" s="2"/>
      <c r="B6" s="2"/>
      <c r="C6" s="2"/>
      <c r="D6" s="2"/>
    </row>
    <row r="7" spans="1:4" ht="15.75" x14ac:dyDescent="0.25">
      <c r="A7" s="2"/>
      <c r="B7" s="2"/>
      <c r="C7" s="2"/>
      <c r="D7" s="2"/>
    </row>
    <row r="8" spans="1:4" ht="15.75" x14ac:dyDescent="0.25">
      <c r="A8" s="14" t="s">
        <v>222</v>
      </c>
      <c r="B8" s="4"/>
      <c r="C8" s="6"/>
      <c r="D8" s="6"/>
    </row>
    <row r="9" spans="1:4" ht="15.75" x14ac:dyDescent="0.25">
      <c r="A9" s="4"/>
      <c r="B9" s="4"/>
      <c r="C9" s="2"/>
      <c r="D9" s="2"/>
    </row>
    <row r="10" spans="1:4" ht="15.75" x14ac:dyDescent="0.25">
      <c r="A10" s="4"/>
      <c r="B10" s="4"/>
      <c r="C10" s="2"/>
      <c r="D10" s="2"/>
    </row>
    <row r="11" spans="1:4" ht="15.75" x14ac:dyDescent="0.25">
      <c r="A11" s="717" t="s">
        <v>594</v>
      </c>
      <c r="B11" s="727"/>
      <c r="C11" s="727"/>
      <c r="D11" s="727"/>
    </row>
    <row r="12" spans="1:4" ht="15.75" x14ac:dyDescent="0.25">
      <c r="A12" s="712" t="str">
        <f>"For the Twelve Months Ended "&amp;Inputs!B3&amp;""</f>
        <v>For the Twelve Months Ended March 31, 2012</v>
      </c>
      <c r="B12" s="712"/>
      <c r="C12" s="712"/>
      <c r="D12" s="712"/>
    </row>
    <row r="13" spans="1:4" ht="15.75" x14ac:dyDescent="0.25">
      <c r="A13" s="1"/>
      <c r="B13" s="2"/>
      <c r="C13" s="2"/>
      <c r="D13" s="2"/>
    </row>
    <row r="14" spans="1:4" ht="15.75" x14ac:dyDescent="0.25">
      <c r="A14" s="1"/>
      <c r="B14" s="2"/>
      <c r="C14" s="2"/>
      <c r="D14" s="2"/>
    </row>
    <row r="15" spans="1:4" ht="15.75" x14ac:dyDescent="0.25">
      <c r="A15" s="1"/>
      <c r="B15" s="2"/>
      <c r="C15" s="2"/>
      <c r="D15" s="2"/>
    </row>
    <row r="16" spans="1:4" ht="15.75" x14ac:dyDescent="0.25">
      <c r="A16" s="2"/>
      <c r="B16" s="17"/>
      <c r="C16" s="17"/>
      <c r="D16" s="51" t="s">
        <v>220</v>
      </c>
    </row>
    <row r="17" spans="1:4" ht="15.75" x14ac:dyDescent="0.25">
      <c r="A17" s="21"/>
      <c r="B17" s="27"/>
      <c r="C17" s="29"/>
      <c r="D17" s="29"/>
    </row>
    <row r="18" spans="1:4" ht="15.75" x14ac:dyDescent="0.25">
      <c r="A18" s="26" t="s">
        <v>595</v>
      </c>
      <c r="B18" s="67"/>
      <c r="C18" s="35"/>
      <c r="D18" s="71">
        <v>2481486</v>
      </c>
    </row>
    <row r="19" spans="1:4" ht="15.75" x14ac:dyDescent="0.25">
      <c r="A19" s="22"/>
      <c r="B19" s="29"/>
      <c r="C19" s="29"/>
      <c r="D19" s="111"/>
    </row>
    <row r="20" spans="1:4" ht="15.75" x14ac:dyDescent="0.25">
      <c r="A20" s="26" t="s">
        <v>596</v>
      </c>
      <c r="B20" s="67"/>
      <c r="C20" s="35"/>
      <c r="D20" s="423">
        <v>976849.99999999988</v>
      </c>
    </row>
    <row r="21" spans="1:4" ht="15.75" x14ac:dyDescent="0.25">
      <c r="A21" s="26"/>
      <c r="B21" s="67"/>
      <c r="C21" s="35"/>
      <c r="D21" s="32"/>
    </row>
    <row r="22" spans="1:4" ht="16.5" thickBot="1" x14ac:dyDescent="0.3">
      <c r="A22" s="26" t="s">
        <v>385</v>
      </c>
      <c r="B22" s="41"/>
      <c r="C22" s="41"/>
      <c r="D22" s="34">
        <f>D20-D18</f>
        <v>-1504636</v>
      </c>
    </row>
    <row r="23" spans="1:4" ht="12.75" thickTop="1" x14ac:dyDescent="0.15"/>
  </sheetData>
  <mergeCells count="2">
    <mergeCell ref="A11:D11"/>
    <mergeCell ref="A12:D12"/>
  </mergeCells>
  <phoneticPr fontId="0" type="noConversion"/>
  <printOptions horizontalCentered="1" gridLinesSet="0"/>
  <pageMargins left="1.25" right="0.75" top="1" bottom="1" header="0.5" footer="0.5"/>
  <pageSetup orientation="portrait" cellComments="asDisplayed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1113" enableFormatConditionsCalculation="0">
    <pageSetUpPr fitToPage="1"/>
  </sheetPr>
  <dimension ref="A1:K49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15.75" style="114" customWidth="1"/>
    <col min="2" max="2" width="9.625" style="114"/>
    <col min="3" max="3" width="9.75" style="114" bestFit="1" customWidth="1"/>
    <col min="4" max="4" width="11.125" style="114" customWidth="1"/>
    <col min="5" max="5" width="30.25" style="114" customWidth="1"/>
    <col min="6" max="6" width="16.125" style="114" customWidth="1"/>
    <col min="7" max="7" width="9.625" style="114"/>
    <col min="8" max="8" width="11.625" style="114" bestFit="1" customWidth="1"/>
    <col min="9" max="16384" width="9.625" style="114"/>
  </cols>
  <sheetData>
    <row r="1" spans="1:6" ht="15.75" x14ac:dyDescent="0.25">
      <c r="A1" s="150"/>
      <c r="B1" s="150"/>
      <c r="C1" s="150"/>
      <c r="D1" s="150"/>
    </row>
    <row r="2" spans="1:6" ht="15.75" x14ac:dyDescent="0.25">
      <c r="A2" s="106"/>
      <c r="B2" s="106"/>
      <c r="C2" s="106"/>
      <c r="D2" s="106"/>
    </row>
    <row r="3" spans="1:6" ht="15.75" x14ac:dyDescent="0.25">
      <c r="A3" s="106"/>
      <c r="B3" s="106"/>
      <c r="C3" s="106"/>
      <c r="D3" s="106"/>
      <c r="F3" s="293" t="str">
        <f>'Ex 1'!$P$1</f>
        <v>Exhibit 1</v>
      </c>
    </row>
    <row r="4" spans="1:6" ht="15.75" x14ac:dyDescent="0.25">
      <c r="A4" s="106"/>
      <c r="B4" s="106"/>
      <c r="C4" s="106"/>
      <c r="D4" s="106"/>
      <c r="F4" s="337" t="str">
        <f>"Reference Schedule "&amp;Inputs!$A37&amp;""</f>
        <v>Reference Schedule 1.21</v>
      </c>
    </row>
    <row r="5" spans="1:6" ht="15.75" x14ac:dyDescent="0.25">
      <c r="A5" s="106"/>
      <c r="B5" s="106"/>
      <c r="C5" s="106"/>
      <c r="D5" s="106"/>
      <c r="F5" s="11" t="str">
        <f>"Sponsoring Witness: "&amp;Inputs!$B37&amp;""</f>
        <v>Sponsoring Witness: Scott</v>
      </c>
    </row>
    <row r="6" spans="1:6" ht="15.75" x14ac:dyDescent="0.25">
      <c r="A6" s="106"/>
      <c r="B6" s="106"/>
      <c r="C6" s="106"/>
      <c r="D6" s="106"/>
      <c r="F6" s="118"/>
    </row>
    <row r="7" spans="1:6" ht="15.75" x14ac:dyDescent="0.25">
      <c r="A7" s="106"/>
      <c r="B7" s="106"/>
      <c r="C7" s="106"/>
      <c r="D7" s="106"/>
      <c r="F7" s="118"/>
    </row>
    <row r="8" spans="1:6" ht="15.75" x14ac:dyDescent="0.25">
      <c r="A8" s="712" t="s">
        <v>222</v>
      </c>
      <c r="B8" s="712"/>
      <c r="C8" s="712"/>
      <c r="D8" s="712"/>
      <c r="E8" s="712"/>
      <c r="F8" s="712"/>
    </row>
    <row r="9" spans="1:6" ht="15.75" x14ac:dyDescent="0.25">
      <c r="A9" s="127"/>
      <c r="B9" s="127"/>
      <c r="C9" s="127"/>
      <c r="D9" s="127"/>
    </row>
    <row r="10" spans="1:6" ht="15.75" x14ac:dyDescent="0.25">
      <c r="A10" s="127"/>
      <c r="B10" s="127"/>
      <c r="C10" s="127"/>
      <c r="D10" s="127"/>
    </row>
    <row r="11" spans="1:6" ht="15.75" x14ac:dyDescent="0.25">
      <c r="A11" s="530" t="s">
        <v>745</v>
      </c>
      <c r="B11" s="344"/>
      <c r="C11" s="344"/>
      <c r="D11" s="344"/>
      <c r="E11" s="344"/>
      <c r="F11" s="344"/>
    </row>
    <row r="12" spans="1:6" ht="15.75" x14ac:dyDescent="0.25">
      <c r="A12" s="344" t="str">
        <f>"For the Twelve Months Ended "&amp;Inputs!B3&amp;""</f>
        <v>For the Twelve Months Ended March 31, 2012</v>
      </c>
      <c r="B12" s="344"/>
      <c r="C12" s="344"/>
      <c r="D12" s="344"/>
      <c r="E12" s="344"/>
      <c r="F12" s="344"/>
    </row>
    <row r="13" spans="1:6" ht="15.75" x14ac:dyDescent="0.25">
      <c r="A13" s="139"/>
      <c r="B13" s="106"/>
      <c r="C13" s="106"/>
      <c r="D13" s="106"/>
    </row>
    <row r="14" spans="1:6" ht="15.75" x14ac:dyDescent="0.25">
      <c r="A14" s="106"/>
      <c r="B14" s="106"/>
      <c r="C14" s="106"/>
      <c r="D14" s="106"/>
    </row>
    <row r="15" spans="1:6" ht="15.75" x14ac:dyDescent="0.25">
      <c r="A15" s="106"/>
      <c r="B15" s="106"/>
      <c r="C15" s="106"/>
      <c r="D15" s="106"/>
      <c r="E15" s="154"/>
      <c r="F15" s="154"/>
    </row>
    <row r="16" spans="1:6" ht="15.75" x14ac:dyDescent="0.25">
      <c r="B16" s="159"/>
      <c r="C16" s="159"/>
      <c r="D16" s="159"/>
      <c r="E16" s="209"/>
      <c r="F16" s="379" t="s">
        <v>220</v>
      </c>
    </row>
    <row r="17" spans="1:11" ht="15.75" x14ac:dyDescent="0.25">
      <c r="A17" s="148"/>
      <c r="B17" s="159"/>
      <c r="C17" s="159"/>
      <c r="E17" s="106"/>
    </row>
    <row r="18" spans="1:11" s="81" customFormat="1" ht="15.75" x14ac:dyDescent="0.25">
      <c r="A18" s="12" t="s">
        <v>560</v>
      </c>
      <c r="B18" s="9"/>
      <c r="C18" s="9"/>
      <c r="E18" s="2"/>
      <c r="F18" s="41">
        <v>572174</v>
      </c>
      <c r="H18" s="114"/>
      <c r="I18" s="114"/>
      <c r="J18" s="114"/>
      <c r="K18" s="114"/>
    </row>
    <row r="19" spans="1:11" s="81" customFormat="1" ht="15.75" x14ac:dyDescent="0.25">
      <c r="A19" s="12"/>
      <c r="B19" s="9"/>
      <c r="C19" s="9"/>
      <c r="E19" s="2"/>
      <c r="F19" s="41"/>
      <c r="H19" s="114"/>
      <c r="I19" s="114"/>
      <c r="J19" s="114"/>
      <c r="K19" s="114"/>
    </row>
    <row r="20" spans="1:11" s="81" customFormat="1" ht="15.75" x14ac:dyDescent="0.25">
      <c r="A20" s="12" t="s">
        <v>561</v>
      </c>
      <c r="B20" s="9"/>
      <c r="C20" s="9"/>
      <c r="E20" s="2"/>
      <c r="F20" s="208">
        <v>-680643</v>
      </c>
      <c r="H20" s="106"/>
      <c r="I20" s="106"/>
      <c r="J20" s="106"/>
      <c r="K20" s="114"/>
    </row>
    <row r="21" spans="1:11" s="81" customFormat="1" ht="15.75" x14ac:dyDescent="0.25">
      <c r="A21" s="1"/>
      <c r="B21" s="19"/>
      <c r="C21" s="19"/>
      <c r="D21" s="19"/>
      <c r="E21" s="19"/>
      <c r="F21" s="103"/>
      <c r="H21" s="114"/>
      <c r="I21" s="114"/>
      <c r="J21" s="114"/>
      <c r="K21" s="114"/>
    </row>
    <row r="22" spans="1:11" s="81" customFormat="1" ht="15.75" x14ac:dyDescent="0.25">
      <c r="A22" s="12" t="s">
        <v>673</v>
      </c>
      <c r="B22" s="19"/>
      <c r="C22" s="19"/>
      <c r="D22" s="19"/>
      <c r="E22" s="19"/>
      <c r="F22" s="103"/>
      <c r="H22" s="114"/>
      <c r="I22" s="114"/>
      <c r="J22" s="114"/>
      <c r="K22" s="114"/>
    </row>
    <row r="23" spans="1:11" s="81" customFormat="1" ht="15.75" x14ac:dyDescent="0.25">
      <c r="A23" s="12" t="s">
        <v>672</v>
      </c>
      <c r="B23" s="19"/>
      <c r="C23" s="19"/>
      <c r="D23" s="19"/>
      <c r="E23" s="19"/>
      <c r="F23" s="41">
        <f>SUM(F18:F20)</f>
        <v>-108469</v>
      </c>
      <c r="H23" s="114"/>
      <c r="I23" s="114"/>
      <c r="J23" s="114"/>
      <c r="K23" s="114"/>
    </row>
    <row r="24" spans="1:11" s="81" customFormat="1" ht="15.75" x14ac:dyDescent="0.25">
      <c r="A24" s="1"/>
      <c r="B24" s="9"/>
      <c r="C24" s="9"/>
      <c r="E24" s="2"/>
      <c r="F24" s="41"/>
      <c r="H24" s="114"/>
      <c r="I24" s="114"/>
      <c r="J24" s="114"/>
      <c r="K24" s="114"/>
    </row>
    <row r="25" spans="1:11" s="81" customFormat="1" ht="15.75" x14ac:dyDescent="0.25">
      <c r="A25" s="12" t="s">
        <v>563</v>
      </c>
      <c r="B25" s="9"/>
      <c r="C25" s="9"/>
      <c r="E25" s="2"/>
      <c r="F25" s="29">
        <f>62486.2*9</f>
        <v>562375.79999999993</v>
      </c>
      <c r="H25" s="114"/>
      <c r="I25" s="114"/>
      <c r="J25" s="114"/>
      <c r="K25" s="114"/>
    </row>
    <row r="26" spans="1:11" s="81" customFormat="1" ht="15.75" x14ac:dyDescent="0.25">
      <c r="A26" s="12" t="s">
        <v>564</v>
      </c>
      <c r="B26" s="9"/>
      <c r="C26" s="9"/>
      <c r="E26" s="528"/>
      <c r="F26" s="36">
        <f>23579.56*9</f>
        <v>212216.04</v>
      </c>
      <c r="H26" s="114"/>
      <c r="I26" s="114"/>
      <c r="J26" s="114"/>
      <c r="K26" s="114"/>
    </row>
    <row r="27" spans="1:11" s="81" customFormat="1" ht="15.75" x14ac:dyDescent="0.25">
      <c r="A27" s="2"/>
      <c r="B27" s="2"/>
      <c r="C27" s="2"/>
      <c r="D27" s="2"/>
      <c r="E27" s="2"/>
      <c r="F27" s="2"/>
    </row>
    <row r="28" spans="1:11" s="81" customFormat="1" ht="15.75" x14ac:dyDescent="0.25">
      <c r="A28" s="12" t="s">
        <v>674</v>
      </c>
      <c r="B28" s="19"/>
      <c r="C28" s="19"/>
      <c r="D28" s="19"/>
      <c r="E28" s="19"/>
      <c r="F28" s="83"/>
      <c r="H28" s="114"/>
      <c r="I28" s="114"/>
      <c r="J28" s="114"/>
      <c r="K28" s="114"/>
    </row>
    <row r="29" spans="1:11" s="81" customFormat="1" ht="15.75" x14ac:dyDescent="0.25">
      <c r="A29" s="12" t="s">
        <v>562</v>
      </c>
      <c r="B29" s="19"/>
      <c r="C29" s="19"/>
      <c r="D29" s="19"/>
      <c r="E29" s="19"/>
      <c r="F29" s="41">
        <f>F23-F25-F26</f>
        <v>-883060.84</v>
      </c>
      <c r="H29" s="114"/>
      <c r="I29" s="114"/>
      <c r="J29" s="114"/>
      <c r="K29" s="114"/>
    </row>
    <row r="30" spans="1:11" s="81" customFormat="1" ht="15.75" x14ac:dyDescent="0.25">
      <c r="A30" s="1"/>
      <c r="B30" s="9"/>
      <c r="C30" s="9"/>
      <c r="E30" s="528"/>
      <c r="F30" s="41"/>
      <c r="H30" s="114"/>
      <c r="I30" s="114"/>
      <c r="J30" s="114"/>
      <c r="K30" s="114"/>
    </row>
    <row r="31" spans="1:11" s="81" customFormat="1" ht="15.75" x14ac:dyDescent="0.25">
      <c r="A31" s="12" t="s">
        <v>565</v>
      </c>
      <c r="B31" s="9"/>
      <c r="C31" s="9"/>
      <c r="E31" s="528"/>
      <c r="F31" s="36">
        <v>3</v>
      </c>
      <c r="H31" s="114"/>
      <c r="I31" s="114"/>
      <c r="J31" s="114"/>
      <c r="K31" s="114"/>
    </row>
    <row r="32" spans="1:11" s="81" customFormat="1" ht="15.75" x14ac:dyDescent="0.25">
      <c r="A32" s="1"/>
      <c r="B32" s="9"/>
      <c r="C32" s="9"/>
      <c r="E32" s="528"/>
      <c r="F32" s="41"/>
      <c r="H32" s="114"/>
      <c r="I32" s="114"/>
      <c r="J32" s="114"/>
      <c r="K32" s="114"/>
    </row>
    <row r="33" spans="1:11" s="81" customFormat="1" ht="15.75" x14ac:dyDescent="0.25">
      <c r="A33" s="12" t="s">
        <v>566</v>
      </c>
      <c r="B33" s="9"/>
      <c r="C33" s="9"/>
      <c r="E33" s="528"/>
      <c r="F33" s="41">
        <f>F29/F31</f>
        <v>-294353.61333333334</v>
      </c>
      <c r="H33" s="114"/>
      <c r="I33" s="114"/>
      <c r="J33" s="114"/>
      <c r="K33" s="114"/>
    </row>
    <row r="34" spans="1:11" s="81" customFormat="1" ht="15.75" x14ac:dyDescent="0.25">
      <c r="A34" s="12"/>
      <c r="B34" s="9"/>
      <c r="C34" s="9"/>
      <c r="E34" s="528"/>
      <c r="F34" s="41"/>
      <c r="H34" s="114"/>
      <c r="I34" s="114"/>
      <c r="J34" s="114"/>
      <c r="K34" s="114"/>
    </row>
    <row r="35" spans="1:11" s="81" customFormat="1" ht="15.75" x14ac:dyDescent="0.25">
      <c r="A35" s="12" t="s">
        <v>567</v>
      </c>
      <c r="B35" s="9"/>
      <c r="C35" s="9"/>
      <c r="E35" s="528"/>
      <c r="F35" s="36">
        <f>62486.2*12</f>
        <v>749834.39999999991</v>
      </c>
      <c r="H35" s="114"/>
      <c r="I35" s="114"/>
      <c r="J35" s="114"/>
      <c r="K35" s="114"/>
    </row>
    <row r="36" spans="1:11" s="81" customFormat="1" ht="15.75" x14ac:dyDescent="0.25">
      <c r="A36" s="12"/>
      <c r="B36" s="9"/>
      <c r="C36" s="9"/>
      <c r="E36" s="528"/>
      <c r="F36" s="29"/>
      <c r="H36" s="114"/>
      <c r="I36" s="114"/>
      <c r="J36" s="114"/>
      <c r="K36" s="114"/>
    </row>
    <row r="37" spans="1:11" s="81" customFormat="1" ht="16.5" thickBot="1" x14ac:dyDescent="0.3">
      <c r="A37" s="12" t="s">
        <v>568</v>
      </c>
      <c r="B37" s="9"/>
      <c r="C37" s="9"/>
      <c r="E37" s="2"/>
      <c r="F37" s="40">
        <f>ROUND(F33-F35,0)</f>
        <v>-1044188</v>
      </c>
    </row>
    <row r="38" spans="1:11" ht="16.5" thickTop="1" x14ac:dyDescent="0.25">
      <c r="A38" s="139"/>
      <c r="B38" s="159"/>
      <c r="C38" s="159"/>
      <c r="D38" s="159"/>
      <c r="E38" s="159"/>
    </row>
    <row r="39" spans="1:11" ht="15.75" x14ac:dyDescent="0.25">
      <c r="A39" s="106"/>
      <c r="B39" s="106"/>
      <c r="C39" s="106"/>
      <c r="D39" s="106"/>
      <c r="E39" s="106"/>
      <c r="F39" s="106"/>
    </row>
    <row r="40" spans="1:11" ht="15.75" x14ac:dyDescent="0.25">
      <c r="A40" s="106"/>
      <c r="B40" s="106"/>
      <c r="C40" s="106"/>
      <c r="D40" s="106"/>
      <c r="E40" s="106"/>
      <c r="F40" s="106"/>
    </row>
    <row r="41" spans="1:11" ht="15.75" x14ac:dyDescent="0.25">
      <c r="A41" s="106"/>
      <c r="B41" s="106"/>
      <c r="C41" s="106"/>
      <c r="D41" s="106"/>
      <c r="E41" s="106"/>
      <c r="F41" s="106"/>
    </row>
    <row r="42" spans="1:11" ht="15.75" x14ac:dyDescent="0.25">
      <c r="A42" s="106"/>
      <c r="B42" s="106"/>
      <c r="C42" s="106"/>
      <c r="D42" s="106"/>
      <c r="E42" s="106"/>
      <c r="F42" s="106"/>
    </row>
    <row r="43" spans="1:11" ht="15.75" x14ac:dyDescent="0.25">
      <c r="A43" s="106"/>
      <c r="B43" s="106"/>
      <c r="C43" s="106"/>
      <c r="D43" s="106"/>
      <c r="E43" s="106"/>
      <c r="F43" s="106"/>
    </row>
    <row r="44" spans="1:11" ht="15.75" x14ac:dyDescent="0.25">
      <c r="A44" s="106"/>
      <c r="B44" s="106"/>
      <c r="C44" s="106"/>
      <c r="D44" s="106"/>
      <c r="E44" s="106"/>
      <c r="F44" s="106"/>
    </row>
    <row r="45" spans="1:11" ht="15.75" x14ac:dyDescent="0.25">
      <c r="A45" s="106"/>
      <c r="B45" s="106"/>
      <c r="C45" s="106"/>
      <c r="D45" s="106"/>
      <c r="E45" s="106"/>
      <c r="F45" s="106"/>
    </row>
    <row r="46" spans="1:11" ht="15.75" x14ac:dyDescent="0.25">
      <c r="A46" s="106"/>
      <c r="B46" s="106"/>
      <c r="C46" s="106"/>
      <c r="D46" s="106"/>
      <c r="E46" s="106"/>
      <c r="F46" s="106"/>
    </row>
    <row r="47" spans="1:11" ht="15.75" x14ac:dyDescent="0.25">
      <c r="A47" s="106"/>
      <c r="B47" s="106"/>
      <c r="C47" s="106"/>
      <c r="D47" s="106"/>
      <c r="E47" s="106"/>
      <c r="F47" s="106"/>
    </row>
    <row r="48" spans="1:11" ht="15.75" x14ac:dyDescent="0.25">
      <c r="A48" s="106"/>
      <c r="B48" s="106"/>
      <c r="C48" s="106"/>
      <c r="D48" s="106"/>
      <c r="E48" s="106"/>
      <c r="F48" s="106"/>
    </row>
    <row r="49" spans="1:6" ht="15.75" x14ac:dyDescent="0.25">
      <c r="A49" s="106"/>
      <c r="B49" s="106"/>
      <c r="C49" s="106"/>
      <c r="D49" s="106"/>
      <c r="E49" s="106"/>
      <c r="F49" s="106"/>
    </row>
  </sheetData>
  <mergeCells count="1">
    <mergeCell ref="A8:F8"/>
  </mergeCells>
  <phoneticPr fontId="0" type="noConversion"/>
  <printOptions horizontalCentered="1" gridLinesSet="0"/>
  <pageMargins left="1.25" right="0.75" top="1" bottom="1" header="0.5" footer="0.5"/>
  <pageSetup scale="8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5">
    <pageSetUpPr fitToPage="1"/>
  </sheetPr>
  <dimension ref="A1:E33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46.75" style="114" customWidth="1"/>
    <col min="2" max="2" width="3.25" style="114" customWidth="1"/>
    <col min="3" max="3" width="14.625" style="114" customWidth="1"/>
    <col min="4" max="4" width="3.5" style="114" customWidth="1"/>
    <col min="5" max="5" width="13.25" style="114" customWidth="1"/>
    <col min="6" max="16384" width="9.625" style="114"/>
  </cols>
  <sheetData>
    <row r="1" spans="1:5" ht="15.75" x14ac:dyDescent="0.25">
      <c r="A1" s="1"/>
      <c r="B1" s="528"/>
      <c r="C1" s="528"/>
    </row>
    <row r="2" spans="1:5" ht="15.75" x14ac:dyDescent="0.25">
      <c r="A2" s="528"/>
      <c r="B2" s="528"/>
      <c r="C2" s="528"/>
    </row>
    <row r="3" spans="1:5" ht="15.75" x14ac:dyDescent="0.25">
      <c r="A3" s="528"/>
      <c r="B3" s="528"/>
      <c r="E3" s="293" t="str">
        <f>'Ex 1'!$P$1</f>
        <v>Exhibit 1</v>
      </c>
    </row>
    <row r="4" spans="1:5" ht="15.75" x14ac:dyDescent="0.25">
      <c r="A4" s="528"/>
      <c r="B4" s="528"/>
      <c r="E4" s="337" t="str">
        <f>"Reference Schedule "&amp;Inputs!$A38&amp;""</f>
        <v>Reference Schedule 1.22</v>
      </c>
    </row>
    <row r="5" spans="1:5" ht="15.75" x14ac:dyDescent="0.25">
      <c r="A5" s="528"/>
      <c r="B5" s="528"/>
      <c r="E5" s="11" t="str">
        <f>"Sponsoring Witness: "&amp;Inputs!$B38&amp;""</f>
        <v>Sponsoring Witness: Bellar</v>
      </c>
    </row>
    <row r="6" spans="1:5" ht="15.75" x14ac:dyDescent="0.25">
      <c r="A6" s="528"/>
      <c r="B6" s="528"/>
      <c r="C6" s="528"/>
    </row>
    <row r="7" spans="1:5" ht="15.75" x14ac:dyDescent="0.25">
      <c r="A7" s="528"/>
      <c r="B7" s="528"/>
      <c r="C7" s="528"/>
    </row>
    <row r="8" spans="1:5" ht="15.75" x14ac:dyDescent="0.25">
      <c r="A8" s="716" t="s">
        <v>222</v>
      </c>
      <c r="B8" s="716"/>
      <c r="C8" s="716"/>
      <c r="D8" s="716"/>
      <c r="E8" s="716"/>
    </row>
    <row r="9" spans="1:5" ht="15.75" x14ac:dyDescent="0.25">
      <c r="A9" s="4"/>
      <c r="B9" s="4"/>
      <c r="C9" s="528"/>
    </row>
    <row r="10" spans="1:5" ht="15.75" x14ac:dyDescent="0.25">
      <c r="A10" s="4"/>
      <c r="B10" s="4"/>
      <c r="C10" s="528"/>
    </row>
    <row r="11" spans="1:5" ht="15.75" x14ac:dyDescent="0.25">
      <c r="A11" s="717" t="s">
        <v>587</v>
      </c>
      <c r="B11" s="717"/>
      <c r="C11" s="717"/>
      <c r="D11" s="717"/>
      <c r="E11" s="717"/>
    </row>
    <row r="12" spans="1:5" ht="15.75" x14ac:dyDescent="0.25">
      <c r="A12" s="712" t="str">
        <f>"For the Twelve Months Ended "&amp;Inputs!B3&amp;""</f>
        <v>For the Twelve Months Ended March 31, 2012</v>
      </c>
      <c r="B12" s="712"/>
      <c r="C12" s="712"/>
      <c r="D12" s="712"/>
      <c r="E12" s="712"/>
    </row>
    <row r="13" spans="1:5" ht="15.75" x14ac:dyDescent="0.25">
      <c r="A13" s="1"/>
      <c r="B13" s="528"/>
      <c r="C13" s="528"/>
    </row>
    <row r="14" spans="1:5" x14ac:dyDescent="0.15">
      <c r="A14" s="729"/>
      <c r="B14" s="729"/>
      <c r="C14" s="729"/>
    </row>
    <row r="15" spans="1:5" x14ac:dyDescent="0.15">
      <c r="A15" s="729"/>
      <c r="B15" s="729"/>
      <c r="C15" s="729"/>
    </row>
    <row r="16" spans="1:5" ht="15.75" x14ac:dyDescent="0.25">
      <c r="A16" s="81"/>
      <c r="B16" s="531"/>
      <c r="C16" s="15" t="s">
        <v>220</v>
      </c>
      <c r="E16" s="15" t="s">
        <v>221</v>
      </c>
    </row>
    <row r="17" spans="1:5" ht="15.75" x14ac:dyDescent="0.25">
      <c r="A17" s="21"/>
      <c r="B17" s="27"/>
      <c r="C17" s="29"/>
      <c r="E17" s="29"/>
    </row>
    <row r="18" spans="1:5" ht="15.75" x14ac:dyDescent="0.25">
      <c r="A18" s="26" t="s">
        <v>588</v>
      </c>
      <c r="B18" s="67"/>
      <c r="C18" s="167">
        <v>91582.75</v>
      </c>
      <c r="E18" s="167">
        <v>29823.78</v>
      </c>
    </row>
    <row r="19" spans="1:5" ht="15.75" x14ac:dyDescent="0.25">
      <c r="A19" s="22"/>
      <c r="B19" s="29"/>
      <c r="C19" s="41"/>
      <c r="E19" s="41"/>
    </row>
    <row r="20" spans="1:5" ht="15.75" x14ac:dyDescent="0.25">
      <c r="A20" s="12" t="s">
        <v>22</v>
      </c>
      <c r="B20" s="81"/>
      <c r="C20" s="16">
        <v>3</v>
      </c>
      <c r="E20" s="16">
        <v>3</v>
      </c>
    </row>
    <row r="21" spans="1:5" ht="15.75" x14ac:dyDescent="0.25">
      <c r="A21" s="1"/>
      <c r="B21" s="81"/>
      <c r="C21" s="103"/>
      <c r="E21" s="103"/>
    </row>
    <row r="22" spans="1:5" ht="15.75" x14ac:dyDescent="0.25">
      <c r="A22" s="12" t="s">
        <v>346</v>
      </c>
      <c r="B22" s="81"/>
      <c r="C22" s="41">
        <f>C18/C20</f>
        <v>30527.583333333332</v>
      </c>
      <c r="E22" s="41">
        <f>E18/E20</f>
        <v>9941.26</v>
      </c>
    </row>
    <row r="23" spans="1:5" ht="15.75" x14ac:dyDescent="0.25">
      <c r="A23" s="12"/>
      <c r="B23" s="81"/>
      <c r="C23" s="41"/>
      <c r="E23" s="41"/>
    </row>
    <row r="24" spans="1:5" ht="15.75" x14ac:dyDescent="0.25">
      <c r="A24" s="12" t="s">
        <v>682</v>
      </c>
      <c r="B24" s="81"/>
      <c r="C24" s="362">
        <v>0</v>
      </c>
      <c r="E24" s="362">
        <v>0</v>
      </c>
    </row>
    <row r="25" spans="1:5" x14ac:dyDescent="0.15">
      <c r="B25" s="81"/>
      <c r="C25" s="81"/>
      <c r="E25" s="81"/>
    </row>
    <row r="26" spans="1:5" ht="16.5" thickBot="1" x14ac:dyDescent="0.3">
      <c r="A26" s="12" t="s">
        <v>683</v>
      </c>
      <c r="B26" s="81"/>
      <c r="C26" s="40">
        <f>ROUND(SUM(C22:C24),0)</f>
        <v>30528</v>
      </c>
      <c r="E26" s="40">
        <f>ROUND(SUM(E22:E24),0)</f>
        <v>9941</v>
      </c>
    </row>
    <row r="27" spans="1:5" ht="15" customHeight="1" thickTop="1" x14ac:dyDescent="0.15">
      <c r="A27" s="81"/>
      <c r="B27" s="81"/>
      <c r="C27" s="81"/>
    </row>
    <row r="28" spans="1:5" ht="15.75" x14ac:dyDescent="0.25">
      <c r="A28" s="451"/>
      <c r="B28" s="416"/>
    </row>
    <row r="29" spans="1:5" ht="15.75" x14ac:dyDescent="0.25">
      <c r="A29" s="489"/>
      <c r="B29" s="416"/>
    </row>
    <row r="30" spans="1:5" ht="15.75" x14ac:dyDescent="0.25">
      <c r="A30" s="451"/>
      <c r="B30" s="416"/>
    </row>
    <row r="31" spans="1:5" ht="15.75" x14ac:dyDescent="0.15">
      <c r="A31" s="728"/>
      <c r="B31" s="728"/>
    </row>
    <row r="32" spans="1:5" x14ac:dyDescent="0.15">
      <c r="A32" s="416"/>
      <c r="B32" s="416"/>
    </row>
    <row r="33" spans="1:2" ht="15.75" x14ac:dyDescent="0.25">
      <c r="A33" s="489"/>
      <c r="B33" s="416"/>
    </row>
  </sheetData>
  <mergeCells count="5">
    <mergeCell ref="A31:B31"/>
    <mergeCell ref="A8:E8"/>
    <mergeCell ref="A11:E11"/>
    <mergeCell ref="A12:E12"/>
    <mergeCell ref="A14:C15"/>
  </mergeCells>
  <printOptions horizontalCentered="1" gridLinesSet="0"/>
  <pageMargins left="1.25" right="0.75" top="1" bottom="1" header="0.5" footer="0.5"/>
  <pageSetup scale="9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"/>
  <dimension ref="A1:F51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48.125" style="114" customWidth="1"/>
    <col min="2" max="2" width="10" style="114" customWidth="1"/>
    <col min="3" max="3" width="3" style="114" customWidth="1"/>
    <col min="4" max="4" width="12.375" style="114" customWidth="1"/>
    <col min="5" max="5" width="3.5" style="114" customWidth="1"/>
    <col min="6" max="6" width="12.5" style="114" customWidth="1"/>
    <col min="7" max="16384" width="9.625" style="114"/>
  </cols>
  <sheetData>
    <row r="1" spans="1:6" ht="15.75" x14ac:dyDescent="0.25">
      <c r="A1" s="1"/>
      <c r="B1" s="2"/>
      <c r="C1" s="2"/>
      <c r="D1" s="2"/>
      <c r="E1" s="81"/>
      <c r="F1" s="81"/>
    </row>
    <row r="2" spans="1:6" ht="15.75" x14ac:dyDescent="0.25">
      <c r="A2" s="2"/>
      <c r="B2" s="2"/>
      <c r="C2" s="2"/>
      <c r="D2" s="2"/>
      <c r="E2" s="81"/>
      <c r="F2" s="81"/>
    </row>
    <row r="3" spans="1:6" ht="15.75" x14ac:dyDescent="0.25">
      <c r="A3" s="2"/>
      <c r="B3" s="2"/>
      <c r="C3" s="1"/>
      <c r="D3" s="81"/>
      <c r="E3" s="81"/>
      <c r="F3" s="293" t="str">
        <f>'Ex 1'!$P$1</f>
        <v>Exhibit 1</v>
      </c>
    </row>
    <row r="4" spans="1:6" ht="15.75" x14ac:dyDescent="0.25">
      <c r="A4" s="2"/>
      <c r="B4" s="2"/>
      <c r="C4" s="1"/>
      <c r="D4" s="81"/>
      <c r="E4" s="81"/>
      <c r="F4" s="337" t="str">
        <f>"Reference Schedule "&amp;Inputs!$A39&amp;""</f>
        <v>Reference Schedule 1.23</v>
      </c>
    </row>
    <row r="5" spans="1:6" ht="15.75" x14ac:dyDescent="0.25">
      <c r="A5" s="2"/>
      <c r="B5" s="2"/>
      <c r="C5" s="2"/>
      <c r="D5" s="81"/>
      <c r="E5" s="81"/>
      <c r="F5" s="11" t="str">
        <f>"Sponsoring Witness: "&amp;Inputs!$B39&amp;""</f>
        <v>Sponsoring Witness: Bellar</v>
      </c>
    </row>
    <row r="6" spans="1:6" ht="15.75" x14ac:dyDescent="0.25">
      <c r="A6" s="2"/>
      <c r="B6" s="2"/>
      <c r="C6" s="2"/>
      <c r="D6" s="2"/>
      <c r="E6" s="81"/>
      <c r="F6" s="81"/>
    </row>
    <row r="7" spans="1:6" ht="15.75" x14ac:dyDescent="0.25">
      <c r="A7" s="2"/>
      <c r="B7" s="2"/>
      <c r="C7" s="2"/>
      <c r="D7" s="2"/>
      <c r="E7" s="81"/>
      <c r="F7" s="81"/>
    </row>
    <row r="8" spans="1:6" ht="15.75" x14ac:dyDescent="0.25">
      <c r="A8" s="716" t="s">
        <v>222</v>
      </c>
      <c r="B8" s="716"/>
      <c r="C8" s="716"/>
      <c r="D8" s="716"/>
      <c r="E8" s="716"/>
      <c r="F8" s="716"/>
    </row>
    <row r="9" spans="1:6" ht="15.75" x14ac:dyDescent="0.25">
      <c r="A9" s="4"/>
      <c r="B9" s="4"/>
      <c r="C9" s="2"/>
      <c r="D9" s="2"/>
      <c r="E9" s="81"/>
      <c r="F9" s="81"/>
    </row>
    <row r="10" spans="1:6" ht="15.75" x14ac:dyDescent="0.25">
      <c r="A10" s="707"/>
      <c r="B10" s="717"/>
      <c r="C10" s="717"/>
      <c r="D10" s="717"/>
      <c r="E10" s="717"/>
      <c r="F10" s="717"/>
    </row>
    <row r="11" spans="1:6" ht="15.75" x14ac:dyDescent="0.25">
      <c r="A11" s="717" t="s">
        <v>746</v>
      </c>
      <c r="B11" s="717"/>
      <c r="C11" s="717"/>
      <c r="D11" s="717"/>
      <c r="E11" s="717"/>
      <c r="F11" s="717"/>
    </row>
    <row r="12" spans="1:6" ht="15.75" x14ac:dyDescent="0.25">
      <c r="A12" s="712" t="str">
        <f>"For the Twelve Months Ended "&amp;Inputs!B3&amp;""</f>
        <v>For the Twelve Months Ended March 31, 2012</v>
      </c>
      <c r="B12" s="712"/>
      <c r="C12" s="712"/>
      <c r="D12" s="712"/>
      <c r="E12" s="712"/>
      <c r="F12" s="712"/>
    </row>
    <row r="13" spans="1:6" ht="15.75" x14ac:dyDescent="0.25">
      <c r="A13" s="1"/>
      <c r="B13" s="2"/>
      <c r="C13" s="2"/>
      <c r="D13" s="2"/>
      <c r="E13" s="81"/>
      <c r="F13" s="81"/>
    </row>
    <row r="14" spans="1:6" ht="15.75" x14ac:dyDescent="0.25">
      <c r="A14" s="1"/>
      <c r="B14" s="2"/>
      <c r="C14" s="2"/>
      <c r="D14" s="2"/>
      <c r="E14" s="81"/>
      <c r="F14" s="81"/>
    </row>
    <row r="15" spans="1:6" ht="15.75" x14ac:dyDescent="0.25">
      <c r="A15" s="1"/>
      <c r="B15" s="2"/>
      <c r="C15" s="2"/>
      <c r="D15" s="2"/>
      <c r="E15" s="81"/>
      <c r="F15" s="81"/>
    </row>
    <row r="16" spans="1:6" ht="15.75" x14ac:dyDescent="0.25">
      <c r="A16" s="81"/>
      <c r="B16" s="17"/>
      <c r="C16" s="17"/>
      <c r="D16" s="440" t="s">
        <v>220</v>
      </c>
      <c r="E16" s="441"/>
      <c r="F16" s="440" t="s">
        <v>221</v>
      </c>
    </row>
    <row r="17" spans="1:6" ht="15.75" x14ac:dyDescent="0.25">
      <c r="A17" s="21"/>
      <c r="B17" s="27"/>
      <c r="C17" s="29"/>
    </row>
    <row r="18" spans="1:6" ht="15.75" x14ac:dyDescent="0.25">
      <c r="A18" s="26" t="s">
        <v>599</v>
      </c>
      <c r="B18" s="67"/>
      <c r="C18" s="35"/>
      <c r="D18" s="442">
        <v>890000</v>
      </c>
      <c r="E18" s="443"/>
      <c r="F18" s="442">
        <v>500000</v>
      </c>
    </row>
    <row r="19" spans="1:6" ht="15.75" x14ac:dyDescent="0.25">
      <c r="A19" s="439"/>
      <c r="B19" s="29"/>
      <c r="C19" s="29"/>
      <c r="D19" s="444"/>
      <c r="E19" s="81"/>
      <c r="F19" s="444"/>
    </row>
    <row r="20" spans="1:6" ht="15.75" x14ac:dyDescent="0.25">
      <c r="A20" s="439" t="s">
        <v>218</v>
      </c>
      <c r="B20" s="81"/>
      <c r="C20" s="81"/>
      <c r="D20" s="440">
        <v>3</v>
      </c>
      <c r="E20" s="81"/>
      <c r="F20" s="440">
        <v>3</v>
      </c>
    </row>
    <row r="21" spans="1:6" ht="15.75" x14ac:dyDescent="0.25">
      <c r="A21" s="439"/>
      <c r="B21" s="81"/>
      <c r="C21" s="81"/>
      <c r="D21" s="444"/>
      <c r="E21" s="81"/>
      <c r="F21" s="444"/>
    </row>
    <row r="22" spans="1:6" ht="15.75" x14ac:dyDescent="0.25">
      <c r="A22" s="439" t="s">
        <v>219</v>
      </c>
      <c r="B22" s="81"/>
      <c r="C22" s="81"/>
      <c r="D22" s="442">
        <f>ROUND(D18/D20,0)</f>
        <v>296667</v>
      </c>
      <c r="E22" s="443"/>
      <c r="F22" s="442">
        <f>ROUND(F18/F20,0)</f>
        <v>166667</v>
      </c>
    </row>
    <row r="23" spans="1:6" ht="15.75" x14ac:dyDescent="0.25">
      <c r="A23" s="439"/>
      <c r="B23" s="81"/>
      <c r="C23" s="81"/>
      <c r="D23" s="444"/>
      <c r="E23" s="81"/>
      <c r="F23" s="444"/>
    </row>
    <row r="24" spans="1:6" ht="15.75" x14ac:dyDescent="0.25">
      <c r="A24" s="26" t="s">
        <v>600</v>
      </c>
      <c r="B24" s="81"/>
      <c r="C24" s="81"/>
      <c r="D24" s="440">
        <v>0</v>
      </c>
      <c r="E24" s="81"/>
      <c r="F24" s="440">
        <v>0</v>
      </c>
    </row>
    <row r="25" spans="1:6" ht="15.75" x14ac:dyDescent="0.25">
      <c r="A25" s="21"/>
      <c r="B25" s="81"/>
      <c r="C25" s="81"/>
      <c r="D25" s="444"/>
      <c r="E25" s="81"/>
      <c r="F25" s="444"/>
    </row>
    <row r="26" spans="1:6" ht="15.75" x14ac:dyDescent="0.25">
      <c r="A26" s="26" t="s">
        <v>601</v>
      </c>
      <c r="B26" s="81"/>
      <c r="C26" s="81"/>
      <c r="D26" s="705">
        <f>SUM(D22:D24)</f>
        <v>296667</v>
      </c>
      <c r="E26" s="443"/>
      <c r="F26" s="705">
        <f>SUM(F22:F24)</f>
        <v>166667</v>
      </c>
    </row>
    <row r="27" spans="1:6" ht="15.75" x14ac:dyDescent="0.25">
      <c r="A27" s="439"/>
      <c r="B27" s="81"/>
      <c r="C27" s="81"/>
      <c r="D27" s="444"/>
      <c r="E27" s="81"/>
      <c r="F27" s="444"/>
    </row>
    <row r="28" spans="1:6" ht="15.75" x14ac:dyDescent="0.25">
      <c r="A28" s="439"/>
      <c r="B28" s="81"/>
      <c r="C28" s="81"/>
      <c r="D28" s="444"/>
      <c r="E28" s="81"/>
      <c r="F28" s="444"/>
    </row>
    <row r="29" spans="1:6" ht="15.75" x14ac:dyDescent="0.25">
      <c r="A29" s="26" t="s">
        <v>602</v>
      </c>
      <c r="B29" s="81"/>
      <c r="C29" s="81"/>
      <c r="D29" s="442">
        <v>163238.07999999999</v>
      </c>
      <c r="E29" s="443"/>
      <c r="F29" s="442">
        <v>93416.21</v>
      </c>
    </row>
    <row r="30" spans="1:6" ht="15.75" x14ac:dyDescent="0.25">
      <c r="A30" s="26"/>
      <c r="B30" s="81"/>
      <c r="C30" s="81"/>
      <c r="D30" s="30"/>
      <c r="E30" s="81"/>
      <c r="F30" s="30"/>
    </row>
    <row r="31" spans="1:6" ht="15.75" x14ac:dyDescent="0.25">
      <c r="A31" s="26" t="s">
        <v>603</v>
      </c>
      <c r="B31" s="81"/>
      <c r="C31" s="445"/>
      <c r="D31" s="25">
        <f>-23319.29*12</f>
        <v>-279831.48</v>
      </c>
      <c r="E31" s="83"/>
      <c r="F31" s="25">
        <f>-(13345.15*12)</f>
        <v>-160141.79999999999</v>
      </c>
    </row>
    <row r="32" spans="1:6" ht="15.75" x14ac:dyDescent="0.25">
      <c r="A32" s="26"/>
      <c r="B32" s="81"/>
      <c r="C32" s="81"/>
      <c r="D32" s="30"/>
      <c r="E32" s="81"/>
      <c r="F32" s="30"/>
    </row>
    <row r="33" spans="1:6" ht="15.75" x14ac:dyDescent="0.25">
      <c r="A33" s="26" t="s">
        <v>604</v>
      </c>
      <c r="B33" s="81"/>
      <c r="C33" s="81"/>
      <c r="D33" s="705">
        <f>SUM(D29:D31)</f>
        <v>-116593.4</v>
      </c>
      <c r="E33" s="443"/>
      <c r="F33" s="705">
        <f>SUM(F29:F31)</f>
        <v>-66725.589999999982</v>
      </c>
    </row>
    <row r="34" spans="1:6" ht="15.75" x14ac:dyDescent="0.25">
      <c r="A34" s="12"/>
      <c r="B34" s="81"/>
      <c r="C34" s="81"/>
      <c r="D34" s="41"/>
      <c r="E34" s="81"/>
      <c r="F34" s="41"/>
    </row>
    <row r="35" spans="1:6" ht="15.75" x14ac:dyDescent="0.25">
      <c r="A35" s="12"/>
      <c r="B35" s="81"/>
      <c r="C35" s="81"/>
      <c r="D35" s="41"/>
      <c r="E35" s="81"/>
      <c r="F35" s="41"/>
    </row>
    <row r="36" spans="1:6" ht="15.75" x14ac:dyDescent="0.25">
      <c r="A36" s="26" t="s">
        <v>605</v>
      </c>
      <c r="B36" s="81"/>
      <c r="C36" s="81"/>
      <c r="D36" s="442">
        <v>0</v>
      </c>
      <c r="E36" s="443"/>
      <c r="F36" s="442">
        <v>0</v>
      </c>
    </row>
    <row r="37" spans="1:6" ht="15.75" x14ac:dyDescent="0.25">
      <c r="A37" s="26"/>
      <c r="B37" s="81"/>
      <c r="C37" s="81"/>
      <c r="D37" s="30"/>
      <c r="E37" s="81"/>
      <c r="F37" s="30"/>
    </row>
    <row r="38" spans="1:6" ht="15.75" x14ac:dyDescent="0.25">
      <c r="A38" s="26" t="s">
        <v>606</v>
      </c>
      <c r="B38" s="81"/>
      <c r="C38" s="445"/>
      <c r="D38" s="25">
        <f>-(20646.39*11+0.06)</f>
        <v>-227110.34999999998</v>
      </c>
      <c r="E38" s="83"/>
      <c r="F38" s="25">
        <f>-(6916.1*11+0.85)</f>
        <v>-76077.950000000012</v>
      </c>
    </row>
    <row r="39" spans="1:6" ht="15.75" x14ac:dyDescent="0.25">
      <c r="A39" s="26"/>
      <c r="B39" s="81"/>
      <c r="C39" s="81"/>
      <c r="D39" s="30"/>
      <c r="E39" s="81"/>
      <c r="F39" s="30"/>
    </row>
    <row r="40" spans="1:6" ht="15.75" x14ac:dyDescent="0.25">
      <c r="A40" s="26" t="s">
        <v>607</v>
      </c>
      <c r="B40" s="81"/>
      <c r="C40" s="81"/>
      <c r="D40" s="705">
        <f>SUM(D36:D38)</f>
        <v>-227110.34999999998</v>
      </c>
      <c r="E40" s="443"/>
      <c r="F40" s="705">
        <f>SUM(F36:F38)</f>
        <v>-76077.950000000012</v>
      </c>
    </row>
    <row r="41" spans="1:6" ht="15.75" x14ac:dyDescent="0.25">
      <c r="A41" s="12"/>
      <c r="B41" s="81"/>
      <c r="C41" s="81"/>
      <c r="D41" s="41"/>
      <c r="E41" s="81"/>
      <c r="F41" s="41"/>
    </row>
    <row r="42" spans="1:6" ht="16.5" thickBot="1" x14ac:dyDescent="0.3">
      <c r="A42" s="12" t="s">
        <v>608</v>
      </c>
      <c r="B42" s="81"/>
      <c r="C42" s="81"/>
      <c r="D42" s="40">
        <f>ROUND(D26+D33+D40,0)</f>
        <v>-47037</v>
      </c>
      <c r="E42" s="81"/>
      <c r="F42" s="40">
        <f>ROUND(F26+F33+F40,0)</f>
        <v>23863</v>
      </c>
    </row>
    <row r="43" spans="1:6" ht="16.5" thickTop="1" x14ac:dyDescent="0.25">
      <c r="A43" s="12"/>
      <c r="B43" s="81"/>
      <c r="C43" s="81"/>
      <c r="D43" s="81"/>
      <c r="E43" s="81"/>
      <c r="F43" s="81"/>
    </row>
    <row r="44" spans="1:6" ht="15.75" x14ac:dyDescent="0.25">
      <c r="A44" s="12"/>
      <c r="B44" s="81"/>
      <c r="C44" s="81"/>
      <c r="D44" s="81"/>
      <c r="E44" s="81"/>
      <c r="F44" s="81"/>
    </row>
    <row r="45" spans="1:6" ht="15.75" x14ac:dyDescent="0.25">
      <c r="A45" s="12"/>
      <c r="B45" s="81"/>
      <c r="C45" s="81"/>
      <c r="D45" s="81"/>
      <c r="E45" s="81"/>
      <c r="F45" s="81"/>
    </row>
    <row r="46" spans="1:6" ht="15.75" x14ac:dyDescent="0.25">
      <c r="A46" s="12"/>
      <c r="B46" s="81"/>
      <c r="C46" s="81"/>
      <c r="D46" s="81"/>
      <c r="E46" s="81"/>
      <c r="F46" s="81"/>
    </row>
    <row r="47" spans="1:6" ht="15.75" x14ac:dyDescent="0.25">
      <c r="A47" s="12"/>
      <c r="B47" s="81"/>
      <c r="C47" s="81"/>
      <c r="D47" s="81"/>
      <c r="E47" s="81"/>
      <c r="F47" s="81"/>
    </row>
    <row r="48" spans="1:6" ht="15.75" x14ac:dyDescent="0.25">
      <c r="A48" s="446"/>
      <c r="B48" s="81"/>
      <c r="C48" s="81"/>
      <c r="D48" s="81"/>
      <c r="E48" s="81"/>
      <c r="F48" s="81"/>
    </row>
    <row r="49" spans="1:6" ht="15.75" x14ac:dyDescent="0.25">
      <c r="A49" s="12"/>
      <c r="B49" s="81"/>
      <c r="C49" s="81"/>
      <c r="D49" s="81"/>
      <c r="E49" s="81"/>
      <c r="F49" s="81"/>
    </row>
    <row r="50" spans="1:6" ht="15.75" x14ac:dyDescent="0.25">
      <c r="A50" s="1"/>
      <c r="B50" s="81"/>
      <c r="C50" s="81"/>
      <c r="D50" s="81"/>
      <c r="E50" s="81"/>
      <c r="F50" s="81"/>
    </row>
    <row r="51" spans="1:6" ht="15.75" x14ac:dyDescent="0.25">
      <c r="A51" s="1"/>
      <c r="B51" s="81"/>
      <c r="C51" s="81"/>
      <c r="D51" s="81"/>
      <c r="E51" s="81"/>
      <c r="F51" s="81"/>
    </row>
  </sheetData>
  <mergeCells count="4">
    <mergeCell ref="A8:F8"/>
    <mergeCell ref="A11:F11"/>
    <mergeCell ref="A12:F12"/>
    <mergeCell ref="A10:F10"/>
  </mergeCells>
  <phoneticPr fontId="0" type="noConversion"/>
  <printOptions horizontalCentered="1" gridLinesSet="0"/>
  <pageMargins left="1.25" right="0.75" top="1" bottom="1" header="0.5" footer="0.5"/>
  <pageSetup scale="8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7" enableFormatConditionsCalculation="0">
    <pageSetUpPr fitToPage="1"/>
  </sheetPr>
  <dimension ref="A3:H37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2" width="9.625" style="2"/>
    <col min="3" max="3" width="10.625" style="2" customWidth="1"/>
    <col min="4" max="4" width="25.75" style="2" customWidth="1"/>
    <col min="5" max="5" width="11.25" style="2" customWidth="1"/>
    <col min="6" max="6" width="4.75" style="2" customWidth="1"/>
    <col min="7" max="7" width="14.75" style="2" customWidth="1"/>
    <col min="8" max="8" width="4.125" style="2" customWidth="1"/>
    <col min="9" max="16384" width="9.625" style="2"/>
  </cols>
  <sheetData>
    <row r="3" spans="1:8" x14ac:dyDescent="0.25">
      <c r="G3" s="293" t="str">
        <f>'Ex 1'!$P$1</f>
        <v>Exhibit 1</v>
      </c>
    </row>
    <row r="4" spans="1:8" x14ac:dyDescent="0.25">
      <c r="G4" s="337" t="str">
        <f>"Reference Schedule "&amp;Inputs!$A40&amp;""</f>
        <v>Reference Schedule 1.24</v>
      </c>
    </row>
    <row r="5" spans="1:8" x14ac:dyDescent="0.25">
      <c r="G5" s="11" t="str">
        <f>"Sponsoring Witness: "&amp;Inputs!$B40&amp;""</f>
        <v>Sponsoring Witness: Arbough</v>
      </c>
    </row>
    <row r="8" spans="1:8" x14ac:dyDescent="0.25">
      <c r="A8" s="721" t="s">
        <v>222</v>
      </c>
      <c r="B8" s="721"/>
      <c r="C8" s="721"/>
      <c r="D8" s="721"/>
      <c r="E8" s="721"/>
      <c r="F8" s="721"/>
      <c r="G8" s="721"/>
      <c r="H8" s="13"/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717" t="s">
        <v>570</v>
      </c>
      <c r="B11" s="730"/>
      <c r="C11" s="730"/>
      <c r="D11" s="730"/>
      <c r="E11" s="730"/>
      <c r="F11" s="730"/>
      <c r="G11" s="730"/>
      <c r="H11" s="13"/>
    </row>
    <row r="12" spans="1:8" x14ac:dyDescent="0.25">
      <c r="A12" s="721" t="s">
        <v>517</v>
      </c>
      <c r="B12" s="716"/>
      <c r="C12" s="716"/>
      <c r="D12" s="716"/>
      <c r="E12" s="716"/>
      <c r="F12" s="716"/>
      <c r="G12" s="716"/>
      <c r="H12" s="13"/>
    </row>
    <row r="13" spans="1:8" x14ac:dyDescent="0.25">
      <c r="B13" s="1"/>
    </row>
    <row r="15" spans="1:8" x14ac:dyDescent="0.25">
      <c r="E15" s="8"/>
      <c r="G15" s="8"/>
    </row>
    <row r="16" spans="1:8" ht="21.75" customHeight="1" x14ac:dyDescent="0.4">
      <c r="E16" s="55"/>
      <c r="F16" s="43"/>
      <c r="G16" s="51" t="s">
        <v>213</v>
      </c>
      <c r="H16" s="39"/>
    </row>
    <row r="17" spans="1:8" x14ac:dyDescent="0.25">
      <c r="E17" s="20"/>
      <c r="F17" s="21"/>
      <c r="G17" s="3"/>
    </row>
    <row r="18" spans="1:8" x14ac:dyDescent="0.25">
      <c r="A18" s="26" t="s">
        <v>571</v>
      </c>
      <c r="E18" s="20"/>
      <c r="F18" s="21"/>
      <c r="G18" s="205">
        <v>8872602.8000000007</v>
      </c>
    </row>
    <row r="19" spans="1:8" s="528" customFormat="1" x14ac:dyDescent="0.25">
      <c r="A19" s="26"/>
      <c r="E19" s="20"/>
      <c r="F19" s="21"/>
      <c r="G19" s="205"/>
    </row>
    <row r="20" spans="1:8" s="528" customFormat="1" x14ac:dyDescent="0.25">
      <c r="A20" s="12" t="s">
        <v>572</v>
      </c>
      <c r="E20" s="241"/>
      <c r="G20" s="400">
        <f>258475.56/12*9</f>
        <v>193856.67</v>
      </c>
    </row>
    <row r="21" spans="1:8" x14ac:dyDescent="0.25">
      <c r="A21" s="22"/>
      <c r="E21" s="20"/>
      <c r="F21" s="21"/>
      <c r="G21" s="3"/>
    </row>
    <row r="22" spans="1:8" s="528" customFormat="1" x14ac:dyDescent="0.25">
      <c r="A22" s="26" t="s">
        <v>574</v>
      </c>
      <c r="E22" s="20"/>
      <c r="F22" s="21"/>
      <c r="G22" s="205">
        <f>G18-G20</f>
        <v>8678746.1300000008</v>
      </c>
    </row>
    <row r="23" spans="1:8" s="528" customFormat="1" x14ac:dyDescent="0.25">
      <c r="A23" s="22"/>
      <c r="E23" s="20"/>
      <c r="F23" s="21"/>
      <c r="G23" s="529"/>
    </row>
    <row r="24" spans="1:8" x14ac:dyDescent="0.25">
      <c r="A24" s="12" t="s">
        <v>573</v>
      </c>
      <c r="E24" s="20"/>
      <c r="F24" s="21"/>
      <c r="G24" s="490">
        <f>24.75-2.42</f>
        <v>22.33</v>
      </c>
    </row>
    <row r="25" spans="1:8" x14ac:dyDescent="0.25">
      <c r="E25" s="20"/>
      <c r="F25" s="21"/>
      <c r="G25" s="3"/>
    </row>
    <row r="26" spans="1:8" x14ac:dyDescent="0.25">
      <c r="A26" s="12" t="s">
        <v>217</v>
      </c>
      <c r="E26" s="21"/>
      <c r="F26" s="54"/>
      <c r="G26" s="205">
        <f>G22/G24</f>
        <v>388658.58172861626</v>
      </c>
      <c r="H26" s="32"/>
    </row>
    <row r="28" spans="1:8" x14ac:dyDescent="0.25">
      <c r="A28" s="12" t="s">
        <v>684</v>
      </c>
      <c r="E28" s="21"/>
      <c r="F28" s="54"/>
      <c r="G28" s="400">
        <f>258475.56</f>
        <v>258475.56</v>
      </c>
      <c r="H28" s="32"/>
    </row>
    <row r="30" spans="1:8" ht="16.5" thickBot="1" x14ac:dyDescent="0.3">
      <c r="A30" s="12" t="s">
        <v>577</v>
      </c>
      <c r="G30" s="40">
        <f>G26-G28</f>
        <v>130183.02172861627</v>
      </c>
    </row>
    <row r="31" spans="1:8" ht="16.5" thickTop="1" x14ac:dyDescent="0.25"/>
    <row r="32" spans="1:8" x14ac:dyDescent="0.25">
      <c r="A32" s="12" t="s">
        <v>575</v>
      </c>
      <c r="E32" s="239">
        <f>'Ex 3'!E39</f>
        <v>0.79010000000000002</v>
      </c>
      <c r="G32" s="205">
        <f>ROUND(G30*E32,0)</f>
        <v>102858</v>
      </c>
    </row>
    <row r="33" spans="1:7" x14ac:dyDescent="0.25">
      <c r="A33" s="1"/>
      <c r="F33" s="240"/>
      <c r="G33" s="226"/>
    </row>
    <row r="34" spans="1:7" x14ac:dyDescent="0.25">
      <c r="A34" s="12" t="s">
        <v>576</v>
      </c>
      <c r="E34" s="241">
        <f>'Ex 3'!G39</f>
        <v>0.2099</v>
      </c>
      <c r="G34" s="400">
        <f>ROUND(+G30*E34,0)</f>
        <v>27325</v>
      </c>
    </row>
    <row r="35" spans="1:7" x14ac:dyDescent="0.25">
      <c r="A35" s="1"/>
      <c r="F35" s="21"/>
      <c r="G35" s="528"/>
    </row>
    <row r="36" spans="1:7" ht="16.5" thickBot="1" x14ac:dyDescent="0.3">
      <c r="A36" s="12" t="s">
        <v>578</v>
      </c>
      <c r="G36" s="40">
        <f>+G32+G34</f>
        <v>130183</v>
      </c>
    </row>
    <row r="37" spans="1:7" ht="16.5" thickTop="1" x14ac:dyDescent="0.25"/>
  </sheetData>
  <mergeCells count="3">
    <mergeCell ref="A8:G8"/>
    <mergeCell ref="A11:G11"/>
    <mergeCell ref="A12:G12"/>
  </mergeCells>
  <phoneticPr fontId="0" type="noConversion"/>
  <printOptions horizontalCentered="1" gridLinesSet="0"/>
  <pageMargins left="1.25" right="0.75" top="1" bottom="1" header="0.5" footer="0.5"/>
  <pageSetup scale="9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1114" enableFormatConditionsCalculation="0">
    <pageSetUpPr fitToPage="1"/>
  </sheetPr>
  <dimension ref="A1:D39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46.75" style="114" customWidth="1"/>
    <col min="2" max="2" width="2.75" style="114" customWidth="1"/>
    <col min="3" max="3" width="14.625" style="114" customWidth="1"/>
    <col min="4" max="16384" width="9.625" style="114"/>
  </cols>
  <sheetData>
    <row r="1" spans="1:4" ht="15.75" x14ac:dyDescent="0.25">
      <c r="A1" s="1"/>
      <c r="B1" s="2"/>
      <c r="C1" s="2"/>
    </row>
    <row r="2" spans="1:4" ht="15.75" x14ac:dyDescent="0.25">
      <c r="A2" s="2"/>
      <c r="B2" s="2"/>
      <c r="C2" s="2"/>
    </row>
    <row r="3" spans="1:4" ht="15.75" x14ac:dyDescent="0.25">
      <c r="A3" s="2"/>
      <c r="B3" s="2"/>
      <c r="C3" s="293" t="str">
        <f>'Ex 1'!$P$1</f>
        <v>Exhibit 1</v>
      </c>
    </row>
    <row r="4" spans="1:4" ht="15.75" x14ac:dyDescent="0.25">
      <c r="A4" s="2"/>
      <c r="B4" s="2"/>
      <c r="C4" s="337" t="str">
        <f>"Reference Schedule "&amp;Inputs!$A41&amp;""</f>
        <v>Reference Schedule 1.25</v>
      </c>
    </row>
    <row r="5" spans="1:4" ht="15.75" x14ac:dyDescent="0.25">
      <c r="A5" s="2"/>
      <c r="B5" s="2"/>
      <c r="C5" s="11" t="str">
        <f>"Sponsoring Witness: "&amp;Inputs!$B41&amp;""</f>
        <v>Sponsoring Witness: Scott</v>
      </c>
    </row>
    <row r="6" spans="1:4" ht="15.75" x14ac:dyDescent="0.25">
      <c r="A6" s="2"/>
      <c r="B6" s="2"/>
      <c r="C6" s="2"/>
    </row>
    <row r="7" spans="1:4" ht="15.75" x14ac:dyDescent="0.25">
      <c r="A7" s="2"/>
      <c r="B7" s="2"/>
      <c r="C7" s="2"/>
    </row>
    <row r="8" spans="1:4" ht="15.75" x14ac:dyDescent="0.25">
      <c r="A8" s="716" t="s">
        <v>222</v>
      </c>
      <c r="B8" s="731"/>
      <c r="C8" s="731"/>
    </row>
    <row r="9" spans="1:4" ht="15.75" x14ac:dyDescent="0.25">
      <c r="A9" s="4"/>
      <c r="B9" s="4"/>
      <c r="C9" s="2"/>
    </row>
    <row r="10" spans="1:4" ht="15.75" x14ac:dyDescent="0.25">
      <c r="A10" s="4"/>
      <c r="B10" s="4"/>
      <c r="C10" s="2"/>
    </row>
    <row r="11" spans="1:4" ht="15.75" x14ac:dyDescent="0.25">
      <c r="A11" s="717" t="s">
        <v>581</v>
      </c>
      <c r="B11" s="731"/>
      <c r="C11" s="731"/>
    </row>
    <row r="12" spans="1:4" ht="15.75" x14ac:dyDescent="0.25">
      <c r="A12" s="712" t="str">
        <f>"For the Twelve Months Ended "&amp;Inputs!B3&amp;""</f>
        <v>For the Twelve Months Ended March 31, 2012</v>
      </c>
      <c r="B12" s="712"/>
      <c r="C12" s="712"/>
      <c r="D12" s="645"/>
    </row>
    <row r="13" spans="1:4" ht="15.75" x14ac:dyDescent="0.25">
      <c r="A13" s="1"/>
      <c r="B13" s="2"/>
      <c r="C13" s="2"/>
    </row>
    <row r="14" spans="1:4" x14ac:dyDescent="0.15">
      <c r="A14" s="729"/>
      <c r="B14" s="729"/>
      <c r="C14" s="729"/>
    </row>
    <row r="15" spans="1:4" x14ac:dyDescent="0.15">
      <c r="A15" s="729"/>
      <c r="B15" s="729"/>
      <c r="C15" s="729"/>
    </row>
    <row r="16" spans="1:4" ht="15.75" x14ac:dyDescent="0.25">
      <c r="A16" s="81"/>
      <c r="B16" s="17"/>
      <c r="C16" s="15" t="s">
        <v>220</v>
      </c>
    </row>
    <row r="17" spans="1:3" ht="15.75" x14ac:dyDescent="0.25">
      <c r="A17" s="21"/>
      <c r="B17" s="27"/>
      <c r="C17" s="29"/>
    </row>
    <row r="18" spans="1:3" ht="15.75" x14ac:dyDescent="0.25">
      <c r="A18" s="26" t="s">
        <v>582</v>
      </c>
      <c r="B18" s="67"/>
      <c r="C18" s="41">
        <v>8052124.6500000004</v>
      </c>
    </row>
    <row r="19" spans="1:3" ht="15.75" x14ac:dyDescent="0.25">
      <c r="A19" s="22"/>
      <c r="B19" s="29"/>
      <c r="C19" s="41"/>
    </row>
    <row r="20" spans="1:3" ht="15.75" x14ac:dyDescent="0.25">
      <c r="A20" s="12" t="s">
        <v>22</v>
      </c>
      <c r="B20" s="81"/>
      <c r="C20" s="16">
        <v>5</v>
      </c>
    </row>
    <row r="21" spans="1:3" ht="15.75" x14ac:dyDescent="0.25">
      <c r="A21" s="1"/>
      <c r="B21" s="81"/>
      <c r="C21" s="103"/>
    </row>
    <row r="22" spans="1:3" ht="15.75" x14ac:dyDescent="0.25">
      <c r="A22" s="12" t="s">
        <v>346</v>
      </c>
      <c r="B22" s="81"/>
      <c r="C22" s="41">
        <f>C18/C20</f>
        <v>1610424.9300000002</v>
      </c>
    </row>
    <row r="23" spans="1:3" ht="15.75" x14ac:dyDescent="0.25">
      <c r="A23" s="12"/>
      <c r="B23" s="81"/>
      <c r="C23" s="41"/>
    </row>
    <row r="24" spans="1:3" ht="15.75" x14ac:dyDescent="0.25">
      <c r="A24" s="12" t="s">
        <v>682</v>
      </c>
      <c r="B24" s="81"/>
      <c r="C24" s="362">
        <v>0</v>
      </c>
    </row>
    <row r="25" spans="1:3" x14ac:dyDescent="0.15">
      <c r="A25" s="81"/>
      <c r="B25" s="81"/>
      <c r="C25" s="81"/>
    </row>
    <row r="26" spans="1:3" ht="16.5" thickBot="1" x14ac:dyDescent="0.3">
      <c r="A26" s="12" t="s">
        <v>683</v>
      </c>
      <c r="B26" s="81"/>
      <c r="C26" s="40">
        <f>ROUND(SUM(C22:C24),0)</f>
        <v>1610425</v>
      </c>
    </row>
    <row r="27" spans="1:3" ht="12.75" thickTop="1" x14ac:dyDescent="0.15">
      <c r="A27" s="81"/>
      <c r="B27" s="81"/>
      <c r="C27" s="81"/>
    </row>
    <row r="28" spans="1:3" x14ac:dyDescent="0.15">
      <c r="A28" s="81"/>
      <c r="B28" s="81"/>
      <c r="C28" s="81"/>
    </row>
    <row r="29" spans="1:3" ht="15.75" x14ac:dyDescent="0.25">
      <c r="A29" s="486"/>
      <c r="B29" s="487"/>
      <c r="C29" s="81"/>
    </row>
    <row r="30" spans="1:3" ht="15.75" x14ac:dyDescent="0.25">
      <c r="A30" s="486"/>
      <c r="B30" s="488"/>
      <c r="C30" s="81"/>
    </row>
    <row r="31" spans="1:3" ht="15.75" x14ac:dyDescent="0.25">
      <c r="A31" s="489"/>
      <c r="B31" s="416"/>
      <c r="C31" s="81"/>
    </row>
    <row r="32" spans="1:3" ht="15.75" x14ac:dyDescent="0.25">
      <c r="A32" s="489"/>
      <c r="B32" s="416"/>
      <c r="C32" s="81"/>
    </row>
    <row r="33" spans="1:3" ht="15.75" x14ac:dyDescent="0.25">
      <c r="A33" s="489"/>
      <c r="B33" s="416"/>
      <c r="C33" s="81"/>
    </row>
    <row r="34" spans="1:3" ht="15.75" x14ac:dyDescent="0.25">
      <c r="A34" s="451"/>
      <c r="B34" s="416"/>
    </row>
    <row r="35" spans="1:3" ht="15.75" x14ac:dyDescent="0.25">
      <c r="A35" s="489"/>
      <c r="B35" s="416"/>
    </row>
    <row r="36" spans="1:3" ht="15.75" x14ac:dyDescent="0.25">
      <c r="A36" s="451"/>
      <c r="B36" s="416"/>
    </row>
    <row r="37" spans="1:3" ht="15.75" x14ac:dyDescent="0.15">
      <c r="A37" s="728"/>
      <c r="B37" s="728"/>
    </row>
    <row r="38" spans="1:3" x14ac:dyDescent="0.15">
      <c r="A38" s="416"/>
      <c r="B38" s="416"/>
    </row>
    <row r="39" spans="1:3" ht="15.75" x14ac:dyDescent="0.25">
      <c r="A39" s="489"/>
      <c r="B39" s="416"/>
    </row>
  </sheetData>
  <mergeCells count="5">
    <mergeCell ref="A8:C8"/>
    <mergeCell ref="A11:C11"/>
    <mergeCell ref="A12:C12"/>
    <mergeCell ref="A14:C15"/>
    <mergeCell ref="A37:B37"/>
  </mergeCells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1" enableFormatConditionsCalculation="0">
    <pageSetUpPr fitToPage="1"/>
  </sheetPr>
  <dimension ref="A1:J28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18.625" style="114" customWidth="1"/>
    <col min="2" max="2" width="12.625" style="114" customWidth="1"/>
    <col min="3" max="3" width="12.75" style="114" customWidth="1"/>
    <col min="4" max="4" width="13.5" style="114" customWidth="1"/>
    <col min="5" max="5" width="14" style="114" customWidth="1"/>
    <col min="6" max="6" width="19.25" style="114" customWidth="1"/>
    <col min="7" max="8" width="9.625" style="114"/>
    <col min="9" max="9" width="12" style="114" customWidth="1"/>
    <col min="10" max="10" width="15.125" style="114" customWidth="1"/>
    <col min="11" max="16384" width="9.625" style="114"/>
  </cols>
  <sheetData>
    <row r="1" spans="1:6" ht="15.75" x14ac:dyDescent="0.25">
      <c r="A1" s="150" t="s">
        <v>350</v>
      </c>
      <c r="B1" s="150"/>
      <c r="C1" s="150"/>
      <c r="D1" s="150"/>
      <c r="E1" s="150"/>
      <c r="F1" s="150"/>
    </row>
    <row r="2" spans="1:6" ht="15.75" x14ac:dyDescent="0.25">
      <c r="A2" s="139"/>
      <c r="B2" s="106"/>
      <c r="C2" s="106"/>
      <c r="D2" s="106"/>
      <c r="E2" s="106"/>
      <c r="F2" s="106"/>
    </row>
    <row r="3" spans="1:6" ht="15.75" x14ac:dyDescent="0.25">
      <c r="A3" s="106"/>
      <c r="B3" s="106"/>
      <c r="C3" s="106"/>
      <c r="D3" s="106"/>
      <c r="E3" s="106"/>
      <c r="F3" s="293" t="str">
        <f>'Ex 1'!$P$1</f>
        <v>Exhibit 1</v>
      </c>
    </row>
    <row r="4" spans="1:6" ht="15.75" x14ac:dyDescent="0.25">
      <c r="A4" s="106"/>
      <c r="B4" s="106"/>
      <c r="C4" s="106"/>
      <c r="D4" s="106"/>
      <c r="E4" s="106"/>
      <c r="F4" s="337" t="str">
        <f>"Reference Schedule "&amp;Inputs!$A42&amp;""</f>
        <v>Reference Schedule 1.26</v>
      </c>
    </row>
    <row r="5" spans="1:6" ht="15.75" x14ac:dyDescent="0.25">
      <c r="A5" s="106"/>
      <c r="B5" s="106"/>
      <c r="C5" s="106"/>
      <c r="D5" s="106"/>
      <c r="E5" s="106"/>
      <c r="F5" s="11" t="str">
        <f>"Sponsoring Witness: "&amp;Inputs!$B42&amp;""</f>
        <v>Sponsoring Witness: Conroy</v>
      </c>
    </row>
    <row r="6" spans="1:6" ht="15.75" x14ac:dyDescent="0.25">
      <c r="A6" s="106"/>
      <c r="B6" s="106"/>
      <c r="C6" s="106"/>
      <c r="D6" s="106"/>
      <c r="E6" s="106"/>
      <c r="F6" s="118"/>
    </row>
    <row r="7" spans="1:6" ht="15.75" x14ac:dyDescent="0.25">
      <c r="A7" s="106"/>
      <c r="B7" s="106"/>
      <c r="C7" s="106"/>
      <c r="D7" s="106"/>
      <c r="E7" s="106"/>
      <c r="F7" s="118"/>
    </row>
    <row r="8" spans="1:6" ht="15.75" x14ac:dyDescent="0.25">
      <c r="A8" s="712" t="s">
        <v>222</v>
      </c>
      <c r="B8" s="712"/>
      <c r="C8" s="712"/>
      <c r="D8" s="712"/>
      <c r="E8" s="712"/>
      <c r="F8" s="712"/>
    </row>
    <row r="9" spans="1:6" ht="15.75" x14ac:dyDescent="0.25">
      <c r="A9" s="127"/>
      <c r="B9" s="127"/>
      <c r="C9" s="127"/>
      <c r="D9" s="127"/>
      <c r="E9" s="127"/>
      <c r="F9" s="127"/>
    </row>
    <row r="10" spans="1:6" ht="15.75" x14ac:dyDescent="0.25">
      <c r="A10" s="127"/>
      <c r="B10" s="127"/>
      <c r="C10" s="127"/>
      <c r="D10" s="127"/>
      <c r="E10" s="127"/>
      <c r="F10" s="127"/>
    </row>
    <row r="11" spans="1:6" ht="15.75" x14ac:dyDescent="0.25">
      <c r="A11" s="120" t="s">
        <v>285</v>
      </c>
      <c r="B11" s="120"/>
      <c r="C11" s="120"/>
      <c r="D11" s="120"/>
      <c r="E11" s="120"/>
      <c r="F11" s="120"/>
    </row>
    <row r="12" spans="1:6" ht="15.75" x14ac:dyDescent="0.25">
      <c r="A12" s="120" t="s">
        <v>286</v>
      </c>
      <c r="B12" s="120"/>
      <c r="C12" s="120"/>
      <c r="D12" s="120"/>
      <c r="E12" s="120"/>
      <c r="F12" s="120"/>
    </row>
    <row r="13" spans="1:6" ht="15.75" x14ac:dyDescent="0.25">
      <c r="A13" s="128" t="str">
        <f>"During the Twelve Months Ended "&amp;Inputs!B3&amp;""</f>
        <v>During the Twelve Months Ended March 31, 2012</v>
      </c>
      <c r="B13" s="128"/>
      <c r="C13" s="128"/>
      <c r="D13" s="128"/>
      <c r="E13" s="128"/>
      <c r="F13" s="128"/>
    </row>
    <row r="14" spans="1:6" ht="15.75" x14ac:dyDescent="0.25">
      <c r="A14" s="106"/>
      <c r="B14" s="106"/>
      <c r="C14" s="106"/>
      <c r="D14" s="106"/>
      <c r="E14" s="106"/>
      <c r="F14" s="106"/>
    </row>
    <row r="15" spans="1:6" ht="15.75" x14ac:dyDescent="0.25">
      <c r="A15" s="106"/>
      <c r="B15" s="106"/>
      <c r="C15" s="106"/>
      <c r="D15" s="106"/>
      <c r="E15" s="106"/>
      <c r="F15" s="212"/>
    </row>
    <row r="16" spans="1:6" ht="15.75" x14ac:dyDescent="0.25">
      <c r="A16" s="343"/>
      <c r="B16" s="119"/>
      <c r="C16" s="345"/>
      <c r="D16" s="345"/>
      <c r="E16" s="345"/>
      <c r="F16" s="345"/>
    </row>
    <row r="17" spans="1:10" ht="15.75" x14ac:dyDescent="0.25">
      <c r="A17" s="119"/>
      <c r="B17" s="193"/>
      <c r="C17" s="193"/>
      <c r="D17" s="119"/>
      <c r="E17" s="174"/>
      <c r="F17" s="137" t="s">
        <v>221</v>
      </c>
    </row>
    <row r="18" spans="1:10" ht="15.75" x14ac:dyDescent="0.25">
      <c r="B18" s="106"/>
      <c r="C18" s="106"/>
      <c r="D18" s="106"/>
      <c r="E18" s="106"/>
      <c r="F18" s="106"/>
    </row>
    <row r="19" spans="1:10" ht="15.75" x14ac:dyDescent="0.25">
      <c r="A19" s="139" t="str">
        <f>"1.  Cost recoveries in revenue for the 12 months ended "&amp;Inputs!B3&amp;""</f>
        <v>1.  Cost recoveries in revenue for the 12 months ended March 31, 2012</v>
      </c>
      <c r="B19" s="106"/>
      <c r="C19" s="106"/>
      <c r="D19" s="106"/>
      <c r="E19" s="106"/>
      <c r="F19" s="212">
        <v>-146406353</v>
      </c>
    </row>
    <row r="20" spans="1:10" ht="15.75" x14ac:dyDescent="0.25">
      <c r="A20" s="106"/>
      <c r="B20" s="106"/>
      <c r="C20" s="106"/>
      <c r="D20" s="106"/>
      <c r="E20" s="106"/>
      <c r="F20" s="207"/>
    </row>
    <row r="21" spans="1:10" ht="15.75" x14ac:dyDescent="0.25">
      <c r="A21" s="139" t="str">
        <f>"2.  Gas supply expenses for the 12 months ended "&amp;Inputs!B3&amp;""</f>
        <v>2.  Gas supply expenses for the 12 months ended March 31, 2012</v>
      </c>
      <c r="B21" s="106"/>
      <c r="C21" s="106"/>
      <c r="D21" s="106"/>
      <c r="E21" s="106"/>
      <c r="F21" s="400">
        <v>-136419357</v>
      </c>
      <c r="J21" s="226"/>
    </row>
    <row r="22" spans="1:10" ht="15.75" x14ac:dyDescent="0.25">
      <c r="A22" s="106"/>
      <c r="B22" s="106"/>
      <c r="C22" s="106"/>
      <c r="D22" s="106"/>
      <c r="E22" s="106"/>
      <c r="F22" s="133"/>
    </row>
    <row r="23" spans="1:10" ht="15.75" x14ac:dyDescent="0.25">
      <c r="A23" s="106"/>
      <c r="B23" s="106"/>
      <c r="C23" s="106"/>
      <c r="D23" s="106"/>
      <c r="E23" s="106"/>
      <c r="F23" s="106"/>
    </row>
    <row r="24" spans="1:10" ht="16.5" thickBot="1" x14ac:dyDescent="0.3">
      <c r="A24" s="139" t="s">
        <v>418</v>
      </c>
      <c r="B24" s="106"/>
      <c r="C24" s="106"/>
      <c r="D24" s="106"/>
      <c r="E24" s="106"/>
      <c r="F24" s="166">
        <f>ROUND(+F19-F21,0)</f>
        <v>-9986996</v>
      </c>
    </row>
    <row r="25" spans="1:10" ht="12.75" thickTop="1" x14ac:dyDescent="0.15"/>
    <row r="28" spans="1:10" ht="15" x14ac:dyDescent="0.25">
      <c r="I28" s="455"/>
    </row>
  </sheetData>
  <mergeCells count="1">
    <mergeCell ref="A8:F8"/>
  </mergeCells>
  <phoneticPr fontId="0" type="noConversion"/>
  <printOptions horizontalCentered="1" gridLinesSet="0"/>
  <pageMargins left="1.25" right="0.75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0" enableFormatConditionsCalculation="0"/>
  <dimension ref="A1:M71"/>
  <sheetViews>
    <sheetView showGridLines="0" zoomScale="85" zoomScaleNormal="85" workbookViewId="0">
      <selection activeCell="A3" sqref="A3"/>
    </sheetView>
  </sheetViews>
  <sheetFormatPr defaultColWidth="9.625" defaultRowHeight="15.75" x14ac:dyDescent="0.25"/>
  <cols>
    <col min="1" max="1" width="3.625" style="257" customWidth="1"/>
    <col min="2" max="2" width="67.375" style="106" customWidth="1"/>
    <col min="3" max="3" width="2.125" style="106" customWidth="1"/>
    <col min="4" max="4" width="2.375" style="106" customWidth="1"/>
    <col min="5" max="5" width="16.625" style="106" customWidth="1"/>
    <col min="6" max="6" width="1.625" style="106" customWidth="1"/>
    <col min="7" max="7" width="16.625" style="106" customWidth="1"/>
    <col min="8" max="8" width="1.75" style="106" customWidth="1"/>
    <col min="9" max="9" width="16.625" style="106" customWidth="1"/>
    <col min="10" max="10" width="9.625" style="106"/>
    <col min="11" max="11" width="13.5" style="106" bestFit="1" customWidth="1"/>
    <col min="12" max="12" width="10.75" style="106" bestFit="1" customWidth="1"/>
    <col min="13" max="16384" width="9.625" style="106"/>
  </cols>
  <sheetData>
    <row r="1" spans="1:13" x14ac:dyDescent="0.25">
      <c r="A1" s="256"/>
      <c r="B1" s="150"/>
      <c r="C1" s="150"/>
      <c r="D1" s="150"/>
      <c r="E1" s="150"/>
      <c r="F1" s="150"/>
      <c r="G1" s="534"/>
      <c r="H1" s="150"/>
      <c r="I1" s="536" t="s">
        <v>164</v>
      </c>
    </row>
    <row r="2" spans="1:13" x14ac:dyDescent="0.25">
      <c r="A2" s="256"/>
      <c r="B2" s="150"/>
      <c r="C2" s="150"/>
      <c r="D2" s="150"/>
      <c r="E2" s="150"/>
      <c r="F2" s="150"/>
      <c r="G2" s="150"/>
      <c r="H2" s="150"/>
      <c r="I2" s="11" t="str">
        <f>"Sponsoring Witness: "&amp;Inputs!$B9&amp;""</f>
        <v>Sponsoring Witness: Blake</v>
      </c>
    </row>
    <row r="3" spans="1:13" x14ac:dyDescent="0.25">
      <c r="H3" s="139"/>
      <c r="I3" s="118" t="s">
        <v>288</v>
      </c>
    </row>
    <row r="4" spans="1:13" x14ac:dyDescent="0.25">
      <c r="A4" s="258" t="s">
        <v>222</v>
      </c>
      <c r="B4" s="127"/>
      <c r="C4" s="127"/>
      <c r="D4" s="127"/>
      <c r="E4" s="127"/>
      <c r="F4" s="127"/>
      <c r="G4" s="127"/>
      <c r="H4" s="127"/>
      <c r="I4" s="127"/>
    </row>
    <row r="5" spans="1:13" x14ac:dyDescent="0.25">
      <c r="A5" s="259"/>
      <c r="B5" s="127"/>
      <c r="C5" s="127"/>
      <c r="D5" s="127"/>
      <c r="E5" s="127"/>
      <c r="F5" s="127"/>
      <c r="G5" s="127"/>
      <c r="H5" s="127"/>
      <c r="I5" s="127"/>
    </row>
    <row r="6" spans="1:13" x14ac:dyDescent="0.25">
      <c r="A6" s="709" t="str">
        <f>"Net Original Cost Rate Base"</f>
        <v>Net Original Cost Rate Base</v>
      </c>
      <c r="B6" s="709"/>
      <c r="C6" s="709"/>
      <c r="D6" s="709"/>
      <c r="E6" s="709"/>
      <c r="F6" s="709"/>
      <c r="G6" s="709"/>
      <c r="H6" s="709"/>
      <c r="I6" s="709"/>
      <c r="J6" s="336"/>
      <c r="K6" s="336"/>
      <c r="L6" s="336"/>
      <c r="M6" s="336"/>
    </row>
    <row r="7" spans="1:13" x14ac:dyDescent="0.25">
      <c r="A7" s="708" t="str">
        <f xml:space="preserve"> "At "&amp;Inputs!B3&amp;""</f>
        <v>At March 31, 2012</v>
      </c>
      <c r="B7" s="708"/>
      <c r="C7" s="708"/>
      <c r="D7" s="708"/>
      <c r="E7" s="708"/>
      <c r="F7" s="708"/>
      <c r="G7" s="708"/>
      <c r="H7" s="708"/>
      <c r="I7" s="708"/>
      <c r="J7" s="336"/>
      <c r="K7" s="336"/>
      <c r="L7" s="336"/>
      <c r="M7" s="336"/>
    </row>
    <row r="8" spans="1:13" x14ac:dyDescent="0.25">
      <c r="A8" s="258"/>
      <c r="B8" s="127"/>
      <c r="C8" s="127"/>
      <c r="D8" s="127"/>
      <c r="E8" s="127"/>
      <c r="F8" s="127"/>
      <c r="G8" s="127"/>
      <c r="H8" s="127"/>
      <c r="I8" s="127"/>
    </row>
    <row r="9" spans="1:13" x14ac:dyDescent="0.25">
      <c r="A9" s="260"/>
    </row>
    <row r="10" spans="1:13" ht="21" customHeight="1" x14ac:dyDescent="0.25">
      <c r="B10" s="123" t="s">
        <v>160</v>
      </c>
      <c r="E10" s="133" t="s">
        <v>220</v>
      </c>
      <c r="F10" s="133"/>
      <c r="G10" s="133" t="s">
        <v>221</v>
      </c>
      <c r="H10" s="133"/>
      <c r="I10" s="133" t="s">
        <v>213</v>
      </c>
    </row>
    <row r="11" spans="1:13" x14ac:dyDescent="0.25">
      <c r="B11" s="132">
        <v>-1</v>
      </c>
      <c r="C11" s="154"/>
      <c r="D11" s="154"/>
      <c r="E11" s="500" t="s">
        <v>253</v>
      </c>
      <c r="F11" s="133"/>
      <c r="G11" s="501">
        <v>-3</v>
      </c>
      <c r="H11" s="133"/>
      <c r="I11" s="137">
        <v>-4</v>
      </c>
    </row>
    <row r="12" spans="1:13" x14ac:dyDescent="0.25">
      <c r="C12" s="144"/>
      <c r="D12" s="144"/>
      <c r="E12" s="129"/>
      <c r="F12" s="129"/>
      <c r="G12" s="129"/>
      <c r="H12" s="129"/>
      <c r="I12" s="129"/>
    </row>
    <row r="13" spans="1:13" ht="21" customHeight="1" x14ac:dyDescent="0.25">
      <c r="A13" s="499">
        <v>1</v>
      </c>
      <c r="B13" s="106" t="s">
        <v>289</v>
      </c>
      <c r="C13" s="213"/>
      <c r="D13" s="213"/>
      <c r="E13" s="212">
        <f>+'Supp Sch-Ex 3'!E14</f>
        <v>4079661192</v>
      </c>
      <c r="F13" s="212"/>
      <c r="G13" s="212">
        <f>+'Supp Sch-Ex 3'!O14</f>
        <v>854044596</v>
      </c>
      <c r="H13" s="212"/>
      <c r="I13" s="157">
        <f>+E13+G13</f>
        <v>4933705788</v>
      </c>
    </row>
    <row r="14" spans="1:13" ht="21" customHeight="1" x14ac:dyDescent="0.25">
      <c r="A14" s="261"/>
      <c r="C14" s="213"/>
      <c r="D14" s="213"/>
      <c r="E14" s="207"/>
      <c r="F14" s="207"/>
      <c r="G14" s="207"/>
      <c r="H14" s="207"/>
    </row>
    <row r="15" spans="1:13" ht="21" customHeight="1" x14ac:dyDescent="0.25">
      <c r="A15" s="499">
        <f>1+A13</f>
        <v>2</v>
      </c>
      <c r="B15" s="106" t="s">
        <v>290</v>
      </c>
      <c r="C15" s="214"/>
      <c r="D15" s="214"/>
      <c r="E15" s="140"/>
      <c r="F15" s="140"/>
      <c r="G15" s="140"/>
      <c r="H15" s="140"/>
      <c r="I15" s="159"/>
    </row>
    <row r="16" spans="1:13" ht="21" customHeight="1" x14ac:dyDescent="0.25">
      <c r="A16" s="499">
        <f>1+A15</f>
        <v>3</v>
      </c>
      <c r="B16" s="262" t="s">
        <v>291</v>
      </c>
      <c r="E16" s="146">
        <f>+'Supp Sch-Ex 3'!E17</f>
        <v>1874143605</v>
      </c>
      <c r="G16" s="146">
        <f>+'Supp Sch-Ex 3'!O17</f>
        <v>270116840</v>
      </c>
      <c r="I16" s="112">
        <f>+E16+G16</f>
        <v>2144260445</v>
      </c>
    </row>
    <row r="17" spans="1:9" ht="21" customHeight="1" x14ac:dyDescent="0.25">
      <c r="A17" s="261"/>
      <c r="E17" s="208"/>
      <c r="G17" s="208"/>
      <c r="I17" s="208"/>
    </row>
    <row r="18" spans="1:9" ht="21" customHeight="1" x14ac:dyDescent="0.25">
      <c r="A18" s="499">
        <f>1+A16</f>
        <v>4</v>
      </c>
      <c r="B18" s="106" t="s">
        <v>292</v>
      </c>
      <c r="E18" s="119">
        <f>+E13-E16</f>
        <v>2205517587</v>
      </c>
      <c r="F18" s="119"/>
      <c r="G18" s="119">
        <f>+G13-G16</f>
        <v>583927756</v>
      </c>
      <c r="H18" s="119"/>
      <c r="I18" s="119">
        <f>+E18+G18</f>
        <v>2789445343</v>
      </c>
    </row>
    <row r="19" spans="1:9" ht="21" customHeight="1" x14ac:dyDescent="0.25">
      <c r="A19" s="261"/>
    </row>
    <row r="20" spans="1:9" ht="21" customHeight="1" x14ac:dyDescent="0.25">
      <c r="A20" s="499">
        <f>1+A18</f>
        <v>5</v>
      </c>
      <c r="B20" s="106" t="s">
        <v>290</v>
      </c>
    </row>
    <row r="21" spans="1:9" ht="21" customHeight="1" x14ac:dyDescent="0.25">
      <c r="A21" s="499">
        <f>1+A20</f>
        <v>6</v>
      </c>
      <c r="B21" s="262" t="s">
        <v>293</v>
      </c>
      <c r="E21" s="146">
        <f>+'Supp Sch-Ex 3'!E22</f>
        <v>960947</v>
      </c>
      <c r="G21" s="146">
        <f>+'Supp Sch-Ex 3'!O22</f>
        <v>6368917</v>
      </c>
      <c r="I21" s="106">
        <f>+E21+G21</f>
        <v>7329864</v>
      </c>
    </row>
    <row r="22" spans="1:9" ht="21" customHeight="1" x14ac:dyDescent="0.25">
      <c r="A22" s="499">
        <f>1+A21</f>
        <v>7</v>
      </c>
      <c r="B22" s="262" t="s">
        <v>421</v>
      </c>
      <c r="E22" s="146">
        <f>+'Supp Sch-Ex 3'!E23</f>
        <v>406612247</v>
      </c>
      <c r="G22" s="146">
        <f>+'Supp Sch-Ex 3'!O23</f>
        <v>86384999</v>
      </c>
      <c r="I22" s="106">
        <f>+E22+G22</f>
        <v>492997246</v>
      </c>
    </row>
    <row r="23" spans="1:9" ht="21" customHeight="1" x14ac:dyDescent="0.25">
      <c r="A23" s="499">
        <f>1+A22</f>
        <v>8</v>
      </c>
      <c r="B23" s="262" t="s">
        <v>294</v>
      </c>
      <c r="E23" s="146">
        <f>+'Supp Sch-Ex 3'!E24</f>
        <v>27127029</v>
      </c>
      <c r="G23" s="146">
        <f>+'Supp Sch-Ex 3'!O24</f>
        <v>3417946</v>
      </c>
      <c r="I23" s="106">
        <f>+E23+G23</f>
        <v>30544975</v>
      </c>
    </row>
    <row r="24" spans="1:9" ht="21" customHeight="1" x14ac:dyDescent="0.25">
      <c r="A24" s="499">
        <f>1+A23</f>
        <v>9</v>
      </c>
      <c r="B24" s="262" t="s">
        <v>147</v>
      </c>
      <c r="E24" s="146">
        <f>+'Supp Sch-Ex 3'!E25</f>
        <v>27021378</v>
      </c>
      <c r="G24" s="146">
        <f>+'Supp Sch-Ex 3'!O25</f>
        <v>20308114</v>
      </c>
      <c r="I24" s="106">
        <f>+E24+G24</f>
        <v>47329492</v>
      </c>
    </row>
    <row r="25" spans="1:9" ht="21" customHeight="1" x14ac:dyDescent="0.25">
      <c r="A25" s="499">
        <f>1+A24</f>
        <v>10</v>
      </c>
      <c r="B25" s="262" t="s">
        <v>148</v>
      </c>
      <c r="E25" s="146">
        <f>+'Supp Sch-Ex 3'!E26</f>
        <v>204351</v>
      </c>
      <c r="G25" s="146">
        <f>+'Supp Sch-Ex 3'!O26</f>
        <v>2155824</v>
      </c>
      <c r="I25" s="58">
        <f>+E25+G25</f>
        <v>2360175</v>
      </c>
    </row>
    <row r="26" spans="1:9" ht="21" customHeight="1" x14ac:dyDescent="0.25">
      <c r="A26" s="261"/>
      <c r="E26" s="208"/>
      <c r="G26" s="208"/>
      <c r="I26" s="208"/>
    </row>
    <row r="27" spans="1:9" ht="21" customHeight="1" x14ac:dyDescent="0.25">
      <c r="A27" s="499">
        <f>1+A25</f>
        <v>11</v>
      </c>
      <c r="B27" s="262" t="s">
        <v>295</v>
      </c>
      <c r="E27" s="119">
        <f>SUM(E21:E26)</f>
        <v>461925952</v>
      </c>
      <c r="F27" s="119"/>
      <c r="G27" s="119">
        <f>SUM(G21:G26)</f>
        <v>118635800</v>
      </c>
      <c r="H27" s="119"/>
      <c r="I27" s="119">
        <f>SUM(I21:I26)</f>
        <v>580561752</v>
      </c>
    </row>
    <row r="28" spans="1:9" ht="21" customHeight="1" x14ac:dyDescent="0.25">
      <c r="A28" s="261"/>
    </row>
    <row r="29" spans="1:9" ht="21" customHeight="1" x14ac:dyDescent="0.25">
      <c r="A29" s="499">
        <f>1+A27</f>
        <v>12</v>
      </c>
      <c r="B29" s="106" t="s">
        <v>297</v>
      </c>
    </row>
    <row r="30" spans="1:9" ht="21" customHeight="1" x14ac:dyDescent="0.25">
      <c r="A30" s="499">
        <f>1+A29</f>
        <v>13</v>
      </c>
      <c r="B30" s="262" t="s">
        <v>422</v>
      </c>
      <c r="E30" s="146">
        <f>+'Supp Sch-Ex 3'!E33</f>
        <v>90578486</v>
      </c>
      <c r="G30" s="146">
        <f>+'Supp Sch-Ex 3'!O33</f>
        <v>55133</v>
      </c>
      <c r="I30" s="106">
        <f>+E30+G30</f>
        <v>90633619</v>
      </c>
    </row>
    <row r="31" spans="1:9" ht="21" customHeight="1" x14ac:dyDescent="0.25">
      <c r="A31" s="499">
        <f>1+A30</f>
        <v>14</v>
      </c>
      <c r="B31" s="262" t="s">
        <v>423</v>
      </c>
      <c r="E31" s="146">
        <f>+'Supp Sch-Ex 3'!E34</f>
        <v>0</v>
      </c>
      <c r="G31" s="146">
        <f>+'Supp Sch-Ex 3'!O34</f>
        <v>36144520</v>
      </c>
      <c r="I31" s="106">
        <f>+E31+G31</f>
        <v>36144520</v>
      </c>
    </row>
    <row r="32" spans="1:9" ht="21" customHeight="1" x14ac:dyDescent="0.25">
      <c r="A32" s="499">
        <f>1+A31</f>
        <v>15</v>
      </c>
      <c r="B32" s="262" t="s">
        <v>424</v>
      </c>
      <c r="E32" s="146">
        <f>+'Supp Sch-Ex 3'!E35</f>
        <v>4350165</v>
      </c>
      <c r="G32" s="146">
        <f>+'Supp Sch-Ex 3'!O35</f>
        <v>691403</v>
      </c>
      <c r="I32" s="106">
        <f>+E32+G32</f>
        <v>5041568</v>
      </c>
    </row>
    <row r="33" spans="1:9" ht="21" customHeight="1" x14ac:dyDescent="0.25">
      <c r="A33" s="499">
        <f>1+A32</f>
        <v>16</v>
      </c>
      <c r="B33" s="262" t="s">
        <v>298</v>
      </c>
      <c r="E33" s="146">
        <f>+'Supp Sch-Ex 3'!E36</f>
        <v>82477382</v>
      </c>
      <c r="G33" s="146">
        <f>+'Supp Sch-Ex 3'!O36</f>
        <v>8164483</v>
      </c>
      <c r="I33" s="106">
        <f>+E33+G33</f>
        <v>90641865</v>
      </c>
    </row>
    <row r="34" spans="1:9" ht="21" customHeight="1" x14ac:dyDescent="0.25">
      <c r="A34" s="261"/>
      <c r="E34" s="208"/>
      <c r="G34" s="208"/>
      <c r="I34" s="208"/>
    </row>
    <row r="35" spans="1:9" ht="21" customHeight="1" x14ac:dyDescent="0.25">
      <c r="A35" s="499">
        <f>1+A33</f>
        <v>17</v>
      </c>
      <c r="B35" s="262" t="s">
        <v>300</v>
      </c>
      <c r="E35" s="119">
        <f>SUM(E30:E34)</f>
        <v>177406033</v>
      </c>
      <c r="G35" s="119">
        <f>SUM(G30:G34)</f>
        <v>45055539</v>
      </c>
      <c r="I35" s="119">
        <f>SUM(I30:I34)</f>
        <v>222461572</v>
      </c>
    </row>
    <row r="36" spans="1:9" ht="21" customHeight="1" x14ac:dyDescent="0.25">
      <c r="A36" s="261"/>
    </row>
    <row r="37" spans="1:9" ht="21" customHeight="1" thickBot="1" x14ac:dyDescent="0.3">
      <c r="A37" s="499">
        <f>1+A35</f>
        <v>18</v>
      </c>
      <c r="B37" s="106" t="s">
        <v>301</v>
      </c>
      <c r="E37" s="86">
        <f>E18-E27+E35</f>
        <v>1920997668</v>
      </c>
      <c r="G37" s="86">
        <f>G18-G27+G35</f>
        <v>510347495</v>
      </c>
      <c r="I37" s="86">
        <f>I18-I27+I35</f>
        <v>2431345163</v>
      </c>
    </row>
    <row r="38" spans="1:9" ht="21" customHeight="1" thickTop="1" x14ac:dyDescent="0.25">
      <c r="A38" s="261"/>
      <c r="E38" s="174"/>
      <c r="G38" s="174"/>
      <c r="I38" s="174"/>
    </row>
    <row r="39" spans="1:9" ht="21" customHeight="1" thickBot="1" x14ac:dyDescent="0.3">
      <c r="A39" s="499">
        <f>1+A37</f>
        <v>19</v>
      </c>
      <c r="B39" s="148" t="s">
        <v>153</v>
      </c>
      <c r="E39" s="267">
        <f>ROUND(+E37/I37,4)</f>
        <v>0.79010000000000002</v>
      </c>
      <c r="G39" s="267">
        <f>ROUND(+G37/I37,4)</f>
        <v>0.2099</v>
      </c>
      <c r="I39" s="267">
        <f>+E39+G39</f>
        <v>1</v>
      </c>
    </row>
    <row r="40" spans="1:9" ht="16.5" thickTop="1" x14ac:dyDescent="0.25">
      <c r="A40" s="261"/>
    </row>
    <row r="41" spans="1:9" ht="21" customHeight="1" x14ac:dyDescent="0.25">
      <c r="A41" s="264" t="s">
        <v>272</v>
      </c>
      <c r="B41" s="537" t="s">
        <v>475</v>
      </c>
    </row>
    <row r="42" spans="1:9" ht="21" customHeight="1" x14ac:dyDescent="0.25">
      <c r="A42" s="264" t="s">
        <v>210</v>
      </c>
      <c r="B42" s="106" t="s">
        <v>302</v>
      </c>
    </row>
    <row r="43" spans="1:9" ht="21" customHeight="1" x14ac:dyDescent="0.25">
      <c r="A43" s="264" t="s">
        <v>245</v>
      </c>
      <c r="B43" s="106" t="s">
        <v>320</v>
      </c>
    </row>
    <row r="44" spans="1:9" ht="21" customHeight="1" x14ac:dyDescent="0.25">
      <c r="A44" s="264" t="s">
        <v>319</v>
      </c>
      <c r="B44" s="106" t="s">
        <v>426</v>
      </c>
    </row>
    <row r="45" spans="1:9" ht="21" customHeight="1" x14ac:dyDescent="0.25">
      <c r="A45" s="264" t="s">
        <v>359</v>
      </c>
      <c r="B45" s="106" t="s">
        <v>187</v>
      </c>
    </row>
    <row r="46" spans="1:9" x14ac:dyDescent="0.25">
      <c r="A46" s="261"/>
    </row>
    <row r="47" spans="1:9" x14ac:dyDescent="0.25">
      <c r="H47" s="139"/>
      <c r="I47" s="124" t="str">
        <f>I1</f>
        <v>Exhibit 3</v>
      </c>
    </row>
    <row r="48" spans="1:9" x14ac:dyDescent="0.25">
      <c r="H48" s="139"/>
      <c r="I48" s="124" t="str">
        <f>I2</f>
        <v>Sponsoring Witness: Blake</v>
      </c>
    </row>
    <row r="49" spans="1:13" x14ac:dyDescent="0.25">
      <c r="I49" s="118" t="s">
        <v>273</v>
      </c>
    </row>
    <row r="50" spans="1:13" x14ac:dyDescent="0.25">
      <c r="A50" s="258" t="s">
        <v>222</v>
      </c>
      <c r="B50" s="127"/>
      <c r="C50" s="127"/>
      <c r="D50" s="127"/>
      <c r="E50" s="127"/>
      <c r="F50" s="127"/>
      <c r="G50" s="127"/>
      <c r="H50" s="127"/>
      <c r="I50" s="127"/>
    </row>
    <row r="51" spans="1:13" x14ac:dyDescent="0.25">
      <c r="A51" s="259"/>
      <c r="B51" s="127"/>
      <c r="C51" s="127"/>
      <c r="D51" s="127"/>
      <c r="E51" s="127"/>
      <c r="F51" s="127"/>
      <c r="G51" s="127"/>
      <c r="H51" s="127"/>
      <c r="I51" s="127"/>
    </row>
    <row r="52" spans="1:13" x14ac:dyDescent="0.25">
      <c r="A52" s="259" t="s">
        <v>313</v>
      </c>
      <c r="B52" s="127"/>
      <c r="C52" s="127"/>
      <c r="D52" s="127"/>
      <c r="E52" s="127"/>
      <c r="F52" s="127"/>
      <c r="G52" s="127"/>
      <c r="H52" s="127"/>
      <c r="I52" s="127"/>
    </row>
    <row r="53" spans="1:13" x14ac:dyDescent="0.25">
      <c r="A53" s="708" t="str">
        <f xml:space="preserve"> "At "&amp;Inputs!B3&amp;""</f>
        <v>At March 31, 2012</v>
      </c>
      <c r="B53" s="708"/>
      <c r="C53" s="708"/>
      <c r="D53" s="708"/>
      <c r="E53" s="708"/>
      <c r="F53" s="708"/>
      <c r="G53" s="708"/>
      <c r="H53" s="708"/>
      <c r="I53" s="708"/>
      <c r="J53" s="336"/>
      <c r="K53" s="336"/>
      <c r="L53" s="336"/>
      <c r="M53" s="336"/>
    </row>
    <row r="54" spans="1:13" x14ac:dyDescent="0.25">
      <c r="A54" s="258"/>
      <c r="B54" s="127"/>
      <c r="C54" s="127"/>
      <c r="D54" s="127"/>
      <c r="E54" s="127"/>
      <c r="F54" s="127"/>
      <c r="G54" s="127"/>
      <c r="H54" s="127"/>
      <c r="I54" s="127"/>
    </row>
    <row r="55" spans="1:13" x14ac:dyDescent="0.25">
      <c r="A55" s="260"/>
    </row>
    <row r="56" spans="1:13" ht="21" customHeight="1" x14ac:dyDescent="0.25">
      <c r="B56" s="123" t="s">
        <v>160</v>
      </c>
      <c r="E56" s="133" t="s">
        <v>220</v>
      </c>
      <c r="F56" s="133"/>
      <c r="G56" s="133" t="s">
        <v>221</v>
      </c>
      <c r="H56" s="133"/>
      <c r="I56" s="133" t="s">
        <v>213</v>
      </c>
    </row>
    <row r="57" spans="1:13" x14ac:dyDescent="0.25">
      <c r="B57" s="132">
        <v>-1</v>
      </c>
      <c r="C57" s="154"/>
      <c r="D57" s="154"/>
      <c r="E57" s="500" t="s">
        <v>253</v>
      </c>
      <c r="F57" s="133"/>
      <c r="G57" s="501">
        <v>-3</v>
      </c>
      <c r="H57" s="133"/>
      <c r="I57" s="501">
        <v>-4</v>
      </c>
    </row>
    <row r="58" spans="1:13" x14ac:dyDescent="0.25">
      <c r="C58" s="144"/>
      <c r="D58" s="144"/>
      <c r="E58" s="129"/>
      <c r="F58" s="129"/>
      <c r="G58" s="129"/>
      <c r="H58" s="129"/>
      <c r="I58" s="129"/>
    </row>
    <row r="59" spans="1:13" ht="21" customHeight="1" x14ac:dyDescent="0.25">
      <c r="A59" s="261" t="s">
        <v>254</v>
      </c>
      <c r="B59" s="106" t="str">
        <f>"Operating and maintenance expense for the 12 months ended "&amp;Inputs!B3&amp;""</f>
        <v>Operating and maintenance expense for the 12 months ended March 31, 2012</v>
      </c>
      <c r="C59" s="213"/>
      <c r="D59" s="213"/>
      <c r="E59" s="212">
        <f>+'Supp Sch-Ex 3'!E65:E65</f>
        <v>728886233</v>
      </c>
      <c r="F59" s="212"/>
      <c r="G59" s="212">
        <f>+'Supp Sch-Ex 3'!O65</f>
        <v>200268749</v>
      </c>
      <c r="H59" s="212"/>
      <c r="I59" s="157">
        <f>+E59+G59</f>
        <v>929154982</v>
      </c>
    </row>
    <row r="60" spans="1:13" ht="21" customHeight="1" x14ac:dyDescent="0.25">
      <c r="A60" s="261"/>
      <c r="C60" s="213"/>
      <c r="D60" s="213"/>
      <c r="E60" s="119"/>
      <c r="F60" s="207"/>
      <c r="G60" s="119"/>
      <c r="H60" s="207"/>
      <c r="I60" s="119"/>
    </row>
    <row r="61" spans="1:13" ht="21" customHeight="1" x14ac:dyDescent="0.25">
      <c r="A61" s="271" t="s">
        <v>255</v>
      </c>
      <c r="B61" s="106" t="s">
        <v>290</v>
      </c>
      <c r="C61" s="214"/>
      <c r="D61" s="214"/>
      <c r="E61" s="140"/>
      <c r="F61" s="140"/>
      <c r="G61" s="140"/>
      <c r="H61" s="140"/>
      <c r="I61" s="159"/>
    </row>
    <row r="62" spans="1:13" ht="21" customHeight="1" x14ac:dyDescent="0.25">
      <c r="A62" s="271" t="s">
        <v>256</v>
      </c>
      <c r="B62" s="272" t="s">
        <v>358</v>
      </c>
      <c r="C62" s="119"/>
      <c r="D62" s="119"/>
      <c r="E62" s="146">
        <f>+'Supp Sch-Ex 3'!E68:E68</f>
        <v>69067179</v>
      </c>
      <c r="F62" s="119"/>
      <c r="G62" s="192"/>
      <c r="H62" s="119"/>
      <c r="I62" s="273">
        <f>+E62+G62</f>
        <v>69067179</v>
      </c>
    </row>
    <row r="63" spans="1:13" ht="21" customHeight="1" x14ac:dyDescent="0.25">
      <c r="A63" s="271" t="s">
        <v>257</v>
      </c>
      <c r="B63" s="272" t="s">
        <v>344</v>
      </c>
      <c r="C63" s="119"/>
      <c r="D63" s="119"/>
      <c r="E63" s="208"/>
      <c r="F63" s="119"/>
      <c r="G63" s="208">
        <f>+'Supp Sch-Ex 3'!O69</f>
        <v>134952882</v>
      </c>
      <c r="H63" s="119"/>
      <c r="I63" s="208">
        <f>E63+G63</f>
        <v>134952882</v>
      </c>
    </row>
    <row r="64" spans="1:13" ht="21" customHeight="1" x14ac:dyDescent="0.25">
      <c r="A64" s="271" t="s">
        <v>258</v>
      </c>
      <c r="B64" s="193" t="s">
        <v>295</v>
      </c>
      <c r="C64" s="119"/>
      <c r="D64" s="119"/>
      <c r="E64" s="174">
        <f>SUM(E62:E63)</f>
        <v>69067179</v>
      </c>
      <c r="F64" s="119"/>
      <c r="G64" s="174">
        <f>SUM(G62:G63)</f>
        <v>134952882</v>
      </c>
      <c r="H64" s="119"/>
      <c r="I64" s="174">
        <f>SUM(I62:I63)</f>
        <v>204020061</v>
      </c>
    </row>
    <row r="65" spans="1:9" ht="21" customHeight="1" x14ac:dyDescent="0.25">
      <c r="A65" s="271"/>
      <c r="B65" s="119"/>
      <c r="C65" s="119"/>
      <c r="D65" s="119"/>
      <c r="E65" s="119"/>
      <c r="F65" s="119"/>
      <c r="G65" s="119"/>
      <c r="H65" s="119"/>
      <c r="I65" s="119"/>
    </row>
    <row r="66" spans="1:9" ht="21" customHeight="1" thickBot="1" x14ac:dyDescent="0.3">
      <c r="A66" s="271" t="s">
        <v>259</v>
      </c>
      <c r="B66" s="119" t="s">
        <v>101</v>
      </c>
      <c r="C66" s="119"/>
      <c r="D66" s="119"/>
      <c r="E66" s="86">
        <f>+E59-E64</f>
        <v>659819054</v>
      </c>
      <c r="F66" s="119"/>
      <c r="G66" s="86">
        <f>+G59-G64</f>
        <v>65315867</v>
      </c>
      <c r="H66" s="119"/>
      <c r="I66" s="86">
        <f>+I59-I64</f>
        <v>725134921</v>
      </c>
    </row>
    <row r="67" spans="1:9" ht="21" customHeight="1" thickTop="1" x14ac:dyDescent="0.25">
      <c r="A67" s="271"/>
      <c r="B67" s="119"/>
      <c r="C67" s="119"/>
      <c r="D67" s="119"/>
      <c r="E67" s="119"/>
      <c r="F67" s="119"/>
      <c r="G67" s="119"/>
      <c r="H67" s="119"/>
      <c r="I67" s="119"/>
    </row>
    <row r="68" spans="1:9" ht="21" customHeight="1" thickBot="1" x14ac:dyDescent="0.3">
      <c r="A68" s="271" t="s">
        <v>260</v>
      </c>
      <c r="B68" s="119" t="s">
        <v>102</v>
      </c>
      <c r="C68" s="119"/>
      <c r="D68" s="119"/>
      <c r="E68" s="248">
        <f>ROUND(+E66*0.125,0)</f>
        <v>82477382</v>
      </c>
      <c r="F68" s="119"/>
      <c r="G68" s="248">
        <f>ROUND(+G66*0.125,0)</f>
        <v>8164483</v>
      </c>
      <c r="H68" s="119"/>
      <c r="I68" s="248">
        <f>+E68+G68</f>
        <v>90641865</v>
      </c>
    </row>
    <row r="69" spans="1:9" ht="16.5" thickTop="1" x14ac:dyDescent="0.25">
      <c r="C69" s="119"/>
      <c r="D69" s="119"/>
    </row>
    <row r="70" spans="1:9" x14ac:dyDescent="0.25">
      <c r="A70" s="271"/>
      <c r="B70" s="193"/>
      <c r="C70" s="119"/>
      <c r="D70" s="119"/>
      <c r="E70" s="119"/>
      <c r="F70" s="119"/>
      <c r="G70" s="119"/>
      <c r="H70" s="119"/>
      <c r="I70" s="119"/>
    </row>
    <row r="71" spans="1:9" x14ac:dyDescent="0.25">
      <c r="A71" s="271"/>
      <c r="B71" s="193"/>
      <c r="C71" s="119"/>
      <c r="D71" s="119"/>
      <c r="E71" s="119"/>
      <c r="F71" s="119"/>
      <c r="G71" s="119"/>
      <c r="H71" s="119"/>
      <c r="I71" s="119"/>
    </row>
  </sheetData>
  <mergeCells count="3">
    <mergeCell ref="A6:I6"/>
    <mergeCell ref="A53:I53"/>
    <mergeCell ref="A7:I7"/>
  </mergeCells>
  <phoneticPr fontId="0" type="noConversion"/>
  <printOptions horizontalCentered="1" gridLinesSet="0"/>
  <pageMargins left="0" right="0" top="0.5" bottom="0" header="0.5" footer="0.5"/>
  <pageSetup scale="64" orientation="portrait" r:id="rId1"/>
  <headerFooter alignWithMargins="0"/>
  <rowBreaks count="1" manualBreakCount="1">
    <brk id="46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 enableFormatConditionsCalculation="0">
    <pageSetUpPr fitToPage="1"/>
  </sheetPr>
  <dimension ref="A1:I22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14.625" style="2" customWidth="1"/>
    <col min="2" max="2" width="11.625" style="2" customWidth="1"/>
    <col min="3" max="3" width="14.625" style="2" customWidth="1"/>
    <col min="4" max="4" width="9.5" style="2" customWidth="1"/>
    <col min="5" max="5" width="16.75" style="2" customWidth="1"/>
    <col min="6" max="16384" width="9.625" style="2"/>
  </cols>
  <sheetData>
    <row r="1" spans="1:5" x14ac:dyDescent="0.25">
      <c r="A1" s="10"/>
      <c r="B1" s="10"/>
      <c r="C1" s="10"/>
      <c r="D1" s="10"/>
      <c r="E1" s="10"/>
    </row>
    <row r="2" spans="1:5" x14ac:dyDescent="0.25">
      <c r="A2" s="1"/>
    </row>
    <row r="3" spans="1:5" x14ac:dyDescent="0.25">
      <c r="E3" s="293" t="str">
        <f>'Ex 1'!$P$1</f>
        <v>Exhibit 1</v>
      </c>
    </row>
    <row r="4" spans="1:5" x14ac:dyDescent="0.25">
      <c r="E4" s="337" t="str">
        <f>"Reference Schedule "&amp;Inputs!$A43&amp;""</f>
        <v>Reference Schedule 1.27</v>
      </c>
    </row>
    <row r="5" spans="1:5" x14ac:dyDescent="0.25">
      <c r="E5" s="11" t="str">
        <f>"Sponsoring Witness: "&amp;Inputs!$B43&amp;""</f>
        <v>Sponsoring Witness: Conroy</v>
      </c>
    </row>
    <row r="6" spans="1:5" x14ac:dyDescent="0.25">
      <c r="E6" s="7"/>
    </row>
    <row r="7" spans="1:5" x14ac:dyDescent="0.25">
      <c r="E7" s="7"/>
    </row>
    <row r="8" spans="1:5" x14ac:dyDescent="0.25">
      <c r="A8" s="14" t="s">
        <v>222</v>
      </c>
      <c r="B8" s="13"/>
      <c r="C8" s="13"/>
      <c r="D8" s="13"/>
      <c r="E8" s="13"/>
    </row>
    <row r="9" spans="1:5" x14ac:dyDescent="0.25">
      <c r="A9" s="13"/>
      <c r="B9" s="13"/>
      <c r="C9" s="13"/>
      <c r="D9" s="13"/>
      <c r="E9" s="13"/>
    </row>
    <row r="10" spans="1:5" s="528" customFormat="1" x14ac:dyDescent="0.25">
      <c r="A10" s="530"/>
      <c r="B10" s="13"/>
      <c r="C10" s="13"/>
      <c r="D10" s="13"/>
      <c r="E10" s="13"/>
    </row>
    <row r="11" spans="1:5" x14ac:dyDescent="0.25">
      <c r="A11" s="13" t="s">
        <v>64</v>
      </c>
      <c r="B11" s="13"/>
      <c r="C11" s="13"/>
      <c r="D11" s="13"/>
      <c r="E11" s="13"/>
    </row>
    <row r="12" spans="1:5" x14ac:dyDescent="0.25">
      <c r="A12" s="4" t="str">
        <f>"For the Twelve Months Ended "&amp;Inputs!B3&amp;""</f>
        <v>For the Twelve Months Ended March 31, 2012</v>
      </c>
      <c r="B12" s="530"/>
      <c r="C12" s="530"/>
      <c r="D12" s="530"/>
      <c r="E12" s="530"/>
    </row>
    <row r="13" spans="1:5" x14ac:dyDescent="0.25">
      <c r="A13" s="528"/>
      <c r="B13" s="1"/>
      <c r="C13" s="528"/>
      <c r="D13" s="528"/>
      <c r="E13" s="528"/>
    </row>
    <row r="14" spans="1:5" x14ac:dyDescent="0.25">
      <c r="A14" s="528"/>
      <c r="B14" s="528"/>
      <c r="C14" s="528"/>
      <c r="D14" s="528"/>
      <c r="E14" s="528"/>
    </row>
    <row r="15" spans="1:5" x14ac:dyDescent="0.25">
      <c r="A15" s="528"/>
      <c r="B15" s="528"/>
      <c r="C15" s="528"/>
      <c r="D15" s="528"/>
      <c r="E15" s="528"/>
    </row>
    <row r="16" spans="1:5" x14ac:dyDescent="0.25">
      <c r="A16" s="528"/>
      <c r="B16" s="528"/>
      <c r="C16" s="528"/>
      <c r="D16" s="531"/>
      <c r="E16" s="15" t="s">
        <v>221</v>
      </c>
    </row>
    <row r="17" spans="1:9" x14ac:dyDescent="0.25">
      <c r="A17" s="21"/>
      <c r="B17" s="21"/>
      <c r="C17" s="528"/>
      <c r="D17" s="27"/>
      <c r="E17" s="29"/>
    </row>
    <row r="18" spans="1:9" ht="16.5" thickBot="1" x14ac:dyDescent="0.3">
      <c r="A18" s="20" t="s">
        <v>67</v>
      </c>
      <c r="B18" s="21"/>
      <c r="C18" s="528"/>
      <c r="D18" s="67"/>
      <c r="E18" s="248">
        <v>2313121</v>
      </c>
    </row>
    <row r="19" spans="1:9" ht="16.5" thickTop="1" x14ac:dyDescent="0.25"/>
    <row r="22" spans="1:9" x14ac:dyDescent="0.25">
      <c r="I22" s="106"/>
    </row>
  </sheetData>
  <phoneticPr fontId="0" type="noConversion"/>
  <printOptions horizontalCentered="1" gridLinesSet="0"/>
  <pageMargins left="1.2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pageSetUpPr fitToPage="1"/>
  </sheetPr>
  <dimension ref="A1:I26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14.625" style="528" customWidth="1"/>
    <col min="2" max="2" width="15.625" style="528" customWidth="1"/>
    <col min="3" max="3" width="18.875" style="528" customWidth="1"/>
    <col min="4" max="4" width="16.5" style="528" customWidth="1"/>
    <col min="5" max="5" width="16.75" style="528" customWidth="1"/>
    <col min="6" max="16384" width="9.625" style="528"/>
  </cols>
  <sheetData>
    <row r="1" spans="1:5" x14ac:dyDescent="0.25">
      <c r="A1" s="10"/>
      <c r="B1" s="10"/>
      <c r="C1" s="10"/>
      <c r="D1" s="10"/>
      <c r="E1" s="10"/>
    </row>
    <row r="2" spans="1:5" x14ac:dyDescent="0.25">
      <c r="A2" s="1"/>
    </row>
    <row r="3" spans="1:5" x14ac:dyDescent="0.25">
      <c r="E3" s="293" t="str">
        <f>'Ex 1'!$P$1</f>
        <v>Exhibit 1</v>
      </c>
    </row>
    <row r="4" spans="1:5" x14ac:dyDescent="0.25">
      <c r="E4" s="337" t="str">
        <f>"Reference Schedule "&amp;Inputs!$A44&amp;""</f>
        <v>Reference Schedule 1.28</v>
      </c>
    </row>
    <row r="5" spans="1:5" x14ac:dyDescent="0.25">
      <c r="E5" s="11" t="str">
        <f>"Sponsoring Witness: "&amp;Inputs!$B44&amp;""</f>
        <v>Sponsoring Witness: Conroy</v>
      </c>
    </row>
    <row r="6" spans="1:5" x14ac:dyDescent="0.25">
      <c r="E6" s="7"/>
    </row>
    <row r="7" spans="1:5" x14ac:dyDescent="0.25">
      <c r="E7" s="7"/>
    </row>
    <row r="8" spans="1:5" x14ac:dyDescent="0.25">
      <c r="A8" s="14" t="s">
        <v>222</v>
      </c>
      <c r="B8" s="13"/>
      <c r="C8" s="13"/>
      <c r="D8" s="13"/>
      <c r="E8" s="13"/>
    </row>
    <row r="9" spans="1:5" x14ac:dyDescent="0.25">
      <c r="A9" s="13"/>
      <c r="B9" s="13"/>
      <c r="C9" s="13"/>
      <c r="D9" s="13"/>
      <c r="E9" s="13"/>
    </row>
    <row r="10" spans="1:5" x14ac:dyDescent="0.25">
      <c r="A10" s="530"/>
      <c r="B10" s="13"/>
      <c r="C10" s="13"/>
      <c r="D10" s="13"/>
      <c r="E10" s="13"/>
    </row>
    <row r="11" spans="1:5" x14ac:dyDescent="0.25">
      <c r="A11" s="530" t="s">
        <v>637</v>
      </c>
      <c r="B11" s="13"/>
      <c r="C11" s="13"/>
      <c r="D11" s="13"/>
      <c r="E11" s="13"/>
    </row>
    <row r="12" spans="1:5" x14ac:dyDescent="0.25">
      <c r="A12" s="4" t="str">
        <f>"For the Twelve Months Ended "&amp;Inputs!B3&amp;""</f>
        <v>For the Twelve Months Ended March 31, 2012</v>
      </c>
      <c r="B12" s="530"/>
      <c r="C12" s="530"/>
      <c r="D12" s="530"/>
      <c r="E12" s="530"/>
    </row>
    <row r="13" spans="1:5" x14ac:dyDescent="0.25">
      <c r="B13" s="1"/>
    </row>
    <row r="14" spans="1:5" x14ac:dyDescent="0.25">
      <c r="A14" s="520"/>
    </row>
    <row r="16" spans="1:5" x14ac:dyDescent="0.25">
      <c r="D16" s="531"/>
      <c r="E16" s="15" t="s">
        <v>221</v>
      </c>
    </row>
    <row r="17" spans="1:9" x14ac:dyDescent="0.25">
      <c r="A17" s="21"/>
      <c r="B17" s="21"/>
      <c r="D17" s="27"/>
      <c r="E17" s="29"/>
    </row>
    <row r="18" spans="1:9" x14ac:dyDescent="0.25">
      <c r="A18" s="26" t="s">
        <v>733</v>
      </c>
      <c r="B18" s="21"/>
      <c r="D18" s="67"/>
      <c r="E18" s="174">
        <v>828312</v>
      </c>
    </row>
    <row r="19" spans="1:9" x14ac:dyDescent="0.25">
      <c r="A19" s="21"/>
      <c r="B19" s="21"/>
      <c r="D19" s="27"/>
      <c r="E19" s="29"/>
    </row>
    <row r="20" spans="1:9" x14ac:dyDescent="0.25">
      <c r="A20" s="26" t="s">
        <v>734</v>
      </c>
      <c r="B20" s="21"/>
      <c r="D20" s="67"/>
      <c r="E20" s="682">
        <v>0.53200000000000003</v>
      </c>
    </row>
    <row r="21" spans="1:9" x14ac:dyDescent="0.25">
      <c r="A21" s="21"/>
      <c r="B21" s="21"/>
      <c r="D21" s="27"/>
      <c r="E21" s="29"/>
    </row>
    <row r="22" spans="1:9" ht="16.5" thickBot="1" x14ac:dyDescent="0.3">
      <c r="A22" s="26" t="s">
        <v>735</v>
      </c>
      <c r="B22" s="21"/>
      <c r="D22" s="67"/>
      <c r="E22" s="248">
        <f>ROUND(E18*E20,0)</f>
        <v>440662</v>
      </c>
    </row>
    <row r="23" spans="1:9" ht="16.5" thickTop="1" x14ac:dyDescent="0.25"/>
    <row r="24" spans="1:9" ht="16.5" thickBot="1" x14ac:dyDescent="0.3">
      <c r="A24" s="26" t="s">
        <v>736</v>
      </c>
      <c r="B24" s="21"/>
      <c r="D24" s="67"/>
      <c r="E24" s="248">
        <f>-E22</f>
        <v>-440662</v>
      </c>
    </row>
    <row r="25" spans="1:9" ht="16.5" thickTop="1" x14ac:dyDescent="0.25"/>
    <row r="26" spans="1:9" x14ac:dyDescent="0.25">
      <c r="I26" s="520"/>
    </row>
  </sheetData>
  <printOptions horizontalCentered="1" gridLinesSet="0"/>
  <pageMargins left="1.25" right="0.75" top="1" bottom="1" header="0.5" footer="0.5"/>
  <pageSetup scale="9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5" enableFormatConditionsCalculation="0">
    <pageSetUpPr fitToPage="1"/>
  </sheetPr>
  <dimension ref="A2:I53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12.75" style="81" customWidth="1"/>
    <col min="2" max="2" width="36" style="81" customWidth="1"/>
    <col min="3" max="3" width="12.75" style="81" customWidth="1"/>
    <col min="4" max="4" width="5.125" style="81" customWidth="1"/>
    <col min="5" max="5" width="15.5" style="81" customWidth="1"/>
    <col min="6" max="6" width="11.75" style="82" customWidth="1"/>
    <col min="7" max="16384" width="9.625" style="81"/>
  </cols>
  <sheetData>
    <row r="2" spans="1:6" ht="15.75" x14ac:dyDescent="0.25">
      <c r="A2" s="2"/>
      <c r="B2" s="1"/>
      <c r="C2" s="2"/>
      <c r="D2" s="2"/>
      <c r="E2" s="2"/>
      <c r="F2" s="7"/>
    </row>
    <row r="3" spans="1:6" ht="15.75" x14ac:dyDescent="0.25">
      <c r="A3" s="2"/>
      <c r="B3" s="2"/>
      <c r="C3" s="2"/>
      <c r="D3" s="2"/>
      <c r="E3" s="2"/>
      <c r="F3" s="293" t="str">
        <f>'Ex 1'!$P$1</f>
        <v>Exhibit 1</v>
      </c>
    </row>
    <row r="4" spans="1:6" ht="15.75" x14ac:dyDescent="0.25">
      <c r="A4" s="2"/>
      <c r="B4" s="2"/>
      <c r="C4" s="2"/>
      <c r="D4" s="2"/>
      <c r="E4" s="1"/>
      <c r="F4" s="337" t="str">
        <f>"Reference Schedule "&amp;Inputs!$A45&amp;""</f>
        <v>Reference Schedule 1.29</v>
      </c>
    </row>
    <row r="5" spans="1:6" ht="15.75" x14ac:dyDescent="0.25">
      <c r="A5" s="2"/>
      <c r="B5" s="2"/>
      <c r="C5" s="2"/>
      <c r="D5" s="2"/>
      <c r="E5" s="1"/>
      <c r="F5" s="11" t="str">
        <f>"Sponsoring Witness: "&amp;Inputs!$B45&amp;""</f>
        <v>Sponsoring Witness: Blake</v>
      </c>
    </row>
    <row r="6" spans="1:6" ht="15.75" x14ac:dyDescent="0.25">
      <c r="A6" s="2"/>
      <c r="B6" s="2"/>
      <c r="C6" s="2"/>
      <c r="D6" s="2"/>
      <c r="E6" s="2"/>
      <c r="F6" s="44"/>
    </row>
    <row r="7" spans="1:6" ht="15.75" x14ac:dyDescent="0.25">
      <c r="A7" s="2"/>
      <c r="B7" s="2"/>
      <c r="C7" s="2"/>
      <c r="D7" s="2"/>
      <c r="E7" s="2"/>
      <c r="F7" s="44"/>
    </row>
    <row r="8" spans="1:6" ht="15.75" x14ac:dyDescent="0.25">
      <c r="A8" s="716" t="s">
        <v>222</v>
      </c>
      <c r="B8" s="716"/>
      <c r="C8" s="716"/>
      <c r="D8" s="716"/>
      <c r="E8" s="716"/>
      <c r="F8" s="716"/>
    </row>
    <row r="9" spans="1:6" ht="15.75" x14ac:dyDescent="0.25">
      <c r="A9" s="53"/>
      <c r="B9" s="53"/>
      <c r="C9" s="53"/>
      <c r="D9" s="53"/>
      <c r="E9" s="53"/>
      <c r="F9" s="53"/>
    </row>
    <row r="10" spans="1:6" ht="15.75" x14ac:dyDescent="0.25">
      <c r="A10" s="4"/>
      <c r="B10" s="4"/>
      <c r="C10" s="4"/>
      <c r="D10" s="4"/>
      <c r="E10" s="2"/>
      <c r="F10" s="44"/>
    </row>
    <row r="11" spans="1:6" ht="15.75" x14ac:dyDescent="0.25">
      <c r="A11" s="707" t="s">
        <v>309</v>
      </c>
      <c r="B11" s="707"/>
      <c r="C11" s="707"/>
      <c r="D11" s="707"/>
      <c r="E11" s="707"/>
      <c r="F11" s="707"/>
    </row>
    <row r="12" spans="1:6" ht="15.75" x14ac:dyDescent="0.25">
      <c r="A12" s="707" t="s">
        <v>308</v>
      </c>
      <c r="B12" s="707"/>
      <c r="C12" s="707"/>
      <c r="D12" s="707"/>
      <c r="E12" s="707"/>
      <c r="F12" s="707"/>
    </row>
    <row r="13" spans="1:6" ht="15.75" x14ac:dyDescent="0.25">
      <c r="A13" s="721" t="s">
        <v>476</v>
      </c>
      <c r="B13" s="716"/>
      <c r="C13" s="716"/>
      <c r="D13" s="716"/>
      <c r="E13" s="716"/>
      <c r="F13" s="716"/>
    </row>
    <row r="14" spans="1:6" ht="15.75" x14ac:dyDescent="0.25">
      <c r="A14" s="4"/>
      <c r="B14" s="4"/>
      <c r="C14" s="4"/>
      <c r="D14" s="4"/>
      <c r="E14" s="6"/>
      <c r="F14" s="44"/>
    </row>
    <row r="15" spans="1:6" ht="15.75" x14ac:dyDescent="0.25">
      <c r="A15" s="21"/>
      <c r="B15" s="21"/>
      <c r="C15" s="27"/>
      <c r="D15" s="28"/>
      <c r="E15" s="29"/>
      <c r="F15" s="44"/>
    </row>
    <row r="16" spans="1:6" ht="15.75" x14ac:dyDescent="0.25">
      <c r="A16" s="21" t="s">
        <v>287</v>
      </c>
      <c r="B16" s="21"/>
      <c r="C16" s="67"/>
      <c r="D16" s="68"/>
      <c r="E16" s="35"/>
      <c r="F16" s="46">
        <v>100</v>
      </c>
    </row>
    <row r="17" spans="1:9" ht="15.75" x14ac:dyDescent="0.25">
      <c r="A17" s="22"/>
      <c r="B17" s="21"/>
      <c r="C17" s="29"/>
      <c r="D17" s="52"/>
      <c r="E17" s="29"/>
      <c r="F17" s="47"/>
    </row>
    <row r="18" spans="1:9" ht="15.75" x14ac:dyDescent="0.25">
      <c r="A18" s="22" t="s">
        <v>156</v>
      </c>
      <c r="B18" s="21"/>
      <c r="C18" s="29"/>
      <c r="D18" s="29"/>
      <c r="E18" s="29"/>
      <c r="F18" s="78">
        <f>F48</f>
        <v>5.8277400000000004</v>
      </c>
    </row>
    <row r="19" spans="1:9" ht="15.75" x14ac:dyDescent="0.25">
      <c r="A19" s="22"/>
      <c r="B19" s="21"/>
      <c r="C19" s="29"/>
      <c r="D19" s="29"/>
      <c r="E19" s="29"/>
      <c r="F19" s="79"/>
    </row>
    <row r="20" spans="1:9" ht="15.75" x14ac:dyDescent="0.25">
      <c r="A20" s="26" t="s">
        <v>383</v>
      </c>
      <c r="B20" s="21"/>
      <c r="C20" s="41"/>
      <c r="D20" s="35"/>
      <c r="E20" s="41"/>
      <c r="F20" s="80">
        <f>+F16-F18</f>
        <v>94.172259999999994</v>
      </c>
    </row>
    <row r="21" spans="1:9" ht="15.75" x14ac:dyDescent="0.25">
      <c r="A21" s="225" t="s">
        <v>17</v>
      </c>
      <c r="B21" s="21"/>
      <c r="C21" s="41"/>
      <c r="D21" s="35"/>
      <c r="E21" s="223">
        <v>0.09</v>
      </c>
    </row>
    <row r="22" spans="1:9" ht="15.75" x14ac:dyDescent="0.25">
      <c r="A22" s="225" t="s">
        <v>384</v>
      </c>
      <c r="B22" s="21"/>
      <c r="C22" s="41"/>
      <c r="D22" s="35"/>
      <c r="E22" s="592">
        <v>0.47849999999999998</v>
      </c>
    </row>
    <row r="23" spans="1:9" ht="15.75" x14ac:dyDescent="0.25">
      <c r="A23" s="219" t="s">
        <v>18</v>
      </c>
      <c r="B23" s="21"/>
      <c r="C23" s="41"/>
      <c r="D23" s="35"/>
      <c r="E23" s="224">
        <f>ROUND(E21*E22,4)</f>
        <v>4.3099999999999999E-2</v>
      </c>
      <c r="I23" s="114"/>
    </row>
    <row r="24" spans="1:9" ht="15.75" x14ac:dyDescent="0.25">
      <c r="A24" s="219" t="s">
        <v>715</v>
      </c>
      <c r="B24" s="21"/>
      <c r="C24" s="52"/>
      <c r="D24" s="29"/>
      <c r="E24" s="29"/>
      <c r="F24" s="78">
        <f>E23*F20</f>
        <v>4.0588244059999994</v>
      </c>
    </row>
    <row r="25" spans="1:9" ht="15.75" x14ac:dyDescent="0.25">
      <c r="A25" s="219"/>
      <c r="B25" s="21"/>
      <c r="C25" s="52"/>
      <c r="D25" s="29"/>
      <c r="E25" s="29"/>
      <c r="F25" s="80"/>
    </row>
    <row r="26" spans="1:9" ht="15.75" x14ac:dyDescent="0.25">
      <c r="A26" s="219" t="s">
        <v>10</v>
      </c>
      <c r="B26" s="21"/>
      <c r="C26" s="52"/>
      <c r="D26" s="29"/>
      <c r="E26" s="29"/>
      <c r="F26" s="80">
        <f>F20-F24</f>
        <v>90.113435593999995</v>
      </c>
    </row>
    <row r="27" spans="1:9" ht="15.75" x14ac:dyDescent="0.25">
      <c r="A27" s="26"/>
      <c r="B27" s="21"/>
      <c r="C27" s="52"/>
      <c r="D27" s="29"/>
      <c r="E27" s="29"/>
      <c r="F27" s="79"/>
    </row>
    <row r="28" spans="1:9" ht="15.75" x14ac:dyDescent="0.25">
      <c r="A28" s="26" t="s">
        <v>11</v>
      </c>
      <c r="B28" s="21"/>
      <c r="C28" s="52"/>
      <c r="D28" s="29"/>
      <c r="E28" s="29"/>
      <c r="F28" s="78">
        <f>ROUND(+F26*0.35,6)</f>
        <v>31.539701999999998</v>
      </c>
    </row>
    <row r="29" spans="1:9" ht="15.75" x14ac:dyDescent="0.25">
      <c r="A29" s="26"/>
      <c r="B29" s="21"/>
      <c r="C29" s="52"/>
      <c r="D29" s="29"/>
      <c r="E29" s="29"/>
      <c r="F29" s="47"/>
    </row>
    <row r="30" spans="1:9" ht="16.5" thickBot="1" x14ac:dyDescent="0.3">
      <c r="A30" s="26" t="s">
        <v>12</v>
      </c>
      <c r="B30" s="21"/>
      <c r="C30" s="52"/>
      <c r="D30" s="29"/>
      <c r="E30" s="29"/>
      <c r="F30" s="48">
        <f>+F18+F28</f>
        <v>37.367441999999997</v>
      </c>
    </row>
    <row r="31" spans="1:9" ht="16.5" thickTop="1" x14ac:dyDescent="0.25">
      <c r="A31" s="26"/>
      <c r="B31" s="21"/>
      <c r="C31" s="31"/>
      <c r="D31" s="29"/>
      <c r="E31" s="29"/>
      <c r="F31" s="45"/>
    </row>
    <row r="32" spans="1:9" ht="15.75" x14ac:dyDescent="0.25">
      <c r="A32" s="26" t="s">
        <v>13</v>
      </c>
      <c r="B32" s="21"/>
      <c r="C32" s="29"/>
      <c r="D32" s="30"/>
      <c r="E32" s="29"/>
      <c r="F32" s="45"/>
    </row>
    <row r="33" spans="1:6" ht="15.75" x14ac:dyDescent="0.25">
      <c r="A33" s="26" t="s">
        <v>14</v>
      </c>
      <c r="B33" s="21"/>
      <c r="C33" s="49">
        <f>+F28/100</f>
        <v>0.31539701999999997</v>
      </c>
      <c r="D33" s="31"/>
      <c r="E33" s="29"/>
      <c r="F33" s="45"/>
    </row>
    <row r="34" spans="1:6" ht="15.75" x14ac:dyDescent="0.25">
      <c r="A34" s="26" t="s">
        <v>15</v>
      </c>
      <c r="B34" s="21"/>
      <c r="C34" s="50">
        <f>+F18/100</f>
        <v>5.8277400000000007E-2</v>
      </c>
      <c r="D34" s="30"/>
      <c r="E34" s="29"/>
      <c r="F34" s="45"/>
    </row>
    <row r="35" spans="1:6" ht="16.5" thickBot="1" x14ac:dyDescent="0.3">
      <c r="A35" s="26" t="s">
        <v>16</v>
      </c>
      <c r="B35" s="21"/>
      <c r="C35" s="77">
        <f>SUM(C33:C34)</f>
        <v>0.37367441999999995</v>
      </c>
      <c r="D35" s="31"/>
      <c r="E35" s="29"/>
      <c r="F35" s="44"/>
    </row>
    <row r="36" spans="1:6" ht="12.75" thickTop="1" x14ac:dyDescent="0.15"/>
    <row r="39" spans="1:6" ht="15.75" x14ac:dyDescent="0.25">
      <c r="A39" s="216" t="s">
        <v>6</v>
      </c>
    </row>
    <row r="40" spans="1:6" ht="15.75" x14ac:dyDescent="0.25">
      <c r="A40" s="217" t="s">
        <v>287</v>
      </c>
      <c r="F40" s="46">
        <v>100</v>
      </c>
    </row>
    <row r="41" spans="1:6" ht="15.75" x14ac:dyDescent="0.25">
      <c r="A41" s="218"/>
      <c r="F41" s="220"/>
    </row>
    <row r="42" spans="1:6" ht="15.75" x14ac:dyDescent="0.25">
      <c r="A42" s="219" t="s">
        <v>714</v>
      </c>
      <c r="F42" s="78">
        <f>ROUND(6*E22,6)</f>
        <v>2.871</v>
      </c>
    </row>
    <row r="43" spans="1:6" ht="15.75" x14ac:dyDescent="0.25">
      <c r="A43" s="218"/>
      <c r="F43" s="79"/>
    </row>
    <row r="44" spans="1:6" ht="15.75" x14ac:dyDescent="0.25">
      <c r="A44" s="219" t="s">
        <v>7</v>
      </c>
      <c r="F44" s="80">
        <f>+F40-F42</f>
        <v>97.129000000000005</v>
      </c>
    </row>
    <row r="45" spans="1:6" ht="15.75" x14ac:dyDescent="0.25">
      <c r="A45" s="217"/>
      <c r="F45" s="80"/>
    </row>
    <row r="46" spans="1:6" ht="15.75" x14ac:dyDescent="0.25">
      <c r="A46" s="217" t="s">
        <v>8</v>
      </c>
      <c r="F46" s="221">
        <v>0.06</v>
      </c>
    </row>
    <row r="47" spans="1:6" ht="15.75" x14ac:dyDescent="0.25">
      <c r="A47" s="219"/>
      <c r="F47" s="79"/>
    </row>
    <row r="48" spans="1:6" ht="16.5" thickBot="1" x14ac:dyDescent="0.3">
      <c r="A48" s="218" t="s">
        <v>9</v>
      </c>
      <c r="F48" s="222">
        <f>ROUND(+F44*F46,6)</f>
        <v>5.8277400000000004</v>
      </c>
    </row>
    <row r="49" spans="1:1" ht="12.75" thickTop="1" x14ac:dyDescent="0.15"/>
    <row r="51" spans="1:1" ht="15.75" x14ac:dyDescent="0.25">
      <c r="A51" s="219" t="s">
        <v>457</v>
      </c>
    </row>
    <row r="52" spans="1:1" ht="15.75" x14ac:dyDescent="0.25">
      <c r="A52" s="219" t="s">
        <v>455</v>
      </c>
    </row>
    <row r="53" spans="1:1" ht="15.75" x14ac:dyDescent="0.25">
      <c r="A53" s="219" t="s">
        <v>456</v>
      </c>
    </row>
  </sheetData>
  <mergeCells count="4">
    <mergeCell ref="A8:F8"/>
    <mergeCell ref="A11:F11"/>
    <mergeCell ref="A12:F12"/>
    <mergeCell ref="A13:F13"/>
  </mergeCells>
  <phoneticPr fontId="0" type="noConversion"/>
  <printOptions gridLinesSet="0"/>
  <pageMargins left="1.25" right="0.5" top="1" bottom="1" header="0.5" footer="0.5"/>
  <pageSetup scale="7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32" enableFormatConditionsCalculation="0">
    <pageSetUpPr fitToPage="1"/>
  </sheetPr>
  <dimension ref="A3:Q41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1" width="1.125" style="106" customWidth="1"/>
    <col min="2" max="3" width="9.625" style="106"/>
    <col min="4" max="4" width="17.5" style="106" customWidth="1"/>
    <col min="5" max="5" width="21.375" style="106" customWidth="1"/>
    <col min="6" max="6" width="1.875" style="106" customWidth="1"/>
    <col min="7" max="7" width="18.25" style="106" customWidth="1"/>
    <col min="8" max="8" width="2.75" style="106" customWidth="1"/>
    <col min="9" max="9" width="15.125" style="106" customWidth="1"/>
    <col min="10" max="10" width="9.625" style="106"/>
    <col min="11" max="11" width="10.75" style="106" customWidth="1"/>
    <col min="12" max="12" width="32.125" style="106" customWidth="1"/>
    <col min="13" max="13" width="10.875" style="106" bestFit="1" customWidth="1"/>
    <col min="14" max="14" width="2.875" style="106" customWidth="1"/>
    <col min="15" max="15" width="11.25" style="106" customWidth="1"/>
    <col min="16" max="16" width="3.25" style="106" customWidth="1"/>
    <col min="17" max="17" width="10.75" style="106" customWidth="1"/>
    <col min="18" max="16384" width="9.625" style="106"/>
  </cols>
  <sheetData>
    <row r="3" spans="1:17" x14ac:dyDescent="0.25">
      <c r="B3" s="150"/>
      <c r="C3" s="150"/>
      <c r="D3" s="150"/>
      <c r="E3" s="150"/>
      <c r="F3" s="150"/>
      <c r="G3" s="150"/>
      <c r="H3" s="150"/>
      <c r="I3" s="293" t="str">
        <f>'Ex 1'!$P$1</f>
        <v>Exhibit 1</v>
      </c>
    </row>
    <row r="4" spans="1:17" x14ac:dyDescent="0.25">
      <c r="I4" s="337" t="str">
        <f>"Reference Schedule "&amp;Inputs!$A46&amp;""</f>
        <v>Reference Schedule 1.30</v>
      </c>
    </row>
    <row r="5" spans="1:17" x14ac:dyDescent="0.25">
      <c r="I5" s="11" t="str">
        <f>"Sponsoring Witness: "&amp;Inputs!$B46&amp;""</f>
        <v>Sponsoring Witness: Blake</v>
      </c>
    </row>
    <row r="6" spans="1:17" x14ac:dyDescent="0.25">
      <c r="I6" s="118"/>
    </row>
    <row r="8" spans="1:17" x14ac:dyDescent="0.25">
      <c r="B8" s="708" t="s">
        <v>222</v>
      </c>
      <c r="C8" s="708"/>
      <c r="D8" s="708"/>
      <c r="E8" s="708"/>
      <c r="F8" s="708"/>
      <c r="G8" s="708"/>
      <c r="H8" s="708"/>
      <c r="I8" s="708"/>
    </row>
    <row r="9" spans="1:17" x14ac:dyDescent="0.25">
      <c r="B9" s="120"/>
      <c r="C9" s="120"/>
      <c r="D9" s="120"/>
      <c r="E9" s="120"/>
      <c r="F9" s="120"/>
      <c r="G9" s="120"/>
      <c r="H9" s="120"/>
      <c r="I9" s="120"/>
    </row>
    <row r="10" spans="1:17" s="520" customFormat="1" x14ac:dyDescent="0.25">
      <c r="A10" s="709"/>
      <c r="B10" s="709"/>
      <c r="C10" s="709"/>
      <c r="D10" s="709"/>
      <c r="E10" s="709"/>
      <c r="F10" s="709"/>
      <c r="G10" s="709"/>
      <c r="H10" s="709"/>
      <c r="I10" s="709"/>
    </row>
    <row r="11" spans="1:17" x14ac:dyDescent="0.25">
      <c r="A11" s="709" t="s">
        <v>349</v>
      </c>
      <c r="B11" s="709"/>
      <c r="C11" s="709"/>
      <c r="D11" s="709"/>
      <c r="E11" s="709"/>
      <c r="F11" s="709"/>
      <c r="G11" s="709"/>
      <c r="H11" s="709"/>
      <c r="I11" s="709"/>
    </row>
    <row r="12" spans="1:17" x14ac:dyDescent="0.25">
      <c r="B12" s="708" t="s">
        <v>177</v>
      </c>
      <c r="C12" s="708"/>
      <c r="D12" s="708"/>
      <c r="E12" s="708"/>
      <c r="F12" s="708"/>
      <c r="G12" s="708"/>
      <c r="H12" s="708"/>
      <c r="I12" s="708"/>
    </row>
    <row r="13" spans="1:17" x14ac:dyDescent="0.25">
      <c r="B13" s="120"/>
      <c r="C13" s="120"/>
      <c r="D13" s="120"/>
      <c r="E13" s="120"/>
      <c r="F13" s="120"/>
      <c r="G13" s="120"/>
      <c r="H13" s="120"/>
      <c r="I13" s="120"/>
    </row>
    <row r="14" spans="1:17" x14ac:dyDescent="0.25">
      <c r="B14" s="120"/>
      <c r="C14" s="120"/>
      <c r="D14" s="120"/>
      <c r="E14" s="120"/>
      <c r="F14" s="120"/>
      <c r="G14" s="120"/>
      <c r="H14" s="120"/>
      <c r="I14" s="120"/>
      <c r="K14" s="16" t="s">
        <v>503</v>
      </c>
      <c r="L14" s="16"/>
      <c r="M14" s="16"/>
      <c r="N14" s="21"/>
      <c r="O14" s="520"/>
      <c r="P14" s="520"/>
      <c r="Q14" s="520"/>
    </row>
    <row r="15" spans="1:17" x14ac:dyDescent="0.25">
      <c r="K15" s="520"/>
      <c r="L15" s="520"/>
      <c r="M15" s="520"/>
      <c r="N15" s="520"/>
      <c r="O15" s="520"/>
      <c r="P15" s="520"/>
      <c r="Q15" s="520"/>
    </row>
    <row r="16" spans="1:17" x14ac:dyDescent="0.25">
      <c r="E16" s="154"/>
      <c r="F16" s="133"/>
      <c r="G16" s="137" t="s">
        <v>220</v>
      </c>
      <c r="H16" s="133"/>
      <c r="I16" s="137" t="s">
        <v>221</v>
      </c>
      <c r="K16" s="520"/>
      <c r="L16" s="520"/>
      <c r="M16" s="501" t="s">
        <v>213</v>
      </c>
      <c r="N16" s="133"/>
      <c r="O16" s="501" t="s">
        <v>220</v>
      </c>
      <c r="P16" s="133"/>
      <c r="Q16" s="501" t="s">
        <v>221</v>
      </c>
    </row>
    <row r="17" spans="2:17" x14ac:dyDescent="0.25">
      <c r="E17" s="144"/>
      <c r="F17" s="129"/>
      <c r="G17" s="129"/>
      <c r="H17" s="129"/>
      <c r="I17" s="129"/>
      <c r="K17" s="528"/>
      <c r="L17" s="528"/>
      <c r="M17" s="528"/>
      <c r="N17" s="528"/>
      <c r="O17" s="520"/>
      <c r="P17" s="520"/>
      <c r="Q17" s="520"/>
    </row>
    <row r="18" spans="2:17" x14ac:dyDescent="0.25">
      <c r="B18" s="148" t="s">
        <v>167</v>
      </c>
      <c r="E18" s="401"/>
      <c r="F18" s="141"/>
      <c r="G18" s="212">
        <f>+'Ex 2'!N24</f>
        <v>1986161932</v>
      </c>
      <c r="H18" s="141"/>
      <c r="I18" s="212">
        <f>+'Ex 2'!N36</f>
        <v>523750968</v>
      </c>
      <c r="K18" s="12" t="s">
        <v>504</v>
      </c>
      <c r="L18" s="528"/>
      <c r="M18" s="528">
        <v>44260334.719999999</v>
      </c>
      <c r="N18" s="528"/>
      <c r="O18" s="520"/>
      <c r="P18" s="520"/>
      <c r="Q18" s="520"/>
    </row>
    <row r="19" spans="2:17" x14ac:dyDescent="0.25">
      <c r="E19" s="345"/>
      <c r="F19" s="159"/>
      <c r="G19" s="159"/>
      <c r="H19" s="159"/>
      <c r="I19" s="159"/>
      <c r="K19" s="12" t="s">
        <v>505</v>
      </c>
      <c r="L19" s="528"/>
      <c r="M19" s="528">
        <v>1400582.33</v>
      </c>
      <c r="N19" s="528"/>
      <c r="O19" s="520"/>
      <c r="P19" s="520"/>
      <c r="Q19" s="520"/>
    </row>
    <row r="20" spans="2:17" x14ac:dyDescent="0.25">
      <c r="B20" s="148" t="s">
        <v>110</v>
      </c>
      <c r="E20" s="345"/>
      <c r="F20" s="159"/>
      <c r="G20" s="402">
        <f>SUM('Ex 2'!T18:T20)</f>
        <v>1.6799999999999999E-2</v>
      </c>
      <c r="H20" s="159"/>
      <c r="I20" s="402">
        <f>SUM('Ex 2'!T30:T32)</f>
        <v>1.6799999999999999E-2</v>
      </c>
      <c r="K20" s="528" t="s">
        <v>506</v>
      </c>
      <c r="L20" s="528"/>
      <c r="M20" s="528">
        <v>79624.009999999995</v>
      </c>
      <c r="N20" s="528"/>
      <c r="O20" s="520"/>
      <c r="P20" s="520"/>
      <c r="Q20" s="520"/>
    </row>
    <row r="21" spans="2:17" x14ac:dyDescent="0.25">
      <c r="E21" s="345"/>
      <c r="F21" s="159"/>
      <c r="G21" s="159"/>
      <c r="H21" s="159"/>
      <c r="I21" s="159"/>
      <c r="K21" s="528" t="s">
        <v>507</v>
      </c>
      <c r="L21" s="528"/>
      <c r="M21" s="16">
        <v>3059.05</v>
      </c>
      <c r="N21" s="528"/>
      <c r="O21" s="520"/>
      <c r="P21" s="520"/>
      <c r="Q21" s="520"/>
    </row>
    <row r="22" spans="2:17" ht="16.5" thickBot="1" x14ac:dyDescent="0.3">
      <c r="B22" s="139" t="s">
        <v>178</v>
      </c>
      <c r="E22" s="372"/>
      <c r="F22" s="142"/>
      <c r="G22" s="212">
        <f>ROUND(+G18*G20,0)</f>
        <v>33367520</v>
      </c>
      <c r="H22" s="142"/>
      <c r="I22" s="212">
        <f>ROUND(+I18*I20,0)</f>
        <v>8799016</v>
      </c>
      <c r="K22" s="628" t="s">
        <v>508</v>
      </c>
      <c r="L22" s="528"/>
      <c r="M22" s="629">
        <f>M18-SUM(M19:M21)</f>
        <v>42777069.329999998</v>
      </c>
      <c r="N22" s="21"/>
      <c r="O22" s="520"/>
      <c r="P22" s="520"/>
      <c r="Q22" s="520"/>
    </row>
    <row r="23" spans="2:17" ht="16.5" thickTop="1" x14ac:dyDescent="0.25">
      <c r="E23" s="119"/>
      <c r="G23" s="106" t="s">
        <v>350</v>
      </c>
      <c r="I23" s="106" t="s">
        <v>350</v>
      </c>
      <c r="K23" s="12" t="s">
        <v>509</v>
      </c>
      <c r="L23" s="528"/>
      <c r="M23" s="630">
        <f>SUM(O23:Q23)</f>
        <v>1</v>
      </c>
      <c r="N23" s="528"/>
      <c r="O23" s="631">
        <f>'Supp Sch-Ex 3'!E42</f>
        <v>0.79010000000000002</v>
      </c>
      <c r="P23" s="100"/>
      <c r="Q23" s="631">
        <f>'Supp Sch-Ex 3'!O42</f>
        <v>0.2099</v>
      </c>
    </row>
    <row r="24" spans="2:17" x14ac:dyDescent="0.25">
      <c r="B24" s="139" t="s">
        <v>377</v>
      </c>
      <c r="E24" s="119"/>
      <c r="G24" s="404">
        <f>ROUND(O27,0)</f>
        <v>33443113</v>
      </c>
      <c r="H24" s="403"/>
      <c r="I24" s="404">
        <f>ROUND(Q27,0)</f>
        <v>8978907</v>
      </c>
      <c r="K24" s="1" t="s">
        <v>510</v>
      </c>
      <c r="L24" s="528"/>
      <c r="M24" s="21">
        <f>SUM(O24:Q24)</f>
        <v>42777069.329999998</v>
      </c>
      <c r="N24" s="632"/>
      <c r="O24" s="21">
        <f>$M22*O23</f>
        <v>33798162.477632999</v>
      </c>
      <c r="P24" s="535"/>
      <c r="Q24" s="21">
        <f>$M22*Q23</f>
        <v>8978906.8523670007</v>
      </c>
    </row>
    <row r="25" spans="2:17" x14ac:dyDescent="0.25">
      <c r="E25" s="119"/>
      <c r="K25" s="12" t="s">
        <v>511</v>
      </c>
      <c r="L25" s="528"/>
      <c r="M25" s="631">
        <f>'Supp Sch-Ex 3'!K42</f>
        <v>8.3000000000000001E-3</v>
      </c>
      <c r="N25" s="21"/>
      <c r="O25" s="520"/>
      <c r="P25" s="520"/>
      <c r="Q25" s="520"/>
    </row>
    <row r="26" spans="2:17" x14ac:dyDescent="0.25">
      <c r="B26" s="148" t="s">
        <v>396</v>
      </c>
      <c r="E26" s="119"/>
      <c r="G26" s="212">
        <f>G24-G22</f>
        <v>75593</v>
      </c>
      <c r="H26" s="212"/>
      <c r="I26" s="212">
        <f>I24-I22</f>
        <v>179891</v>
      </c>
      <c r="K26" s="520" t="s">
        <v>512</v>
      </c>
      <c r="L26" s="520"/>
      <c r="M26" s="528">
        <f>M24*M25</f>
        <v>355049.67543900001</v>
      </c>
      <c r="N26" s="528"/>
      <c r="O26" s="208">
        <f>-M26</f>
        <v>-355049.67543900001</v>
      </c>
      <c r="P26" s="520"/>
      <c r="Q26" s="208"/>
    </row>
    <row r="27" spans="2:17" ht="16.5" thickBot="1" x14ac:dyDescent="0.3">
      <c r="E27" s="119"/>
      <c r="K27" s="537" t="s">
        <v>513</v>
      </c>
      <c r="L27" s="520"/>
      <c r="M27" s="528"/>
      <c r="N27" s="528"/>
      <c r="O27" s="633">
        <f>O24+O26</f>
        <v>33443112.802193999</v>
      </c>
      <c r="P27" s="520"/>
      <c r="Q27" s="633">
        <f>Q24+Q26</f>
        <v>8978906.8523670007</v>
      </c>
    </row>
    <row r="28" spans="2:17" ht="16.5" thickTop="1" x14ac:dyDescent="0.25">
      <c r="B28" s="148" t="s">
        <v>397</v>
      </c>
      <c r="E28" s="405"/>
      <c r="F28" s="406"/>
      <c r="G28" s="407">
        <f>'1.29'!C35</f>
        <v>0.37367441999999995</v>
      </c>
      <c r="H28" s="406"/>
      <c r="I28" s="407">
        <f>G28</f>
        <v>0.37367441999999995</v>
      </c>
      <c r="K28" s="520"/>
      <c r="L28" s="520"/>
      <c r="M28" s="520"/>
      <c r="N28" s="528"/>
      <c r="O28" s="520"/>
      <c r="P28" s="520"/>
      <c r="Q28" s="520"/>
    </row>
    <row r="29" spans="2:17" x14ac:dyDescent="0.25">
      <c r="E29" s="144"/>
      <c r="F29" s="129"/>
      <c r="G29" s="129"/>
      <c r="H29" s="129"/>
      <c r="I29" s="129"/>
      <c r="K29" s="1" t="s">
        <v>514</v>
      </c>
      <c r="L29" s="8"/>
      <c r="M29" s="520"/>
      <c r="N29" s="520"/>
      <c r="O29" s="520"/>
      <c r="P29" s="520"/>
      <c r="Q29" s="520"/>
    </row>
    <row r="30" spans="2:17" x14ac:dyDescent="0.25">
      <c r="B30" s="148" t="s">
        <v>398</v>
      </c>
      <c r="E30" s="372"/>
      <c r="F30" s="142"/>
      <c r="K30" s="12" t="s">
        <v>680</v>
      </c>
      <c r="L30" s="634"/>
      <c r="M30" s="520"/>
      <c r="N30" s="520"/>
      <c r="O30" s="520"/>
      <c r="P30" s="520"/>
      <c r="Q30" s="520"/>
    </row>
    <row r="31" spans="2:17" ht="16.5" thickBot="1" x14ac:dyDescent="0.3">
      <c r="B31" s="139" t="s">
        <v>179</v>
      </c>
      <c r="E31" s="119"/>
      <c r="G31" s="166">
        <f>ROUND(+G26*G28,0)</f>
        <v>28247</v>
      </c>
      <c r="H31" s="142"/>
      <c r="I31" s="166">
        <f>ROUND(+I26*I28,0)</f>
        <v>67221</v>
      </c>
    </row>
    <row r="32" spans="2:17" ht="16.5" thickTop="1" x14ac:dyDescent="0.25"/>
    <row r="34" spans="11:14" x14ac:dyDescent="0.25">
      <c r="K34" s="491"/>
      <c r="L34" s="491"/>
      <c r="M34" s="491"/>
      <c r="N34" s="492"/>
    </row>
    <row r="35" spans="11:14" x14ac:dyDescent="0.25">
      <c r="K35" s="635"/>
      <c r="L35" s="636"/>
      <c r="M35" s="636"/>
      <c r="N35" s="636"/>
    </row>
    <row r="36" spans="11:14" x14ac:dyDescent="0.25">
      <c r="K36" s="535"/>
      <c r="L36" s="211"/>
      <c r="M36" s="211"/>
      <c r="N36" s="535"/>
    </row>
    <row r="37" spans="11:14" x14ac:dyDescent="0.25">
      <c r="K37" s="535"/>
      <c r="L37" s="492"/>
      <c r="M37" s="535"/>
      <c r="N37" s="535"/>
    </row>
    <row r="38" spans="11:14" x14ac:dyDescent="0.25">
      <c r="K38" s="153"/>
      <c r="L38" s="637"/>
      <c r="M38" s="636"/>
      <c r="N38" s="636"/>
    </row>
    <row r="39" spans="11:14" x14ac:dyDescent="0.25">
      <c r="K39" s="535"/>
      <c r="L39" s="535"/>
      <c r="M39" s="535"/>
      <c r="N39" s="636"/>
    </row>
    <row r="40" spans="11:14" x14ac:dyDescent="0.25">
      <c r="K40" s="535"/>
      <c r="L40" s="535"/>
      <c r="M40" s="535"/>
      <c r="N40" s="535"/>
    </row>
    <row r="41" spans="11:14" x14ac:dyDescent="0.25">
      <c r="K41" s="535"/>
      <c r="L41" s="273"/>
      <c r="M41" s="408"/>
      <c r="N41" s="535"/>
    </row>
  </sheetData>
  <mergeCells count="4">
    <mergeCell ref="B8:I8"/>
    <mergeCell ref="A11:I11"/>
    <mergeCell ref="B12:I12"/>
    <mergeCell ref="A10:I10"/>
  </mergeCells>
  <phoneticPr fontId="49" type="noConversion"/>
  <printOptions horizontalCentered="1" gridLinesSet="0"/>
  <pageMargins left="1" right="0.75" top="1.25" bottom="1" header="0.5" footer="0.5"/>
  <pageSetup scale="8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122" enableFormatConditionsCalculation="0">
    <pageSetUpPr fitToPage="1"/>
  </sheetPr>
  <dimension ref="A3:J59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2" width="9.625" style="250"/>
    <col min="3" max="3" width="10.625" style="250" customWidth="1"/>
    <col min="4" max="4" width="9.625" style="250"/>
    <col min="5" max="7" width="4.75" style="250" customWidth="1"/>
    <col min="8" max="8" width="13.125" style="250" customWidth="1"/>
    <col min="9" max="9" width="4.125" style="250" customWidth="1"/>
    <col min="10" max="10" width="13.125" style="250" customWidth="1"/>
    <col min="11" max="16384" width="9.625" style="250"/>
  </cols>
  <sheetData>
    <row r="3" spans="1:10" x14ac:dyDescent="0.25">
      <c r="J3" s="293" t="str">
        <f>'Ex 1'!$P$1</f>
        <v>Exhibit 1</v>
      </c>
    </row>
    <row r="4" spans="1:10" x14ac:dyDescent="0.25">
      <c r="J4" s="337" t="str">
        <f>"Reference Schedule "&amp;Inputs!$A47&amp;""</f>
        <v>Reference Schedule 1.31</v>
      </c>
    </row>
    <row r="5" spans="1:10" x14ac:dyDescent="0.25">
      <c r="J5" s="11" t="str">
        <f>"Sponsoring Witness: "&amp;Inputs!$B47&amp;""</f>
        <v>Sponsoring Witness: Blake</v>
      </c>
    </row>
    <row r="6" spans="1:10" x14ac:dyDescent="0.25">
      <c r="J6" s="337"/>
    </row>
    <row r="8" spans="1:10" x14ac:dyDescent="0.25">
      <c r="A8" s="381" t="s">
        <v>222</v>
      </c>
      <c r="B8" s="382"/>
      <c r="C8" s="382"/>
      <c r="D8" s="382"/>
      <c r="E8" s="382"/>
      <c r="F8" s="382"/>
      <c r="G8" s="382"/>
      <c r="H8" s="382"/>
      <c r="I8" s="382"/>
      <c r="J8" s="382"/>
    </row>
    <row r="9" spans="1:10" x14ac:dyDescent="0.25">
      <c r="A9" s="382"/>
      <c r="B9" s="382"/>
      <c r="C9" s="382"/>
      <c r="D9" s="382"/>
      <c r="E9" s="382"/>
      <c r="F9" s="382"/>
      <c r="G9" s="382"/>
      <c r="H9" s="382"/>
      <c r="I9" s="382"/>
      <c r="J9" s="382"/>
    </row>
    <row r="10" spans="1:10" x14ac:dyDescent="0.25">
      <c r="A10" s="383"/>
      <c r="B10" s="382"/>
      <c r="C10" s="382"/>
      <c r="D10" s="382"/>
      <c r="E10" s="382"/>
      <c r="F10" s="382"/>
      <c r="G10" s="382"/>
      <c r="H10" s="382"/>
      <c r="I10" s="382"/>
      <c r="J10" s="382"/>
    </row>
    <row r="11" spans="1:10" x14ac:dyDescent="0.25">
      <c r="A11" s="384" t="s">
        <v>180</v>
      </c>
      <c r="B11" s="384"/>
      <c r="C11" s="384"/>
      <c r="D11" s="384"/>
      <c r="E11" s="384"/>
      <c r="F11" s="384"/>
      <c r="G11" s="384"/>
      <c r="H11" s="384"/>
      <c r="I11" s="384"/>
      <c r="J11" s="384"/>
    </row>
    <row r="12" spans="1:10" x14ac:dyDescent="0.25">
      <c r="A12" s="385" t="str">
        <f>"For the Twelve Months Ended "&amp;Inputs!B3&amp;""</f>
        <v>For the Twelve Months Ended March 31, 2012</v>
      </c>
      <c r="B12" s="385"/>
      <c r="C12" s="385"/>
      <c r="D12" s="385"/>
      <c r="E12" s="385"/>
      <c r="F12" s="385"/>
      <c r="G12" s="385"/>
      <c r="H12" s="385"/>
      <c r="I12" s="385"/>
      <c r="J12" s="385"/>
    </row>
    <row r="13" spans="1:10" x14ac:dyDescent="0.25">
      <c r="B13" s="386"/>
    </row>
    <row r="15" spans="1:10" x14ac:dyDescent="0.25">
      <c r="E15" s="387"/>
      <c r="H15" s="387"/>
      <c r="J15" s="387"/>
    </row>
    <row r="16" spans="1:10" ht="24.75" customHeight="1" x14ac:dyDescent="0.4">
      <c r="E16" s="191"/>
      <c r="F16" s="378"/>
      <c r="G16" s="378"/>
      <c r="H16" s="183" t="s">
        <v>220</v>
      </c>
      <c r="I16" s="378"/>
      <c r="J16" s="183" t="s">
        <v>221</v>
      </c>
    </row>
    <row r="17" spans="1:10" x14ac:dyDescent="0.25">
      <c r="A17" s="425" t="s">
        <v>386</v>
      </c>
      <c r="B17" s="426"/>
      <c r="C17" s="426"/>
      <c r="D17" s="426"/>
      <c r="E17" s="427"/>
      <c r="F17" s="71"/>
      <c r="G17" s="71"/>
      <c r="H17" s="71"/>
      <c r="I17" s="71"/>
      <c r="J17" s="71"/>
    </row>
    <row r="18" spans="1:10" x14ac:dyDescent="0.25">
      <c r="A18" s="426" t="s">
        <v>387</v>
      </c>
      <c r="B18" s="426"/>
      <c r="C18" s="426"/>
      <c r="D18" s="426"/>
      <c r="E18" s="35"/>
      <c r="H18" s="71">
        <v>1000455</v>
      </c>
      <c r="J18" s="71">
        <v>151608</v>
      </c>
    </row>
    <row r="19" spans="1:10" x14ac:dyDescent="0.25">
      <c r="A19" s="426" t="s">
        <v>388</v>
      </c>
      <c r="B19" s="426"/>
      <c r="C19" s="428"/>
      <c r="D19" s="428"/>
      <c r="E19" s="35"/>
      <c r="F19" s="111"/>
      <c r="G19" s="111"/>
      <c r="H19" s="111">
        <v>-254979</v>
      </c>
      <c r="I19" s="111"/>
      <c r="J19" s="111">
        <v>-58546</v>
      </c>
    </row>
    <row r="20" spans="1:10" x14ac:dyDescent="0.25">
      <c r="A20" s="429"/>
      <c r="B20" s="428"/>
      <c r="C20" s="428"/>
      <c r="D20" s="428"/>
      <c r="E20" s="428"/>
      <c r="F20" s="388"/>
      <c r="G20" s="388"/>
      <c r="H20" s="389"/>
      <c r="I20" s="249"/>
      <c r="J20" s="389"/>
    </row>
    <row r="21" spans="1:10" x14ac:dyDescent="0.25">
      <c r="A21" s="425" t="s">
        <v>389</v>
      </c>
      <c r="B21" s="428"/>
      <c r="C21" s="428"/>
      <c r="D21" s="428"/>
      <c r="E21" s="29"/>
      <c r="F21" s="249"/>
      <c r="G21" s="249"/>
      <c r="H21" s="174">
        <f>SUM(H18:H20)</f>
        <v>745476</v>
      </c>
      <c r="I21" s="249"/>
      <c r="J21" s="174">
        <f>SUM(J18:J20)</f>
        <v>93062</v>
      </c>
    </row>
    <row r="22" spans="1:10" x14ac:dyDescent="0.25">
      <c r="A22" s="102"/>
      <c r="B22" s="428"/>
      <c r="C22" s="428"/>
      <c r="D22" s="428"/>
      <c r="E22" s="430"/>
      <c r="F22" s="249"/>
      <c r="G22" s="249"/>
      <c r="H22" s="174"/>
      <c r="I22" s="249"/>
      <c r="J22" s="174"/>
    </row>
    <row r="23" spans="1:10" x14ac:dyDescent="0.25">
      <c r="A23" s="429" t="s">
        <v>390</v>
      </c>
      <c r="B23" s="428"/>
      <c r="C23" s="428"/>
      <c r="D23" s="428"/>
      <c r="E23" s="427"/>
      <c r="F23" s="249"/>
      <c r="G23" s="249"/>
      <c r="H23" s="390"/>
      <c r="I23" s="249"/>
      <c r="J23" s="390"/>
    </row>
    <row r="24" spans="1:10" x14ac:dyDescent="0.25">
      <c r="A24" s="425" t="s">
        <v>643</v>
      </c>
      <c r="B24" s="426"/>
      <c r="C24" s="426"/>
      <c r="D24" s="426"/>
      <c r="E24" s="427"/>
      <c r="H24" s="71">
        <v>-226605</v>
      </c>
      <c r="J24" s="71">
        <v>0</v>
      </c>
    </row>
    <row r="25" spans="1:10" x14ac:dyDescent="0.25">
      <c r="A25" s="429"/>
      <c r="B25" s="428"/>
      <c r="C25" s="428"/>
      <c r="D25" s="428"/>
      <c r="E25" s="428"/>
      <c r="F25" s="388"/>
      <c r="G25" s="388"/>
      <c r="H25" s="389"/>
      <c r="I25" s="249"/>
      <c r="J25" s="389"/>
    </row>
    <row r="26" spans="1:10" x14ac:dyDescent="0.25">
      <c r="A26" s="429" t="s">
        <v>391</v>
      </c>
      <c r="B26" s="428"/>
      <c r="C26" s="428"/>
      <c r="D26" s="426"/>
      <c r="E26" s="430"/>
      <c r="F26" s="249"/>
      <c r="G26" s="249"/>
      <c r="H26" s="174">
        <f>SUM(H24:H25)</f>
        <v>-226605</v>
      </c>
      <c r="I26" s="249"/>
      <c r="J26" s="174">
        <f>SUM(J24:J25)</f>
        <v>0</v>
      </c>
    </row>
    <row r="27" spans="1:10" x14ac:dyDescent="0.25">
      <c r="A27" s="429"/>
      <c r="B27" s="426"/>
      <c r="C27" s="426"/>
      <c r="D27" s="426"/>
      <c r="E27" s="427"/>
      <c r="G27" s="249"/>
      <c r="H27" s="249"/>
      <c r="I27" s="249"/>
      <c r="J27" s="249"/>
    </row>
    <row r="28" spans="1:10" x14ac:dyDescent="0.25">
      <c r="A28" s="429" t="s">
        <v>392</v>
      </c>
      <c r="B28" s="426"/>
      <c r="C28" s="426"/>
      <c r="D28" s="426"/>
      <c r="E28" s="426"/>
      <c r="H28" s="424">
        <f>(-H19)*0.35</f>
        <v>89242.65</v>
      </c>
      <c r="I28" s="249"/>
      <c r="J28" s="424">
        <f>-J19*0.35</f>
        <v>20491.099999999999</v>
      </c>
    </row>
    <row r="29" spans="1:10" x14ac:dyDescent="0.25">
      <c r="A29" s="102"/>
      <c r="B29" s="426"/>
      <c r="C29" s="426"/>
      <c r="D29" s="426"/>
      <c r="E29" s="426"/>
      <c r="H29" s="409" t="s">
        <v>97</v>
      </c>
    </row>
    <row r="30" spans="1:10" ht="16.5" thickBot="1" x14ac:dyDescent="0.3">
      <c r="A30" s="425" t="s">
        <v>393</v>
      </c>
      <c r="B30" s="426"/>
      <c r="C30" s="426"/>
      <c r="D30" s="426"/>
      <c r="E30" s="426"/>
      <c r="H30" s="248">
        <f>ROUND(H28+H26+H21,0)</f>
        <v>608114</v>
      </c>
      <c r="J30" s="248">
        <f>ROUND(J28+J26+J21,0)</f>
        <v>113553</v>
      </c>
    </row>
    <row r="31" spans="1:10" ht="16.5" thickTop="1" x14ac:dyDescent="0.25">
      <c r="A31" s="102"/>
      <c r="B31" s="426"/>
      <c r="C31" s="426"/>
      <c r="D31" s="426"/>
      <c r="E31" s="426"/>
    </row>
    <row r="32" spans="1:10" ht="16.5" thickBot="1" x14ac:dyDescent="0.3">
      <c r="A32" s="425" t="s">
        <v>425</v>
      </c>
      <c r="B32" s="426"/>
      <c r="C32" s="426"/>
      <c r="D32" s="426"/>
      <c r="E32" s="426"/>
      <c r="H32" s="248">
        <f>-H30</f>
        <v>-608114</v>
      </c>
      <c r="J32" s="248">
        <f>-J30</f>
        <v>-113553</v>
      </c>
    </row>
    <row r="33" spans="1:8" ht="16.5" thickTop="1" x14ac:dyDescent="0.25"/>
    <row r="35" spans="1:8" s="249" customFormat="1" x14ac:dyDescent="0.25">
      <c r="A35" s="391"/>
      <c r="B35" s="392"/>
      <c r="C35" s="392"/>
      <c r="D35" s="392"/>
      <c r="E35" s="392"/>
      <c r="F35" s="392"/>
      <c r="G35" s="392"/>
    </row>
    <row r="36" spans="1:8" s="249" customFormat="1" x14ac:dyDescent="0.25">
      <c r="A36" s="393"/>
      <c r="B36" s="392"/>
      <c r="C36" s="392"/>
      <c r="D36" s="392"/>
      <c r="E36" s="392"/>
      <c r="F36" s="392"/>
      <c r="G36" s="392"/>
    </row>
    <row r="37" spans="1:8" s="249" customFormat="1" x14ac:dyDescent="0.25">
      <c r="B37" s="394"/>
      <c r="H37" s="250"/>
    </row>
    <row r="38" spans="1:8" s="249" customFormat="1" x14ac:dyDescent="0.25"/>
    <row r="39" spans="1:8" s="249" customFormat="1" x14ac:dyDescent="0.25">
      <c r="E39" s="395"/>
      <c r="F39" s="395"/>
    </row>
    <row r="40" spans="1:8" s="249" customFormat="1" x14ac:dyDescent="0.25">
      <c r="E40" s="191"/>
      <c r="F40" s="191"/>
      <c r="G40" s="191"/>
    </row>
    <row r="41" spans="1:8" s="249" customFormat="1" x14ac:dyDescent="0.25">
      <c r="B41" s="388"/>
      <c r="C41" s="388"/>
      <c r="D41" s="388"/>
      <c r="E41" s="396"/>
      <c r="F41" s="167"/>
    </row>
    <row r="42" spans="1:8" s="249" customFormat="1" x14ac:dyDescent="0.25">
      <c r="A42" s="394"/>
      <c r="B42" s="388"/>
      <c r="C42" s="388"/>
      <c r="D42" s="388"/>
      <c r="E42" s="396"/>
      <c r="F42" s="388"/>
      <c r="H42" s="167"/>
    </row>
    <row r="43" spans="1:8" s="249" customFormat="1" x14ac:dyDescent="0.25">
      <c r="B43" s="388"/>
      <c r="C43" s="388"/>
      <c r="D43" s="388"/>
      <c r="E43" s="396"/>
      <c r="F43" s="167"/>
    </row>
    <row r="44" spans="1:8" s="249" customFormat="1" x14ac:dyDescent="0.25">
      <c r="A44" s="394"/>
      <c r="B44" s="388"/>
      <c r="C44" s="388"/>
      <c r="D44" s="388"/>
      <c r="E44" s="396"/>
      <c r="F44" s="388"/>
      <c r="H44" s="167"/>
    </row>
    <row r="45" spans="1:8" s="249" customFormat="1" x14ac:dyDescent="0.25">
      <c r="B45" s="388"/>
      <c r="C45" s="388"/>
      <c r="D45" s="388"/>
      <c r="E45" s="396"/>
      <c r="F45" s="388"/>
      <c r="H45" s="388"/>
    </row>
    <row r="46" spans="1:8" s="249" customFormat="1" x14ac:dyDescent="0.25">
      <c r="A46" s="394"/>
      <c r="B46" s="388"/>
      <c r="C46" s="388"/>
      <c r="D46" s="388"/>
      <c r="E46" s="396"/>
      <c r="F46" s="388"/>
      <c r="H46" s="167"/>
    </row>
    <row r="47" spans="1:8" s="249" customFormat="1" x14ac:dyDescent="0.25">
      <c r="B47" s="388"/>
      <c r="C47" s="388"/>
      <c r="D47" s="388"/>
      <c r="E47" s="396"/>
      <c r="F47" s="388"/>
      <c r="H47" s="388"/>
    </row>
    <row r="48" spans="1:8" s="249" customFormat="1" x14ac:dyDescent="0.25">
      <c r="A48" s="394"/>
      <c r="B48" s="388"/>
      <c r="C48" s="388"/>
      <c r="D48" s="388"/>
      <c r="E48" s="396"/>
      <c r="F48" s="388"/>
      <c r="H48" s="410"/>
    </row>
    <row r="49" spans="1:8" s="249" customFormat="1" x14ac:dyDescent="0.25">
      <c r="A49" s="394"/>
      <c r="E49" s="396"/>
      <c r="F49" s="390"/>
      <c r="H49" s="390"/>
    </row>
    <row r="50" spans="1:8" s="249" customFormat="1" x14ac:dyDescent="0.25">
      <c r="A50" s="394"/>
      <c r="B50" s="388"/>
      <c r="C50" s="388"/>
      <c r="D50" s="388"/>
      <c r="E50" s="396"/>
      <c r="F50" s="167"/>
      <c r="H50" s="167"/>
    </row>
    <row r="51" spans="1:8" s="249" customFormat="1" x14ac:dyDescent="0.25"/>
    <row r="52" spans="1:8" s="249" customFormat="1" x14ac:dyDescent="0.25">
      <c r="A52" s="394"/>
      <c r="H52" s="167"/>
    </row>
    <row r="53" spans="1:8" s="249" customFormat="1" x14ac:dyDescent="0.25"/>
    <row r="54" spans="1:8" s="249" customFormat="1" x14ac:dyDescent="0.25">
      <c r="A54" s="394"/>
      <c r="E54" s="397"/>
      <c r="F54" s="398"/>
      <c r="H54" s="398"/>
    </row>
    <row r="55" spans="1:8" s="249" customFormat="1" x14ac:dyDescent="0.25">
      <c r="E55" s="390"/>
      <c r="F55" s="390"/>
      <c r="H55" s="390"/>
    </row>
    <row r="56" spans="1:8" s="249" customFormat="1" x14ac:dyDescent="0.25">
      <c r="B56" s="394"/>
      <c r="E56" s="399"/>
      <c r="F56" s="167"/>
      <c r="H56" s="167"/>
    </row>
    <row r="57" spans="1:8" s="249" customFormat="1" x14ac:dyDescent="0.25"/>
    <row r="58" spans="1:8" s="249" customFormat="1" x14ac:dyDescent="0.25"/>
    <row r="59" spans="1:8" s="249" customFormat="1" x14ac:dyDescent="0.25"/>
  </sheetData>
  <phoneticPr fontId="14" type="noConversion"/>
  <printOptions horizontalCentered="1" gridLinesSet="0"/>
  <pageMargins left="1.25" right="0.75" top="1" bottom="1" header="0.5" footer="0.5"/>
  <pageSetup scale="92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J51"/>
  <sheetViews>
    <sheetView showGridLines="0" topLeftCell="A4" zoomScaleNormal="100" workbookViewId="0">
      <selection activeCell="A3" sqref="A3"/>
    </sheetView>
  </sheetViews>
  <sheetFormatPr defaultColWidth="9.625" defaultRowHeight="15.75" x14ac:dyDescent="0.25"/>
  <cols>
    <col min="1" max="2" width="9.625" style="684"/>
    <col min="3" max="3" width="10.625" style="684" customWidth="1"/>
    <col min="4" max="4" width="13.125" style="684" customWidth="1"/>
    <col min="5" max="5" width="3.125" style="684" customWidth="1"/>
    <col min="6" max="6" width="2.25" style="684" customWidth="1"/>
    <col min="7" max="7" width="10.875" style="684" customWidth="1"/>
    <col min="8" max="8" width="13.125" style="684" customWidth="1"/>
    <col min="9" max="9" width="4.125" style="684" customWidth="1"/>
    <col min="10" max="10" width="13.125" style="684" customWidth="1"/>
    <col min="11" max="16384" width="9.625" style="684"/>
  </cols>
  <sheetData>
    <row r="3" spans="1:10" x14ac:dyDescent="0.25">
      <c r="J3" s="293" t="str">
        <f>'Ex 1'!$P$1</f>
        <v>Exhibit 1</v>
      </c>
    </row>
    <row r="4" spans="1:10" x14ac:dyDescent="0.25">
      <c r="J4" s="337" t="str">
        <f>"Reference Schedule "&amp;Inputs!$A48&amp;""</f>
        <v>Reference Schedule 1.32</v>
      </c>
    </row>
    <row r="5" spans="1:10" x14ac:dyDescent="0.25">
      <c r="J5" s="11" t="str">
        <f>"Sponsoring Witness: "&amp;Inputs!$B48&amp;""</f>
        <v>Sponsoring Witness: Blake</v>
      </c>
    </row>
    <row r="6" spans="1:10" x14ac:dyDescent="0.25">
      <c r="J6" s="11"/>
    </row>
    <row r="8" spans="1:10" x14ac:dyDescent="0.25">
      <c r="A8" s="732" t="s">
        <v>222</v>
      </c>
      <c r="B8" s="732"/>
      <c r="C8" s="732"/>
      <c r="D8" s="732"/>
      <c r="E8" s="732"/>
      <c r="F8" s="732"/>
      <c r="G8" s="732"/>
      <c r="H8" s="732"/>
      <c r="I8" s="732"/>
      <c r="J8" s="732"/>
    </row>
    <row r="9" spans="1:10" x14ac:dyDescent="0.25">
      <c r="A9" s="685"/>
      <c r="B9" s="685"/>
      <c r="C9" s="685"/>
      <c r="D9" s="685"/>
      <c r="E9" s="685"/>
      <c r="F9" s="685"/>
      <c r="G9" s="685"/>
      <c r="H9" s="685"/>
      <c r="I9" s="685"/>
      <c r="J9" s="685"/>
    </row>
    <row r="10" spans="1:10" x14ac:dyDescent="0.25">
      <c r="A10" s="685"/>
      <c r="B10" s="685"/>
      <c r="C10" s="685"/>
      <c r="D10" s="685"/>
      <c r="E10" s="685"/>
      <c r="F10" s="685"/>
      <c r="G10" s="685"/>
      <c r="H10" s="685"/>
      <c r="I10" s="685"/>
      <c r="J10" s="685"/>
    </row>
    <row r="11" spans="1:10" x14ac:dyDescent="0.25">
      <c r="A11" s="685" t="s">
        <v>753</v>
      </c>
      <c r="B11" s="685"/>
      <c r="C11" s="685"/>
      <c r="D11" s="685"/>
      <c r="E11" s="685"/>
      <c r="F11" s="685"/>
      <c r="G11" s="685"/>
      <c r="H11" s="685"/>
      <c r="I11" s="685"/>
      <c r="J11" s="685"/>
    </row>
    <row r="12" spans="1:10" x14ac:dyDescent="0.25">
      <c r="A12" s="733" t="str">
        <f>"For the Twelve Months Ended "&amp;Inputs!B3&amp;""</f>
        <v>For the Twelve Months Ended March 31, 2012</v>
      </c>
      <c r="B12" s="733"/>
      <c r="C12" s="733"/>
      <c r="D12" s="733"/>
      <c r="E12" s="733"/>
      <c r="F12" s="733"/>
      <c r="G12" s="733"/>
      <c r="H12" s="733"/>
      <c r="I12" s="733"/>
      <c r="J12" s="733"/>
    </row>
    <row r="15" spans="1:10" x14ac:dyDescent="0.25">
      <c r="E15" s="686"/>
      <c r="H15" s="686"/>
      <c r="J15" s="686"/>
    </row>
    <row r="16" spans="1:10" ht="25.5" customHeight="1" x14ac:dyDescent="0.4">
      <c r="E16" s="55"/>
      <c r="F16" s="39"/>
      <c r="G16" s="39"/>
      <c r="H16" s="683" t="s">
        <v>220</v>
      </c>
      <c r="I16" s="39"/>
      <c r="J16" s="683" t="s">
        <v>221</v>
      </c>
    </row>
    <row r="17" spans="1:10" x14ac:dyDescent="0.25">
      <c r="A17" s="687"/>
      <c r="E17" s="35"/>
      <c r="F17" s="32"/>
      <c r="G17" s="32"/>
      <c r="H17" s="32"/>
      <c r="I17" s="32"/>
      <c r="J17" s="32"/>
    </row>
    <row r="18" spans="1:10" x14ac:dyDescent="0.25">
      <c r="A18" s="689" t="s">
        <v>754</v>
      </c>
      <c r="C18" s="688"/>
      <c r="D18" s="688"/>
      <c r="E18" s="29"/>
      <c r="F18" s="29"/>
      <c r="G18" s="29"/>
      <c r="H18" s="71">
        <v>163622</v>
      </c>
      <c r="I18" s="250"/>
      <c r="J18" s="35">
        <v>0</v>
      </c>
    </row>
    <row r="19" spans="1:10" x14ac:dyDescent="0.25">
      <c r="A19" s="687"/>
      <c r="E19" s="35"/>
      <c r="F19" s="32"/>
      <c r="G19" s="32"/>
      <c r="H19" s="32"/>
      <c r="I19" s="32"/>
      <c r="J19" s="32"/>
    </row>
    <row r="20" spans="1:10" x14ac:dyDescent="0.25">
      <c r="A20" s="689" t="s">
        <v>756</v>
      </c>
      <c r="C20" s="688"/>
      <c r="D20" s="688"/>
      <c r="E20" s="29"/>
      <c r="F20" s="29"/>
      <c r="G20" s="29"/>
      <c r="H20" s="226">
        <v>249014</v>
      </c>
      <c r="I20" s="250"/>
      <c r="J20" s="226">
        <v>0</v>
      </c>
    </row>
    <row r="21" spans="1:10" x14ac:dyDescent="0.25">
      <c r="C21" s="688"/>
      <c r="D21" s="688"/>
      <c r="E21" s="29"/>
      <c r="F21" s="29"/>
      <c r="G21" s="29"/>
      <c r="H21" s="29"/>
      <c r="I21" s="29"/>
      <c r="J21" s="29"/>
    </row>
    <row r="22" spans="1:10" x14ac:dyDescent="0.25">
      <c r="A22" s="690"/>
      <c r="B22" s="688"/>
      <c r="C22" s="688"/>
      <c r="D22" s="688"/>
      <c r="E22" s="691"/>
      <c r="F22" s="691"/>
      <c r="G22" s="691"/>
      <c r="H22" s="692"/>
      <c r="I22" s="688"/>
      <c r="J22" s="692"/>
    </row>
    <row r="23" spans="1:10" ht="16.5" thickBot="1" x14ac:dyDescent="0.3">
      <c r="A23" s="689" t="s">
        <v>759</v>
      </c>
      <c r="B23" s="688"/>
      <c r="C23" s="688"/>
      <c r="D23" s="688"/>
      <c r="E23" s="693"/>
      <c r="F23" s="688"/>
      <c r="G23" s="688"/>
      <c r="H23" s="40">
        <f>H18-H20</f>
        <v>-85392</v>
      </c>
      <c r="I23" s="688"/>
      <c r="J23" s="40">
        <f>J20-J18</f>
        <v>0</v>
      </c>
    </row>
    <row r="24" spans="1:10" ht="16.5" thickTop="1" x14ac:dyDescent="0.25">
      <c r="A24" s="102"/>
      <c r="H24" s="694" t="s">
        <v>97</v>
      </c>
    </row>
    <row r="27" spans="1:10" s="688" customFormat="1" x14ac:dyDescent="0.25">
      <c r="A27" s="695"/>
      <c r="B27" s="696"/>
      <c r="C27" s="696"/>
      <c r="D27" s="696"/>
      <c r="E27" s="696"/>
      <c r="F27" s="696"/>
      <c r="G27" s="696"/>
    </row>
    <row r="28" spans="1:10" s="688" customFormat="1" x14ac:dyDescent="0.25">
      <c r="A28" s="697"/>
      <c r="B28" s="696"/>
      <c r="C28" s="696"/>
      <c r="D28" s="696"/>
      <c r="E28" s="696"/>
      <c r="F28" s="696"/>
      <c r="G28" s="696"/>
    </row>
    <row r="29" spans="1:10" s="688" customFormat="1" x14ac:dyDescent="0.25">
      <c r="B29" s="698"/>
    </row>
    <row r="30" spans="1:10" s="688" customFormat="1" x14ac:dyDescent="0.25"/>
    <row r="31" spans="1:10" s="688" customFormat="1" x14ac:dyDescent="0.25">
      <c r="E31" s="699"/>
      <c r="F31" s="699"/>
    </row>
    <row r="32" spans="1:10" s="688" customFormat="1" x14ac:dyDescent="0.25">
      <c r="E32" s="55"/>
      <c r="F32" s="55"/>
      <c r="G32" s="55"/>
    </row>
    <row r="33" spans="1:8" s="688" customFormat="1" x14ac:dyDescent="0.25">
      <c r="B33" s="691"/>
      <c r="C33" s="691"/>
      <c r="D33" s="691"/>
      <c r="E33" s="700"/>
      <c r="F33" s="41"/>
    </row>
    <row r="34" spans="1:8" s="688" customFormat="1" x14ac:dyDescent="0.25">
      <c r="A34" s="698"/>
      <c r="B34" s="691"/>
      <c r="C34" s="691"/>
      <c r="D34" s="691"/>
      <c r="E34" s="700"/>
      <c r="F34" s="691"/>
      <c r="H34" s="41"/>
    </row>
    <row r="35" spans="1:8" s="688" customFormat="1" x14ac:dyDescent="0.25">
      <c r="B35" s="691"/>
      <c r="C35" s="691"/>
      <c r="D35" s="691"/>
      <c r="E35" s="700"/>
      <c r="F35" s="41"/>
    </row>
    <row r="36" spans="1:8" s="688" customFormat="1" x14ac:dyDescent="0.25">
      <c r="A36" s="698"/>
      <c r="B36" s="691"/>
      <c r="C36" s="691"/>
      <c r="D36" s="691"/>
      <c r="E36" s="700"/>
      <c r="F36" s="691"/>
      <c r="H36" s="41"/>
    </row>
    <row r="37" spans="1:8" s="688" customFormat="1" x14ac:dyDescent="0.25">
      <c r="B37" s="691"/>
      <c r="C37" s="691"/>
      <c r="D37" s="691"/>
      <c r="E37" s="700"/>
      <c r="F37" s="691"/>
      <c r="H37" s="691"/>
    </row>
    <row r="38" spans="1:8" s="688" customFormat="1" x14ac:dyDescent="0.25">
      <c r="A38" s="698"/>
      <c r="B38" s="691"/>
      <c r="C38" s="691"/>
      <c r="D38" s="691"/>
      <c r="E38" s="700"/>
      <c r="F38" s="691"/>
      <c r="H38" s="41"/>
    </row>
    <row r="39" spans="1:8" s="688" customFormat="1" x14ac:dyDescent="0.25">
      <c r="B39" s="691"/>
      <c r="C39" s="691"/>
      <c r="D39" s="691"/>
      <c r="E39" s="700"/>
      <c r="F39" s="691"/>
      <c r="H39" s="691"/>
    </row>
    <row r="40" spans="1:8" s="688" customFormat="1" x14ac:dyDescent="0.25">
      <c r="A40" s="698"/>
      <c r="B40" s="691"/>
      <c r="C40" s="691"/>
      <c r="D40" s="691"/>
      <c r="E40" s="700"/>
      <c r="F40" s="691"/>
      <c r="H40" s="103"/>
    </row>
    <row r="41" spans="1:8" s="688" customFormat="1" x14ac:dyDescent="0.25">
      <c r="A41" s="698"/>
      <c r="E41" s="700"/>
      <c r="F41" s="693"/>
      <c r="H41" s="693"/>
    </row>
    <row r="42" spans="1:8" s="688" customFormat="1" x14ac:dyDescent="0.25">
      <c r="A42" s="698"/>
      <c r="B42" s="691"/>
      <c r="C42" s="691"/>
      <c r="D42" s="691"/>
      <c r="E42" s="700"/>
      <c r="F42" s="41"/>
      <c r="H42" s="41"/>
    </row>
    <row r="43" spans="1:8" s="688" customFormat="1" x14ac:dyDescent="0.25"/>
    <row r="44" spans="1:8" s="688" customFormat="1" x14ac:dyDescent="0.25">
      <c r="A44" s="698"/>
      <c r="H44" s="41"/>
    </row>
    <row r="45" spans="1:8" s="688" customFormat="1" x14ac:dyDescent="0.25"/>
    <row r="46" spans="1:8" s="688" customFormat="1" x14ac:dyDescent="0.25">
      <c r="A46" s="698"/>
      <c r="E46" s="701"/>
      <c r="F46" s="702"/>
      <c r="H46" s="702"/>
    </row>
    <row r="47" spans="1:8" s="688" customFormat="1" x14ac:dyDescent="0.25">
      <c r="E47" s="693"/>
      <c r="F47" s="693"/>
      <c r="H47" s="693"/>
    </row>
    <row r="48" spans="1:8" s="688" customFormat="1" x14ac:dyDescent="0.25">
      <c r="B48" s="698"/>
      <c r="E48" s="703"/>
      <c r="F48" s="41"/>
      <c r="H48" s="41"/>
    </row>
    <row r="49" s="688" customFormat="1" x14ac:dyDescent="0.25"/>
    <row r="50" s="688" customFormat="1" x14ac:dyDescent="0.25"/>
    <row r="51" s="688" customFormat="1" x14ac:dyDescent="0.25"/>
  </sheetData>
  <mergeCells count="2">
    <mergeCell ref="A8:J8"/>
    <mergeCell ref="A12:J12"/>
  </mergeCells>
  <printOptions horizontalCentered="1" gridLinesSet="0"/>
  <pageMargins left="1.25" right="0.75" top="1" bottom="1" header="0.5" footer="0.5"/>
  <pageSetup scale="8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3:J50"/>
  <sheetViews>
    <sheetView showGridLines="0" zoomScaleNormal="100" workbookViewId="0">
      <selection activeCell="A3" sqref="A3"/>
    </sheetView>
  </sheetViews>
  <sheetFormatPr defaultColWidth="9.625" defaultRowHeight="15.75" x14ac:dyDescent="0.25"/>
  <cols>
    <col min="1" max="2" width="9.625" style="684"/>
    <col min="3" max="3" width="10.625" style="684" customWidth="1"/>
    <col min="4" max="4" width="13.125" style="684" customWidth="1"/>
    <col min="5" max="5" width="10.875" style="684" customWidth="1"/>
    <col min="6" max="6" width="2.625" style="684" customWidth="1"/>
    <col min="7" max="7" width="1.25" style="684" customWidth="1"/>
    <col min="8" max="8" width="13.125" style="684" customWidth="1"/>
    <col min="9" max="9" width="4.125" style="684" customWidth="1"/>
    <col min="10" max="10" width="13.125" style="684" customWidth="1"/>
    <col min="11" max="16384" width="9.625" style="684"/>
  </cols>
  <sheetData>
    <row r="3" spans="1:10" x14ac:dyDescent="0.25">
      <c r="J3" s="293" t="str">
        <f>'Ex 1'!$P$1</f>
        <v>Exhibit 1</v>
      </c>
    </row>
    <row r="4" spans="1:10" x14ac:dyDescent="0.25">
      <c r="J4" s="337" t="str">
        <f>"Reference Schedule "&amp;Inputs!$A49&amp;""</f>
        <v>Reference Schedule 1.33</v>
      </c>
    </row>
    <row r="5" spans="1:10" x14ac:dyDescent="0.25">
      <c r="J5" s="11" t="str">
        <f>"Sponsoring Witness: "&amp;Inputs!$B49&amp;""</f>
        <v>Sponsoring Witness: Blake</v>
      </c>
    </row>
    <row r="6" spans="1:10" x14ac:dyDescent="0.25">
      <c r="J6" s="11"/>
    </row>
    <row r="8" spans="1:10" x14ac:dyDescent="0.25">
      <c r="A8" s="704" t="s">
        <v>222</v>
      </c>
      <c r="B8" s="685"/>
      <c r="C8" s="685"/>
      <c r="D8" s="685"/>
      <c r="E8" s="685"/>
      <c r="F8" s="685"/>
      <c r="G8" s="685"/>
      <c r="H8" s="685"/>
      <c r="I8" s="685"/>
      <c r="J8" s="685"/>
    </row>
    <row r="9" spans="1:10" x14ac:dyDescent="0.25">
      <c r="A9" s="685"/>
      <c r="B9" s="685"/>
      <c r="C9" s="685"/>
      <c r="D9" s="685"/>
      <c r="E9" s="685"/>
      <c r="F9" s="685"/>
      <c r="G9" s="685"/>
      <c r="H9" s="685"/>
      <c r="I9" s="685"/>
      <c r="J9" s="685"/>
    </row>
    <row r="10" spans="1:10" x14ac:dyDescent="0.25">
      <c r="A10" s="685"/>
      <c r="B10" s="685"/>
      <c r="C10" s="685"/>
      <c r="D10" s="685"/>
      <c r="E10" s="685"/>
      <c r="F10" s="685"/>
      <c r="G10" s="685"/>
      <c r="H10" s="685"/>
      <c r="I10" s="685"/>
      <c r="J10" s="685"/>
    </row>
    <row r="11" spans="1:10" x14ac:dyDescent="0.25">
      <c r="A11" s="685" t="s">
        <v>755</v>
      </c>
      <c r="B11" s="685"/>
      <c r="C11" s="685"/>
      <c r="D11" s="685"/>
      <c r="E11" s="685"/>
      <c r="F11" s="685"/>
      <c r="G11" s="685"/>
      <c r="H11" s="685"/>
      <c r="I11" s="685"/>
      <c r="J11" s="685"/>
    </row>
    <row r="12" spans="1:10" x14ac:dyDescent="0.25">
      <c r="A12" s="733" t="str">
        <f>"For the Twelve Months Ended "&amp;Inputs!B3&amp;""</f>
        <v>For the Twelve Months Ended March 31, 2012</v>
      </c>
      <c r="B12" s="733"/>
      <c r="C12" s="733"/>
      <c r="D12" s="733"/>
      <c r="E12" s="733"/>
      <c r="F12" s="733"/>
      <c r="G12" s="733"/>
      <c r="H12" s="733"/>
      <c r="I12" s="733"/>
      <c r="J12" s="733"/>
    </row>
    <row r="14" spans="1:10" x14ac:dyDescent="0.25">
      <c r="E14" s="686"/>
      <c r="H14" s="686"/>
      <c r="J14" s="686"/>
    </row>
    <row r="15" spans="1:10" ht="21.75" customHeight="1" x14ac:dyDescent="0.4">
      <c r="E15" s="55"/>
      <c r="F15" s="39"/>
      <c r="G15" s="39"/>
      <c r="H15" s="683" t="s">
        <v>220</v>
      </c>
      <c r="I15" s="39"/>
      <c r="J15" s="683" t="s">
        <v>221</v>
      </c>
    </row>
    <row r="16" spans="1:10" x14ac:dyDescent="0.25">
      <c r="A16" s="687"/>
      <c r="E16" s="35"/>
      <c r="F16" s="32"/>
      <c r="G16" s="32"/>
      <c r="H16" s="32"/>
      <c r="I16" s="32"/>
      <c r="J16" s="32"/>
    </row>
    <row r="17" spans="1:10" x14ac:dyDescent="0.25">
      <c r="A17" s="689" t="s">
        <v>757</v>
      </c>
      <c r="C17" s="688"/>
      <c r="D17" s="688"/>
      <c r="E17" s="29"/>
      <c r="F17" s="29"/>
      <c r="G17" s="29"/>
      <c r="H17" s="71">
        <v>-2335142</v>
      </c>
      <c r="I17" s="250"/>
      <c r="J17" s="71">
        <v>-125620</v>
      </c>
    </row>
    <row r="18" spans="1:10" x14ac:dyDescent="0.25">
      <c r="A18" s="689"/>
      <c r="C18" s="688"/>
      <c r="D18" s="688"/>
      <c r="E18" s="29"/>
      <c r="F18" s="29"/>
      <c r="G18" s="29"/>
      <c r="H18" s="71"/>
      <c r="I18" s="250"/>
      <c r="J18" s="71"/>
    </row>
    <row r="19" spans="1:10" x14ac:dyDescent="0.25">
      <c r="A19" s="689" t="s">
        <v>758</v>
      </c>
      <c r="C19" s="688"/>
      <c r="D19" s="688"/>
      <c r="E19" s="29"/>
      <c r="F19" s="29"/>
      <c r="G19" s="29"/>
      <c r="H19" s="58">
        <v>-2661472</v>
      </c>
      <c r="I19" s="250"/>
      <c r="J19" s="58">
        <v>-132894</v>
      </c>
    </row>
    <row r="20" spans="1:10" x14ac:dyDescent="0.25">
      <c r="C20" s="688"/>
      <c r="D20" s="688"/>
      <c r="E20" s="29"/>
      <c r="F20" s="29"/>
      <c r="G20" s="29"/>
      <c r="H20" s="29"/>
      <c r="I20" s="29"/>
      <c r="J20" s="29"/>
    </row>
    <row r="21" spans="1:10" x14ac:dyDescent="0.25">
      <c r="A21" s="690"/>
      <c r="B21" s="688"/>
      <c r="C21" s="688"/>
      <c r="D21" s="688"/>
      <c r="E21" s="691"/>
      <c r="F21" s="691"/>
      <c r="G21" s="691"/>
      <c r="H21" s="692"/>
      <c r="I21" s="688"/>
      <c r="J21" s="692"/>
    </row>
    <row r="22" spans="1:10" ht="16.5" thickBot="1" x14ac:dyDescent="0.3">
      <c r="A22" s="689" t="s">
        <v>759</v>
      </c>
      <c r="B22" s="688"/>
      <c r="C22" s="688"/>
      <c r="D22" s="688"/>
      <c r="E22" s="693"/>
      <c r="F22" s="688"/>
      <c r="G22" s="688"/>
      <c r="H22" s="40">
        <f>H17-H19</f>
        <v>326330</v>
      </c>
      <c r="I22" s="688"/>
      <c r="J22" s="40">
        <f>J17-J19</f>
        <v>7274</v>
      </c>
    </row>
    <row r="23" spans="1:10" ht="16.5" thickTop="1" x14ac:dyDescent="0.25">
      <c r="A23" s="102"/>
      <c r="H23" s="694" t="s">
        <v>97</v>
      </c>
    </row>
    <row r="26" spans="1:10" s="688" customFormat="1" x14ac:dyDescent="0.25">
      <c r="A26" s="695"/>
      <c r="B26" s="696"/>
      <c r="C26" s="696"/>
      <c r="D26" s="696"/>
      <c r="E26" s="696"/>
      <c r="F26" s="696"/>
      <c r="G26" s="696"/>
    </row>
    <row r="27" spans="1:10" s="688" customFormat="1" x14ac:dyDescent="0.25">
      <c r="A27" s="697"/>
      <c r="B27" s="696"/>
      <c r="C27" s="696"/>
      <c r="D27" s="696"/>
      <c r="E27" s="696"/>
      <c r="F27" s="696"/>
      <c r="G27" s="696"/>
    </row>
    <row r="28" spans="1:10" s="688" customFormat="1" x14ac:dyDescent="0.25">
      <c r="B28" s="698"/>
    </row>
    <row r="29" spans="1:10" s="688" customFormat="1" x14ac:dyDescent="0.25"/>
    <row r="30" spans="1:10" s="688" customFormat="1" x14ac:dyDescent="0.25">
      <c r="E30" s="699"/>
      <c r="F30" s="699"/>
    </row>
    <row r="31" spans="1:10" s="688" customFormat="1" x14ac:dyDescent="0.25">
      <c r="E31" s="55"/>
      <c r="F31" s="55"/>
      <c r="G31" s="55"/>
    </row>
    <row r="32" spans="1:10" s="688" customFormat="1" x14ac:dyDescent="0.25">
      <c r="B32" s="691"/>
      <c r="C32" s="691"/>
      <c r="D32" s="691"/>
      <c r="E32" s="700"/>
      <c r="F32" s="41"/>
    </row>
    <row r="33" spans="1:8" s="688" customFormat="1" x14ac:dyDescent="0.25">
      <c r="A33" s="698"/>
      <c r="B33" s="691"/>
      <c r="C33" s="691"/>
      <c r="D33" s="691"/>
      <c r="E33" s="700"/>
      <c r="F33" s="691"/>
      <c r="H33" s="41"/>
    </row>
    <row r="34" spans="1:8" s="688" customFormat="1" x14ac:dyDescent="0.25">
      <c r="B34" s="691"/>
      <c r="C34" s="691"/>
      <c r="D34" s="691"/>
      <c r="E34" s="700"/>
      <c r="F34" s="41"/>
    </row>
    <row r="35" spans="1:8" s="688" customFormat="1" x14ac:dyDescent="0.25">
      <c r="A35" s="698"/>
      <c r="B35" s="691"/>
      <c r="C35" s="691"/>
      <c r="D35" s="691"/>
      <c r="E35" s="700"/>
      <c r="F35" s="691"/>
      <c r="H35" s="41"/>
    </row>
    <row r="36" spans="1:8" s="688" customFormat="1" x14ac:dyDescent="0.25">
      <c r="B36" s="691"/>
      <c r="C36" s="691"/>
      <c r="D36" s="691"/>
      <c r="E36" s="700"/>
      <c r="F36" s="691"/>
      <c r="H36" s="691"/>
    </row>
    <row r="37" spans="1:8" s="688" customFormat="1" x14ac:dyDescent="0.25">
      <c r="A37" s="698"/>
      <c r="B37" s="691"/>
      <c r="C37" s="691"/>
      <c r="D37" s="691"/>
      <c r="E37" s="700"/>
      <c r="F37" s="691"/>
      <c r="H37" s="41"/>
    </row>
    <row r="38" spans="1:8" s="688" customFormat="1" x14ac:dyDescent="0.25">
      <c r="B38" s="691"/>
      <c r="C38" s="691"/>
      <c r="D38" s="691"/>
      <c r="E38" s="700"/>
      <c r="F38" s="691"/>
      <c r="H38" s="691"/>
    </row>
    <row r="39" spans="1:8" s="688" customFormat="1" x14ac:dyDescent="0.25">
      <c r="A39" s="698"/>
      <c r="B39" s="691"/>
      <c r="C39" s="691"/>
      <c r="D39" s="691"/>
      <c r="E39" s="700"/>
      <c r="F39" s="691"/>
      <c r="H39" s="103"/>
    </row>
    <row r="40" spans="1:8" s="688" customFormat="1" x14ac:dyDescent="0.25">
      <c r="A40" s="698"/>
      <c r="E40" s="700"/>
      <c r="F40" s="693"/>
      <c r="H40" s="693"/>
    </row>
    <row r="41" spans="1:8" s="688" customFormat="1" x14ac:dyDescent="0.25">
      <c r="A41" s="698"/>
      <c r="B41" s="691"/>
      <c r="C41" s="691"/>
      <c r="D41" s="691"/>
      <c r="E41" s="700"/>
      <c r="F41" s="41"/>
      <c r="H41" s="41"/>
    </row>
    <row r="42" spans="1:8" s="688" customFormat="1" x14ac:dyDescent="0.25"/>
    <row r="43" spans="1:8" s="688" customFormat="1" x14ac:dyDescent="0.25">
      <c r="A43" s="698"/>
      <c r="H43" s="41"/>
    </row>
    <row r="44" spans="1:8" s="688" customFormat="1" x14ac:dyDescent="0.25"/>
    <row r="45" spans="1:8" s="688" customFormat="1" x14ac:dyDescent="0.25">
      <c r="A45" s="698"/>
      <c r="E45" s="701"/>
      <c r="F45" s="702"/>
      <c r="H45" s="702"/>
    </row>
    <row r="46" spans="1:8" s="688" customFormat="1" x14ac:dyDescent="0.25">
      <c r="E46" s="693"/>
      <c r="F46" s="693"/>
      <c r="H46" s="693"/>
    </row>
    <row r="47" spans="1:8" s="688" customFormat="1" x14ac:dyDescent="0.25">
      <c r="B47" s="698"/>
      <c r="E47" s="703"/>
      <c r="F47" s="41"/>
      <c r="H47" s="41"/>
    </row>
    <row r="48" spans="1:8" s="688" customFormat="1" x14ac:dyDescent="0.25"/>
    <row r="49" s="688" customFormat="1" x14ac:dyDescent="0.25"/>
    <row r="50" s="688" customFormat="1" x14ac:dyDescent="0.25"/>
  </sheetData>
  <mergeCells count="1">
    <mergeCell ref="A12:J12"/>
  </mergeCells>
  <printOptions horizontalCentered="1" gridLinesSet="0"/>
  <pageMargins left="1.25" right="0.75" top="1" bottom="1" header="0.5" footer="0.5"/>
  <pageSetup scale="88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6" enableFormatConditionsCalculation="0"/>
  <dimension ref="A1:K45"/>
  <sheetViews>
    <sheetView showGridLines="0" zoomScaleNormal="100" workbookViewId="0">
      <selection activeCell="A3" sqref="A3"/>
    </sheetView>
  </sheetViews>
  <sheetFormatPr defaultColWidth="9.625" defaultRowHeight="12" x14ac:dyDescent="0.15"/>
  <cols>
    <col min="1" max="1" width="12.75" style="81" customWidth="1"/>
    <col min="2" max="2" width="35.25" style="81" customWidth="1"/>
    <col min="3" max="3" width="12.75" style="81" customWidth="1"/>
    <col min="4" max="4" width="1.75" style="81" customWidth="1"/>
    <col min="5" max="5" width="17" style="93" customWidth="1"/>
    <col min="6" max="6" width="3.625" style="93" customWidth="1"/>
    <col min="7" max="7" width="17" style="93" customWidth="1"/>
    <col min="8" max="8" width="9.625" style="81"/>
    <col min="9" max="9" width="12.125" style="81" bestFit="1" customWidth="1"/>
    <col min="10" max="16384" width="9.625" style="81"/>
  </cols>
  <sheetData>
    <row r="1" spans="1:7" ht="15.75" x14ac:dyDescent="0.25">
      <c r="A1" s="2"/>
      <c r="B1" s="1"/>
      <c r="C1" s="2"/>
      <c r="D1" s="2"/>
      <c r="E1" s="91"/>
      <c r="F1" s="91"/>
      <c r="G1" s="91"/>
    </row>
    <row r="2" spans="1:7" ht="15.75" x14ac:dyDescent="0.25">
      <c r="A2" s="2"/>
      <c r="B2" s="2"/>
      <c r="C2" s="2"/>
      <c r="D2" s="2"/>
      <c r="E2" s="91"/>
      <c r="F2" s="91"/>
      <c r="G2" s="91"/>
    </row>
    <row r="3" spans="1:7" ht="15.75" x14ac:dyDescent="0.25">
      <c r="A3" s="2"/>
      <c r="B3" s="2"/>
      <c r="C3" s="2"/>
      <c r="D3" s="1"/>
      <c r="E3" s="18"/>
      <c r="F3" s="18"/>
      <c r="G3" s="293" t="str">
        <f>'Ex 1'!$P$1</f>
        <v>Exhibit 1</v>
      </c>
    </row>
    <row r="4" spans="1:7" ht="15.75" x14ac:dyDescent="0.25">
      <c r="A4" s="2"/>
      <c r="B4" s="2"/>
      <c r="C4" s="2"/>
      <c r="D4" s="1"/>
      <c r="E4" s="453"/>
      <c r="F4" s="453"/>
      <c r="G4" s="337" t="str">
        <f>"Reference Schedule "&amp;Inputs!$A50&amp;""</f>
        <v>Reference Schedule 1.34</v>
      </c>
    </row>
    <row r="5" spans="1:7" ht="15.75" x14ac:dyDescent="0.25">
      <c r="A5" s="2"/>
      <c r="B5" s="2"/>
      <c r="C5" s="2"/>
      <c r="D5" s="2"/>
      <c r="E5" s="7"/>
      <c r="F5" s="7"/>
      <c r="G5" s="11" t="str">
        <f>"Sponsoring Witness: "&amp;Inputs!$B50&amp;""</f>
        <v>Sponsoring Witness: Blake</v>
      </c>
    </row>
    <row r="6" spans="1:7" ht="15.75" x14ac:dyDescent="0.25">
      <c r="A6" s="2"/>
      <c r="B6" s="2"/>
      <c r="C6" s="2"/>
      <c r="D6" s="2"/>
      <c r="E6" s="91"/>
      <c r="F6" s="91"/>
      <c r="G6" s="91"/>
    </row>
    <row r="7" spans="1:7" ht="15.75" x14ac:dyDescent="0.25">
      <c r="A7" s="2"/>
      <c r="B7" s="2"/>
      <c r="C7" s="2"/>
      <c r="D7" s="2"/>
      <c r="E7" s="92"/>
      <c r="F7" s="92"/>
      <c r="G7" s="92"/>
    </row>
    <row r="8" spans="1:7" ht="15.75" x14ac:dyDescent="0.25">
      <c r="A8" s="716" t="s">
        <v>222</v>
      </c>
      <c r="B8" s="716"/>
      <c r="C8" s="716"/>
      <c r="D8" s="716"/>
      <c r="E8" s="716"/>
      <c r="F8" s="716"/>
      <c r="G8" s="716"/>
    </row>
    <row r="9" spans="1:7" ht="15.75" x14ac:dyDescent="0.25">
      <c r="A9" s="4"/>
      <c r="B9" s="4"/>
      <c r="C9" s="4"/>
      <c r="D9" s="2"/>
      <c r="E9" s="92"/>
      <c r="F9" s="92"/>
      <c r="G9" s="92"/>
    </row>
    <row r="10" spans="1:7" ht="15.75" x14ac:dyDescent="0.25">
      <c r="A10" s="707"/>
      <c r="B10" s="707"/>
      <c r="C10" s="707"/>
      <c r="D10" s="707"/>
      <c r="E10" s="92"/>
      <c r="F10" s="92"/>
      <c r="G10" s="92"/>
    </row>
    <row r="11" spans="1:7" ht="15.75" x14ac:dyDescent="0.25">
      <c r="A11" s="707" t="s">
        <v>307</v>
      </c>
      <c r="B11" s="707"/>
      <c r="C11" s="707"/>
      <c r="D11" s="707"/>
      <c r="E11" s="707"/>
      <c r="F11" s="707"/>
      <c r="G11" s="707"/>
    </row>
    <row r="12" spans="1:7" ht="15.75" x14ac:dyDescent="0.25">
      <c r="A12" s="721" t="s">
        <v>476</v>
      </c>
      <c r="B12" s="716"/>
      <c r="C12" s="716"/>
      <c r="D12" s="716"/>
      <c r="E12" s="716"/>
      <c r="F12" s="716"/>
      <c r="G12" s="716"/>
    </row>
    <row r="13" spans="1:7" ht="15.75" x14ac:dyDescent="0.25">
      <c r="A13" s="4"/>
      <c r="B13" s="4"/>
      <c r="C13" s="4"/>
      <c r="D13" s="6"/>
      <c r="E13" s="92"/>
      <c r="F13" s="92"/>
      <c r="G13" s="92"/>
    </row>
    <row r="14" spans="1:7" ht="15.75" x14ac:dyDescent="0.25">
      <c r="A14" s="1"/>
      <c r="B14" s="1"/>
      <c r="C14" s="2"/>
      <c r="D14" s="2"/>
      <c r="E14" s="92"/>
      <c r="F14" s="92"/>
      <c r="G14" s="92"/>
    </row>
    <row r="15" spans="1:7" ht="15.75" x14ac:dyDescent="0.25">
      <c r="A15" s="2"/>
      <c r="B15" s="2"/>
      <c r="C15" s="17"/>
      <c r="D15" s="17"/>
      <c r="E15" s="15" t="s">
        <v>731</v>
      </c>
      <c r="F15" s="531"/>
      <c r="G15" s="15" t="s">
        <v>732</v>
      </c>
    </row>
    <row r="16" spans="1:7" ht="15.75" x14ac:dyDescent="0.25">
      <c r="A16" s="528"/>
      <c r="B16" s="528"/>
      <c r="C16" s="531"/>
      <c r="D16" s="531"/>
      <c r="E16" s="553"/>
      <c r="F16" s="553"/>
      <c r="G16" s="553"/>
    </row>
    <row r="17" spans="1:11" ht="15.75" x14ac:dyDescent="0.25">
      <c r="A17" s="21" t="s">
        <v>287</v>
      </c>
      <c r="B17" s="21"/>
      <c r="C17" s="67"/>
      <c r="D17" s="35"/>
      <c r="E17" s="87">
        <v>100</v>
      </c>
      <c r="F17" s="87"/>
      <c r="G17" s="87">
        <v>100</v>
      </c>
    </row>
    <row r="18" spans="1:11" ht="15.75" x14ac:dyDescent="0.25">
      <c r="A18" s="22"/>
      <c r="B18" s="21"/>
      <c r="C18" s="29"/>
      <c r="D18" s="29"/>
      <c r="E18" s="88"/>
      <c r="F18" s="88"/>
      <c r="G18" s="88"/>
    </row>
    <row r="19" spans="1:11" ht="15.75" x14ac:dyDescent="0.25">
      <c r="A19" s="26" t="s">
        <v>697</v>
      </c>
      <c r="B19" s="21"/>
      <c r="C19" s="29"/>
      <c r="D19" s="29"/>
      <c r="E19" s="96">
        <v>0.38</v>
      </c>
      <c r="F19" s="96"/>
      <c r="G19" s="96">
        <f>E19</f>
        <v>0.38</v>
      </c>
      <c r="I19" s="93"/>
    </row>
    <row r="20" spans="1:11" ht="15.75" x14ac:dyDescent="0.25">
      <c r="A20" s="22"/>
      <c r="B20" s="21"/>
      <c r="C20" s="29"/>
      <c r="D20" s="29"/>
      <c r="E20" s="96"/>
      <c r="F20" s="96"/>
      <c r="G20" s="96"/>
    </row>
    <row r="21" spans="1:11" ht="15.75" x14ac:dyDescent="0.25">
      <c r="A21" s="26" t="s">
        <v>469</v>
      </c>
      <c r="B21" s="21"/>
      <c r="C21" s="29"/>
      <c r="D21" s="29"/>
      <c r="E21" s="98">
        <f>ROUND(+E17*0.001529,6)</f>
        <v>0.15290000000000001</v>
      </c>
      <c r="F21" s="98"/>
      <c r="G21" s="98">
        <f>E21</f>
        <v>0.15290000000000001</v>
      </c>
    </row>
    <row r="22" spans="1:11" ht="15.75" x14ac:dyDescent="0.25">
      <c r="A22" s="22"/>
      <c r="B22" s="21"/>
      <c r="C22" s="29"/>
      <c r="D22" s="29"/>
      <c r="E22" s="96"/>
      <c r="F22" s="96"/>
      <c r="G22" s="96"/>
    </row>
    <row r="23" spans="1:11" ht="15.75" x14ac:dyDescent="0.25">
      <c r="A23" s="26" t="str">
        <f>"4. Production Tax Credit-State (Reference Schedule "&amp;Inputs!A45&amp;")"</f>
        <v>4. Production Tax Credit-State (Reference Schedule 1.29)</v>
      </c>
      <c r="B23" s="21"/>
      <c r="C23" s="29"/>
      <c r="D23" s="29"/>
      <c r="E23" s="97">
        <f>'1.29'!F42</f>
        <v>2.871</v>
      </c>
      <c r="F23" s="531"/>
      <c r="G23" s="97"/>
      <c r="K23" s="114"/>
    </row>
    <row r="24" spans="1:11" ht="15.75" x14ac:dyDescent="0.25">
      <c r="A24" s="22"/>
      <c r="B24" s="21"/>
      <c r="C24" s="29"/>
      <c r="D24" s="29"/>
      <c r="E24" s="96"/>
      <c r="F24" s="531"/>
      <c r="G24" s="96"/>
    </row>
    <row r="25" spans="1:11" ht="15.75" x14ac:dyDescent="0.25">
      <c r="A25" s="26" t="s">
        <v>19</v>
      </c>
      <c r="B25" s="21"/>
      <c r="C25" s="29"/>
      <c r="D25" s="29"/>
      <c r="E25" s="96">
        <f>+E17-E21-E19-E23</f>
        <v>96.596100000000007</v>
      </c>
      <c r="F25" s="96"/>
      <c r="G25" s="96">
        <f>+G17-G21-G19-G23</f>
        <v>99.467100000000002</v>
      </c>
    </row>
    <row r="26" spans="1:11" ht="15.75" x14ac:dyDescent="0.25">
      <c r="A26" s="22"/>
      <c r="B26" s="21"/>
      <c r="C26" s="29"/>
      <c r="D26" s="29"/>
      <c r="E26" s="96"/>
      <c r="F26" s="96"/>
      <c r="G26" s="96"/>
    </row>
    <row r="27" spans="1:11" ht="15.75" x14ac:dyDescent="0.25">
      <c r="A27" s="26" t="s">
        <v>20</v>
      </c>
      <c r="B27" s="21"/>
      <c r="C27" s="29"/>
      <c r="D27" s="29"/>
      <c r="E27" s="98">
        <f>ROUND(+E25*0.06,6)</f>
        <v>5.7957660000000004</v>
      </c>
      <c r="F27" s="98"/>
      <c r="G27" s="98">
        <f>E27</f>
        <v>5.7957660000000004</v>
      </c>
    </row>
    <row r="28" spans="1:11" ht="15.75" x14ac:dyDescent="0.25">
      <c r="A28" s="22"/>
      <c r="B28" s="21"/>
      <c r="C28" s="29"/>
      <c r="D28" s="29"/>
      <c r="E28" s="96"/>
      <c r="F28" s="96"/>
      <c r="G28" s="96"/>
    </row>
    <row r="29" spans="1:11" ht="15.75" x14ac:dyDescent="0.25">
      <c r="A29" s="26" t="str">
        <f>"7. Production Tax Credit-Federal (Reference Schedule "&amp;Inputs!A45&amp;")"</f>
        <v>7. Production Tax Credit-Federal (Reference Schedule 1.29)</v>
      </c>
      <c r="B29" s="21"/>
      <c r="C29" s="29"/>
      <c r="D29" s="29"/>
      <c r="E29" s="98"/>
      <c r="F29" s="98"/>
      <c r="G29" s="97">
        <f>'1.29'!F24</f>
        <v>4.0588244059999994</v>
      </c>
      <c r="K29" s="114"/>
    </row>
    <row r="30" spans="1:11" ht="15.75" x14ac:dyDescent="0.25">
      <c r="A30" s="22"/>
      <c r="B30" s="21"/>
      <c r="C30" s="29"/>
      <c r="D30" s="29"/>
      <c r="E30" s="96"/>
      <c r="F30" s="96"/>
      <c r="G30" s="96"/>
    </row>
    <row r="31" spans="1:11" ht="15.75" x14ac:dyDescent="0.25">
      <c r="A31" s="26" t="s">
        <v>449</v>
      </c>
      <c r="B31" s="21"/>
      <c r="C31" s="41"/>
      <c r="D31" s="41"/>
      <c r="E31" s="98"/>
      <c r="F31" s="98"/>
      <c r="G31" s="98">
        <f>+G25-G27-G29</f>
        <v>89.612509594000002</v>
      </c>
    </row>
    <row r="32" spans="1:11" ht="15.75" x14ac:dyDescent="0.25">
      <c r="A32" s="26"/>
      <c r="B32" s="21"/>
      <c r="C32" s="52"/>
      <c r="D32" s="29"/>
      <c r="E32" s="98"/>
      <c r="F32" s="98"/>
      <c r="G32" s="96"/>
    </row>
    <row r="33" spans="1:7" ht="15.75" x14ac:dyDescent="0.25">
      <c r="A33" s="26" t="s">
        <v>450</v>
      </c>
      <c r="B33" s="21"/>
      <c r="C33" s="52"/>
      <c r="D33" s="29"/>
      <c r="E33" s="98"/>
      <c r="F33" s="98"/>
      <c r="G33" s="97">
        <f>ROUND(+G31*0.35,6)</f>
        <v>31.364377999999999</v>
      </c>
    </row>
    <row r="34" spans="1:7" ht="15.75" x14ac:dyDescent="0.25">
      <c r="A34" s="26"/>
      <c r="B34" s="21"/>
      <c r="C34" s="52"/>
      <c r="D34" s="29"/>
      <c r="E34" s="98"/>
      <c r="F34" s="98"/>
      <c r="G34" s="96"/>
    </row>
    <row r="35" spans="1:7" ht="15.75" x14ac:dyDescent="0.25">
      <c r="A35" s="26" t="s">
        <v>451</v>
      </c>
      <c r="B35" s="21"/>
      <c r="C35" s="52"/>
      <c r="D35" s="29"/>
      <c r="E35" s="98"/>
      <c r="F35" s="98"/>
      <c r="G35" s="96"/>
    </row>
    <row r="36" spans="1:7" ht="15.75" x14ac:dyDescent="0.25">
      <c r="A36" s="26" t="s">
        <v>452</v>
      </c>
      <c r="B36" s="21"/>
      <c r="C36" s="52"/>
      <c r="D36" s="29"/>
      <c r="E36" s="99"/>
      <c r="F36" s="99"/>
      <c r="G36" s="99">
        <f>+G27+G33+G21+G19</f>
        <v>37.693044000000008</v>
      </c>
    </row>
    <row r="37" spans="1:7" ht="15.75" x14ac:dyDescent="0.25">
      <c r="A37" s="22"/>
      <c r="B37" s="21"/>
      <c r="C37" s="52"/>
      <c r="D37" s="29"/>
      <c r="E37" s="99"/>
      <c r="F37" s="99"/>
      <c r="G37" s="99"/>
    </row>
    <row r="38" spans="1:7" ht="15.75" x14ac:dyDescent="0.25">
      <c r="A38" s="26" t="s">
        <v>453</v>
      </c>
      <c r="B38" s="21"/>
      <c r="C38" s="52"/>
      <c r="D38" s="29"/>
      <c r="E38" s="552"/>
      <c r="F38" s="552"/>
      <c r="G38" s="94">
        <f>+G17</f>
        <v>100</v>
      </c>
    </row>
    <row r="39" spans="1:7" ht="15.75" x14ac:dyDescent="0.25">
      <c r="A39" s="22"/>
      <c r="B39" s="21"/>
      <c r="C39" s="52"/>
      <c r="D39" s="29"/>
      <c r="E39" s="90"/>
      <c r="F39" s="90"/>
      <c r="G39" s="90"/>
    </row>
    <row r="40" spans="1:7" ht="16.5" thickBot="1" x14ac:dyDescent="0.3">
      <c r="A40" s="26" t="s">
        <v>454</v>
      </c>
      <c r="B40" s="21"/>
      <c r="C40" s="31"/>
      <c r="D40" s="29"/>
      <c r="E40" s="99"/>
      <c r="F40" s="99"/>
      <c r="G40" s="108">
        <f>+G38-G36</f>
        <v>62.306955999999992</v>
      </c>
    </row>
    <row r="41" spans="1:7" ht="12.75" thickTop="1" x14ac:dyDescent="0.15">
      <c r="E41" s="95"/>
      <c r="F41" s="95"/>
      <c r="G41" s="95"/>
    </row>
    <row r="42" spans="1:7" ht="15.75" x14ac:dyDescent="0.25">
      <c r="E42" s="89"/>
      <c r="F42" s="89"/>
      <c r="G42" s="89"/>
    </row>
    <row r="44" spans="1:7" x14ac:dyDescent="0.15">
      <c r="E44" s="81"/>
      <c r="F44" s="81"/>
      <c r="G44" s="81"/>
    </row>
    <row r="45" spans="1:7" x14ac:dyDescent="0.15">
      <c r="E45" s="81"/>
      <c r="F45" s="81"/>
      <c r="G45" s="81"/>
    </row>
  </sheetData>
  <mergeCells count="4">
    <mergeCell ref="A8:G8"/>
    <mergeCell ref="A12:G12"/>
    <mergeCell ref="A10:D10"/>
    <mergeCell ref="A11:G11"/>
  </mergeCells>
  <phoneticPr fontId="0" type="noConversion"/>
  <printOptions horizontalCentered="1" gridLinesSet="0"/>
  <pageMargins left="1.25" right="0.75" top="1" bottom="1" header="0.5" footer="0.5"/>
  <pageSetup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9" enableFormatConditionsCalculation="0"/>
  <dimension ref="A1:W77"/>
  <sheetViews>
    <sheetView showGridLines="0" zoomScale="70" zoomScaleNormal="70" workbookViewId="0">
      <selection activeCell="B52" sqref="B52"/>
    </sheetView>
  </sheetViews>
  <sheetFormatPr defaultColWidth="10.875" defaultRowHeight="15.75" x14ac:dyDescent="0.25"/>
  <cols>
    <col min="1" max="1" width="3.625" style="257" customWidth="1"/>
    <col min="2" max="2" width="53.25" style="106" customWidth="1"/>
    <col min="3" max="4" width="2.375" style="106" customWidth="1"/>
    <col min="5" max="5" width="16.625" style="106" customWidth="1"/>
    <col min="6" max="6" width="1.625" style="106" customWidth="1"/>
    <col min="7" max="7" width="16.625" style="106" customWidth="1"/>
    <col min="8" max="8" width="1.75" style="106" customWidth="1"/>
    <col min="9" max="9" width="16.625" style="106" customWidth="1"/>
    <col min="10" max="10" width="1.75" style="106" customWidth="1"/>
    <col min="11" max="11" width="16.625" style="106" customWidth="1"/>
    <col min="12" max="12" width="1.75" style="106" customWidth="1"/>
    <col min="13" max="13" width="16.625" style="106" customWidth="1"/>
    <col min="14" max="14" width="1.75" style="106" customWidth="1"/>
    <col min="15" max="15" width="16.625" style="106" customWidth="1"/>
    <col min="16" max="16" width="1.75" style="106" customWidth="1"/>
    <col min="17" max="17" width="16.625" style="106" customWidth="1"/>
    <col min="18" max="18" width="10.875" style="106"/>
    <col min="19" max="19" width="13.5" style="106" bestFit="1" customWidth="1"/>
    <col min="20" max="20" width="12" style="106" bestFit="1" customWidth="1"/>
    <col min="21" max="21" width="10.875" style="106"/>
    <col min="22" max="23" width="12" style="106" bestFit="1" customWidth="1"/>
    <col min="24" max="16384" width="10.875" style="106"/>
  </cols>
  <sheetData>
    <row r="1" spans="1:22" x14ac:dyDescent="0.25">
      <c r="A1" s="256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534"/>
      <c r="P1" s="150"/>
      <c r="Q1" s="534" t="s">
        <v>405</v>
      </c>
    </row>
    <row r="2" spans="1:22" x14ac:dyDescent="0.25">
      <c r="A2" s="256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1" t="str">
        <f>"Sponsoring Witness: "&amp;Inputs!$B9&amp;""</f>
        <v>Sponsoring Witness: Blake</v>
      </c>
    </row>
    <row r="3" spans="1:22" x14ac:dyDescent="0.25">
      <c r="A3" s="150"/>
      <c r="B3" s="150"/>
      <c r="C3" s="150"/>
      <c r="D3" s="150"/>
      <c r="E3" s="150"/>
      <c r="F3" s="150"/>
      <c r="G3" s="150"/>
      <c r="H3" s="150"/>
      <c r="J3" s="150"/>
      <c r="K3" s="150"/>
      <c r="L3" s="150"/>
      <c r="M3" s="150"/>
      <c r="N3" s="150"/>
      <c r="O3" s="150"/>
      <c r="P3" s="150"/>
      <c r="Q3" s="118" t="s">
        <v>288</v>
      </c>
    </row>
    <row r="4" spans="1:22" x14ac:dyDescent="0.25">
      <c r="H4" s="139"/>
      <c r="J4" s="139"/>
      <c r="L4" s="139"/>
      <c r="N4" s="139"/>
      <c r="P4" s="139"/>
    </row>
    <row r="5" spans="1:22" x14ac:dyDescent="0.25">
      <c r="A5" s="258" t="s">
        <v>222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22" x14ac:dyDescent="0.25">
      <c r="A6" s="259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22" x14ac:dyDescent="0.25">
      <c r="A7" s="708" t="str">
        <f>"Net Original Cost Rate Base as of "&amp;Inputs!B3&amp;""</f>
        <v>Net Original Cost Rate Base as of March 31, 2012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</row>
    <row r="8" spans="1:22" x14ac:dyDescent="0.25">
      <c r="A8" s="504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</row>
    <row r="9" spans="1:22" x14ac:dyDescent="0.25">
      <c r="A9" s="258"/>
      <c r="B9" s="127"/>
      <c r="C9" s="127"/>
      <c r="D9" s="127"/>
      <c r="E9" s="127"/>
      <c r="F9" s="127"/>
      <c r="G9" s="417"/>
      <c r="J9" s="127"/>
      <c r="K9" s="127"/>
      <c r="L9" s="127"/>
      <c r="M9" s="127"/>
      <c r="N9" s="127"/>
      <c r="O9" s="127"/>
      <c r="P9" s="127"/>
      <c r="Q9" s="127"/>
    </row>
    <row r="10" spans="1:22" x14ac:dyDescent="0.25">
      <c r="A10" s="260"/>
      <c r="B10" s="118"/>
      <c r="D10" s="139"/>
      <c r="H10" s="133"/>
      <c r="I10" s="133" t="s">
        <v>394</v>
      </c>
    </row>
    <row r="11" spans="1:22" ht="21" customHeight="1" x14ac:dyDescent="0.25">
      <c r="B11" s="123" t="s">
        <v>160</v>
      </c>
      <c r="E11" s="133" t="s">
        <v>161</v>
      </c>
      <c r="F11" s="133"/>
      <c r="G11" s="171" t="s">
        <v>65</v>
      </c>
      <c r="I11" s="171" t="s">
        <v>555</v>
      </c>
      <c r="J11" s="133"/>
      <c r="K11" s="133" t="s">
        <v>66</v>
      </c>
      <c r="L11" s="133"/>
      <c r="M11" s="171" t="s">
        <v>162</v>
      </c>
      <c r="N11" s="133"/>
      <c r="O11" s="133" t="s">
        <v>221</v>
      </c>
      <c r="P11" s="133"/>
      <c r="Q11" s="133" t="s">
        <v>197</v>
      </c>
    </row>
    <row r="12" spans="1:22" x14ac:dyDescent="0.25">
      <c r="B12" s="132">
        <v>-1</v>
      </c>
      <c r="E12" s="135" t="s">
        <v>253</v>
      </c>
      <c r="F12" s="133"/>
      <c r="G12" s="135" t="s">
        <v>352</v>
      </c>
      <c r="H12" s="133"/>
      <c r="I12" s="447">
        <v>-4</v>
      </c>
      <c r="J12" s="133"/>
      <c r="K12" s="135">
        <v>-5</v>
      </c>
      <c r="L12" s="133"/>
      <c r="M12" s="135">
        <v>-6</v>
      </c>
      <c r="N12" s="133"/>
      <c r="O12" s="135">
        <v>-7</v>
      </c>
      <c r="P12" s="133"/>
      <c r="Q12" s="137">
        <v>-8</v>
      </c>
      <c r="S12" s="148"/>
      <c r="V12" s="148"/>
    </row>
    <row r="13" spans="1:22" x14ac:dyDescent="0.25">
      <c r="E13" s="129"/>
      <c r="F13" s="129"/>
      <c r="G13" s="129"/>
      <c r="H13" s="129"/>
      <c r="I13" s="129"/>
      <c r="J13" s="129"/>
      <c r="K13" s="171" t="s">
        <v>556</v>
      </c>
      <c r="L13" s="129"/>
      <c r="M13" s="171" t="s">
        <v>557</v>
      </c>
      <c r="N13" s="129"/>
      <c r="O13" s="129"/>
      <c r="P13" s="129"/>
      <c r="Q13" s="171" t="s">
        <v>558</v>
      </c>
    </row>
    <row r="14" spans="1:22" ht="21" customHeight="1" x14ac:dyDescent="0.25">
      <c r="A14" s="261" t="s">
        <v>254</v>
      </c>
      <c r="B14" s="106" t="s">
        <v>289</v>
      </c>
      <c r="E14" s="206">
        <v>4079661192</v>
      </c>
      <c r="F14" s="212"/>
      <c r="G14" s="206">
        <f>84853330+1943207</f>
        <v>86796537</v>
      </c>
      <c r="H14" s="212"/>
      <c r="I14" s="206">
        <v>66538981</v>
      </c>
      <c r="J14" s="212"/>
      <c r="K14" s="212">
        <f>G14-I14</f>
        <v>20257556</v>
      </c>
      <c r="L14" s="212"/>
      <c r="M14" s="212">
        <f>E14-K14</f>
        <v>4059403636</v>
      </c>
      <c r="N14" s="212"/>
      <c r="O14" s="206">
        <v>854044596</v>
      </c>
      <c r="P14" s="212"/>
      <c r="Q14" s="157">
        <f>+E14+O14</f>
        <v>4933705788</v>
      </c>
    </row>
    <row r="15" spans="1:22" ht="12.75" customHeight="1" x14ac:dyDescent="0.25">
      <c r="A15" s="261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1:22" ht="15" customHeight="1" x14ac:dyDescent="0.25">
      <c r="A16" s="261" t="s">
        <v>255</v>
      </c>
      <c r="B16" s="106" t="s">
        <v>290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59"/>
    </row>
    <row r="17" spans="1:23" ht="21" customHeight="1" x14ac:dyDescent="0.25">
      <c r="A17" s="261" t="s">
        <v>256</v>
      </c>
      <c r="B17" s="262" t="s">
        <v>291</v>
      </c>
      <c r="E17" s="200">
        <v>1874143605</v>
      </c>
      <c r="G17" s="200">
        <v>4830323</v>
      </c>
      <c r="I17" s="200">
        <v>4758789</v>
      </c>
      <c r="K17" s="106">
        <f>G17-I17</f>
        <v>71534</v>
      </c>
      <c r="M17" s="106">
        <f>E17-K17</f>
        <v>1874072071</v>
      </c>
      <c r="O17" s="200">
        <v>270116840</v>
      </c>
      <c r="Q17" s="112">
        <f>+E17+O17</f>
        <v>2144260445</v>
      </c>
    </row>
    <row r="18" spans="1:23" ht="11.25" customHeight="1" x14ac:dyDescent="0.25">
      <c r="A18" s="261"/>
      <c r="E18" s="208"/>
      <c r="G18" s="208"/>
      <c r="I18" s="208"/>
      <c r="K18" s="208"/>
      <c r="M18" s="208"/>
      <c r="O18" s="208"/>
      <c r="Q18" s="208"/>
    </row>
    <row r="19" spans="1:23" ht="21" customHeight="1" x14ac:dyDescent="0.25">
      <c r="A19" s="261" t="s">
        <v>257</v>
      </c>
      <c r="B19" s="106" t="s">
        <v>292</v>
      </c>
      <c r="E19" s="119">
        <f>+E14-E17</f>
        <v>2205517587</v>
      </c>
      <c r="F19" s="119"/>
      <c r="G19" s="119">
        <f>+G14-G17</f>
        <v>81966214</v>
      </c>
      <c r="H19" s="119"/>
      <c r="I19" s="535">
        <f>+I14-I17</f>
        <v>61780192</v>
      </c>
      <c r="J19" s="119"/>
      <c r="K19" s="119">
        <f>+K14-K17</f>
        <v>20186022</v>
      </c>
      <c r="L19" s="119"/>
      <c r="M19" s="119">
        <f>+M14-M17</f>
        <v>2185331565</v>
      </c>
      <c r="N19" s="119"/>
      <c r="O19" s="119">
        <f>+O14-O17</f>
        <v>583927756</v>
      </c>
      <c r="P19" s="119"/>
      <c r="Q19" s="119">
        <f>+Q14-Q17</f>
        <v>2789445343</v>
      </c>
      <c r="S19" s="119"/>
      <c r="T19" s="119"/>
      <c r="V19" s="119"/>
      <c r="W19" s="119"/>
    </row>
    <row r="20" spans="1:23" ht="9.75" customHeight="1" x14ac:dyDescent="0.25">
      <c r="A20" s="261"/>
      <c r="I20" s="520"/>
    </row>
    <row r="21" spans="1:23" ht="15" customHeight="1" x14ac:dyDescent="0.25">
      <c r="A21" s="261" t="s">
        <v>258</v>
      </c>
      <c r="B21" s="106" t="s">
        <v>290</v>
      </c>
      <c r="I21" s="520"/>
    </row>
    <row r="22" spans="1:23" ht="21" customHeight="1" x14ac:dyDescent="0.25">
      <c r="A22" s="261" t="s">
        <v>259</v>
      </c>
      <c r="B22" s="262" t="s">
        <v>293</v>
      </c>
      <c r="E22" s="200">
        <v>960947</v>
      </c>
      <c r="G22" s="189">
        <v>0</v>
      </c>
      <c r="I22" s="189">
        <v>0</v>
      </c>
      <c r="K22" s="189">
        <f t="shared" ref="K22:K26" si="0">G22-I22</f>
        <v>0</v>
      </c>
      <c r="M22" s="106">
        <f t="shared" ref="M22:M26" si="1">E22-K22</f>
        <v>960947</v>
      </c>
      <c r="O22" s="200">
        <v>6368917</v>
      </c>
      <c r="Q22" s="106">
        <f>+E22+O22</f>
        <v>7329864</v>
      </c>
    </row>
    <row r="23" spans="1:23" ht="21" customHeight="1" x14ac:dyDescent="0.25">
      <c r="A23" s="261" t="s">
        <v>260</v>
      </c>
      <c r="B23" s="262" t="s">
        <v>421</v>
      </c>
      <c r="E23" s="200">
        <v>406612247</v>
      </c>
      <c r="G23" s="200">
        <v>3724228</v>
      </c>
      <c r="I23" s="200">
        <v>3544740</v>
      </c>
      <c r="K23" s="106">
        <f t="shared" si="0"/>
        <v>179488</v>
      </c>
      <c r="M23" s="106">
        <f t="shared" si="1"/>
        <v>406432759</v>
      </c>
      <c r="O23" s="200">
        <v>86384999</v>
      </c>
      <c r="Q23" s="106">
        <f>+E23+O23</f>
        <v>492997246</v>
      </c>
    </row>
    <row r="24" spans="1:23" ht="21" customHeight="1" x14ac:dyDescent="0.25">
      <c r="A24" s="261" t="s">
        <v>261</v>
      </c>
      <c r="B24" s="262" t="s">
        <v>294</v>
      </c>
      <c r="E24" s="200">
        <v>27127029</v>
      </c>
      <c r="G24" s="189">
        <v>0</v>
      </c>
      <c r="I24" s="189">
        <v>0</v>
      </c>
      <c r="K24" s="189">
        <f t="shared" si="0"/>
        <v>0</v>
      </c>
      <c r="M24" s="106">
        <f t="shared" si="1"/>
        <v>27127029</v>
      </c>
      <c r="O24" s="200">
        <v>3417946</v>
      </c>
      <c r="Q24" s="106">
        <f>+E24+O24</f>
        <v>30544975</v>
      </c>
    </row>
    <row r="25" spans="1:23" ht="21" customHeight="1" x14ac:dyDescent="0.25">
      <c r="A25" s="261" t="s">
        <v>262</v>
      </c>
      <c r="B25" s="262" t="s">
        <v>147</v>
      </c>
      <c r="D25" s="263"/>
      <c r="E25" s="200">
        <f>ROUND(28285799.15+533396.11+(101389.77*0.71)-1857310.33-10421.74-(2918.69*0.71),0)</f>
        <v>27021378</v>
      </c>
      <c r="G25" s="189">
        <v>0</v>
      </c>
      <c r="I25" s="189">
        <v>0</v>
      </c>
      <c r="K25" s="189">
        <f t="shared" si="0"/>
        <v>0</v>
      </c>
      <c r="M25" s="106">
        <f t="shared" si="1"/>
        <v>27021378</v>
      </c>
      <c r="O25" s="200">
        <f>ROUND(21040462.23+33839.35+(101389.77*0.29)-793967.94-776.07-(2918.69*0.29),0)</f>
        <v>20308114</v>
      </c>
      <c r="Q25" s="106">
        <f>+E25+O25</f>
        <v>47329492</v>
      </c>
    </row>
    <row r="26" spans="1:23" ht="21" customHeight="1" x14ac:dyDescent="0.25">
      <c r="A26" s="261" t="s">
        <v>263</v>
      </c>
      <c r="B26" s="262" t="s">
        <v>148</v>
      </c>
      <c r="E26" s="200">
        <v>204351</v>
      </c>
      <c r="G26" s="189">
        <v>0</v>
      </c>
      <c r="I26" s="189">
        <v>0</v>
      </c>
      <c r="K26" s="189">
        <f t="shared" si="0"/>
        <v>0</v>
      </c>
      <c r="M26" s="106">
        <f t="shared" si="1"/>
        <v>204351</v>
      </c>
      <c r="O26" s="200">
        <v>2155824</v>
      </c>
      <c r="Q26" s="106">
        <f>+E26+O26</f>
        <v>2360175</v>
      </c>
    </row>
    <row r="27" spans="1:23" ht="12" customHeight="1" x14ac:dyDescent="0.25">
      <c r="A27" s="261"/>
      <c r="E27" s="208"/>
      <c r="G27" s="208"/>
      <c r="I27" s="208"/>
      <c r="K27" s="208"/>
      <c r="M27" s="208"/>
      <c r="O27" s="208"/>
      <c r="Q27" s="208"/>
    </row>
    <row r="28" spans="1:23" ht="21" customHeight="1" x14ac:dyDescent="0.25">
      <c r="A28" s="261" t="s">
        <v>264</v>
      </c>
      <c r="B28" s="262" t="s">
        <v>295</v>
      </c>
      <c r="E28" s="119">
        <f>SUM(E22:E27)</f>
        <v>461925952</v>
      </c>
      <c r="F28" s="119"/>
      <c r="G28" s="119">
        <f>SUM(G22:G27)</f>
        <v>3724228</v>
      </c>
      <c r="H28" s="119"/>
      <c r="I28" s="535">
        <f>SUM(I22:I27)</f>
        <v>3544740</v>
      </c>
      <c r="J28" s="119"/>
      <c r="K28" s="119">
        <f>SUM(K22:K27)</f>
        <v>179488</v>
      </c>
      <c r="L28" s="119"/>
      <c r="M28" s="119">
        <f>SUM(M22:M27)</f>
        <v>461746464</v>
      </c>
      <c r="N28" s="119"/>
      <c r="O28" s="119">
        <f>SUM(O22:O27)</f>
        <v>118635800</v>
      </c>
      <c r="P28" s="119"/>
      <c r="Q28" s="119">
        <f>SUM(Q22:Q27)</f>
        <v>580561752</v>
      </c>
    </row>
    <row r="29" spans="1:23" ht="12" customHeight="1" x14ac:dyDescent="0.25">
      <c r="A29" s="261"/>
      <c r="I29" s="520"/>
    </row>
    <row r="30" spans="1:23" ht="21" customHeight="1" x14ac:dyDescent="0.25">
      <c r="A30" s="261" t="s">
        <v>265</v>
      </c>
      <c r="B30" s="106" t="s">
        <v>296</v>
      </c>
      <c r="E30" s="119">
        <f>+E19-E28</f>
        <v>1743591635</v>
      </c>
      <c r="F30" s="119"/>
      <c r="G30" s="119">
        <f>+G19-G28</f>
        <v>78241986</v>
      </c>
      <c r="H30" s="119"/>
      <c r="I30" s="535">
        <f>+I19-I28</f>
        <v>58235452</v>
      </c>
      <c r="J30" s="119"/>
      <c r="K30" s="119">
        <f>+K19-K28</f>
        <v>20006534</v>
      </c>
      <c r="L30" s="119"/>
      <c r="M30" s="119">
        <f>+M19-M28</f>
        <v>1723585101</v>
      </c>
      <c r="N30" s="119"/>
      <c r="O30" s="119">
        <f>+O19-O28</f>
        <v>465291956</v>
      </c>
      <c r="P30" s="119"/>
      <c r="Q30" s="119">
        <f>+Q19-Q28</f>
        <v>2208883591</v>
      </c>
    </row>
    <row r="31" spans="1:23" ht="12" customHeight="1" x14ac:dyDescent="0.25">
      <c r="A31" s="261"/>
      <c r="I31" s="520"/>
    </row>
    <row r="32" spans="1:23" ht="14.25" customHeight="1" x14ac:dyDescent="0.25">
      <c r="A32" s="261" t="s">
        <v>266</v>
      </c>
      <c r="B32" s="106" t="s">
        <v>297</v>
      </c>
      <c r="I32" s="520"/>
    </row>
    <row r="33" spans="1:17" ht="21" customHeight="1" x14ac:dyDescent="0.25">
      <c r="A33" s="261" t="s">
        <v>267</v>
      </c>
      <c r="B33" s="262" t="s">
        <v>422</v>
      </c>
      <c r="E33" s="200">
        <v>90578486</v>
      </c>
      <c r="G33" s="58">
        <v>15658</v>
      </c>
      <c r="I33" s="58">
        <v>0</v>
      </c>
      <c r="K33" s="520">
        <f t="shared" ref="K33:K36" si="2">G33-I33</f>
        <v>15658</v>
      </c>
      <c r="M33" s="106">
        <f t="shared" ref="M33:M36" si="3">E33-K33</f>
        <v>90562828</v>
      </c>
      <c r="O33" s="200">
        <v>55133</v>
      </c>
      <c r="Q33" s="106">
        <f>+E33+O33</f>
        <v>90633619</v>
      </c>
    </row>
    <row r="34" spans="1:17" ht="21" customHeight="1" x14ac:dyDescent="0.25">
      <c r="A34" s="261" t="s">
        <v>268</v>
      </c>
      <c r="B34" s="262" t="s">
        <v>423</v>
      </c>
      <c r="E34" s="266">
        <v>0</v>
      </c>
      <c r="G34" s="189">
        <v>0</v>
      </c>
      <c r="I34" s="189">
        <v>0</v>
      </c>
      <c r="K34" s="189">
        <f t="shared" si="2"/>
        <v>0</v>
      </c>
      <c r="M34" s="189">
        <f t="shared" si="3"/>
        <v>0</v>
      </c>
      <c r="O34" s="200">
        <v>36144520</v>
      </c>
      <c r="Q34" s="106">
        <f>+E34+O34</f>
        <v>36144520</v>
      </c>
    </row>
    <row r="35" spans="1:17" ht="21" customHeight="1" x14ac:dyDescent="0.25">
      <c r="A35" s="261" t="s">
        <v>269</v>
      </c>
      <c r="B35" s="262" t="s">
        <v>424</v>
      </c>
      <c r="E35" s="200">
        <v>4350165</v>
      </c>
      <c r="G35" s="189">
        <v>0</v>
      </c>
      <c r="I35" s="189">
        <v>0</v>
      </c>
      <c r="K35" s="189">
        <f t="shared" si="2"/>
        <v>0</v>
      </c>
      <c r="M35" s="106">
        <f t="shared" si="3"/>
        <v>4350165</v>
      </c>
      <c r="O35" s="200">
        <v>691403</v>
      </c>
      <c r="Q35" s="106">
        <f>+E35+O35</f>
        <v>5041568</v>
      </c>
    </row>
    <row r="36" spans="1:17" ht="21" customHeight="1" x14ac:dyDescent="0.25">
      <c r="A36" s="261" t="s">
        <v>270</v>
      </c>
      <c r="B36" s="262" t="s">
        <v>298</v>
      </c>
      <c r="E36" s="106">
        <f>+E74</f>
        <v>82477382</v>
      </c>
      <c r="G36" s="106">
        <f>+G74</f>
        <v>234528</v>
      </c>
      <c r="I36" s="520">
        <f>+I74</f>
        <v>165577</v>
      </c>
      <c r="K36" s="106">
        <f t="shared" si="2"/>
        <v>68951</v>
      </c>
      <c r="M36" s="106">
        <f t="shared" si="3"/>
        <v>82408431</v>
      </c>
      <c r="O36" s="106">
        <f>+O74</f>
        <v>8164483</v>
      </c>
      <c r="Q36" s="106">
        <f>+E36+O36</f>
        <v>90641865</v>
      </c>
    </row>
    <row r="37" spans="1:17" ht="12" customHeight="1" x14ac:dyDescent="0.25">
      <c r="A37" s="261"/>
      <c r="E37" s="208"/>
      <c r="G37" s="208"/>
      <c r="I37" s="208"/>
      <c r="K37" s="208"/>
      <c r="M37" s="208"/>
      <c r="O37" s="208"/>
      <c r="Q37" s="208"/>
    </row>
    <row r="38" spans="1:17" ht="21" customHeight="1" x14ac:dyDescent="0.25">
      <c r="A38" s="261" t="s">
        <v>299</v>
      </c>
      <c r="B38" s="262" t="s">
        <v>300</v>
      </c>
      <c r="E38" s="119">
        <f>SUM(E33:E37)</f>
        <v>177406033</v>
      </c>
      <c r="G38" s="119">
        <f>SUM(G33:G37)</f>
        <v>250186</v>
      </c>
      <c r="I38" s="535">
        <f>SUM(I33:I37)</f>
        <v>165577</v>
      </c>
      <c r="K38" s="119">
        <f>SUM(K33:K37)</f>
        <v>84609</v>
      </c>
      <c r="M38" s="119">
        <f>SUM(M33:M37)</f>
        <v>177321424</v>
      </c>
      <c r="O38" s="119">
        <f>SUM(O33:O37)</f>
        <v>45055539</v>
      </c>
      <c r="Q38" s="119">
        <f>SUM(Q33:Q37)</f>
        <v>222461572</v>
      </c>
    </row>
    <row r="39" spans="1:17" ht="14.25" customHeight="1" x14ac:dyDescent="0.25">
      <c r="A39" s="261"/>
      <c r="I39" s="520"/>
    </row>
    <row r="40" spans="1:17" ht="21" customHeight="1" thickBot="1" x14ac:dyDescent="0.3">
      <c r="A40" s="261" t="s">
        <v>310</v>
      </c>
      <c r="B40" s="106" t="s">
        <v>301</v>
      </c>
      <c r="E40" s="86">
        <f>+E30+E38</f>
        <v>1920997668</v>
      </c>
      <c r="G40" s="86">
        <f>+G30+G38</f>
        <v>78492172</v>
      </c>
      <c r="I40" s="86">
        <f>+I30+I38</f>
        <v>58401029</v>
      </c>
      <c r="K40" s="86">
        <f>+K30+K38</f>
        <v>20091143</v>
      </c>
      <c r="M40" s="86">
        <f>+M30+M38</f>
        <v>1900906525</v>
      </c>
      <c r="O40" s="86">
        <f>+O30+O38</f>
        <v>510347495</v>
      </c>
      <c r="Q40" s="86">
        <f>+Q30+Q38</f>
        <v>2431345163</v>
      </c>
    </row>
    <row r="41" spans="1:17" ht="12.75" customHeight="1" thickTop="1" x14ac:dyDescent="0.25">
      <c r="A41" s="261"/>
      <c r="E41" s="174"/>
      <c r="G41" s="174"/>
      <c r="I41" s="174"/>
      <c r="K41" s="174"/>
      <c r="M41" s="174"/>
      <c r="O41" s="174"/>
      <c r="Q41" s="174"/>
    </row>
    <row r="42" spans="1:17" ht="21" customHeight="1" thickBot="1" x14ac:dyDescent="0.3">
      <c r="A42" s="261" t="s">
        <v>2</v>
      </c>
      <c r="B42" s="148" t="s">
        <v>153</v>
      </c>
      <c r="E42" s="267">
        <f>ROUND(+E40/$Q40,4)</f>
        <v>0.79010000000000002</v>
      </c>
      <c r="F42" s="119"/>
      <c r="G42" s="267">
        <f>ROUND(+G40/$Q40,4)</f>
        <v>3.2300000000000002E-2</v>
      </c>
      <c r="H42" s="119"/>
      <c r="I42" s="267">
        <f>ROUND(+I40/$Q40,4)</f>
        <v>2.4E-2</v>
      </c>
      <c r="J42" s="119"/>
      <c r="K42" s="267">
        <f>ROUND(+K40/$Q40,4)</f>
        <v>8.3000000000000001E-3</v>
      </c>
      <c r="M42" s="267">
        <f>ROUND(+M40/$Q40,4)</f>
        <v>0.78180000000000005</v>
      </c>
      <c r="O42" s="267">
        <f>ROUND(+O40/$Q40,4)</f>
        <v>0.2099</v>
      </c>
      <c r="Q42" s="267">
        <f>ROUND(+Q40/$Q40,4)</f>
        <v>1</v>
      </c>
    </row>
    <row r="43" spans="1:17" ht="16.5" thickTop="1" x14ac:dyDescent="0.25">
      <c r="A43" s="261"/>
      <c r="M43" s="175"/>
    </row>
    <row r="44" spans="1:17" ht="18.95" customHeight="1" x14ac:dyDescent="0.25">
      <c r="A44" s="264" t="s">
        <v>272</v>
      </c>
      <c r="B44" s="537" t="s">
        <v>475</v>
      </c>
      <c r="M44" s="269"/>
      <c r="O44" s="269"/>
    </row>
    <row r="45" spans="1:17" ht="18.95" customHeight="1" x14ac:dyDescent="0.25">
      <c r="A45" s="264" t="s">
        <v>210</v>
      </c>
      <c r="B45" s="106" t="s">
        <v>302</v>
      </c>
    </row>
    <row r="46" spans="1:17" ht="18.95" customHeight="1" x14ac:dyDescent="0.25">
      <c r="A46" s="264" t="s">
        <v>245</v>
      </c>
      <c r="B46" s="106" t="s">
        <v>320</v>
      </c>
    </row>
    <row r="47" spans="1:17" ht="18.95" customHeight="1" x14ac:dyDescent="0.25">
      <c r="A47" s="264" t="s">
        <v>319</v>
      </c>
      <c r="B47" s="537" t="s">
        <v>426</v>
      </c>
    </row>
    <row r="48" spans="1:17" ht="18.95" customHeight="1" x14ac:dyDescent="0.25">
      <c r="A48" s="264" t="s">
        <v>359</v>
      </c>
      <c r="B48" s="106" t="s">
        <v>187</v>
      </c>
    </row>
    <row r="49" spans="1:17" ht="18.95" customHeight="1" x14ac:dyDescent="0.25">
      <c r="A49" s="264"/>
    </row>
    <row r="50" spans="1:17" x14ac:dyDescent="0.25">
      <c r="H50" s="139"/>
      <c r="L50" s="139"/>
      <c r="N50" s="139"/>
      <c r="P50" s="139"/>
      <c r="Q50" s="536" t="str">
        <f>Q1</f>
        <v>Supporting Schedule-Exhibit 3</v>
      </c>
    </row>
    <row r="51" spans="1:17" x14ac:dyDescent="0.25">
      <c r="H51" s="139"/>
      <c r="L51" s="139"/>
      <c r="N51" s="139"/>
      <c r="P51" s="139"/>
      <c r="Q51" s="124" t="str">
        <f>Q2</f>
        <v>Sponsoring Witness: Blake</v>
      </c>
    </row>
    <row r="52" spans="1:17" x14ac:dyDescent="0.25">
      <c r="H52" s="139"/>
      <c r="L52" s="139"/>
      <c r="N52" s="139"/>
      <c r="P52" s="139"/>
      <c r="Q52" s="118" t="s">
        <v>273</v>
      </c>
    </row>
    <row r="54" spans="1:17" x14ac:dyDescent="0.25">
      <c r="A54" s="710" t="s">
        <v>222</v>
      </c>
      <c r="B54" s="710"/>
      <c r="C54" s="710"/>
      <c r="D54" s="710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710"/>
      <c r="Q54" s="710"/>
    </row>
    <row r="55" spans="1:17" x14ac:dyDescent="0.25">
      <c r="A55" s="259"/>
      <c r="B55" s="127"/>
      <c r="C55" s="127"/>
      <c r="D55" s="127"/>
      <c r="E55" s="127"/>
      <c r="F55" s="127"/>
      <c r="G55" s="127"/>
      <c r="H55" s="127"/>
      <c r="I55" s="127"/>
      <c r="L55" s="127"/>
      <c r="M55" s="127"/>
      <c r="N55" s="127"/>
      <c r="O55" s="127"/>
      <c r="P55" s="127"/>
      <c r="Q55" s="127"/>
    </row>
    <row r="56" spans="1:17" x14ac:dyDescent="0.25">
      <c r="A56" s="711" t="s">
        <v>313</v>
      </c>
      <c r="B56" s="711"/>
      <c r="C56" s="711"/>
      <c r="D56" s="711"/>
      <c r="E56" s="711"/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</row>
    <row r="57" spans="1:17" x14ac:dyDescent="0.25">
      <c r="A57" s="708" t="str">
        <f xml:space="preserve"> "As of "&amp;Inputs!B3&amp;""</f>
        <v>As of March 31, 2012</v>
      </c>
      <c r="B57" s="708"/>
      <c r="C57" s="708"/>
      <c r="D57" s="708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8"/>
      <c r="Q57" s="708"/>
    </row>
    <row r="58" spans="1:17" x14ac:dyDescent="0.25">
      <c r="A58" s="504"/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</row>
    <row r="59" spans="1:17" x14ac:dyDescent="0.25">
      <c r="A59" s="258"/>
      <c r="B59" s="127"/>
      <c r="C59" s="127"/>
      <c r="D59" s="127"/>
      <c r="E59" s="127"/>
      <c r="F59" s="127"/>
      <c r="I59" s="133"/>
      <c r="L59" s="127"/>
      <c r="M59" s="127"/>
      <c r="N59" s="127"/>
      <c r="O59" s="127"/>
      <c r="P59" s="127"/>
      <c r="Q59" s="127"/>
    </row>
    <row r="60" spans="1:17" x14ac:dyDescent="0.25">
      <c r="A60" s="260"/>
      <c r="D60" s="139"/>
      <c r="E60" s="520"/>
      <c r="F60" s="520"/>
      <c r="G60" s="520"/>
      <c r="H60" s="133"/>
      <c r="I60" s="133" t="s">
        <v>394</v>
      </c>
      <c r="J60" s="520"/>
      <c r="K60" s="520"/>
      <c r="L60" s="520"/>
      <c r="M60" s="520"/>
      <c r="N60" s="520"/>
      <c r="O60" s="520"/>
      <c r="P60" s="520"/>
      <c r="Q60" s="520"/>
    </row>
    <row r="61" spans="1:17" ht="21" customHeight="1" x14ac:dyDescent="0.25">
      <c r="B61" s="123" t="s">
        <v>160</v>
      </c>
      <c r="E61" s="133" t="s">
        <v>161</v>
      </c>
      <c r="F61" s="133"/>
      <c r="G61" s="171" t="s">
        <v>65</v>
      </c>
      <c r="H61" s="520"/>
      <c r="I61" s="171" t="s">
        <v>555</v>
      </c>
      <c r="J61" s="133"/>
      <c r="K61" s="133" t="s">
        <v>66</v>
      </c>
      <c r="L61" s="133"/>
      <c r="M61" s="171" t="s">
        <v>162</v>
      </c>
      <c r="N61" s="133"/>
      <c r="O61" s="133" t="s">
        <v>221</v>
      </c>
      <c r="P61" s="133"/>
      <c r="Q61" s="133" t="s">
        <v>197</v>
      </c>
    </row>
    <row r="62" spans="1:17" x14ac:dyDescent="0.25">
      <c r="B62" s="132">
        <v>-1</v>
      </c>
      <c r="E62" s="500" t="s">
        <v>253</v>
      </c>
      <c r="F62" s="133"/>
      <c r="G62" s="500" t="s">
        <v>352</v>
      </c>
      <c r="H62" s="133"/>
      <c r="I62" s="500">
        <v>-4</v>
      </c>
      <c r="J62" s="133"/>
      <c r="K62" s="500">
        <v>-5</v>
      </c>
      <c r="L62" s="133"/>
      <c r="M62" s="500">
        <v>-6</v>
      </c>
      <c r="N62" s="133"/>
      <c r="O62" s="500">
        <v>-7</v>
      </c>
      <c r="P62" s="133"/>
      <c r="Q62" s="501">
        <v>-8</v>
      </c>
    </row>
    <row r="63" spans="1:17" x14ac:dyDescent="0.25">
      <c r="E63" s="521"/>
      <c r="F63" s="521"/>
      <c r="G63" s="521"/>
      <c r="H63" s="521"/>
      <c r="I63" s="521"/>
      <c r="J63" s="521"/>
      <c r="K63" s="171" t="s">
        <v>556</v>
      </c>
      <c r="L63" s="521"/>
      <c r="M63" s="171" t="s">
        <v>557</v>
      </c>
      <c r="N63" s="521"/>
      <c r="O63" s="521"/>
      <c r="P63" s="521"/>
      <c r="Q63" s="171" t="s">
        <v>558</v>
      </c>
    </row>
    <row r="64" spans="1:17" x14ac:dyDescent="0.25">
      <c r="A64" s="261" t="s">
        <v>254</v>
      </c>
      <c r="B64" s="106" t="s">
        <v>163</v>
      </c>
      <c r="E64" s="129"/>
      <c r="F64" s="129"/>
      <c r="G64" s="129"/>
      <c r="H64" s="129"/>
      <c r="I64" s="129"/>
      <c r="K64" s="129"/>
      <c r="L64" s="129"/>
      <c r="M64" s="133"/>
      <c r="N64" s="144"/>
      <c r="O64" s="129"/>
      <c r="P64" s="129"/>
      <c r="Q64" s="133"/>
    </row>
    <row r="65" spans="1:17" ht="21" customHeight="1" x14ac:dyDescent="0.25">
      <c r="A65" s="261"/>
      <c r="B65" s="106" t="str">
        <f>"12 months ended "&amp;Inputs!B3&amp;""</f>
        <v>12 months ended March 31, 2012</v>
      </c>
      <c r="E65" s="206">
        <v>728886233</v>
      </c>
      <c r="F65" s="212"/>
      <c r="G65" s="206">
        <f>1324613+551609</f>
        <v>1876222</v>
      </c>
      <c r="I65" s="206">
        <v>1324613</v>
      </c>
      <c r="K65" s="212">
        <f>G65-I65</f>
        <v>551609</v>
      </c>
      <c r="L65" s="212"/>
      <c r="M65" s="212">
        <f>E65-K65</f>
        <v>728334624</v>
      </c>
      <c r="N65" s="205"/>
      <c r="O65" s="206">
        <v>200268749</v>
      </c>
      <c r="P65" s="212"/>
      <c r="Q65" s="157">
        <f>+E65+O65</f>
        <v>929154982</v>
      </c>
    </row>
    <row r="66" spans="1:17" ht="13.5" customHeight="1" x14ac:dyDescent="0.25">
      <c r="A66" s="261"/>
      <c r="E66" s="119"/>
      <c r="F66" s="207"/>
      <c r="I66" s="520"/>
      <c r="L66" s="207"/>
      <c r="M66" s="119"/>
      <c r="N66" s="213"/>
      <c r="O66" s="119"/>
      <c r="P66" s="207"/>
      <c r="Q66" s="119"/>
    </row>
    <row r="67" spans="1:17" ht="21" customHeight="1" x14ac:dyDescent="0.25">
      <c r="A67" s="271" t="s">
        <v>255</v>
      </c>
      <c r="B67" s="106" t="s">
        <v>290</v>
      </c>
      <c r="E67" s="140"/>
      <c r="F67" s="140"/>
      <c r="I67" s="520"/>
      <c r="L67" s="140"/>
      <c r="M67" s="214"/>
      <c r="N67" s="214"/>
      <c r="O67" s="140"/>
      <c r="P67" s="140"/>
      <c r="Q67" s="159"/>
    </row>
    <row r="68" spans="1:17" ht="21" customHeight="1" x14ac:dyDescent="0.25">
      <c r="A68" s="271" t="s">
        <v>256</v>
      </c>
      <c r="B68" s="272" t="s">
        <v>358</v>
      </c>
      <c r="C68" s="119"/>
      <c r="D68" s="119"/>
      <c r="E68" s="211">
        <v>69067179</v>
      </c>
      <c r="F68" s="119"/>
      <c r="G68" s="189">
        <v>0</v>
      </c>
      <c r="I68" s="189">
        <v>0</v>
      </c>
      <c r="K68" s="189">
        <v>0</v>
      </c>
      <c r="L68" s="119"/>
      <c r="M68" s="111">
        <f>E68-K68</f>
        <v>69067179</v>
      </c>
      <c r="N68" s="119"/>
      <c r="O68" s="192"/>
      <c r="P68" s="119"/>
      <c r="Q68" s="273">
        <f>+E68+O68</f>
        <v>69067179</v>
      </c>
    </row>
    <row r="69" spans="1:17" ht="21" customHeight="1" x14ac:dyDescent="0.25">
      <c r="A69" s="271" t="s">
        <v>257</v>
      </c>
      <c r="B69" s="272" t="s">
        <v>344</v>
      </c>
      <c r="C69" s="119"/>
      <c r="D69" s="119"/>
      <c r="E69" s="208"/>
      <c r="F69" s="119"/>
      <c r="G69" s="208"/>
      <c r="I69" s="208"/>
      <c r="K69" s="208"/>
      <c r="L69" s="119"/>
      <c r="M69" s="208"/>
      <c r="N69" s="119"/>
      <c r="O69" s="274">
        <v>134952882</v>
      </c>
      <c r="P69" s="119"/>
      <c r="Q69" s="208">
        <f>E69+O69</f>
        <v>134952882</v>
      </c>
    </row>
    <row r="70" spans="1:17" ht="21" customHeight="1" x14ac:dyDescent="0.25">
      <c r="A70" s="271" t="s">
        <v>258</v>
      </c>
      <c r="B70" s="193" t="s">
        <v>295</v>
      </c>
      <c r="C70" s="119"/>
      <c r="D70" s="119"/>
      <c r="E70" s="174">
        <f>SUM(E68:E69)</f>
        <v>69067179</v>
      </c>
      <c r="F70" s="119"/>
      <c r="G70" s="174">
        <f>SUM(G68:G69)</f>
        <v>0</v>
      </c>
      <c r="I70" s="174">
        <f>SUM(I68:I69)</f>
        <v>0</v>
      </c>
      <c r="K70" s="174">
        <f>SUM(K68:K69)</f>
        <v>0</v>
      </c>
      <c r="L70" s="119"/>
      <c r="M70" s="174">
        <f>SUM(M68:M69)</f>
        <v>69067179</v>
      </c>
      <c r="N70" s="119"/>
      <c r="O70" s="174">
        <f>SUM(O68:O69)</f>
        <v>134952882</v>
      </c>
      <c r="P70" s="119"/>
      <c r="Q70" s="174">
        <f>SUM(Q68:Q69)</f>
        <v>204020061</v>
      </c>
    </row>
    <row r="71" spans="1:17" ht="12" customHeight="1" x14ac:dyDescent="0.25">
      <c r="A71" s="271"/>
      <c r="B71" s="119"/>
      <c r="C71" s="119"/>
      <c r="D71" s="119"/>
      <c r="E71" s="119"/>
      <c r="F71" s="119"/>
      <c r="G71" s="119"/>
      <c r="I71" s="119"/>
      <c r="K71" s="119"/>
      <c r="L71" s="119"/>
      <c r="M71" s="119"/>
      <c r="N71" s="119"/>
      <c r="O71" s="119"/>
      <c r="P71" s="119"/>
      <c r="Q71" s="119"/>
    </row>
    <row r="72" spans="1:17" ht="24.75" customHeight="1" thickBot="1" x14ac:dyDescent="0.3">
      <c r="A72" s="271" t="s">
        <v>259</v>
      </c>
      <c r="B72" s="119" t="s">
        <v>101</v>
      </c>
      <c r="C72" s="119"/>
      <c r="D72" s="119"/>
      <c r="E72" s="86">
        <f>+E65-E70</f>
        <v>659819054</v>
      </c>
      <c r="F72" s="119"/>
      <c r="G72" s="86">
        <f>+G65-G70</f>
        <v>1876222</v>
      </c>
      <c r="I72" s="86">
        <f>+I65-I70</f>
        <v>1324613</v>
      </c>
      <c r="K72" s="86">
        <f>+K65-K70</f>
        <v>551609</v>
      </c>
      <c r="L72" s="119"/>
      <c r="M72" s="86">
        <f>+M65-M70</f>
        <v>659267445</v>
      </c>
      <c r="N72" s="119"/>
      <c r="O72" s="86">
        <f>+O65-O70</f>
        <v>65315867</v>
      </c>
      <c r="P72" s="119"/>
      <c r="Q72" s="86">
        <f>+Q65-Q70</f>
        <v>725134921</v>
      </c>
    </row>
    <row r="73" spans="1:17" ht="21" customHeight="1" thickTop="1" x14ac:dyDescent="0.25">
      <c r="A73" s="271"/>
      <c r="B73" s="119"/>
      <c r="C73" s="119"/>
      <c r="D73" s="119"/>
      <c r="E73" s="119"/>
      <c r="F73" s="119"/>
      <c r="G73" s="119"/>
      <c r="I73" s="119"/>
      <c r="K73" s="119"/>
      <c r="L73" s="119"/>
      <c r="M73" s="119"/>
      <c r="N73" s="119"/>
      <c r="O73" s="119"/>
      <c r="P73" s="119"/>
      <c r="Q73" s="119"/>
    </row>
    <row r="74" spans="1:17" ht="21" customHeight="1" thickBot="1" x14ac:dyDescent="0.3">
      <c r="A74" s="271" t="s">
        <v>260</v>
      </c>
      <c r="B74" s="119" t="s">
        <v>102</v>
      </c>
      <c r="C74" s="119"/>
      <c r="D74" s="119"/>
      <c r="E74" s="248">
        <f>ROUND(+E72*0.125,0)</f>
        <v>82477382</v>
      </c>
      <c r="F74" s="119"/>
      <c r="G74" s="248">
        <f>ROUND(+G72*0.125,0)</f>
        <v>234528</v>
      </c>
      <c r="I74" s="248">
        <f>ROUND(+I72*0.125,0)</f>
        <v>165577</v>
      </c>
      <c r="K74" s="248">
        <f>ROUND(+K72*0.125,0)</f>
        <v>68951</v>
      </c>
      <c r="L74" s="119"/>
      <c r="M74" s="248">
        <f>ROUND(+M72*0.125,0)</f>
        <v>82408431</v>
      </c>
      <c r="N74" s="119"/>
      <c r="O74" s="248">
        <f>ROUND(+O72*0.125,0)</f>
        <v>8164483</v>
      </c>
      <c r="P74" s="119"/>
      <c r="Q74" s="248">
        <f>+E74+O74</f>
        <v>90641865</v>
      </c>
    </row>
    <row r="75" spans="1:17" ht="16.5" thickTop="1" x14ac:dyDescent="0.25">
      <c r="C75" s="119"/>
      <c r="D75" s="119"/>
    </row>
    <row r="76" spans="1:17" x14ac:dyDescent="0.25">
      <c r="A76" s="271"/>
      <c r="B76" s="193"/>
      <c r="C76" s="119"/>
      <c r="D76" s="119"/>
      <c r="E76" s="119"/>
      <c r="F76" s="119"/>
      <c r="G76" s="174"/>
      <c r="H76" s="119"/>
      <c r="I76" s="119"/>
      <c r="L76" s="119"/>
      <c r="M76" s="119"/>
      <c r="N76" s="119"/>
      <c r="O76" s="119"/>
      <c r="P76" s="119"/>
      <c r="Q76" s="119"/>
    </row>
    <row r="77" spans="1:17" x14ac:dyDescent="0.25">
      <c r="A77" s="271"/>
      <c r="B77" s="193"/>
      <c r="C77" s="119"/>
      <c r="D77" s="119"/>
      <c r="E77" s="119"/>
      <c r="F77" s="119"/>
      <c r="G77" s="119"/>
      <c r="H77" s="119"/>
      <c r="I77" s="119"/>
      <c r="L77" s="119"/>
      <c r="M77" s="119"/>
      <c r="N77" s="119"/>
      <c r="O77" s="119"/>
      <c r="P77" s="119"/>
      <c r="Q77" s="119"/>
    </row>
  </sheetData>
  <mergeCells count="4">
    <mergeCell ref="A7:Q7"/>
    <mergeCell ref="A57:Q57"/>
    <mergeCell ref="A54:Q54"/>
    <mergeCell ref="A56:Q56"/>
  </mergeCells>
  <phoneticPr fontId="0" type="noConversion"/>
  <printOptions horizontalCentered="1" gridLinesSet="0"/>
  <pageMargins left="0" right="0" top="0.75" bottom="0" header="0.75" footer="0.5"/>
  <pageSetup scale="52" orientation="landscape" r:id="rId1"/>
  <headerFooter alignWithMargins="0"/>
  <rowBreaks count="1" manualBreakCount="1">
    <brk id="4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7" enableFormatConditionsCalculation="0"/>
  <dimension ref="A1:Q47"/>
  <sheetViews>
    <sheetView showGridLines="0" zoomScale="70" zoomScaleNormal="70" workbookViewId="0">
      <selection activeCell="G19" sqref="G19"/>
    </sheetView>
  </sheetViews>
  <sheetFormatPr defaultColWidth="10.875" defaultRowHeight="15.75" x14ac:dyDescent="0.25"/>
  <cols>
    <col min="1" max="1" width="3.625" style="257" customWidth="1"/>
    <col min="2" max="2" width="53.25" style="106" customWidth="1"/>
    <col min="3" max="4" width="2.375" style="106" customWidth="1"/>
    <col min="5" max="5" width="17.5" style="106" customWidth="1"/>
    <col min="6" max="6" width="2.375" style="106" customWidth="1"/>
    <col min="7" max="7" width="18.5" style="106" customWidth="1"/>
    <col min="8" max="8" width="3.5" style="106" customWidth="1"/>
    <col min="9" max="9" width="18.5" style="106" customWidth="1"/>
    <col min="10" max="10" width="1.75" style="106" customWidth="1"/>
    <col min="11" max="11" width="18.5" style="106" bestFit="1" customWidth="1"/>
    <col min="12" max="12" width="2.375" style="106" customWidth="1"/>
    <col min="13" max="13" width="18.5" style="106" customWidth="1"/>
    <col min="14" max="14" width="3.125" style="106" customWidth="1"/>
    <col min="15" max="15" width="18.5" style="106" customWidth="1"/>
    <col min="16" max="16" width="1.75" style="106" customWidth="1"/>
    <col min="17" max="17" width="17.5" style="106" customWidth="1"/>
    <col min="18" max="16384" width="10.875" style="106"/>
  </cols>
  <sheetData>
    <row r="1" spans="1:17" x14ac:dyDescent="0.25">
      <c r="A1" s="256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24" t="s">
        <v>150</v>
      </c>
    </row>
    <row r="2" spans="1:17" x14ac:dyDescent="0.25">
      <c r="A2" s="256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4" t="str">
        <f>"Sponsoring Witness: "&amp;Inputs!$B10&amp;""</f>
        <v>Sponsoring Witness: Blake</v>
      </c>
    </row>
    <row r="3" spans="1:17" x14ac:dyDescent="0.25">
      <c r="A3" s="256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24" t="s">
        <v>288</v>
      </c>
    </row>
    <row r="4" spans="1:17" x14ac:dyDescent="0.25">
      <c r="J4" s="139"/>
      <c r="P4" s="139"/>
    </row>
    <row r="5" spans="1:17" x14ac:dyDescent="0.25">
      <c r="A5" s="258" t="s">
        <v>222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x14ac:dyDescent="0.25">
      <c r="A6" s="259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x14ac:dyDescent="0.25">
      <c r="A7" s="709" t="str">
        <f>"Pro Forma Rate Base"</f>
        <v>Pro Forma Rate Base</v>
      </c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</row>
    <row r="8" spans="1:17" x14ac:dyDescent="0.25">
      <c r="A8" s="708" t="str">
        <f>"At "&amp;Inputs!B3&amp;""</f>
        <v>At March 31, 2012</v>
      </c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</row>
    <row r="9" spans="1:17" x14ac:dyDescent="0.25">
      <c r="A9" s="258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7" x14ac:dyDescent="0.25">
      <c r="A10" s="258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x14ac:dyDescent="0.25">
      <c r="A11" s="260"/>
      <c r="B11" s="124"/>
      <c r="D11" s="139"/>
      <c r="G11" s="133" t="s">
        <v>220</v>
      </c>
      <c r="H11" s="133"/>
      <c r="I11" s="133" t="s">
        <v>70</v>
      </c>
      <c r="M11" s="133" t="s">
        <v>221</v>
      </c>
      <c r="N11" s="133"/>
      <c r="O11" s="133" t="s">
        <v>70</v>
      </c>
    </row>
    <row r="12" spans="1:17" x14ac:dyDescent="0.25">
      <c r="A12" s="260"/>
      <c r="B12" s="124"/>
      <c r="D12" s="139"/>
      <c r="F12" s="133"/>
      <c r="G12" s="133" t="s">
        <v>70</v>
      </c>
      <c r="H12" s="133"/>
      <c r="I12" s="133" t="s">
        <v>220</v>
      </c>
      <c r="J12" s="133"/>
      <c r="K12" s="133"/>
      <c r="L12" s="133"/>
      <c r="M12" s="133" t="s">
        <v>70</v>
      </c>
      <c r="N12" s="133"/>
      <c r="O12" s="133" t="s">
        <v>221</v>
      </c>
      <c r="Q12" s="133" t="s">
        <v>70</v>
      </c>
    </row>
    <row r="13" spans="1:17" ht="17.25" customHeight="1" x14ac:dyDescent="0.25">
      <c r="B13" s="123" t="s">
        <v>160</v>
      </c>
      <c r="E13" s="133" t="s">
        <v>410</v>
      </c>
      <c r="F13" s="154"/>
      <c r="G13" s="492" t="s">
        <v>411</v>
      </c>
      <c r="H13" s="154"/>
      <c r="I13" s="154" t="s">
        <v>317</v>
      </c>
      <c r="J13" s="154"/>
      <c r="K13" s="491" t="s">
        <v>412</v>
      </c>
      <c r="L13" s="154"/>
      <c r="M13" s="492" t="s">
        <v>413</v>
      </c>
      <c r="N13" s="154"/>
      <c r="O13" s="154" t="s">
        <v>317</v>
      </c>
      <c r="P13" s="133"/>
      <c r="Q13" s="133" t="s">
        <v>197</v>
      </c>
    </row>
    <row r="14" spans="1:17" x14ac:dyDescent="0.25">
      <c r="B14" s="132">
        <v>-1</v>
      </c>
      <c r="E14" s="135" t="s">
        <v>253</v>
      </c>
      <c r="G14" s="137">
        <v>-3</v>
      </c>
      <c r="H14" s="133"/>
      <c r="I14" s="137">
        <v>-4</v>
      </c>
      <c r="J14" s="133"/>
      <c r="K14" s="137">
        <v>-5</v>
      </c>
      <c r="L14" s="133"/>
      <c r="M14" s="137">
        <v>-6</v>
      </c>
      <c r="N14" s="133"/>
      <c r="O14" s="137">
        <v>-7</v>
      </c>
      <c r="P14" s="133"/>
      <c r="Q14" s="137">
        <v>-8</v>
      </c>
    </row>
    <row r="15" spans="1:17" x14ac:dyDescent="0.25">
      <c r="E15" s="460"/>
      <c r="F15" s="133"/>
      <c r="G15" s="461"/>
      <c r="H15" s="133"/>
      <c r="I15" s="171" t="s">
        <v>81</v>
      </c>
      <c r="J15" s="129"/>
      <c r="K15" s="460"/>
      <c r="L15" s="133"/>
      <c r="M15" s="133"/>
      <c r="N15" s="133"/>
      <c r="O15" s="133" t="s">
        <v>80</v>
      </c>
      <c r="P15" s="129"/>
      <c r="Q15" s="171" t="s">
        <v>79</v>
      </c>
    </row>
    <row r="16" spans="1:17" ht="21" customHeight="1" x14ac:dyDescent="0.25">
      <c r="A16" s="499">
        <v>1</v>
      </c>
      <c r="B16" s="148" t="s">
        <v>72</v>
      </c>
      <c r="E16" s="212">
        <f>'Supp Sch-Ex 3'!E14</f>
        <v>4079661192</v>
      </c>
      <c r="F16" s="212"/>
      <c r="G16" s="212">
        <f>'Supp Sch-Ex 4 (Page2)'!I15</f>
        <v>-20257556</v>
      </c>
      <c r="I16" s="212">
        <f>E16+G16</f>
        <v>4059403636</v>
      </c>
      <c r="J16" s="212"/>
      <c r="K16" s="212">
        <f>'Supp Sch-Ex 3'!O14</f>
        <v>854044596</v>
      </c>
      <c r="L16" s="212"/>
      <c r="M16" s="212"/>
      <c r="N16" s="212"/>
      <c r="O16" s="212">
        <f>K16+M16</f>
        <v>854044596</v>
      </c>
      <c r="P16" s="212"/>
      <c r="Q16" s="157">
        <f>I16+O16</f>
        <v>4913448232</v>
      </c>
    </row>
    <row r="17" spans="1:17" ht="12.75" customHeight="1" x14ac:dyDescent="0.25">
      <c r="A17" s="261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</row>
    <row r="18" spans="1:17" ht="15" customHeight="1" x14ac:dyDescent="0.25">
      <c r="A18" s="499">
        <f>1+A16</f>
        <v>2</v>
      </c>
      <c r="B18" s="106" t="s">
        <v>290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59"/>
    </row>
    <row r="19" spans="1:17" ht="21" customHeight="1" x14ac:dyDescent="0.25">
      <c r="A19" s="499">
        <f>1+A18</f>
        <v>3</v>
      </c>
      <c r="B19" s="148" t="s">
        <v>73</v>
      </c>
      <c r="E19" s="106">
        <f>'Supp Sch-Ex 3'!E17</f>
        <v>1874143605</v>
      </c>
      <c r="G19" s="106">
        <f>'Supp Sch-Ex 4 (Page2)'!I18</f>
        <v>625002</v>
      </c>
      <c r="I19" s="106">
        <f>E19+G19</f>
        <v>1874768607</v>
      </c>
      <c r="K19" s="58">
        <f>'Supp Sch-Ex 3'!O17</f>
        <v>270116840</v>
      </c>
      <c r="M19" s="106">
        <f>'Supp Sch-Ex 4 (Page2)'!K18</f>
        <v>1239999</v>
      </c>
      <c r="O19" s="106">
        <f>K19+M19</f>
        <v>271356839</v>
      </c>
      <c r="Q19" s="112">
        <f>I19+O19</f>
        <v>2146125446</v>
      </c>
    </row>
    <row r="20" spans="1:17" ht="11.25" customHeight="1" x14ac:dyDescent="0.25">
      <c r="A20" s="261"/>
      <c r="E20" s="208"/>
      <c r="F20" s="119"/>
      <c r="G20" s="208"/>
      <c r="H20" s="119"/>
      <c r="I20" s="208"/>
      <c r="K20" s="208"/>
      <c r="L20" s="119"/>
      <c r="M20" s="208"/>
      <c r="N20" s="119"/>
      <c r="O20" s="208"/>
      <c r="Q20" s="208"/>
    </row>
    <row r="21" spans="1:17" ht="21" customHeight="1" x14ac:dyDescent="0.25">
      <c r="A21" s="499">
        <f>1+A19</f>
        <v>4</v>
      </c>
      <c r="B21" s="106" t="s">
        <v>292</v>
      </c>
      <c r="E21" s="119">
        <f>+E16-E19</f>
        <v>2205517587</v>
      </c>
      <c r="F21" s="119"/>
      <c r="G21" s="535">
        <f>+G16-G19</f>
        <v>-20882558</v>
      </c>
      <c r="H21" s="119"/>
      <c r="I21" s="119">
        <f>+I16-I19</f>
        <v>2184635029</v>
      </c>
      <c r="J21" s="119"/>
      <c r="K21" s="119">
        <f>+K16-K19</f>
        <v>583927756</v>
      </c>
      <c r="L21" s="119"/>
      <c r="M21" s="535">
        <f>+M16-M19</f>
        <v>-1239999</v>
      </c>
      <c r="N21" s="119"/>
      <c r="O21" s="119">
        <f>+O16-O19</f>
        <v>582687757</v>
      </c>
      <c r="P21" s="119"/>
      <c r="Q21" s="119">
        <f>+Q16-Q19</f>
        <v>2767322786</v>
      </c>
    </row>
    <row r="22" spans="1:17" ht="9.75" customHeight="1" x14ac:dyDescent="0.25">
      <c r="A22" s="261"/>
    </row>
    <row r="23" spans="1:17" ht="15" customHeight="1" x14ac:dyDescent="0.25">
      <c r="A23" s="499">
        <f>1+A21</f>
        <v>5</v>
      </c>
      <c r="B23" s="106" t="s">
        <v>290</v>
      </c>
    </row>
    <row r="24" spans="1:17" ht="21" customHeight="1" x14ac:dyDescent="0.25">
      <c r="A24" s="499">
        <f>1+A23</f>
        <v>6</v>
      </c>
      <c r="B24" s="262" t="s">
        <v>293</v>
      </c>
      <c r="E24" s="106">
        <f>'Supp Sch-Ex 3'!E22</f>
        <v>960947</v>
      </c>
      <c r="I24" s="106">
        <f>E24+G24</f>
        <v>960947</v>
      </c>
      <c r="K24" s="58">
        <f>'Supp Sch-Ex 3'!O22</f>
        <v>6368917</v>
      </c>
      <c r="O24" s="106">
        <f>K24+M24</f>
        <v>6368917</v>
      </c>
      <c r="Q24" s="112">
        <f>I24+O24</f>
        <v>7329864</v>
      </c>
    </row>
    <row r="25" spans="1:17" ht="21" customHeight="1" x14ac:dyDescent="0.25">
      <c r="A25" s="499">
        <f>1+A24</f>
        <v>7</v>
      </c>
      <c r="B25" s="148" t="s">
        <v>74</v>
      </c>
      <c r="E25" s="106">
        <f>'Supp Sch-Ex 3'!E23</f>
        <v>406612247</v>
      </c>
      <c r="G25" s="106">
        <f>'Supp Sch-Ex 4 (Page2)'!I24</f>
        <v>-179488</v>
      </c>
      <c r="I25" s="106">
        <f>E25+G25</f>
        <v>406432759</v>
      </c>
      <c r="K25" s="236">
        <f>'Supp Sch-Ex 3'!O23</f>
        <v>86384999</v>
      </c>
      <c r="O25" s="106">
        <f>K25+M25</f>
        <v>86384999</v>
      </c>
      <c r="Q25" s="112">
        <f>I25+O25</f>
        <v>492817758</v>
      </c>
    </row>
    <row r="26" spans="1:17" ht="21" customHeight="1" x14ac:dyDescent="0.25">
      <c r="A26" s="499">
        <f>1+A25</f>
        <v>8</v>
      </c>
      <c r="B26" s="262" t="s">
        <v>294</v>
      </c>
      <c r="E26" s="106">
        <f>'Supp Sch-Ex 3'!E24</f>
        <v>27127029</v>
      </c>
      <c r="I26" s="106">
        <f>E26+G26</f>
        <v>27127029</v>
      </c>
      <c r="K26" s="58">
        <f>'Supp Sch-Ex 3'!O24</f>
        <v>3417946</v>
      </c>
      <c r="O26" s="106">
        <f>K26+M26</f>
        <v>3417946</v>
      </c>
      <c r="Q26" s="112">
        <f>I26+O26</f>
        <v>30544975</v>
      </c>
    </row>
    <row r="27" spans="1:17" ht="21" customHeight="1" x14ac:dyDescent="0.25">
      <c r="A27" s="499">
        <f>1+A26</f>
        <v>9</v>
      </c>
      <c r="B27" s="262" t="s">
        <v>147</v>
      </c>
      <c r="D27" s="263">
        <f>3961185/12254653</f>
        <v>0.32323926267026898</v>
      </c>
      <c r="E27" s="106">
        <f>'Supp Sch-Ex 3'!E25</f>
        <v>27021378</v>
      </c>
      <c r="I27" s="106">
        <f>E27+G27</f>
        <v>27021378</v>
      </c>
      <c r="K27" s="58">
        <f>'Supp Sch-Ex 3'!O25</f>
        <v>20308114</v>
      </c>
      <c r="O27" s="106">
        <f>K27+M27</f>
        <v>20308114</v>
      </c>
      <c r="Q27" s="112">
        <f>I27+O27</f>
        <v>47329492</v>
      </c>
    </row>
    <row r="28" spans="1:17" ht="21" customHeight="1" x14ac:dyDescent="0.25">
      <c r="A28" s="499">
        <f>1+A27</f>
        <v>10</v>
      </c>
      <c r="B28" s="262" t="s">
        <v>148</v>
      </c>
      <c r="E28" s="106">
        <f>'Supp Sch-Ex 3'!E26</f>
        <v>204351</v>
      </c>
      <c r="I28" s="106">
        <f>E28+G28</f>
        <v>204351</v>
      </c>
      <c r="K28" s="58">
        <f>'Supp Sch-Ex 3'!O26</f>
        <v>2155824</v>
      </c>
      <c r="O28" s="106">
        <f>K28+M28</f>
        <v>2155824</v>
      </c>
      <c r="Q28" s="112">
        <f>I28+O28</f>
        <v>2360175</v>
      </c>
    </row>
    <row r="29" spans="1:17" ht="12" customHeight="1" x14ac:dyDescent="0.25">
      <c r="A29" s="261"/>
      <c r="E29" s="208"/>
      <c r="F29" s="119"/>
      <c r="G29" s="208"/>
      <c r="H29" s="119"/>
      <c r="I29" s="208"/>
      <c r="K29" s="208"/>
      <c r="L29" s="119"/>
      <c r="M29" s="208"/>
      <c r="N29" s="119"/>
      <c r="O29" s="208"/>
      <c r="Q29" s="208"/>
    </row>
    <row r="30" spans="1:17" ht="21" customHeight="1" x14ac:dyDescent="0.25">
      <c r="A30" s="499">
        <f>1+A28</f>
        <v>11</v>
      </c>
      <c r="B30" s="262" t="s">
        <v>295</v>
      </c>
      <c r="E30" s="119">
        <f>SUM(E24:E29)</f>
        <v>461925952</v>
      </c>
      <c r="F30" s="119"/>
      <c r="G30" s="535">
        <f>SUM(G24:G29)</f>
        <v>-179488</v>
      </c>
      <c r="H30" s="119"/>
      <c r="I30" s="119">
        <f>SUM(I24:I29)</f>
        <v>461746464</v>
      </c>
      <c r="J30" s="119"/>
      <c r="K30" s="119">
        <f>SUM(K24:K29)</f>
        <v>118635800</v>
      </c>
      <c r="L30" s="119"/>
      <c r="M30" s="189">
        <f>SUM(M24:M29)</f>
        <v>0</v>
      </c>
      <c r="N30" s="119"/>
      <c r="O30" s="119">
        <f>SUM(O24:O29)</f>
        <v>118635800</v>
      </c>
      <c r="P30" s="119"/>
      <c r="Q30" s="119">
        <f>SUM(Q24:Q29)</f>
        <v>580382264</v>
      </c>
    </row>
    <row r="31" spans="1:17" ht="12" customHeight="1" x14ac:dyDescent="0.25">
      <c r="A31" s="261"/>
    </row>
    <row r="32" spans="1:17" ht="14.25" customHeight="1" x14ac:dyDescent="0.25">
      <c r="A32" s="499">
        <f>1+A30</f>
        <v>12</v>
      </c>
      <c r="B32" s="106" t="s">
        <v>297</v>
      </c>
    </row>
    <row r="33" spans="1:17" ht="21" customHeight="1" x14ac:dyDescent="0.25">
      <c r="A33" s="499">
        <f>1+A32</f>
        <v>13</v>
      </c>
      <c r="B33" s="148" t="s">
        <v>75</v>
      </c>
      <c r="E33" s="106">
        <f>'Supp Sch-Ex 3'!E33</f>
        <v>90578486</v>
      </c>
      <c r="G33" s="520">
        <f>'Supp Sch-Ex 4 (Page2)'!I32</f>
        <v>-15658</v>
      </c>
      <c r="I33" s="106">
        <f>E33+G33</f>
        <v>90562828</v>
      </c>
      <c r="K33" s="58">
        <f>'Supp Sch-Ex 3'!O33</f>
        <v>55133</v>
      </c>
      <c r="O33" s="106">
        <f>K33+M33</f>
        <v>55133</v>
      </c>
      <c r="Q33" s="112">
        <f>I33+O33</f>
        <v>90617961</v>
      </c>
    </row>
    <row r="34" spans="1:17" ht="21" customHeight="1" x14ac:dyDescent="0.25">
      <c r="A34" s="499">
        <f>1+A33</f>
        <v>14</v>
      </c>
      <c r="B34" s="148" t="s">
        <v>76</v>
      </c>
      <c r="E34" s="189">
        <f>'Supp Sch-Ex 3'!E34</f>
        <v>0</v>
      </c>
      <c r="F34" s="189"/>
      <c r="G34" s="189"/>
      <c r="H34" s="189"/>
      <c r="I34" s="112">
        <f>E34+G34</f>
        <v>0</v>
      </c>
      <c r="K34" s="58">
        <f>'Supp Sch-Ex 3'!O34</f>
        <v>36144520</v>
      </c>
      <c r="L34" s="189"/>
      <c r="M34" s="189"/>
      <c r="N34" s="189"/>
      <c r="O34" s="106">
        <f>K34+M34</f>
        <v>36144520</v>
      </c>
      <c r="Q34" s="112">
        <f>I34+O34</f>
        <v>36144520</v>
      </c>
    </row>
    <row r="35" spans="1:17" ht="21" customHeight="1" x14ac:dyDescent="0.25">
      <c r="A35" s="499">
        <f>1+A34</f>
        <v>15</v>
      </c>
      <c r="B35" s="148" t="s">
        <v>77</v>
      </c>
      <c r="E35" s="106">
        <f>'Supp Sch-Ex 3'!E35</f>
        <v>4350165</v>
      </c>
      <c r="I35" s="106">
        <f>E35+G35</f>
        <v>4350165</v>
      </c>
      <c r="K35" s="58">
        <f>'Supp Sch-Ex 3'!O35</f>
        <v>691403</v>
      </c>
      <c r="O35" s="106">
        <f>K35+M35</f>
        <v>691403</v>
      </c>
      <c r="Q35" s="112">
        <f>I35+O35</f>
        <v>5041568</v>
      </c>
    </row>
    <row r="36" spans="1:17" ht="21" customHeight="1" x14ac:dyDescent="0.25">
      <c r="A36" s="499">
        <f>1+A35</f>
        <v>16</v>
      </c>
      <c r="B36" s="148" t="s">
        <v>78</v>
      </c>
      <c r="E36" s="106">
        <f>'Supp Sch-Ex 3'!E36</f>
        <v>82477382</v>
      </c>
      <c r="G36" s="106">
        <f>'Supp Sch-Ex 4 (Page2)'!I35</f>
        <v>-5835185</v>
      </c>
      <c r="I36" s="106">
        <f>E36+G36</f>
        <v>76642197</v>
      </c>
      <c r="K36" s="236">
        <f>'Supp Sch-Ex 3'!O36</f>
        <v>8164483</v>
      </c>
      <c r="M36" s="106">
        <f>'Supp Sch-Ex 4 (Page2)'!K35</f>
        <v>-435117</v>
      </c>
      <c r="N36" s="148"/>
      <c r="O36" s="106">
        <f>K36+M36</f>
        <v>7729366</v>
      </c>
      <c r="Q36" s="112">
        <f>I36+O36</f>
        <v>84371563</v>
      </c>
    </row>
    <row r="37" spans="1:17" ht="12" customHeight="1" x14ac:dyDescent="0.25">
      <c r="A37" s="261"/>
      <c r="E37" s="208"/>
      <c r="F37" s="119"/>
      <c r="G37" s="208"/>
      <c r="H37" s="119"/>
      <c r="I37" s="208"/>
      <c r="K37" s="208"/>
      <c r="L37" s="119"/>
      <c r="M37" s="208"/>
      <c r="N37" s="119"/>
      <c r="O37" s="208"/>
      <c r="Q37" s="208"/>
    </row>
    <row r="38" spans="1:17" ht="21" customHeight="1" x14ac:dyDescent="0.25">
      <c r="A38" s="499">
        <f>1+A36</f>
        <v>17</v>
      </c>
      <c r="B38" s="262" t="s">
        <v>300</v>
      </c>
      <c r="E38" s="119">
        <f>SUM(E33:E37)</f>
        <v>177406033</v>
      </c>
      <c r="F38" s="119"/>
      <c r="G38" s="535">
        <f>SUM(G33:G37)</f>
        <v>-5850843</v>
      </c>
      <c r="H38" s="119"/>
      <c r="I38" s="119">
        <f>SUM(I33:I37)</f>
        <v>171555190</v>
      </c>
      <c r="K38" s="119">
        <f>SUM(K33:K37)</f>
        <v>45055539</v>
      </c>
      <c r="L38" s="119"/>
      <c r="M38" s="535">
        <f>SUM(M33:M37)</f>
        <v>-435117</v>
      </c>
      <c r="N38" s="119"/>
      <c r="O38" s="119">
        <f>SUM(O33:O37)</f>
        <v>44620422</v>
      </c>
      <c r="Q38" s="119">
        <f>SUM(Q33:Q37)</f>
        <v>216175612</v>
      </c>
    </row>
    <row r="39" spans="1:17" ht="14.25" customHeight="1" x14ac:dyDescent="0.25">
      <c r="A39" s="261"/>
      <c r="G39" s="520"/>
      <c r="M39" s="520"/>
    </row>
    <row r="40" spans="1:17" ht="21" customHeight="1" thickBot="1" x14ac:dyDescent="0.3">
      <c r="A40" s="499">
        <f>1+A38</f>
        <v>18</v>
      </c>
      <c r="B40" s="148" t="s">
        <v>71</v>
      </c>
      <c r="E40" s="86">
        <f>E21-E30+E38</f>
        <v>1920997668</v>
      </c>
      <c r="F40" s="174"/>
      <c r="G40" s="86">
        <f>G21-G30+G38</f>
        <v>-26553913</v>
      </c>
      <c r="H40" s="174"/>
      <c r="I40" s="86">
        <f>I21-I30+I38</f>
        <v>1894443755</v>
      </c>
      <c r="K40" s="86">
        <f>K21-K30+K38</f>
        <v>510347495</v>
      </c>
      <c r="L40" s="174"/>
      <c r="M40" s="86">
        <f>M21-M30+M38</f>
        <v>-1675116</v>
      </c>
      <c r="N40" s="174"/>
      <c r="O40" s="86">
        <f>O21-O30+O38</f>
        <v>508672379</v>
      </c>
      <c r="Q40" s="86">
        <f>Q21-Q30+Q38</f>
        <v>2403116134</v>
      </c>
    </row>
    <row r="41" spans="1:17" ht="12.75" customHeight="1" thickTop="1" x14ac:dyDescent="0.25">
      <c r="A41" s="261"/>
      <c r="E41" s="174"/>
      <c r="F41" s="174"/>
      <c r="G41" s="174"/>
      <c r="H41" s="174"/>
      <c r="I41" s="174"/>
      <c r="K41" s="174"/>
      <c r="L41" s="174"/>
      <c r="M41" s="174"/>
      <c r="N41" s="174"/>
      <c r="O41" s="174"/>
      <c r="Q41" s="174"/>
    </row>
    <row r="42" spans="1:17" x14ac:dyDescent="0.25">
      <c r="A42" s="499"/>
    </row>
    <row r="43" spans="1:17" ht="18.95" customHeight="1" x14ac:dyDescent="0.25">
      <c r="A43" s="264" t="s">
        <v>272</v>
      </c>
      <c r="B43" s="148" t="s">
        <v>408</v>
      </c>
      <c r="F43" s="269"/>
      <c r="G43" s="269"/>
      <c r="H43" s="269"/>
      <c r="I43" s="269"/>
      <c r="K43" s="269"/>
      <c r="L43" s="269"/>
      <c r="M43" s="269"/>
      <c r="N43" s="269"/>
      <c r="O43" s="269"/>
    </row>
    <row r="44" spans="1:17" ht="18.95" customHeight="1" x14ac:dyDescent="0.25">
      <c r="A44" s="264" t="s">
        <v>210</v>
      </c>
      <c r="B44" s="537" t="s">
        <v>708</v>
      </c>
      <c r="F44" s="269"/>
      <c r="G44" s="269"/>
      <c r="H44" s="269"/>
      <c r="I44" s="269"/>
      <c r="K44" s="269"/>
      <c r="L44" s="269"/>
      <c r="M44" s="269"/>
      <c r="N44" s="269"/>
      <c r="O44" s="269"/>
    </row>
    <row r="45" spans="1:17" ht="18.95" customHeight="1" x14ac:dyDescent="0.25">
      <c r="A45" s="264" t="s">
        <v>245</v>
      </c>
      <c r="B45" s="148" t="s">
        <v>420</v>
      </c>
      <c r="F45" s="269"/>
      <c r="G45" s="269"/>
      <c r="H45" s="269"/>
      <c r="I45" s="269"/>
      <c r="K45" s="269"/>
      <c r="L45" s="269"/>
      <c r="M45" s="269"/>
      <c r="N45" s="269"/>
      <c r="O45" s="269"/>
    </row>
    <row r="46" spans="1:17" ht="18.95" customHeight="1" x14ac:dyDescent="0.25">
      <c r="A46" s="264" t="s">
        <v>319</v>
      </c>
      <c r="B46" s="537" t="s">
        <v>709</v>
      </c>
    </row>
    <row r="47" spans="1:17" ht="18.95" customHeight="1" x14ac:dyDescent="0.25">
      <c r="A47" s="264"/>
      <c r="B47" s="148"/>
    </row>
  </sheetData>
  <mergeCells count="2">
    <mergeCell ref="A7:Q7"/>
    <mergeCell ref="A8:Q8"/>
  </mergeCells>
  <phoneticPr fontId="0" type="noConversion"/>
  <printOptions horizontalCentered="1" gridLinesSet="0"/>
  <pageMargins left="0" right="0" top="0.75" bottom="0" header="0.75" footer="0.5"/>
  <pageSetup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/>
  <dimension ref="A1:N46"/>
  <sheetViews>
    <sheetView showGridLines="0" zoomScale="70" zoomScaleNormal="70" workbookViewId="0">
      <selection activeCell="E18" sqref="E18"/>
    </sheetView>
  </sheetViews>
  <sheetFormatPr defaultColWidth="10.875" defaultRowHeight="15.75" x14ac:dyDescent="0.25"/>
  <cols>
    <col min="1" max="1" width="3.625" style="257" customWidth="1"/>
    <col min="2" max="2" width="53.25" style="106" customWidth="1"/>
    <col min="3" max="4" width="2.375" style="106" customWidth="1"/>
    <col min="5" max="5" width="17.5" style="106" customWidth="1"/>
    <col min="6" max="6" width="3.625" style="106" customWidth="1"/>
    <col min="7" max="7" width="18.5" style="106" customWidth="1"/>
    <col min="8" max="8" width="3.625" style="106" customWidth="1"/>
    <col min="9" max="9" width="18.5" style="106" customWidth="1"/>
    <col min="10" max="10" width="3.625" style="106" customWidth="1"/>
    <col min="11" max="11" width="18.5" style="106" customWidth="1"/>
    <col min="12" max="12" width="3.625" style="106" customWidth="1"/>
    <col min="13" max="13" width="18.5" style="106" customWidth="1"/>
    <col min="14" max="14" width="5.875" style="106" customWidth="1"/>
    <col min="15" max="16384" width="10.875" style="106"/>
  </cols>
  <sheetData>
    <row r="1" spans="1:14" x14ac:dyDescent="0.25">
      <c r="A1" s="256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24" t="s">
        <v>406</v>
      </c>
      <c r="N1" s="150"/>
    </row>
    <row r="2" spans="1:14" x14ac:dyDescent="0.25">
      <c r="A2" s="256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536" t="str">
        <f>"Sponsoring Witness: "&amp;Inputs!$B10&amp;""</f>
        <v>Sponsoring Witness: Blake</v>
      </c>
      <c r="N2" s="150"/>
    </row>
    <row r="3" spans="1:14" x14ac:dyDescent="0.25">
      <c r="A3" s="256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24" t="s">
        <v>273</v>
      </c>
      <c r="N3" s="150"/>
    </row>
    <row r="4" spans="1:14" x14ac:dyDescent="0.25">
      <c r="J4" s="139"/>
      <c r="N4" s="139"/>
    </row>
    <row r="5" spans="1:14" x14ac:dyDescent="0.25">
      <c r="A5" s="258" t="s">
        <v>222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25">
      <c r="A6" s="259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25">
      <c r="A7" s="708" t="str">
        <f>"Pro Forma Adjustments to Rate Base"</f>
        <v>Pro Forma Adjustments to Rate Base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</row>
    <row r="8" spans="1:14" x14ac:dyDescent="0.25">
      <c r="A8" s="258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x14ac:dyDescent="0.25">
      <c r="A9" s="258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x14ac:dyDescent="0.25">
      <c r="A10" s="260"/>
      <c r="B10" s="124"/>
      <c r="D10" s="139"/>
      <c r="G10" s="133" t="s">
        <v>220</v>
      </c>
      <c r="H10" s="133"/>
      <c r="I10" s="133" t="s">
        <v>161</v>
      </c>
      <c r="K10" s="133" t="s">
        <v>221</v>
      </c>
      <c r="L10" s="133"/>
      <c r="M10" s="133" t="s">
        <v>404</v>
      </c>
    </row>
    <row r="11" spans="1:14" x14ac:dyDescent="0.25">
      <c r="A11" s="260"/>
      <c r="B11" s="124"/>
      <c r="D11" s="139"/>
      <c r="E11" s="133" t="s">
        <v>328</v>
      </c>
      <c r="F11" s="133"/>
      <c r="G11" s="133" t="s">
        <v>342</v>
      </c>
      <c r="H11" s="133"/>
      <c r="I11" s="133" t="s">
        <v>70</v>
      </c>
      <c r="J11" s="133"/>
      <c r="K11" s="133" t="s">
        <v>342</v>
      </c>
      <c r="L11" s="133"/>
      <c r="M11" s="133" t="s">
        <v>70</v>
      </c>
    </row>
    <row r="12" spans="1:14" ht="17.25" customHeight="1" x14ac:dyDescent="0.25">
      <c r="B12" s="123" t="s">
        <v>160</v>
      </c>
      <c r="E12" s="133" t="s">
        <v>402</v>
      </c>
      <c r="F12" s="459"/>
      <c r="G12" s="459" t="s">
        <v>243</v>
      </c>
      <c r="H12" s="459"/>
      <c r="I12" s="459" t="s">
        <v>243</v>
      </c>
      <c r="J12" s="459"/>
      <c r="K12" s="459" t="s">
        <v>243</v>
      </c>
      <c r="L12" s="459"/>
      <c r="M12" s="459" t="s">
        <v>243</v>
      </c>
      <c r="N12" s="133"/>
    </row>
    <row r="13" spans="1:14" x14ac:dyDescent="0.25">
      <c r="B13" s="132">
        <v>-1</v>
      </c>
      <c r="E13" s="456" t="s">
        <v>253</v>
      </c>
      <c r="G13" s="457">
        <v>-3</v>
      </c>
      <c r="H13" s="133"/>
      <c r="I13" s="457">
        <v>-4</v>
      </c>
      <c r="J13" s="133"/>
      <c r="K13" s="457">
        <v>-5</v>
      </c>
      <c r="L13" s="133"/>
      <c r="M13" s="457">
        <v>-6</v>
      </c>
      <c r="N13" s="133"/>
    </row>
    <row r="14" spans="1:14" x14ac:dyDescent="0.25">
      <c r="E14" s="458"/>
      <c r="F14" s="133"/>
      <c r="G14" s="171"/>
      <c r="H14" s="133"/>
      <c r="I14" s="171" t="s">
        <v>81</v>
      </c>
      <c r="J14" s="129"/>
      <c r="K14" s="133"/>
      <c r="L14" s="133"/>
      <c r="M14" s="171"/>
      <c r="N14" s="129"/>
    </row>
    <row r="15" spans="1:14" ht="21" customHeight="1" x14ac:dyDescent="0.25">
      <c r="A15" s="499">
        <v>1</v>
      </c>
      <c r="B15" s="148" t="s">
        <v>72</v>
      </c>
      <c r="E15" s="212">
        <f>-'Supp Sch-Ex 3'!K14</f>
        <v>-20257556</v>
      </c>
      <c r="F15" s="212"/>
      <c r="G15" s="212">
        <v>0</v>
      </c>
      <c r="H15" s="212"/>
      <c r="I15" s="212">
        <f>SUM(E15:G15)</f>
        <v>-20257556</v>
      </c>
      <c r="J15" s="212"/>
      <c r="K15" s="212">
        <v>0</v>
      </c>
      <c r="L15" s="212"/>
      <c r="M15" s="212">
        <f>K15</f>
        <v>0</v>
      </c>
      <c r="N15" s="212"/>
    </row>
    <row r="16" spans="1:14" ht="12.75" customHeight="1" x14ac:dyDescent="0.25">
      <c r="A16" s="261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  <row r="17" spans="1:14" ht="15" customHeight="1" x14ac:dyDescent="0.25">
      <c r="A17" s="499">
        <f>1+A15</f>
        <v>2</v>
      </c>
      <c r="B17" s="106" t="s">
        <v>290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1" customHeight="1" x14ac:dyDescent="0.25">
      <c r="A18" s="499">
        <f>1+A17</f>
        <v>3</v>
      </c>
      <c r="B18" s="148" t="s">
        <v>73</v>
      </c>
      <c r="E18" s="106">
        <f>-'Supp Sch-Ex 3'!K17</f>
        <v>-71534</v>
      </c>
      <c r="G18" s="117">
        <f>'Ex 1'!H43</f>
        <v>696536</v>
      </c>
      <c r="H18" s="537" t="s">
        <v>210</v>
      </c>
      <c r="I18" s="106">
        <f>SUM(E18:G18)</f>
        <v>625002</v>
      </c>
      <c r="K18" s="106">
        <f>'Ex 1'!N43</f>
        <v>1239999</v>
      </c>
      <c r="L18" s="537" t="s">
        <v>210</v>
      </c>
      <c r="M18" s="106">
        <f>K18</f>
        <v>1239999</v>
      </c>
    </row>
    <row r="19" spans="1:14" ht="11.25" customHeight="1" x14ac:dyDescent="0.25">
      <c r="A19" s="261"/>
      <c r="E19" s="208"/>
      <c r="F19" s="119"/>
      <c r="G19" s="208"/>
      <c r="H19" s="119"/>
      <c r="I19" s="208"/>
      <c r="K19" s="208"/>
      <c r="L19" s="119"/>
      <c r="M19" s="208"/>
    </row>
    <row r="20" spans="1:14" ht="21" customHeight="1" x14ac:dyDescent="0.25">
      <c r="A20" s="499">
        <f>1+A18</f>
        <v>4</v>
      </c>
      <c r="B20" s="106" t="s">
        <v>292</v>
      </c>
      <c r="E20" s="119">
        <f>+E15-E18</f>
        <v>-20186022</v>
      </c>
      <c r="F20" s="119"/>
      <c r="G20" s="119">
        <f>+G15-G18</f>
        <v>-696536</v>
      </c>
      <c r="H20" s="119"/>
      <c r="I20" s="119">
        <f>+I15-I18</f>
        <v>-20882558</v>
      </c>
      <c r="J20" s="119"/>
      <c r="K20" s="119">
        <f>+K15-K18</f>
        <v>-1239999</v>
      </c>
      <c r="L20" s="119"/>
      <c r="M20" s="119">
        <f>+M15-M18</f>
        <v>-1239999</v>
      </c>
      <c r="N20" s="119"/>
    </row>
    <row r="21" spans="1:14" ht="9.75" customHeight="1" x14ac:dyDescent="0.25">
      <c r="A21" s="261"/>
    </row>
    <row r="22" spans="1:14" ht="15" customHeight="1" x14ac:dyDescent="0.25">
      <c r="A22" s="499">
        <f>1+A20</f>
        <v>5</v>
      </c>
      <c r="B22" s="106" t="s">
        <v>290</v>
      </c>
    </row>
    <row r="23" spans="1:14" ht="21" customHeight="1" x14ac:dyDescent="0.25">
      <c r="A23" s="499">
        <f>1+A22</f>
        <v>6</v>
      </c>
      <c r="B23" s="262" t="s">
        <v>293</v>
      </c>
      <c r="E23" s="189">
        <f>-'Supp Sch-Ex 3'!K22</f>
        <v>0</v>
      </c>
      <c r="G23" s="189">
        <v>0</v>
      </c>
      <c r="I23" s="189">
        <f>SUM(E23:G23)</f>
        <v>0</v>
      </c>
      <c r="K23" s="189">
        <v>0</v>
      </c>
      <c r="M23" s="189">
        <f>K23</f>
        <v>0</v>
      </c>
    </row>
    <row r="24" spans="1:14" ht="21" customHeight="1" x14ac:dyDescent="0.25">
      <c r="A24" s="499">
        <f>1+A23</f>
        <v>7</v>
      </c>
      <c r="B24" s="148" t="s">
        <v>74</v>
      </c>
      <c r="E24" s="58">
        <f>-'Supp Sch-Ex 3'!K23</f>
        <v>-179488</v>
      </c>
      <c r="G24" s="58">
        <v>0</v>
      </c>
      <c r="I24" s="58">
        <f>SUM(E24:G24)</f>
        <v>-179488</v>
      </c>
      <c r="K24" s="58">
        <v>0</v>
      </c>
      <c r="M24" s="58">
        <f>K24</f>
        <v>0</v>
      </c>
    </row>
    <row r="25" spans="1:14" ht="21" customHeight="1" x14ac:dyDescent="0.25">
      <c r="A25" s="499">
        <f>1+A24</f>
        <v>8</v>
      </c>
      <c r="B25" s="262" t="s">
        <v>294</v>
      </c>
      <c r="E25" s="189">
        <f>-'Supp Sch-Ex 3'!K24</f>
        <v>0</v>
      </c>
      <c r="G25" s="189">
        <v>0</v>
      </c>
      <c r="I25" s="189">
        <f>SUM(E25:G25)</f>
        <v>0</v>
      </c>
      <c r="K25" s="189">
        <v>0</v>
      </c>
      <c r="M25" s="189">
        <f>K25</f>
        <v>0</v>
      </c>
    </row>
    <row r="26" spans="1:14" ht="21" customHeight="1" x14ac:dyDescent="0.25">
      <c r="A26" s="499">
        <f>1+A25</f>
        <v>9</v>
      </c>
      <c r="B26" s="262" t="s">
        <v>147</v>
      </c>
      <c r="D26" s="263">
        <f>3961185/12254653</f>
        <v>0.32323926267026898</v>
      </c>
      <c r="E26" s="189">
        <f>-'Supp Sch-Ex 3'!K25</f>
        <v>0</v>
      </c>
      <c r="G26" s="189">
        <v>0</v>
      </c>
      <c r="I26" s="189">
        <f>SUM(E26:G26)</f>
        <v>0</v>
      </c>
      <c r="K26" s="189">
        <v>0</v>
      </c>
      <c r="M26" s="189">
        <f>K26</f>
        <v>0</v>
      </c>
    </row>
    <row r="27" spans="1:14" ht="21" customHeight="1" x14ac:dyDescent="0.25">
      <c r="A27" s="499">
        <f>1+A26</f>
        <v>10</v>
      </c>
      <c r="B27" s="262" t="s">
        <v>148</v>
      </c>
      <c r="E27" s="189">
        <f>-'Supp Sch-Ex 3'!K26</f>
        <v>0</v>
      </c>
      <c r="G27" s="189">
        <v>0</v>
      </c>
      <c r="I27" s="189">
        <f>SUM(E27:G27)</f>
        <v>0</v>
      </c>
      <c r="K27" s="189">
        <v>0</v>
      </c>
      <c r="M27" s="189">
        <f>K27</f>
        <v>0</v>
      </c>
    </row>
    <row r="28" spans="1:14" ht="12" customHeight="1" x14ac:dyDescent="0.25">
      <c r="A28" s="261"/>
      <c r="E28" s="208"/>
      <c r="F28" s="119"/>
      <c r="G28" s="208"/>
      <c r="H28" s="119"/>
      <c r="I28" s="208"/>
      <c r="K28" s="208"/>
      <c r="L28" s="119"/>
      <c r="M28" s="208"/>
    </row>
    <row r="29" spans="1:14" ht="21" customHeight="1" x14ac:dyDescent="0.25">
      <c r="A29" s="499">
        <f>1+A27</f>
        <v>11</v>
      </c>
      <c r="B29" s="262" t="s">
        <v>295</v>
      </c>
      <c r="E29" s="119">
        <f>SUM(E23:E28)</f>
        <v>-179488</v>
      </c>
      <c r="F29" s="119"/>
      <c r="G29" s="189">
        <f>SUM(G23:G28)</f>
        <v>0</v>
      </c>
      <c r="H29" s="119"/>
      <c r="I29" s="119">
        <f>SUM(I23:I28)</f>
        <v>-179488</v>
      </c>
      <c r="J29" s="119"/>
      <c r="K29" s="189">
        <f>SUM(K23:K28)</f>
        <v>0</v>
      </c>
      <c r="L29" s="119"/>
      <c r="M29" s="189">
        <f>SUM(M23:M28)</f>
        <v>0</v>
      </c>
      <c r="N29" s="119"/>
    </row>
    <row r="30" spans="1:14" ht="12" customHeight="1" x14ac:dyDescent="0.25">
      <c r="A30" s="261"/>
    </row>
    <row r="31" spans="1:14" ht="14.25" customHeight="1" x14ac:dyDescent="0.25">
      <c r="A31" s="499">
        <f>1+A29</f>
        <v>12</v>
      </c>
      <c r="B31" s="106" t="s">
        <v>297</v>
      </c>
    </row>
    <row r="32" spans="1:14" ht="21" customHeight="1" x14ac:dyDescent="0.25">
      <c r="A32" s="499">
        <f>1+A31</f>
        <v>13</v>
      </c>
      <c r="B32" s="148" t="s">
        <v>75</v>
      </c>
      <c r="E32" s="58">
        <f>-'Supp Sch-Ex 3'!K33</f>
        <v>-15658</v>
      </c>
      <c r="G32" s="189">
        <v>0</v>
      </c>
      <c r="I32" s="58">
        <f>SUM(E32:G32)</f>
        <v>-15658</v>
      </c>
      <c r="K32" s="189">
        <v>0</v>
      </c>
      <c r="M32" s="189">
        <f>K32</f>
        <v>0</v>
      </c>
    </row>
    <row r="33" spans="1:13" ht="21" customHeight="1" x14ac:dyDescent="0.25">
      <c r="A33" s="499">
        <f>1+A32</f>
        <v>14</v>
      </c>
      <c r="B33" s="148" t="s">
        <v>76</v>
      </c>
      <c r="E33" s="189">
        <f>-'Supp Sch-Ex 3'!K34</f>
        <v>0</v>
      </c>
      <c r="F33" s="189"/>
      <c r="G33" s="189">
        <v>0</v>
      </c>
      <c r="H33" s="189"/>
      <c r="I33" s="189">
        <f>SUM(E33:G33)</f>
        <v>0</v>
      </c>
      <c r="K33" s="189">
        <v>0</v>
      </c>
      <c r="L33" s="189"/>
      <c r="M33" s="189">
        <f>K33</f>
        <v>0</v>
      </c>
    </row>
    <row r="34" spans="1:13" ht="21" customHeight="1" x14ac:dyDescent="0.25">
      <c r="A34" s="499">
        <f>1+A33</f>
        <v>15</v>
      </c>
      <c r="B34" s="148" t="s">
        <v>77</v>
      </c>
      <c r="E34" s="189">
        <f>-'Supp Sch-Ex 3'!K35</f>
        <v>0</v>
      </c>
      <c r="G34" s="189">
        <v>0</v>
      </c>
      <c r="I34" s="189">
        <f>SUM(E34:G34)</f>
        <v>0</v>
      </c>
      <c r="K34" s="189">
        <v>0</v>
      </c>
      <c r="M34" s="189">
        <f>K34</f>
        <v>0</v>
      </c>
    </row>
    <row r="35" spans="1:13" ht="21" customHeight="1" x14ac:dyDescent="0.25">
      <c r="A35" s="499">
        <f>1+A34</f>
        <v>16</v>
      </c>
      <c r="B35" s="148" t="s">
        <v>78</v>
      </c>
      <c r="E35" s="106">
        <f>-'Supp Sch-Ex 3'!K36</f>
        <v>-68951</v>
      </c>
      <c r="G35" s="106">
        <f>ROUND(('Ex 1'!$H95-'Ex 1'!$H27-'Ex 1'!$H43-'1.02'!B22)*0.125,0)</f>
        <v>-5766234</v>
      </c>
      <c r="H35" s="537" t="s">
        <v>245</v>
      </c>
      <c r="I35" s="106">
        <f>SUM(E35:G35)</f>
        <v>-5835185</v>
      </c>
      <c r="K35" s="106">
        <f>ROUND(('Ex 1'!N95-'Ex 1'!N89-'Ex 1'!N43)*0.125,0)</f>
        <v>-435117</v>
      </c>
      <c r="L35" s="537" t="s">
        <v>319</v>
      </c>
      <c r="M35" s="106">
        <f>K35</f>
        <v>-435117</v>
      </c>
    </row>
    <row r="36" spans="1:13" ht="12" customHeight="1" x14ac:dyDescent="0.25">
      <c r="A36" s="261"/>
      <c r="E36" s="208"/>
      <c r="F36" s="119"/>
      <c r="G36" s="208"/>
      <c r="H36" s="119"/>
      <c r="I36" s="208"/>
      <c r="K36" s="208"/>
      <c r="L36" s="119"/>
      <c r="M36" s="208"/>
    </row>
    <row r="37" spans="1:13" ht="21" customHeight="1" x14ac:dyDescent="0.25">
      <c r="A37" s="499">
        <f>1+A35</f>
        <v>17</v>
      </c>
      <c r="B37" s="262" t="s">
        <v>300</v>
      </c>
      <c r="E37" s="119">
        <f>SUM(E32:E36)</f>
        <v>-84609</v>
      </c>
      <c r="F37" s="119"/>
      <c r="G37" s="119">
        <f>SUM(G32:G36)</f>
        <v>-5766234</v>
      </c>
      <c r="H37" s="119"/>
      <c r="I37" s="119">
        <f>SUM(I32:I36)</f>
        <v>-5850843</v>
      </c>
      <c r="K37" s="119">
        <f>SUM(K32:K36)</f>
        <v>-435117</v>
      </c>
      <c r="L37" s="119"/>
      <c r="M37" s="119">
        <f>SUM(M32:M36)</f>
        <v>-435117</v>
      </c>
    </row>
    <row r="38" spans="1:13" ht="14.25" customHeight="1" x14ac:dyDescent="0.25">
      <c r="A38" s="261"/>
    </row>
    <row r="39" spans="1:13" ht="21" customHeight="1" thickBot="1" x14ac:dyDescent="0.3">
      <c r="A39" s="499">
        <f>1+A37</f>
        <v>18</v>
      </c>
      <c r="B39" s="148" t="s">
        <v>71</v>
      </c>
      <c r="E39" s="86">
        <f>E20-E29+E37</f>
        <v>-20091143</v>
      </c>
      <c r="F39" s="182" t="s">
        <v>272</v>
      </c>
      <c r="G39" s="86">
        <f>G20-G29+G37</f>
        <v>-6462770</v>
      </c>
      <c r="H39" s="174"/>
      <c r="I39" s="86">
        <f>I20-I29+I37</f>
        <v>-26553913</v>
      </c>
      <c r="K39" s="86">
        <f>K20-K29+K37</f>
        <v>-1675116</v>
      </c>
      <c r="L39" s="174"/>
      <c r="M39" s="86">
        <f>M20-M29+M37</f>
        <v>-1675116</v>
      </c>
    </row>
    <row r="40" spans="1:13" ht="12.75" customHeight="1" thickTop="1" x14ac:dyDescent="0.25">
      <c r="A40" s="261"/>
      <c r="E40" s="174"/>
      <c r="F40" s="174"/>
      <c r="G40" s="174"/>
      <c r="H40" s="174"/>
      <c r="I40" s="174"/>
      <c r="K40" s="174"/>
      <c r="L40" s="174"/>
      <c r="M40" s="174"/>
    </row>
    <row r="41" spans="1:13" x14ac:dyDescent="0.25">
      <c r="A41" s="261"/>
    </row>
    <row r="42" spans="1:13" ht="18.95" customHeight="1" x14ac:dyDescent="0.25">
      <c r="A42" s="264" t="s">
        <v>272</v>
      </c>
      <c r="B42" s="148" t="s">
        <v>409</v>
      </c>
      <c r="F42" s="269"/>
      <c r="G42" s="269"/>
      <c r="H42" s="269"/>
      <c r="I42" s="269"/>
      <c r="K42" s="269"/>
      <c r="L42" s="269"/>
      <c r="M42" s="269"/>
    </row>
    <row r="43" spans="1:13" ht="18.95" customHeight="1" x14ac:dyDescent="0.25">
      <c r="A43" s="264" t="s">
        <v>210</v>
      </c>
      <c r="B43" s="537" t="s">
        <v>699</v>
      </c>
      <c r="F43" s="269"/>
      <c r="G43" s="269"/>
      <c r="H43" s="269"/>
      <c r="I43" s="269"/>
      <c r="K43" s="269"/>
      <c r="L43" s="269"/>
      <c r="M43" s="269"/>
    </row>
    <row r="44" spans="1:13" ht="18.95" customHeight="1" x14ac:dyDescent="0.25">
      <c r="A44" s="264" t="s">
        <v>245</v>
      </c>
      <c r="B44" s="537" t="s">
        <v>740</v>
      </c>
      <c r="F44" s="269"/>
      <c r="G44" s="269"/>
      <c r="H44" s="269"/>
      <c r="I44" s="269"/>
      <c r="K44" s="269"/>
      <c r="L44" s="269"/>
      <c r="M44" s="269"/>
    </row>
    <row r="45" spans="1:13" ht="18.95" customHeight="1" x14ac:dyDescent="0.25">
      <c r="A45" s="264" t="s">
        <v>319</v>
      </c>
      <c r="B45" s="537" t="s">
        <v>739</v>
      </c>
    </row>
    <row r="46" spans="1:13" ht="18.95" customHeight="1" x14ac:dyDescent="0.25">
      <c r="A46" s="264"/>
      <c r="B46" s="537"/>
    </row>
  </sheetData>
  <mergeCells count="1">
    <mergeCell ref="A7:N7"/>
  </mergeCells>
  <printOptions horizontalCentered="1" gridLinesSet="0"/>
  <pageMargins left="0" right="0" top="0.75" bottom="0" header="0.75" footer="0.5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6" enableFormatConditionsCalculation="0">
    <pageSetUpPr fitToPage="1"/>
  </sheetPr>
  <dimension ref="A1:I46"/>
  <sheetViews>
    <sheetView showGridLines="0" zoomScale="85" zoomScaleNormal="85" workbookViewId="0">
      <selection activeCell="A3" sqref="A3"/>
    </sheetView>
  </sheetViews>
  <sheetFormatPr defaultColWidth="10.875" defaultRowHeight="15.75" x14ac:dyDescent="0.25"/>
  <cols>
    <col min="1" max="1" width="3.625" style="257" customWidth="1"/>
    <col min="2" max="2" width="53.25" style="106" customWidth="1"/>
    <col min="3" max="4" width="2.375" style="106" customWidth="1"/>
    <col min="5" max="5" width="17.5" style="106" customWidth="1"/>
    <col min="6" max="6" width="1.75" style="106" customWidth="1"/>
    <col min="7" max="7" width="18.5" style="106" bestFit="1" customWidth="1"/>
    <col min="8" max="8" width="1.75" style="106" customWidth="1"/>
    <col min="9" max="9" width="17.5" style="106" customWidth="1"/>
    <col min="10" max="16384" width="10.875" style="106"/>
  </cols>
  <sheetData>
    <row r="1" spans="1:9" x14ac:dyDescent="0.25">
      <c r="A1" s="256"/>
      <c r="B1" s="150"/>
      <c r="C1" s="150"/>
      <c r="D1" s="150"/>
      <c r="E1" s="150"/>
      <c r="F1" s="150"/>
      <c r="G1" s="150"/>
      <c r="H1" s="150"/>
      <c r="I1" s="124" t="s">
        <v>155</v>
      </c>
    </row>
    <row r="2" spans="1:9" x14ac:dyDescent="0.25">
      <c r="A2" s="256"/>
      <c r="B2" s="150"/>
      <c r="C2" s="150"/>
      <c r="D2" s="150"/>
      <c r="E2" s="150"/>
      <c r="F2" s="150"/>
      <c r="G2" s="150"/>
      <c r="H2" s="150"/>
      <c r="I2" s="124" t="str">
        <f>"Sponsoring Witness: "&amp;Inputs!$B11&amp;""</f>
        <v>Sponsoring Witness: Blake</v>
      </c>
    </row>
    <row r="3" spans="1:9" x14ac:dyDescent="0.25">
      <c r="A3" s="256"/>
      <c r="B3" s="150"/>
      <c r="C3" s="150"/>
      <c r="D3" s="150"/>
      <c r="E3" s="150"/>
      <c r="F3" s="150"/>
      <c r="G3" s="150"/>
      <c r="H3" s="150"/>
      <c r="I3" s="124" t="s">
        <v>143</v>
      </c>
    </row>
    <row r="4" spans="1:9" x14ac:dyDescent="0.25">
      <c r="F4" s="139"/>
      <c r="H4" s="139"/>
    </row>
    <row r="5" spans="1:9" x14ac:dyDescent="0.25">
      <c r="A5" s="258" t="s">
        <v>222</v>
      </c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259"/>
      <c r="B6" s="127"/>
      <c r="C6" s="127"/>
      <c r="D6" s="127"/>
      <c r="E6" s="127"/>
      <c r="F6" s="127"/>
      <c r="G6" s="127"/>
      <c r="H6" s="127"/>
      <c r="I6" s="127"/>
    </row>
    <row r="7" spans="1:9" x14ac:dyDescent="0.25">
      <c r="A7" s="709" t="str">
        <f>"Estimated Net Reproduction Cost Rate Base"</f>
        <v>Estimated Net Reproduction Cost Rate Base</v>
      </c>
      <c r="B7" s="709"/>
      <c r="C7" s="709"/>
      <c r="D7" s="709"/>
      <c r="E7" s="709"/>
      <c r="F7" s="709"/>
      <c r="G7" s="709"/>
      <c r="H7" s="709"/>
      <c r="I7" s="709"/>
    </row>
    <row r="8" spans="1:9" x14ac:dyDescent="0.25">
      <c r="A8" s="708" t="str">
        <f>"At "&amp;Inputs!B3&amp;""</f>
        <v>At March 31, 2012</v>
      </c>
      <c r="B8" s="708"/>
      <c r="C8" s="708"/>
      <c r="D8" s="708"/>
      <c r="E8" s="708"/>
      <c r="F8" s="708"/>
      <c r="G8" s="708"/>
      <c r="H8" s="708"/>
      <c r="I8" s="708"/>
    </row>
    <row r="9" spans="1:9" x14ac:dyDescent="0.25">
      <c r="A9" s="258"/>
      <c r="B9" s="127"/>
      <c r="C9" s="127"/>
      <c r="D9" s="127"/>
      <c r="E9" s="127"/>
      <c r="F9" s="127"/>
      <c r="G9" s="127"/>
      <c r="H9" s="127"/>
      <c r="I9" s="127"/>
    </row>
    <row r="10" spans="1:9" x14ac:dyDescent="0.25">
      <c r="A10" s="260"/>
      <c r="B10" s="124"/>
      <c r="D10" s="139"/>
    </row>
    <row r="11" spans="1:9" ht="21" customHeight="1" x14ac:dyDescent="0.25">
      <c r="B11" s="123" t="s">
        <v>160</v>
      </c>
      <c r="E11" s="133" t="s">
        <v>220</v>
      </c>
      <c r="F11" s="133"/>
      <c r="G11" s="133" t="s">
        <v>221</v>
      </c>
      <c r="H11" s="133"/>
      <c r="I11" s="133" t="s">
        <v>197</v>
      </c>
    </row>
    <row r="12" spans="1:9" x14ac:dyDescent="0.25">
      <c r="B12" s="132">
        <v>-1</v>
      </c>
      <c r="E12" s="135" t="s">
        <v>253</v>
      </c>
      <c r="F12" s="133"/>
      <c r="G12" s="135">
        <v>-3</v>
      </c>
      <c r="H12" s="133"/>
      <c r="I12" s="137">
        <v>-4</v>
      </c>
    </row>
    <row r="13" spans="1:9" x14ac:dyDescent="0.25">
      <c r="E13" s="129"/>
      <c r="F13" s="129"/>
      <c r="G13" s="129"/>
      <c r="H13" s="129"/>
      <c r="I13" s="171" t="s">
        <v>81</v>
      </c>
    </row>
    <row r="14" spans="1:9" ht="21" customHeight="1" x14ac:dyDescent="0.25">
      <c r="A14" s="499">
        <v>1</v>
      </c>
      <c r="B14" s="106" t="s">
        <v>416</v>
      </c>
      <c r="E14" s="212">
        <f>ROUND('Ex 6'!H23+('Ex 6'!H38*0.71)+'Ex 6'!H43+('Ex 6'!H45*0.71),0)</f>
        <v>9028612858</v>
      </c>
      <c r="F14" s="212"/>
      <c r="G14" s="212">
        <f>ROUND('Ex 6'!H32+('Ex 6'!H38*0.29)+'Ex 6'!H44+('Ex 6'!H45*0.29),0)</f>
        <v>1821466138</v>
      </c>
      <c r="H14" s="212"/>
      <c r="I14" s="157">
        <f>E14+G14</f>
        <v>10850078996</v>
      </c>
    </row>
    <row r="15" spans="1:9" ht="12.75" customHeight="1" x14ac:dyDescent="0.25">
      <c r="A15" s="261"/>
      <c r="E15" s="207"/>
      <c r="F15" s="207"/>
      <c r="G15" s="207"/>
      <c r="H15" s="207"/>
    </row>
    <row r="16" spans="1:9" ht="15" customHeight="1" x14ac:dyDescent="0.25">
      <c r="A16" s="499">
        <f>1+A14</f>
        <v>2</v>
      </c>
      <c r="B16" s="106" t="s">
        <v>290</v>
      </c>
      <c r="E16" s="140"/>
      <c r="F16" s="140"/>
      <c r="G16" s="140"/>
      <c r="H16" s="140"/>
      <c r="I16" s="159"/>
    </row>
    <row r="17" spans="1:9" ht="21" customHeight="1" x14ac:dyDescent="0.25">
      <c r="A17" s="499">
        <f>1+A16</f>
        <v>3</v>
      </c>
      <c r="B17" s="262" t="s">
        <v>291</v>
      </c>
      <c r="E17" s="106">
        <f>ROUND('Ex 6'!H52+('Ex 6'!H54*0.71),0)</f>
        <v>4786066469</v>
      </c>
      <c r="G17" s="106">
        <f>ROUND('Ex 6'!H53+('Ex 6'!H54*0.29),0)</f>
        <v>613997229</v>
      </c>
      <c r="I17" s="112">
        <f>+E17+G17</f>
        <v>5400063698</v>
      </c>
    </row>
    <row r="18" spans="1:9" ht="11.25" customHeight="1" x14ac:dyDescent="0.25">
      <c r="A18" s="261"/>
      <c r="E18" s="208"/>
      <c r="G18" s="208"/>
      <c r="I18" s="208"/>
    </row>
    <row r="19" spans="1:9" ht="21" customHeight="1" x14ac:dyDescent="0.25">
      <c r="A19" s="499">
        <f>1+A17</f>
        <v>4</v>
      </c>
      <c r="B19" s="106" t="s">
        <v>292</v>
      </c>
      <c r="E19" s="119">
        <f>+E14-E17</f>
        <v>4242546389</v>
      </c>
      <c r="F19" s="119"/>
      <c r="G19" s="119">
        <f>+G14-G17</f>
        <v>1207468909</v>
      </c>
      <c r="H19" s="119"/>
      <c r="I19" s="119">
        <f>+I14-I17</f>
        <v>5450015298</v>
      </c>
    </row>
    <row r="20" spans="1:9" ht="9.75" customHeight="1" x14ac:dyDescent="0.25">
      <c r="A20" s="261"/>
    </row>
    <row r="21" spans="1:9" ht="15" customHeight="1" x14ac:dyDescent="0.25">
      <c r="A21" s="499">
        <f>1+A19</f>
        <v>5</v>
      </c>
      <c r="B21" s="106" t="s">
        <v>290</v>
      </c>
    </row>
    <row r="22" spans="1:9" ht="21" customHeight="1" x14ac:dyDescent="0.25">
      <c r="A22" s="499">
        <f>1+A21</f>
        <v>6</v>
      </c>
      <c r="B22" s="262" t="s">
        <v>293</v>
      </c>
      <c r="E22" s="106">
        <f>'Supp Sch-Ex 3'!E22</f>
        <v>960947</v>
      </c>
      <c r="G22" s="58">
        <f>'Supp Sch-Ex 3'!O22</f>
        <v>6368917</v>
      </c>
      <c r="I22" s="106">
        <f>+E22+G22</f>
        <v>7329864</v>
      </c>
    </row>
    <row r="23" spans="1:9" ht="21" customHeight="1" x14ac:dyDescent="0.25">
      <c r="A23" s="499">
        <f>1+A22</f>
        <v>7</v>
      </c>
      <c r="B23" s="262" t="s">
        <v>421</v>
      </c>
      <c r="E23" s="106">
        <f>'Supp Sch-Ex 3'!E23</f>
        <v>406612247</v>
      </c>
      <c r="G23" s="236">
        <f>'Supp Sch-Ex 3'!O23</f>
        <v>86384999</v>
      </c>
      <c r="I23" s="106">
        <f>+E23+G23</f>
        <v>492997246</v>
      </c>
    </row>
    <row r="24" spans="1:9" ht="21" customHeight="1" x14ac:dyDescent="0.25">
      <c r="A24" s="499">
        <f>1+A23</f>
        <v>8</v>
      </c>
      <c r="B24" s="262" t="s">
        <v>294</v>
      </c>
      <c r="E24" s="106">
        <f>'Supp Sch-Ex 3'!E24</f>
        <v>27127029</v>
      </c>
      <c r="G24" s="58">
        <f>'Supp Sch-Ex 3'!O24</f>
        <v>3417946</v>
      </c>
      <c r="I24" s="106">
        <f>+E24+G24</f>
        <v>30544975</v>
      </c>
    </row>
    <row r="25" spans="1:9" ht="21" customHeight="1" x14ac:dyDescent="0.25">
      <c r="A25" s="499">
        <f>1+A24</f>
        <v>9</v>
      </c>
      <c r="B25" s="262" t="s">
        <v>147</v>
      </c>
      <c r="D25" s="263">
        <f>3961185/12254653</f>
        <v>0.32323926267026898</v>
      </c>
      <c r="E25" s="106">
        <f>'Supp Sch-Ex 3'!E25</f>
        <v>27021378</v>
      </c>
      <c r="G25" s="58">
        <f>'Supp Sch-Ex 3'!O25</f>
        <v>20308114</v>
      </c>
      <c r="I25" s="106">
        <f>+E25+G25</f>
        <v>47329492</v>
      </c>
    </row>
    <row r="26" spans="1:9" ht="21" customHeight="1" x14ac:dyDescent="0.25">
      <c r="A26" s="499">
        <f>1+A25</f>
        <v>10</v>
      </c>
      <c r="B26" s="262" t="s">
        <v>148</v>
      </c>
      <c r="E26" s="106">
        <f>'Supp Sch-Ex 3'!E26</f>
        <v>204351</v>
      </c>
      <c r="G26" s="58">
        <f>'Supp Sch-Ex 3'!O26</f>
        <v>2155824</v>
      </c>
      <c r="I26" s="106">
        <f>+E26+G26</f>
        <v>2360175</v>
      </c>
    </row>
    <row r="27" spans="1:9" ht="12" customHeight="1" x14ac:dyDescent="0.25">
      <c r="A27" s="261"/>
      <c r="E27" s="208"/>
      <c r="G27" s="208"/>
      <c r="I27" s="208"/>
    </row>
    <row r="28" spans="1:9" ht="21" customHeight="1" x14ac:dyDescent="0.25">
      <c r="A28" s="499">
        <f>1+A26</f>
        <v>11</v>
      </c>
      <c r="B28" s="262" t="s">
        <v>295</v>
      </c>
      <c r="E28" s="119">
        <f>SUM(E22:E27)</f>
        <v>461925952</v>
      </c>
      <c r="F28" s="119"/>
      <c r="G28" s="119">
        <f>SUM(G22:G27)</f>
        <v>118635800</v>
      </c>
      <c r="H28" s="119"/>
      <c r="I28" s="119">
        <f>SUM(I22:I27)</f>
        <v>580561752</v>
      </c>
    </row>
    <row r="29" spans="1:9" ht="12" customHeight="1" x14ac:dyDescent="0.25">
      <c r="A29" s="261"/>
    </row>
    <row r="30" spans="1:9" ht="14.25" customHeight="1" x14ac:dyDescent="0.25">
      <c r="A30" s="499">
        <f>1+A28</f>
        <v>12</v>
      </c>
      <c r="B30" s="106" t="s">
        <v>297</v>
      </c>
    </row>
    <row r="31" spans="1:9" ht="21" customHeight="1" x14ac:dyDescent="0.25">
      <c r="A31" s="499">
        <f>1+A30</f>
        <v>13</v>
      </c>
      <c r="B31" s="262" t="s">
        <v>422</v>
      </c>
      <c r="E31" s="106">
        <f>'Supp Sch-Ex 3'!E33</f>
        <v>90578486</v>
      </c>
      <c r="G31" s="58">
        <f>'Supp Sch-Ex 3'!O33</f>
        <v>55133</v>
      </c>
      <c r="I31" s="106">
        <f>+E31+G31</f>
        <v>90633619</v>
      </c>
    </row>
    <row r="32" spans="1:9" ht="21" customHeight="1" x14ac:dyDescent="0.25">
      <c r="A32" s="499">
        <f>1+A31</f>
        <v>14</v>
      </c>
      <c r="B32" s="262" t="s">
        <v>423</v>
      </c>
      <c r="E32" s="189">
        <f>'Supp Sch-Ex 3'!E34</f>
        <v>0</v>
      </c>
      <c r="G32" s="58">
        <f>'Supp Sch-Ex 3'!O34</f>
        <v>36144520</v>
      </c>
      <c r="I32" s="106">
        <f>+E32+G32</f>
        <v>36144520</v>
      </c>
    </row>
    <row r="33" spans="1:9" ht="21" customHeight="1" x14ac:dyDescent="0.25">
      <c r="A33" s="499">
        <f>1+A32</f>
        <v>15</v>
      </c>
      <c r="B33" s="262" t="s">
        <v>424</v>
      </c>
      <c r="E33" s="106">
        <f>'Supp Sch-Ex 3'!E35</f>
        <v>4350165</v>
      </c>
      <c r="G33" s="58">
        <f>'Supp Sch-Ex 3'!O35</f>
        <v>691403</v>
      </c>
      <c r="I33" s="106">
        <f>+E33+G33</f>
        <v>5041568</v>
      </c>
    </row>
    <row r="34" spans="1:9" ht="21" customHeight="1" x14ac:dyDescent="0.25">
      <c r="A34" s="499">
        <f>1+A33</f>
        <v>16</v>
      </c>
      <c r="B34" s="148" t="s">
        <v>78</v>
      </c>
      <c r="E34" s="106">
        <f>'Supp Sch-Ex 3'!E36</f>
        <v>82477382</v>
      </c>
      <c r="G34" s="236">
        <f>'Supp Sch-Ex 3'!O36</f>
        <v>8164483</v>
      </c>
      <c r="I34" s="106">
        <f>+E34+G34</f>
        <v>90641865</v>
      </c>
    </row>
    <row r="35" spans="1:9" ht="12" customHeight="1" x14ac:dyDescent="0.25">
      <c r="A35" s="261"/>
      <c r="E35" s="208"/>
      <c r="G35" s="208"/>
      <c r="I35" s="208"/>
    </row>
    <row r="36" spans="1:9" ht="21" customHeight="1" x14ac:dyDescent="0.25">
      <c r="A36" s="499">
        <f>1+A34</f>
        <v>17</v>
      </c>
      <c r="B36" s="262" t="s">
        <v>300</v>
      </c>
      <c r="E36" s="119">
        <f>SUM(E31:E35)</f>
        <v>177406033</v>
      </c>
      <c r="G36" s="119">
        <f>SUM(G31:G35)</f>
        <v>45055539</v>
      </c>
      <c r="I36" s="119">
        <f>SUM(I31:I35)</f>
        <v>222461572</v>
      </c>
    </row>
    <row r="37" spans="1:9" ht="14.25" customHeight="1" x14ac:dyDescent="0.25">
      <c r="A37" s="261"/>
    </row>
    <row r="38" spans="1:9" ht="21" customHeight="1" thickBot="1" x14ac:dyDescent="0.3">
      <c r="A38" s="499">
        <f>1+A36</f>
        <v>18</v>
      </c>
      <c r="B38" s="106" t="s">
        <v>417</v>
      </c>
      <c r="E38" s="86">
        <f>E19-E28+E36</f>
        <v>3958026470</v>
      </c>
      <c r="G38" s="86">
        <f>G19-G28+G36</f>
        <v>1133888648</v>
      </c>
      <c r="I38" s="86">
        <f>I19-I28+I36</f>
        <v>5091915118</v>
      </c>
    </row>
    <row r="39" spans="1:9" ht="12.75" customHeight="1" thickTop="1" x14ac:dyDescent="0.25">
      <c r="A39" s="261"/>
      <c r="E39" s="174"/>
      <c r="G39" s="174"/>
      <c r="I39" s="174"/>
    </row>
    <row r="40" spans="1:9" x14ac:dyDescent="0.25">
      <c r="A40" s="261"/>
    </row>
    <row r="41" spans="1:9" ht="18.95" customHeight="1" x14ac:dyDescent="0.25">
      <c r="A41" s="264" t="s">
        <v>272</v>
      </c>
      <c r="B41" s="537" t="s">
        <v>671</v>
      </c>
      <c r="G41" s="269"/>
    </row>
    <row r="42" spans="1:9" ht="18.95" customHeight="1" x14ac:dyDescent="0.25">
      <c r="A42" s="264"/>
      <c r="B42" s="537" t="s">
        <v>670</v>
      </c>
      <c r="G42" s="269"/>
    </row>
    <row r="43" spans="1:9" ht="18.95" customHeight="1" x14ac:dyDescent="0.25">
      <c r="A43" s="264" t="s">
        <v>210</v>
      </c>
      <c r="B43" s="106" t="s">
        <v>302</v>
      </c>
    </row>
    <row r="44" spans="1:9" ht="18.95" customHeight="1" x14ac:dyDescent="0.25">
      <c r="A44" s="264" t="s">
        <v>245</v>
      </c>
      <c r="B44" s="106" t="s">
        <v>320</v>
      </c>
    </row>
    <row r="45" spans="1:9" ht="18.95" customHeight="1" x14ac:dyDescent="0.25">
      <c r="A45" s="264" t="s">
        <v>319</v>
      </c>
      <c r="B45" s="106" t="s">
        <v>426</v>
      </c>
    </row>
    <row r="46" spans="1:9" x14ac:dyDescent="0.25">
      <c r="A46" s="264" t="s">
        <v>359</v>
      </c>
      <c r="B46" s="106" t="s">
        <v>187</v>
      </c>
    </row>
  </sheetData>
  <mergeCells count="2">
    <mergeCell ref="A7:I7"/>
    <mergeCell ref="A8:I8"/>
  </mergeCells>
  <phoneticPr fontId="0" type="noConversion"/>
  <printOptions horizontalCentered="1" gridLinesSet="0"/>
  <pageMargins left="1.25" right="0.75" top="0.75" bottom="0" header="0.75" footer="0.5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J73"/>
  <sheetViews>
    <sheetView showGridLines="0" zoomScale="85" zoomScaleNormal="85" workbookViewId="0">
      <selection activeCell="A3" sqref="A3"/>
    </sheetView>
  </sheetViews>
  <sheetFormatPr defaultRowHeight="15.75" x14ac:dyDescent="0.25"/>
  <cols>
    <col min="1" max="1" width="3.875" style="133" bestFit="1" customWidth="1"/>
    <col min="2" max="2" width="35.75" style="106" customWidth="1"/>
    <col min="3" max="3" width="18.5" style="106" customWidth="1"/>
    <col min="4" max="4" width="17.75" style="106" bestFit="1" customWidth="1"/>
    <col min="5" max="5" width="1.5" style="106" customWidth="1"/>
    <col min="6" max="6" width="17.625" style="106" bestFit="1" customWidth="1"/>
    <col min="7" max="7" width="1.5" style="106" customWidth="1"/>
    <col min="8" max="8" width="17.625" style="106" bestFit="1" customWidth="1"/>
    <col min="9" max="9" width="9" style="106"/>
    <col min="10" max="10" width="14.5" style="106" bestFit="1" customWidth="1"/>
    <col min="11" max="16384" width="9" style="106"/>
  </cols>
  <sheetData>
    <row r="1" spans="1:8" x14ac:dyDescent="0.25">
      <c r="H1" s="124" t="s">
        <v>62</v>
      </c>
    </row>
    <row r="2" spans="1:8" x14ac:dyDescent="0.25">
      <c r="H2" s="536" t="str">
        <f>"Sponsoring Witness: "&amp;Inputs!$B12&amp;""</f>
        <v>Sponsoring Witness: Blake</v>
      </c>
    </row>
    <row r="3" spans="1:8" x14ac:dyDescent="0.25">
      <c r="H3" s="124" t="s">
        <v>143</v>
      </c>
    </row>
    <row r="4" spans="1:8" x14ac:dyDescent="0.25">
      <c r="A4" s="708" t="s">
        <v>24</v>
      </c>
      <c r="B4" s="708"/>
      <c r="C4" s="708"/>
      <c r="D4" s="708"/>
      <c r="E4" s="708"/>
      <c r="F4" s="708"/>
      <c r="G4" s="708"/>
      <c r="H4" s="708"/>
    </row>
    <row r="5" spans="1:8" x14ac:dyDescent="0.25">
      <c r="C5" s="169"/>
      <c r="D5" s="169"/>
    </row>
    <row r="6" spans="1:8" x14ac:dyDescent="0.25">
      <c r="A6" s="709" t="s">
        <v>25</v>
      </c>
      <c r="B6" s="709"/>
      <c r="C6" s="709"/>
      <c r="D6" s="709"/>
      <c r="E6" s="709"/>
      <c r="F6" s="709"/>
      <c r="G6" s="709"/>
      <c r="H6" s="709"/>
    </row>
    <row r="7" spans="1:8" x14ac:dyDescent="0.25">
      <c r="A7" s="712" t="str">
        <f>"and Applicable Reserve for Depreciation at "&amp;Inputs!B3&amp;""</f>
        <v>and Applicable Reserve for Depreciation at March 31, 2012</v>
      </c>
      <c r="B7" s="708"/>
      <c r="C7" s="708"/>
      <c r="D7" s="708"/>
      <c r="E7" s="708"/>
      <c r="F7" s="708"/>
      <c r="G7" s="708"/>
      <c r="H7" s="708"/>
    </row>
    <row r="8" spans="1:8" x14ac:dyDescent="0.25">
      <c r="C8" s="169"/>
      <c r="D8" s="169"/>
    </row>
    <row r="9" spans="1:8" x14ac:dyDescent="0.25">
      <c r="D9" s="133" t="s">
        <v>26</v>
      </c>
      <c r="F9" s="133" t="s">
        <v>27</v>
      </c>
      <c r="H9" s="133" t="s">
        <v>28</v>
      </c>
    </row>
    <row r="10" spans="1:8" x14ac:dyDescent="0.25">
      <c r="D10" s="275">
        <v>40999</v>
      </c>
      <c r="F10" s="106" t="s">
        <v>29</v>
      </c>
      <c r="H10" s="275">
        <f>D10</f>
        <v>40999</v>
      </c>
    </row>
    <row r="11" spans="1:8" x14ac:dyDescent="0.25">
      <c r="D11" s="136">
        <v>-1</v>
      </c>
      <c r="F11" s="136">
        <v>-2</v>
      </c>
      <c r="H11" s="136">
        <v>-3</v>
      </c>
    </row>
    <row r="12" spans="1:8" x14ac:dyDescent="0.25">
      <c r="A12" s="276">
        <v>1</v>
      </c>
      <c r="B12" s="106" t="s">
        <v>30</v>
      </c>
    </row>
    <row r="13" spans="1:8" x14ac:dyDescent="0.25">
      <c r="A13" s="276"/>
    </row>
    <row r="14" spans="1:8" x14ac:dyDescent="0.25">
      <c r="A14" s="276">
        <v>2</v>
      </c>
      <c r="B14" s="106" t="s">
        <v>31</v>
      </c>
      <c r="D14" s="277"/>
      <c r="E14" s="277"/>
      <c r="F14" s="277"/>
      <c r="G14" s="277"/>
      <c r="H14" s="277"/>
    </row>
    <row r="15" spans="1:8" x14ac:dyDescent="0.25">
      <c r="A15" s="276">
        <v>3</v>
      </c>
      <c r="B15" s="278" t="s">
        <v>32</v>
      </c>
      <c r="D15" s="71">
        <v>2160251679</v>
      </c>
      <c r="E15" s="279"/>
      <c r="F15" s="71">
        <v>2667480175</v>
      </c>
      <c r="G15" s="279"/>
      <c r="H15" s="71">
        <f>D15+F15</f>
        <v>4827731854</v>
      </c>
    </row>
    <row r="16" spans="1:8" x14ac:dyDescent="0.25">
      <c r="A16" s="276">
        <v>4</v>
      </c>
      <c r="B16" s="278" t="s">
        <v>33</v>
      </c>
      <c r="D16" s="462">
        <v>42551883</v>
      </c>
      <c r="E16" s="279"/>
      <c r="F16" s="463">
        <v>152708548</v>
      </c>
      <c r="H16" s="106">
        <f t="shared" ref="H16:H21" si="0">D16+F16</f>
        <v>195260431</v>
      </c>
    </row>
    <row r="17" spans="1:8" x14ac:dyDescent="0.25">
      <c r="A17" s="276">
        <v>5</v>
      </c>
      <c r="B17" s="278" t="s">
        <v>34</v>
      </c>
      <c r="D17" s="464">
        <v>237689474</v>
      </c>
      <c r="F17" s="465">
        <v>178607117</v>
      </c>
      <c r="H17" s="106">
        <f t="shared" si="0"/>
        <v>416296591</v>
      </c>
    </row>
    <row r="18" spans="1:8" x14ac:dyDescent="0.25">
      <c r="A18" s="276">
        <v>6</v>
      </c>
      <c r="B18" s="278" t="s">
        <v>35</v>
      </c>
      <c r="D18" s="466">
        <v>297915506</v>
      </c>
      <c r="F18" s="467">
        <v>509556728</v>
      </c>
      <c r="H18" s="106">
        <f t="shared" si="0"/>
        <v>807472234</v>
      </c>
    </row>
    <row r="19" spans="1:8" x14ac:dyDescent="0.25">
      <c r="A19" s="276">
        <v>7</v>
      </c>
      <c r="B19" s="278" t="s">
        <v>36</v>
      </c>
      <c r="D19" s="462">
        <v>1018639664</v>
      </c>
      <c r="E19" s="279"/>
      <c r="F19" s="463">
        <v>1332125556</v>
      </c>
      <c r="H19" s="106">
        <f t="shared" si="0"/>
        <v>2350765220</v>
      </c>
    </row>
    <row r="20" spans="1:8" x14ac:dyDescent="0.25">
      <c r="A20" s="276">
        <v>8</v>
      </c>
      <c r="B20" s="278" t="s">
        <v>37</v>
      </c>
      <c r="D20" s="468">
        <v>16153742</v>
      </c>
      <c r="F20" s="469">
        <v>11258346</v>
      </c>
      <c r="H20" s="106">
        <f t="shared" si="0"/>
        <v>27412088</v>
      </c>
    </row>
    <row r="21" spans="1:8" x14ac:dyDescent="0.25">
      <c r="A21" s="276">
        <v>9</v>
      </c>
      <c r="B21" s="278" t="s">
        <v>38</v>
      </c>
      <c r="D21" s="470">
        <v>2240</v>
      </c>
      <c r="F21" s="471">
        <v>68205</v>
      </c>
      <c r="H21" s="106">
        <f t="shared" si="0"/>
        <v>70445</v>
      </c>
    </row>
    <row r="22" spans="1:8" ht="11.25" customHeight="1" x14ac:dyDescent="0.25">
      <c r="A22" s="276"/>
      <c r="B22" s="278"/>
      <c r="D22" s="280"/>
      <c r="E22" s="279"/>
      <c r="F22" s="280"/>
      <c r="G22" s="279"/>
      <c r="H22" s="280"/>
    </row>
    <row r="23" spans="1:8" ht="20.100000000000001" customHeight="1" x14ac:dyDescent="0.25">
      <c r="A23" s="276">
        <v>10</v>
      </c>
      <c r="B23" s="148" t="s">
        <v>191</v>
      </c>
      <c r="D23" s="279">
        <f>SUM(D15:D22)</f>
        <v>3773204188</v>
      </c>
      <c r="E23" s="279"/>
      <c r="F23" s="279">
        <f>SUM(F15:F22)</f>
        <v>4851804675</v>
      </c>
      <c r="G23" s="279"/>
      <c r="H23" s="279">
        <f>SUM(H15:H22)</f>
        <v>8625008863</v>
      </c>
    </row>
    <row r="24" spans="1:8" x14ac:dyDescent="0.25">
      <c r="A24" s="276"/>
      <c r="B24" s="278"/>
      <c r="D24" s="279"/>
      <c r="E24" s="279"/>
      <c r="F24" s="279"/>
      <c r="G24" s="279"/>
      <c r="H24" s="279"/>
    </row>
    <row r="25" spans="1:8" x14ac:dyDescent="0.25">
      <c r="A25" s="276">
        <v>11</v>
      </c>
      <c r="B25" s="278" t="s">
        <v>39</v>
      </c>
      <c r="D25" s="279"/>
      <c r="E25" s="279"/>
      <c r="F25" s="279"/>
      <c r="G25" s="279"/>
      <c r="H25" s="279"/>
    </row>
    <row r="26" spans="1:8" x14ac:dyDescent="0.25">
      <c r="A26" s="276">
        <v>12</v>
      </c>
      <c r="B26" s="278" t="s">
        <v>40</v>
      </c>
      <c r="D26" s="472">
        <v>90098629</v>
      </c>
      <c r="F26" s="473">
        <v>120902493</v>
      </c>
      <c r="H26" s="106">
        <f>D26+F26</f>
        <v>211001122</v>
      </c>
    </row>
    <row r="27" spans="1:8" x14ac:dyDescent="0.25">
      <c r="A27" s="276">
        <v>13</v>
      </c>
      <c r="B27" s="278" t="s">
        <v>41</v>
      </c>
      <c r="D27" s="474">
        <v>23101653</v>
      </c>
      <c r="F27" s="475">
        <v>62053165</v>
      </c>
      <c r="H27" s="106">
        <f>D27+F27</f>
        <v>85154818</v>
      </c>
    </row>
    <row r="28" spans="1:8" x14ac:dyDescent="0.25">
      <c r="A28" s="276">
        <v>14</v>
      </c>
      <c r="B28" s="278" t="s">
        <v>36</v>
      </c>
      <c r="D28" s="474">
        <v>626522574</v>
      </c>
      <c r="F28" s="475">
        <v>738618285</v>
      </c>
      <c r="H28" s="106">
        <f>D28+F28</f>
        <v>1365140859</v>
      </c>
    </row>
    <row r="29" spans="1:8" x14ac:dyDescent="0.25">
      <c r="A29" s="276">
        <v>15</v>
      </c>
      <c r="B29" s="278" t="s">
        <v>37</v>
      </c>
      <c r="D29" s="476">
        <v>8980221</v>
      </c>
      <c r="F29" s="477">
        <v>6167507</v>
      </c>
      <c r="H29" s="106">
        <f>D29+F29</f>
        <v>15147728</v>
      </c>
    </row>
    <row r="30" spans="1:8" x14ac:dyDescent="0.25">
      <c r="A30" s="276">
        <v>16</v>
      </c>
      <c r="B30" s="278" t="s">
        <v>38</v>
      </c>
      <c r="D30" s="478">
        <v>388</v>
      </c>
      <c r="F30" s="479">
        <v>335</v>
      </c>
      <c r="H30" s="106">
        <f>D30+F30</f>
        <v>723</v>
      </c>
    </row>
    <row r="31" spans="1:8" ht="11.25" customHeight="1" x14ac:dyDescent="0.25">
      <c r="A31" s="276"/>
      <c r="B31" s="278"/>
      <c r="D31" s="280"/>
      <c r="E31" s="279"/>
      <c r="F31" s="280"/>
      <c r="G31" s="279"/>
      <c r="H31" s="280"/>
    </row>
    <row r="32" spans="1:8" ht="20.100000000000001" customHeight="1" x14ac:dyDescent="0.25">
      <c r="A32" s="276">
        <v>17</v>
      </c>
      <c r="B32" s="148" t="s">
        <v>192</v>
      </c>
      <c r="D32" s="279">
        <f>SUM(D26:D31)</f>
        <v>748703465</v>
      </c>
      <c r="E32" s="279"/>
      <c r="F32" s="279">
        <f>SUM(F26:F31)</f>
        <v>927741785</v>
      </c>
      <c r="G32" s="279"/>
      <c r="H32" s="279">
        <f>SUM(H26:H31)</f>
        <v>1676445250</v>
      </c>
    </row>
    <row r="33" spans="1:8" x14ac:dyDescent="0.25">
      <c r="A33" s="276"/>
      <c r="B33" s="278"/>
      <c r="D33" s="279"/>
      <c r="E33" s="279"/>
      <c r="F33" s="279"/>
      <c r="G33" s="279"/>
      <c r="H33" s="279"/>
    </row>
    <row r="34" spans="1:8" x14ac:dyDescent="0.25">
      <c r="A34" s="276">
        <v>18</v>
      </c>
      <c r="B34" s="278" t="s">
        <v>42</v>
      </c>
      <c r="D34" s="279"/>
      <c r="E34" s="279"/>
      <c r="F34" s="279"/>
      <c r="G34" s="279"/>
      <c r="H34" s="279"/>
    </row>
    <row r="35" spans="1:8" x14ac:dyDescent="0.25">
      <c r="A35" s="276">
        <v>19</v>
      </c>
      <c r="B35" s="278" t="s">
        <v>37</v>
      </c>
      <c r="D35" s="480">
        <v>161197817</v>
      </c>
      <c r="F35" s="481">
        <v>129370135</v>
      </c>
      <c r="H35" s="106">
        <f>D35+F35</f>
        <v>290567952</v>
      </c>
    </row>
    <row r="36" spans="1:8" x14ac:dyDescent="0.25">
      <c r="A36" s="276">
        <v>20</v>
      </c>
      <c r="B36" s="278" t="s">
        <v>38</v>
      </c>
      <c r="D36" s="480">
        <v>66471099</v>
      </c>
      <c r="F36" s="481">
        <v>7456613</v>
      </c>
      <c r="H36" s="106">
        <f>D36+F36</f>
        <v>73927712</v>
      </c>
    </row>
    <row r="37" spans="1:8" ht="11.25" customHeight="1" x14ac:dyDescent="0.25">
      <c r="A37" s="276"/>
      <c r="B37" s="278"/>
      <c r="D37" s="280"/>
      <c r="E37" s="279"/>
      <c r="F37" s="280"/>
      <c r="G37" s="279"/>
      <c r="H37" s="280"/>
    </row>
    <row r="38" spans="1:8" ht="20.100000000000001" customHeight="1" x14ac:dyDescent="0.25">
      <c r="A38" s="276">
        <v>21</v>
      </c>
      <c r="B38" s="148" t="s">
        <v>193</v>
      </c>
      <c r="D38" s="281">
        <f>SUM(D35:D37)</f>
        <v>227668916</v>
      </c>
      <c r="E38" s="58"/>
      <c r="F38" s="281">
        <f>SUM(F35:F37)</f>
        <v>136826748</v>
      </c>
      <c r="G38" s="58"/>
      <c r="H38" s="281">
        <f>SUM(H35:H37)</f>
        <v>364495664</v>
      </c>
    </row>
    <row r="39" spans="1:8" ht="11.25" customHeight="1" x14ac:dyDescent="0.25">
      <c r="A39" s="276"/>
      <c r="B39" s="278"/>
      <c r="D39" s="279"/>
      <c r="E39" s="279"/>
      <c r="F39" s="279"/>
      <c r="G39" s="279"/>
      <c r="H39" s="279"/>
    </row>
    <row r="40" spans="1:8" ht="20.100000000000001" customHeight="1" x14ac:dyDescent="0.25">
      <c r="A40" s="276">
        <v>22</v>
      </c>
      <c r="B40" s="278" t="s">
        <v>43</v>
      </c>
      <c r="D40" s="281">
        <f>(D23+D32+D38)</f>
        <v>4749576569</v>
      </c>
      <c r="E40" s="58"/>
      <c r="F40" s="281">
        <f>(F23+F32+F38)</f>
        <v>5916373208</v>
      </c>
      <c r="G40" s="58"/>
      <c r="H40" s="281">
        <f>(H23+H32+H38)</f>
        <v>10665949777</v>
      </c>
    </row>
    <row r="41" spans="1:8" x14ac:dyDescent="0.25">
      <c r="A41" s="276"/>
      <c r="B41" s="278"/>
      <c r="D41" s="58"/>
      <c r="E41" s="58"/>
      <c r="F41" s="58"/>
      <c r="G41" s="58"/>
      <c r="H41" s="58"/>
    </row>
    <row r="42" spans="1:8" x14ac:dyDescent="0.25">
      <c r="A42" s="276">
        <v>23</v>
      </c>
      <c r="B42" s="278" t="s">
        <v>45</v>
      </c>
      <c r="D42" s="58"/>
      <c r="E42" s="58"/>
      <c r="F42" s="58"/>
      <c r="G42" s="58"/>
      <c r="H42" s="58"/>
    </row>
    <row r="43" spans="1:8" x14ac:dyDescent="0.25">
      <c r="A43" s="276">
        <v>24</v>
      </c>
      <c r="B43" s="278" t="s">
        <v>44</v>
      </c>
      <c r="D43" s="482">
        <v>137142289</v>
      </c>
      <c r="E43" s="58"/>
      <c r="F43" s="483">
        <v>0</v>
      </c>
      <c r="G43" s="58"/>
      <c r="H43" s="58">
        <f>D43+F43</f>
        <v>137142289</v>
      </c>
    </row>
    <row r="44" spans="1:8" x14ac:dyDescent="0.25">
      <c r="A44" s="276">
        <v>25</v>
      </c>
      <c r="B44" s="278" t="s">
        <v>46</v>
      </c>
      <c r="D44" s="482">
        <v>36184416</v>
      </c>
      <c r="E44" s="58"/>
      <c r="F44" s="483">
        <v>0</v>
      </c>
      <c r="G44" s="58"/>
      <c r="H44" s="58">
        <f>D44+F44</f>
        <v>36184416</v>
      </c>
    </row>
    <row r="45" spans="1:8" x14ac:dyDescent="0.25">
      <c r="A45" s="276">
        <v>26</v>
      </c>
      <c r="B45" s="278" t="s">
        <v>47</v>
      </c>
      <c r="D45" s="482">
        <v>10802514</v>
      </c>
      <c r="E45" s="58"/>
      <c r="F45" s="483">
        <v>0</v>
      </c>
      <c r="G45" s="58"/>
      <c r="H45" s="482">
        <f>D45+F45</f>
        <v>10802514</v>
      </c>
    </row>
    <row r="46" spans="1:8" ht="11.25" customHeight="1" x14ac:dyDescent="0.25">
      <c r="A46" s="276"/>
      <c r="B46" s="278"/>
      <c r="D46" s="482"/>
      <c r="E46" s="58"/>
      <c r="F46" s="483"/>
      <c r="G46" s="58"/>
      <c r="H46" s="111"/>
    </row>
    <row r="47" spans="1:8" ht="20.100000000000001" customHeight="1" x14ac:dyDescent="0.25">
      <c r="A47" s="276">
        <v>27</v>
      </c>
      <c r="B47" s="148" t="s">
        <v>195</v>
      </c>
      <c r="D47" s="281">
        <f>SUM(D43:D45)</f>
        <v>184129219</v>
      </c>
      <c r="E47" s="58"/>
      <c r="F47" s="281">
        <f>SUM(F43:F45)</f>
        <v>0</v>
      </c>
      <c r="G47" s="58"/>
      <c r="H47" s="281">
        <f>SUM(H43:H45)</f>
        <v>184129219</v>
      </c>
    </row>
    <row r="48" spans="1:8" ht="11.25" customHeight="1" x14ac:dyDescent="0.25">
      <c r="A48" s="276"/>
      <c r="D48" s="58"/>
      <c r="E48" s="58"/>
      <c r="F48" s="58"/>
      <c r="G48" s="58"/>
      <c r="H48" s="58"/>
    </row>
    <row r="49" spans="1:10" ht="20.100000000000001" customHeight="1" x14ac:dyDescent="0.25">
      <c r="A49" s="276">
        <v>28</v>
      </c>
      <c r="B49" s="106" t="s">
        <v>48</v>
      </c>
      <c r="D49" s="281">
        <f>(D40+D47)</f>
        <v>4933705788</v>
      </c>
      <c r="E49" s="58"/>
      <c r="F49" s="281">
        <f>(H49-D49)</f>
        <v>5916373208</v>
      </c>
      <c r="G49" s="58"/>
      <c r="H49" s="281">
        <f>(H40+H47)</f>
        <v>10850078996</v>
      </c>
    </row>
    <row r="50" spans="1:10" x14ac:dyDescent="0.25">
      <c r="A50" s="276"/>
      <c r="D50" s="58"/>
      <c r="E50" s="58"/>
      <c r="F50" s="58"/>
      <c r="G50" s="58"/>
      <c r="H50" s="58"/>
    </row>
    <row r="51" spans="1:10" x14ac:dyDescent="0.25">
      <c r="A51" s="276">
        <v>29</v>
      </c>
      <c r="B51" s="106" t="s">
        <v>49</v>
      </c>
      <c r="D51" s="58"/>
      <c r="E51" s="58"/>
      <c r="F51" s="58"/>
      <c r="G51" s="58"/>
      <c r="H51" s="58"/>
    </row>
    <row r="52" spans="1:10" x14ac:dyDescent="0.25">
      <c r="A52" s="276">
        <v>30</v>
      </c>
      <c r="B52" s="278" t="s">
        <v>44</v>
      </c>
      <c r="D52" s="484">
        <v>1802261255</v>
      </c>
      <c r="E52" s="58"/>
      <c r="F52" s="485">
        <v>2862212900</v>
      </c>
      <c r="G52" s="58"/>
      <c r="H52" s="482">
        <f>D52+F52</f>
        <v>4664474155</v>
      </c>
      <c r="J52" s="189"/>
    </row>
    <row r="53" spans="1:10" x14ac:dyDescent="0.25">
      <c r="A53" s="276">
        <v>31</v>
      </c>
      <c r="B53" s="278" t="s">
        <v>46</v>
      </c>
      <c r="D53" s="484">
        <v>240756444</v>
      </c>
      <c r="E53" s="58"/>
      <c r="F53" s="485">
        <v>323576319</v>
      </c>
      <c r="G53" s="58"/>
      <c r="H53" s="482">
        <f>D53+F53</f>
        <v>564332763</v>
      </c>
      <c r="J53" s="189"/>
    </row>
    <row r="54" spans="1:10" x14ac:dyDescent="0.25">
      <c r="A54" s="276">
        <v>32</v>
      </c>
      <c r="B54" s="278" t="s">
        <v>47</v>
      </c>
      <c r="D54" s="484">
        <v>101242747</v>
      </c>
      <c r="E54" s="58"/>
      <c r="F54" s="485">
        <v>70014033</v>
      </c>
      <c r="G54" s="58"/>
      <c r="H54" s="482">
        <f>D54+F54</f>
        <v>171256780</v>
      </c>
      <c r="J54" s="189"/>
    </row>
    <row r="55" spans="1:10" ht="11.25" customHeight="1" x14ac:dyDescent="0.25">
      <c r="A55" s="276"/>
      <c r="B55" s="283"/>
      <c r="D55" s="282"/>
      <c r="E55" s="58"/>
      <c r="F55" s="282"/>
      <c r="G55" s="58"/>
      <c r="H55" s="282"/>
      <c r="J55" s="189"/>
    </row>
    <row r="56" spans="1:10" ht="20.100000000000001" customHeight="1" x14ac:dyDescent="0.25">
      <c r="A56" s="276">
        <v>33</v>
      </c>
      <c r="B56" s="148" t="s">
        <v>50</v>
      </c>
      <c r="D56" s="281">
        <f>SUM(D52:D54)</f>
        <v>2144260446</v>
      </c>
      <c r="E56" s="58"/>
      <c r="F56" s="281">
        <f>(H56-D56)</f>
        <v>3255803252</v>
      </c>
      <c r="G56" s="58"/>
      <c r="H56" s="281">
        <f>SUM(H52:H54)</f>
        <v>5400063698</v>
      </c>
      <c r="J56" s="284"/>
    </row>
    <row r="57" spans="1:10" ht="11.25" customHeight="1" x14ac:dyDescent="0.25">
      <c r="A57" s="276"/>
      <c r="D57" s="58"/>
      <c r="E57" s="58"/>
      <c r="F57" s="58"/>
      <c r="G57" s="58"/>
      <c r="H57" s="58"/>
    </row>
    <row r="58" spans="1:10" ht="20.100000000000001" customHeight="1" thickBot="1" x14ac:dyDescent="0.3">
      <c r="A58" s="276">
        <v>34</v>
      </c>
      <c r="B58" s="148" t="s">
        <v>51</v>
      </c>
      <c r="D58" s="86">
        <f>(D49-D56)</f>
        <v>2789445342</v>
      </c>
      <c r="E58" s="279"/>
      <c r="F58" s="86">
        <f>(H58-D58)</f>
        <v>2660569956</v>
      </c>
      <c r="G58" s="279"/>
      <c r="H58" s="86">
        <f>(H49-H56)</f>
        <v>5450015298</v>
      </c>
    </row>
    <row r="59" spans="1:10" ht="16.5" thickTop="1" x14ac:dyDescent="0.25">
      <c r="A59" s="276"/>
      <c r="D59" s="279"/>
      <c r="E59" s="279"/>
      <c r="F59" s="279"/>
      <c r="G59" s="279"/>
      <c r="H59" s="279"/>
    </row>
    <row r="60" spans="1:10" x14ac:dyDescent="0.25">
      <c r="A60" s="276">
        <v>35</v>
      </c>
      <c r="B60" s="148" t="s">
        <v>194</v>
      </c>
      <c r="D60" s="279"/>
      <c r="E60" s="279"/>
      <c r="F60" s="279"/>
      <c r="G60" s="279"/>
      <c r="H60" s="279"/>
    </row>
    <row r="61" spans="1:10" x14ac:dyDescent="0.25">
      <c r="A61" s="276">
        <v>36</v>
      </c>
      <c r="B61" s="537" t="s">
        <v>668</v>
      </c>
      <c r="D61" s="106">
        <f>ROUND(D23+(D38*0.71)+D43+(D45*0.71)-D52-(D54*0.71),0)</f>
        <v>2205517587</v>
      </c>
      <c r="F61" s="106">
        <f>ROUND(F23+(F38*0.71)+F43+(F45*0.71)-F52-(F54*0.71),0)</f>
        <v>2037028803</v>
      </c>
      <c r="H61" s="106">
        <f>ROUND(H23+(H38*0.71)+H43+(H45*0.71)-H52-(H54*0.71),0)</f>
        <v>4242546390</v>
      </c>
    </row>
    <row r="62" spans="1:10" x14ac:dyDescent="0.25">
      <c r="A62" s="276">
        <v>37</v>
      </c>
      <c r="B62" s="537" t="s">
        <v>669</v>
      </c>
      <c r="D62" s="106">
        <f>ROUND(D32+(D38*0.29)+D44+(D45*0.29)-D53-(D54*0.29),0)</f>
        <v>583927755</v>
      </c>
      <c r="F62" s="106">
        <f>ROUND(F32+(F38*0.29)+F44+(F45*0.29)-F53-(F54*0.29),0)</f>
        <v>623541153</v>
      </c>
      <c r="H62" s="106">
        <f>ROUND(H32+(H38*0.29)+H44+(H45*0.29)-H53-(H54*0.29),0)</f>
        <v>1207468908</v>
      </c>
    </row>
    <row r="63" spans="1:10" ht="11.25" customHeight="1" x14ac:dyDescent="0.25">
      <c r="A63" s="276"/>
      <c r="D63" s="279"/>
      <c r="E63" s="279"/>
      <c r="F63" s="279"/>
      <c r="G63" s="279"/>
      <c r="H63" s="279"/>
    </row>
    <row r="64" spans="1:10" ht="20.100000000000001" customHeight="1" thickBot="1" x14ac:dyDescent="0.3">
      <c r="A64" s="276">
        <v>38</v>
      </c>
      <c r="B64" s="148" t="s">
        <v>51</v>
      </c>
      <c r="D64" s="86">
        <f>SUM(D61:D63)</f>
        <v>2789445342</v>
      </c>
      <c r="E64" s="279"/>
      <c r="F64" s="86">
        <f>(H64-D64)</f>
        <v>2660569956</v>
      </c>
      <c r="G64" s="279"/>
      <c r="H64" s="86">
        <f>SUM(H61:H63)</f>
        <v>5450015298</v>
      </c>
    </row>
    <row r="65" spans="1:8" ht="16.5" thickTop="1" x14ac:dyDescent="0.25">
      <c r="A65" s="276"/>
      <c r="D65" s="277"/>
      <c r="E65" s="277"/>
      <c r="F65" s="277"/>
      <c r="G65" s="277"/>
      <c r="H65" s="277"/>
    </row>
    <row r="66" spans="1:8" x14ac:dyDescent="0.25">
      <c r="A66" s="276"/>
      <c r="D66" s="277"/>
      <c r="E66" s="277"/>
      <c r="F66" s="277"/>
      <c r="G66" s="277"/>
      <c r="H66" s="277"/>
    </row>
    <row r="67" spans="1:8" x14ac:dyDescent="0.25">
      <c r="A67" s="276"/>
      <c r="B67" s="148" t="s">
        <v>52</v>
      </c>
      <c r="D67" s="277"/>
      <c r="E67" s="277"/>
      <c r="F67" s="277"/>
      <c r="G67" s="277"/>
      <c r="H67" s="277"/>
    </row>
    <row r="68" spans="1:8" x14ac:dyDescent="0.25">
      <c r="A68" s="276"/>
      <c r="D68" s="277"/>
      <c r="E68" s="277"/>
      <c r="F68" s="277"/>
      <c r="G68" s="277"/>
      <c r="H68" s="277"/>
    </row>
    <row r="69" spans="1:8" x14ac:dyDescent="0.25">
      <c r="A69" s="276"/>
      <c r="D69" s="277"/>
      <c r="E69" s="277"/>
      <c r="F69" s="277"/>
      <c r="G69" s="277"/>
      <c r="H69" s="277"/>
    </row>
    <row r="70" spans="1:8" x14ac:dyDescent="0.25">
      <c r="A70" s="276"/>
    </row>
    <row r="71" spans="1:8" x14ac:dyDescent="0.25">
      <c r="A71" s="276"/>
    </row>
    <row r="72" spans="1:8" x14ac:dyDescent="0.25">
      <c r="A72" s="276"/>
    </row>
    <row r="73" spans="1:8" x14ac:dyDescent="0.25">
      <c r="A73" s="276"/>
    </row>
  </sheetData>
  <mergeCells count="3">
    <mergeCell ref="A4:H4"/>
    <mergeCell ref="A6:H6"/>
    <mergeCell ref="A7:H7"/>
  </mergeCells>
  <phoneticPr fontId="0" type="noConversion"/>
  <printOptions horizontalCentered="1"/>
  <pageMargins left="0.5" right="0.25" top="0.5" bottom="0.5" header="0.5" footer="0.5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38</vt:i4>
      </vt:variant>
    </vt:vector>
  </HeadingPairs>
  <TitlesOfParts>
    <vt:vector size="85" baseType="lpstr">
      <vt:lpstr>Inputs</vt:lpstr>
      <vt:lpstr>Ex 1</vt:lpstr>
      <vt:lpstr>Ex 2</vt:lpstr>
      <vt:lpstr>Ex 3</vt:lpstr>
      <vt:lpstr>Supp Sch-Ex 3</vt:lpstr>
      <vt:lpstr>Ex 4 (Page1)</vt:lpstr>
      <vt:lpstr>Supp Sch-Ex 4 (Page2)</vt:lpstr>
      <vt:lpstr>Ex 5</vt:lpstr>
      <vt:lpstr>Ex 6</vt:lpstr>
      <vt:lpstr>Ex 7</vt:lpstr>
      <vt:lpstr>Ex 8</vt:lpstr>
      <vt:lpstr>Ex 9</vt:lpstr>
      <vt:lpstr>1.00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  <vt:lpstr>1.29</vt:lpstr>
      <vt:lpstr>1.30</vt:lpstr>
      <vt:lpstr>1.31</vt:lpstr>
      <vt:lpstr>1.32</vt:lpstr>
      <vt:lpstr>1.33</vt:lpstr>
      <vt:lpstr>1.34</vt:lpstr>
      <vt:lpstr>'1.00'!Print_Area</vt:lpstr>
      <vt:lpstr>'1.01'!Print_Area</vt:lpstr>
      <vt:lpstr>'1.02'!Print_Area</vt:lpstr>
      <vt:lpstr>'1.03'!Print_Area</vt:lpstr>
      <vt:lpstr>'1.04'!Print_Area</vt:lpstr>
      <vt:lpstr>'1.05'!Print_Area</vt:lpstr>
      <vt:lpstr>'1.06'!Print_Area</vt:lpstr>
      <vt:lpstr>'1.07'!Print_Area</vt:lpstr>
      <vt:lpstr>'1.08'!Print_Area</vt:lpstr>
      <vt:lpstr>'1.09'!Print_Area</vt:lpstr>
      <vt:lpstr>'1.10'!Print_Area</vt:lpstr>
      <vt:lpstr>'1.11'!Print_Area</vt:lpstr>
      <vt:lpstr>'1.12'!Print_Area</vt:lpstr>
      <vt:lpstr>'1.13'!Print_Area</vt:lpstr>
      <vt:lpstr>'1.14'!Print_Area</vt:lpstr>
      <vt:lpstr>'1.15'!Print_Area</vt:lpstr>
      <vt:lpstr>'1.16'!Print_Area</vt:lpstr>
      <vt:lpstr>'1.17'!Print_Area</vt:lpstr>
      <vt:lpstr>'1.18'!Print_Area</vt:lpstr>
      <vt:lpstr>'1.19'!Print_Area</vt:lpstr>
      <vt:lpstr>'1.20'!Print_Area</vt:lpstr>
      <vt:lpstr>'1.21'!Print_Area</vt:lpstr>
      <vt:lpstr>'1.22'!Print_Area</vt:lpstr>
      <vt:lpstr>'1.23'!Print_Area</vt:lpstr>
      <vt:lpstr>'1.24'!Print_Area</vt:lpstr>
      <vt:lpstr>'1.25'!Print_Area</vt:lpstr>
      <vt:lpstr>'1.26'!Print_Area</vt:lpstr>
      <vt:lpstr>'1.27'!Print_Area</vt:lpstr>
      <vt:lpstr>'1.28'!Print_Area</vt:lpstr>
      <vt:lpstr>'1.29'!Print_Area</vt:lpstr>
      <vt:lpstr>'1.30'!Print_Area</vt:lpstr>
      <vt:lpstr>'1.31'!Print_Area</vt:lpstr>
      <vt:lpstr>'1.32'!Print_Area</vt:lpstr>
      <vt:lpstr>'1.33'!Print_Area</vt:lpstr>
      <vt:lpstr>'1.34'!Print_Area</vt:lpstr>
      <vt:lpstr>'Ex 1'!Print_Area</vt:lpstr>
      <vt:lpstr>'Ex 2'!Print_Area</vt:lpstr>
      <vt:lpstr>'Supp Sch-Ex 4 (Page2)'!Print_Area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2010-03-05T16:04:04Z</dcterms:created>
  <dcterms:modified xsi:type="dcterms:W3CDTF">2012-08-07T14:49:22Z</dcterms:modified>
</cp:coreProperties>
</file>