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0" yWindow="570" windowWidth="18555" windowHeight="7935" tabRatio="685"/>
  </bookViews>
  <sheets>
    <sheet name="Req Req TME0312 by Plan" sheetId="3" r:id="rId1"/>
    <sheet name="SuppSch RB TME0312" sheetId="8" r:id="rId2"/>
    <sheet name="SuppSch TME0312" sheetId="6" r:id="rId3"/>
    <sheet name="Not filed==&gt;" sheetId="5" r:id="rId4"/>
    <sheet name="SuppSch TME0312 by Plan" sheetId="4" r:id="rId5"/>
  </sheets>
  <definedNames>
    <definedName name="_xlnm.Print_Area" localSheetId="0">'Req Req TME0312 by Plan'!$F$1:$AF$55</definedName>
    <definedName name="_xlnm.Print_Area" localSheetId="1">'SuppSch RB TME0312'!$A$1:$J$70</definedName>
    <definedName name="_xlnm.Print_Area" localSheetId="2">'SuppSch TME0312'!$A$1:$AI$62</definedName>
    <definedName name="_xlnm.Print_Area" localSheetId="4">'SuppSch TME0312 by Plan'!$A$1:$AM$63</definedName>
    <definedName name="_xlnm.Print_Titles" localSheetId="0">'Req Req TME0312 by Plan'!$A:$E</definedName>
  </definedNames>
  <calcPr calcId="145621"/>
</workbook>
</file>

<file path=xl/calcChain.xml><?xml version="1.0" encoding="utf-8"?>
<calcChain xmlns="http://schemas.openxmlformats.org/spreadsheetml/2006/main">
  <c r="K53" i="8" l="1"/>
  <c r="AW37" i="4" l="1"/>
  <c r="AW36" i="4"/>
  <c r="AW35" i="4"/>
  <c r="AW34" i="4"/>
  <c r="AW32" i="4"/>
  <c r="AW31" i="4"/>
  <c r="AW30" i="4"/>
  <c r="AW29" i="4"/>
  <c r="AW28" i="4"/>
  <c r="AW38" i="4" s="1"/>
  <c r="AU27" i="4" l="1"/>
  <c r="AI17" i="4"/>
  <c r="AI15" i="4"/>
  <c r="AI14" i="4"/>
  <c r="AI13" i="4"/>
  <c r="AI12" i="4"/>
  <c r="AI11" i="4"/>
  <c r="AI9" i="4"/>
  <c r="W8" i="4"/>
  <c r="AI7" i="4"/>
  <c r="P58" i="4"/>
  <c r="O58" i="4"/>
  <c r="N58" i="4"/>
  <c r="P57" i="4"/>
  <c r="O57" i="4"/>
  <c r="N57" i="4"/>
  <c r="P56" i="4"/>
  <c r="O56" i="4"/>
  <c r="N56" i="4"/>
  <c r="P55" i="4"/>
  <c r="O55" i="4"/>
  <c r="N55" i="4"/>
  <c r="P54" i="4"/>
  <c r="O54" i="4"/>
  <c r="N54" i="4"/>
  <c r="P53" i="4"/>
  <c r="O53" i="4"/>
  <c r="N53" i="4"/>
  <c r="P52" i="4"/>
  <c r="O52" i="4"/>
  <c r="N52" i="4"/>
  <c r="P51" i="4"/>
  <c r="O51" i="4"/>
  <c r="N51" i="4"/>
  <c r="P50" i="4"/>
  <c r="O50" i="4"/>
  <c r="N50" i="4"/>
  <c r="P49" i="4"/>
  <c r="O49" i="4"/>
  <c r="N49" i="4"/>
  <c r="P48" i="4"/>
  <c r="O48" i="4"/>
  <c r="N48" i="4"/>
  <c r="P47" i="4"/>
  <c r="O47" i="4"/>
  <c r="N47" i="4"/>
  <c r="W6" i="4"/>
  <c r="AJ6" i="4"/>
  <c r="AI6" i="4"/>
  <c r="I41" i="8" l="1"/>
  <c r="H41" i="8"/>
  <c r="G41" i="8"/>
  <c r="F41" i="8"/>
  <c r="E41" i="8"/>
  <c r="D41" i="8"/>
  <c r="I11" i="8"/>
  <c r="H11" i="8"/>
  <c r="G11" i="8"/>
  <c r="F11" i="8"/>
  <c r="E11" i="8"/>
  <c r="D11" i="8"/>
  <c r="I45" i="8"/>
  <c r="H45" i="8"/>
  <c r="G45" i="8"/>
  <c r="F45" i="8"/>
  <c r="E45" i="8"/>
  <c r="D45" i="8"/>
  <c r="I38" i="8"/>
  <c r="H38" i="8"/>
  <c r="G38" i="8"/>
  <c r="F38" i="8"/>
  <c r="E38" i="8"/>
  <c r="D38" i="8"/>
  <c r="A37" i="8"/>
  <c r="A38" i="8" s="1"/>
  <c r="A39" i="8" s="1"/>
  <c r="A40" i="8" s="1"/>
  <c r="I15" i="8"/>
  <c r="H15" i="8"/>
  <c r="G15" i="8"/>
  <c r="F15" i="8"/>
  <c r="E15" i="8"/>
  <c r="D15" i="8"/>
  <c r="I8" i="8"/>
  <c r="H8" i="8"/>
  <c r="H17" i="8" s="1"/>
  <c r="H19" i="8" s="1"/>
  <c r="G8" i="8"/>
  <c r="F8" i="8"/>
  <c r="E8" i="8"/>
  <c r="D8" i="8"/>
  <c r="A7" i="8"/>
  <c r="A8" i="8" s="1"/>
  <c r="A9" i="8" s="1"/>
  <c r="A10" i="8" s="1"/>
  <c r="A11" i="8" s="1"/>
  <c r="A12" i="8" s="1"/>
  <c r="A13" i="8" s="1"/>
  <c r="A14" i="8" s="1"/>
  <c r="A15" i="8" s="1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AH38" i="6"/>
  <c r="AH37" i="6"/>
  <c r="AH57" i="6" s="1"/>
  <c r="AH36" i="6"/>
  <c r="AH35" i="6"/>
  <c r="AH55" i="6" s="1"/>
  <c r="AH34" i="6"/>
  <c r="AH54" i="6" s="1"/>
  <c r="AH33" i="6"/>
  <c r="AH53" i="6" s="1"/>
  <c r="AH32" i="6"/>
  <c r="AH52" i="6" s="1"/>
  <c r="AH31" i="6"/>
  <c r="AH51" i="6" s="1"/>
  <c r="AH30" i="6"/>
  <c r="AH50" i="6" s="1"/>
  <c r="AH29" i="6"/>
  <c r="AH49" i="6" s="1"/>
  <c r="AH28" i="6"/>
  <c r="AH48" i="6" s="1"/>
  <c r="AH27" i="6"/>
  <c r="AH47" i="6" s="1"/>
  <c r="AF38" i="6"/>
  <c r="AF37" i="6"/>
  <c r="AF36" i="6"/>
  <c r="AF35" i="6"/>
  <c r="AF34" i="6"/>
  <c r="AF33" i="6"/>
  <c r="AF32" i="6"/>
  <c r="AF31" i="6"/>
  <c r="AF30" i="6"/>
  <c r="AF29" i="6"/>
  <c r="AF28" i="6"/>
  <c r="AF27" i="6"/>
  <c r="AD38" i="6"/>
  <c r="AC38" i="6"/>
  <c r="AB38" i="6"/>
  <c r="AA38" i="6"/>
  <c r="Z38" i="6"/>
  <c r="AD37" i="6"/>
  <c r="AC37" i="6"/>
  <c r="AB37" i="6"/>
  <c r="AA37" i="6"/>
  <c r="Z37" i="6"/>
  <c r="AD36" i="6"/>
  <c r="AC36" i="6"/>
  <c r="AB36" i="6"/>
  <c r="AA36" i="6"/>
  <c r="Z36" i="6"/>
  <c r="AD35" i="6"/>
  <c r="AC35" i="6"/>
  <c r="AB35" i="6"/>
  <c r="AA35" i="6"/>
  <c r="Z35" i="6"/>
  <c r="AD34" i="6"/>
  <c r="AC34" i="6"/>
  <c r="AB34" i="6"/>
  <c r="AA34" i="6"/>
  <c r="Z34" i="6"/>
  <c r="AD33" i="6"/>
  <c r="AC33" i="6"/>
  <c r="AB33" i="6"/>
  <c r="AA33" i="6"/>
  <c r="Z33" i="6"/>
  <c r="AD32" i="6"/>
  <c r="AC32" i="6"/>
  <c r="AB32" i="6"/>
  <c r="AA32" i="6"/>
  <c r="Z32" i="6"/>
  <c r="AD31" i="6"/>
  <c r="AC31" i="6"/>
  <c r="AB31" i="6"/>
  <c r="AA31" i="6"/>
  <c r="Z31" i="6"/>
  <c r="AD30" i="6"/>
  <c r="AC30" i="6"/>
  <c r="AB30" i="6"/>
  <c r="AA30" i="6"/>
  <c r="Z30" i="6"/>
  <c r="AD29" i="6"/>
  <c r="AC29" i="6"/>
  <c r="AB29" i="6"/>
  <c r="AA29" i="6"/>
  <c r="Z29" i="6"/>
  <c r="AD28" i="6"/>
  <c r="AC28" i="6"/>
  <c r="AB28" i="6"/>
  <c r="AA28" i="6"/>
  <c r="Z28" i="6"/>
  <c r="AD27" i="6"/>
  <c r="AC27" i="6"/>
  <c r="AB27" i="6"/>
  <c r="AA27" i="6"/>
  <c r="Z27" i="6"/>
  <c r="AG17" i="6"/>
  <c r="AG58" i="6" s="1"/>
  <c r="AG16" i="6"/>
  <c r="AG57" i="6" s="1"/>
  <c r="AG15" i="6"/>
  <c r="AG56" i="6" s="1"/>
  <c r="AG14" i="6"/>
  <c r="AG55" i="6" s="1"/>
  <c r="AG13" i="6"/>
  <c r="AG54" i="6" s="1"/>
  <c r="AG12" i="6"/>
  <c r="AG53" i="6" s="1"/>
  <c r="AG11" i="6"/>
  <c r="AG52" i="6" s="1"/>
  <c r="AG10" i="6"/>
  <c r="AG51" i="6" s="1"/>
  <c r="AG9" i="6"/>
  <c r="AG50" i="6" s="1"/>
  <c r="AG8" i="6"/>
  <c r="AG49" i="6" s="1"/>
  <c r="AG7" i="6"/>
  <c r="AG48" i="6" s="1"/>
  <c r="AG6" i="6"/>
  <c r="AG47" i="6" s="1"/>
  <c r="AF17" i="6"/>
  <c r="AF58" i="6" s="1"/>
  <c r="AF16" i="6"/>
  <c r="AF57" i="6" s="1"/>
  <c r="AF15" i="6"/>
  <c r="AF56" i="6" s="1"/>
  <c r="AF14" i="6"/>
  <c r="AF55" i="6" s="1"/>
  <c r="AF13" i="6"/>
  <c r="AF12" i="6"/>
  <c r="AF53" i="6" s="1"/>
  <c r="AF11" i="6"/>
  <c r="AF52" i="6" s="1"/>
  <c r="AF10" i="6"/>
  <c r="AF9" i="6"/>
  <c r="AF50" i="6" s="1"/>
  <c r="AF8" i="6"/>
  <c r="AF7" i="6"/>
  <c r="AF48" i="6" s="1"/>
  <c r="AF6" i="6"/>
  <c r="AD17" i="6"/>
  <c r="AD58" i="6" s="1"/>
  <c r="AC17" i="6"/>
  <c r="AC58" i="6" s="1"/>
  <c r="AB17" i="6"/>
  <c r="AB58" i="6" s="1"/>
  <c r="AA17" i="6"/>
  <c r="AA58" i="6" s="1"/>
  <c r="Z17" i="6"/>
  <c r="Z58" i="6" s="1"/>
  <c r="AD16" i="6"/>
  <c r="AC16" i="6"/>
  <c r="AC57" i="6" s="1"/>
  <c r="AB16" i="6"/>
  <c r="AB57" i="6" s="1"/>
  <c r="AA16" i="6"/>
  <c r="AA57" i="6" s="1"/>
  <c r="Z16" i="6"/>
  <c r="AD15" i="6"/>
  <c r="AD56" i="6" s="1"/>
  <c r="AC15" i="6"/>
  <c r="AB15" i="6"/>
  <c r="AB56" i="6" s="1"/>
  <c r="AA15" i="6"/>
  <c r="AA56" i="6" s="1"/>
  <c r="Z15" i="6"/>
  <c r="Z56" i="6" s="1"/>
  <c r="AD14" i="6"/>
  <c r="AD55" i="6" s="1"/>
  <c r="AC14" i="6"/>
  <c r="AC55" i="6" s="1"/>
  <c r="AB14" i="6"/>
  <c r="AA14" i="6"/>
  <c r="AA55" i="6" s="1"/>
  <c r="Z14" i="6"/>
  <c r="AD13" i="6"/>
  <c r="AD54" i="6" s="1"/>
  <c r="AC13" i="6"/>
  <c r="AC54" i="6" s="1"/>
  <c r="AB13" i="6"/>
  <c r="AB54" i="6" s="1"/>
  <c r="AA13" i="6"/>
  <c r="AA54" i="6" s="1"/>
  <c r="Z13" i="6"/>
  <c r="Z54" i="6" s="1"/>
  <c r="AD12" i="6"/>
  <c r="AD53" i="6" s="1"/>
  <c r="AC12" i="6"/>
  <c r="AB12" i="6"/>
  <c r="AB53" i="6" s="1"/>
  <c r="AA12" i="6"/>
  <c r="AA53" i="6" s="1"/>
  <c r="Z12" i="6"/>
  <c r="AD11" i="6"/>
  <c r="AC11" i="6"/>
  <c r="AC52" i="6" s="1"/>
  <c r="AB11" i="6"/>
  <c r="AB52" i="6" s="1"/>
  <c r="AA11" i="6"/>
  <c r="AA52" i="6" s="1"/>
  <c r="Z11" i="6"/>
  <c r="Z52" i="6" s="1"/>
  <c r="AD10" i="6"/>
  <c r="AD51" i="6" s="1"/>
  <c r="AC10" i="6"/>
  <c r="AC51" i="6" s="1"/>
  <c r="AB10" i="6"/>
  <c r="AB51" i="6" s="1"/>
  <c r="AA10" i="6"/>
  <c r="AA51" i="6" s="1"/>
  <c r="Z10" i="6"/>
  <c r="AD9" i="6"/>
  <c r="AD50" i="6" s="1"/>
  <c r="AC9" i="6"/>
  <c r="AC50" i="6" s="1"/>
  <c r="AB9" i="6"/>
  <c r="AB50" i="6" s="1"/>
  <c r="AA9" i="6"/>
  <c r="AA50" i="6" s="1"/>
  <c r="Z9" i="6"/>
  <c r="Z50" i="6" s="1"/>
  <c r="AD8" i="6"/>
  <c r="AC8" i="6"/>
  <c r="AC49" i="6" s="1"/>
  <c r="AB8" i="6"/>
  <c r="AB49" i="6" s="1"/>
  <c r="AA8" i="6"/>
  <c r="AA49" i="6" s="1"/>
  <c r="Z8" i="6"/>
  <c r="AD7" i="6"/>
  <c r="AD48" i="6" s="1"/>
  <c r="AC7" i="6"/>
  <c r="AC48" i="6" s="1"/>
  <c r="AB7" i="6"/>
  <c r="AB48" i="6" s="1"/>
  <c r="AA7" i="6"/>
  <c r="AA48" i="6" s="1"/>
  <c r="Z7" i="6"/>
  <c r="Z48" i="6" s="1"/>
  <c r="AD6" i="6"/>
  <c r="AD47" i="6" s="1"/>
  <c r="AC6" i="6"/>
  <c r="AC47" i="6" s="1"/>
  <c r="AB6" i="6"/>
  <c r="AA6" i="6"/>
  <c r="AA47" i="6" s="1"/>
  <c r="Z6" i="6"/>
  <c r="AH58" i="6"/>
  <c r="AE58" i="6"/>
  <c r="AH56" i="6"/>
  <c r="AE54" i="6"/>
  <c r="AE50" i="6"/>
  <c r="AG40" i="6"/>
  <c r="AE55" i="6"/>
  <c r="AE51" i="6"/>
  <c r="AE40" i="6"/>
  <c r="AE47" i="6"/>
  <c r="AH19" i="6"/>
  <c r="AE19" i="6"/>
  <c r="AE57" i="6"/>
  <c r="AE56" i="6"/>
  <c r="AE53" i="6"/>
  <c r="AE52" i="6"/>
  <c r="AE49" i="6"/>
  <c r="AE48" i="6"/>
  <c r="V58" i="6"/>
  <c r="U58" i="6"/>
  <c r="V57" i="6"/>
  <c r="U57" i="6"/>
  <c r="V56" i="6"/>
  <c r="U56" i="6"/>
  <c r="V55" i="6"/>
  <c r="U55" i="6"/>
  <c r="V54" i="6"/>
  <c r="U54" i="6"/>
  <c r="V53" i="6"/>
  <c r="U53" i="6"/>
  <c r="V52" i="6"/>
  <c r="U52" i="6"/>
  <c r="V51" i="6"/>
  <c r="U51" i="6"/>
  <c r="V50" i="6"/>
  <c r="U50" i="6"/>
  <c r="V49" i="6"/>
  <c r="U49" i="6"/>
  <c r="V48" i="6"/>
  <c r="U48" i="6"/>
  <c r="V47" i="6"/>
  <c r="U47" i="6"/>
  <c r="T38" i="6"/>
  <c r="T37" i="6"/>
  <c r="T36" i="6"/>
  <c r="T35" i="6"/>
  <c r="T34" i="6"/>
  <c r="T33" i="6"/>
  <c r="T32" i="6"/>
  <c r="T31" i="6"/>
  <c r="T30" i="6"/>
  <c r="T29" i="6"/>
  <c r="T28" i="6"/>
  <c r="T27" i="6"/>
  <c r="S38" i="6"/>
  <c r="S37" i="6"/>
  <c r="S36" i="6"/>
  <c r="S35" i="6"/>
  <c r="S34" i="6"/>
  <c r="S33" i="6"/>
  <c r="S32" i="6"/>
  <c r="S31" i="6"/>
  <c r="S30" i="6"/>
  <c r="S29" i="6"/>
  <c r="S28" i="6"/>
  <c r="S27" i="6"/>
  <c r="R38" i="6"/>
  <c r="Q38" i="6"/>
  <c r="P38" i="6"/>
  <c r="R37" i="6"/>
  <c r="Q37" i="6"/>
  <c r="P37" i="6"/>
  <c r="R36" i="6"/>
  <c r="Q36" i="6"/>
  <c r="P36" i="6"/>
  <c r="R35" i="6"/>
  <c r="Q35" i="6"/>
  <c r="P35" i="6"/>
  <c r="R34" i="6"/>
  <c r="Q34" i="6"/>
  <c r="P34" i="6"/>
  <c r="R33" i="6"/>
  <c r="Q33" i="6"/>
  <c r="P33" i="6"/>
  <c r="R32" i="6"/>
  <c r="Q32" i="6"/>
  <c r="P32" i="6"/>
  <c r="R31" i="6"/>
  <c r="Q31" i="6"/>
  <c r="P31" i="6"/>
  <c r="R30" i="6"/>
  <c r="Q30" i="6"/>
  <c r="P30" i="6"/>
  <c r="R29" i="6"/>
  <c r="Q29" i="6"/>
  <c r="P29" i="6"/>
  <c r="R28" i="6"/>
  <c r="Q28" i="6"/>
  <c r="P28" i="6"/>
  <c r="R27" i="6"/>
  <c r="Q27" i="6"/>
  <c r="P27" i="6"/>
  <c r="O38" i="6"/>
  <c r="O37" i="6"/>
  <c r="O36" i="6"/>
  <c r="O35" i="6"/>
  <c r="O34" i="6"/>
  <c r="O33" i="6"/>
  <c r="O32" i="6"/>
  <c r="O31" i="6"/>
  <c r="O30" i="6"/>
  <c r="O29" i="6"/>
  <c r="O28" i="6"/>
  <c r="O27" i="6"/>
  <c r="N38" i="6"/>
  <c r="N37" i="6"/>
  <c r="N36" i="6"/>
  <c r="N35" i="6"/>
  <c r="N34" i="6"/>
  <c r="N33" i="6"/>
  <c r="N32" i="6"/>
  <c r="N31" i="6"/>
  <c r="N30" i="6"/>
  <c r="N29" i="6"/>
  <c r="N28" i="6"/>
  <c r="N27" i="6"/>
  <c r="V40" i="6"/>
  <c r="U40" i="6"/>
  <c r="T17" i="6"/>
  <c r="S17" i="6"/>
  <c r="S58" i="6" s="1"/>
  <c r="T16" i="6"/>
  <c r="S16" i="6"/>
  <c r="T15" i="6"/>
  <c r="T56" i="6" s="1"/>
  <c r="S15" i="6"/>
  <c r="T14" i="6"/>
  <c r="S14" i="6"/>
  <c r="T13" i="6"/>
  <c r="S13" i="6"/>
  <c r="S54" i="6" s="1"/>
  <c r="T12" i="6"/>
  <c r="S12" i="6"/>
  <c r="T11" i="6"/>
  <c r="T52" i="6" s="1"/>
  <c r="S11" i="6"/>
  <c r="T10" i="6"/>
  <c r="S10" i="6"/>
  <c r="T9" i="6"/>
  <c r="S9" i="6"/>
  <c r="S50" i="6" s="1"/>
  <c r="T8" i="6"/>
  <c r="S8" i="6"/>
  <c r="T7" i="6"/>
  <c r="T48" i="6" s="1"/>
  <c r="S7" i="6"/>
  <c r="T6" i="6"/>
  <c r="S6" i="6"/>
  <c r="R17" i="6"/>
  <c r="Q17" i="6"/>
  <c r="P17" i="6"/>
  <c r="O17" i="6"/>
  <c r="R16" i="6"/>
  <c r="Q16" i="6"/>
  <c r="Q57" i="6" s="1"/>
  <c r="P16" i="6"/>
  <c r="O16" i="6"/>
  <c r="R15" i="6"/>
  <c r="R56" i="6" s="1"/>
  <c r="Q15" i="6"/>
  <c r="Q56" i="6" s="1"/>
  <c r="P15" i="6"/>
  <c r="O15" i="6"/>
  <c r="R14" i="6"/>
  <c r="Q14" i="6"/>
  <c r="P14" i="6"/>
  <c r="O14" i="6"/>
  <c r="R13" i="6"/>
  <c r="Q13" i="6"/>
  <c r="P13" i="6"/>
  <c r="O13" i="6"/>
  <c r="R12" i="6"/>
  <c r="Q12" i="6"/>
  <c r="Q53" i="6" s="1"/>
  <c r="P12" i="6"/>
  <c r="O12" i="6"/>
  <c r="R11" i="6"/>
  <c r="R52" i="6" s="1"/>
  <c r="Q11" i="6"/>
  <c r="Q52" i="6" s="1"/>
  <c r="P11" i="6"/>
  <c r="O11" i="6"/>
  <c r="R10" i="6"/>
  <c r="Q10" i="6"/>
  <c r="P10" i="6"/>
  <c r="O10" i="6"/>
  <c r="R9" i="6"/>
  <c r="Q9" i="6"/>
  <c r="P9" i="6"/>
  <c r="O9" i="6"/>
  <c r="R8" i="6"/>
  <c r="Q8" i="6"/>
  <c r="Q49" i="6" s="1"/>
  <c r="P8" i="6"/>
  <c r="O8" i="6"/>
  <c r="R7" i="6"/>
  <c r="R48" i="6" s="1"/>
  <c r="Q7" i="6"/>
  <c r="Q48" i="6" s="1"/>
  <c r="P7" i="6"/>
  <c r="O7" i="6"/>
  <c r="R6" i="6"/>
  <c r="R19" i="6" s="1"/>
  <c r="Q6" i="6"/>
  <c r="Q19" i="6" s="1"/>
  <c r="P6" i="6"/>
  <c r="O6" i="6"/>
  <c r="N17" i="6"/>
  <c r="N16" i="6"/>
  <c r="N15" i="6"/>
  <c r="N14" i="6"/>
  <c r="N13" i="6"/>
  <c r="N12" i="6"/>
  <c r="N11" i="6"/>
  <c r="N10" i="6"/>
  <c r="N9" i="6"/>
  <c r="N8" i="6"/>
  <c r="N7" i="6"/>
  <c r="N6" i="6"/>
  <c r="V19" i="6"/>
  <c r="U19" i="6"/>
  <c r="P19" i="6"/>
  <c r="A40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J17" i="6"/>
  <c r="J16" i="6"/>
  <c r="J15" i="6"/>
  <c r="J14" i="6"/>
  <c r="J13" i="6"/>
  <c r="J12" i="6"/>
  <c r="J11" i="6"/>
  <c r="J10" i="6"/>
  <c r="J9" i="6"/>
  <c r="J8" i="6"/>
  <c r="J7" i="6"/>
  <c r="J6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G17" i="6"/>
  <c r="G16" i="6"/>
  <c r="G15" i="6"/>
  <c r="G14" i="6"/>
  <c r="G13" i="6"/>
  <c r="G12" i="6"/>
  <c r="G11" i="6"/>
  <c r="G10" i="6"/>
  <c r="G9" i="6"/>
  <c r="G8" i="6"/>
  <c r="G7" i="6"/>
  <c r="G6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C17" i="6"/>
  <c r="C16" i="6"/>
  <c r="C15" i="6"/>
  <c r="C14" i="6"/>
  <c r="C13" i="6"/>
  <c r="C12" i="6"/>
  <c r="C11" i="6"/>
  <c r="C10" i="6"/>
  <c r="C9" i="6"/>
  <c r="C8" i="6"/>
  <c r="C7" i="6"/>
  <c r="C6" i="6"/>
  <c r="B17" i="6"/>
  <c r="B16" i="6"/>
  <c r="B15" i="6"/>
  <c r="B14" i="6"/>
  <c r="B13" i="6"/>
  <c r="B12" i="6"/>
  <c r="B11" i="6"/>
  <c r="B10" i="6"/>
  <c r="B9" i="6"/>
  <c r="B8" i="6"/>
  <c r="B7" i="6"/>
  <c r="B6" i="6"/>
  <c r="A19" i="6"/>
  <c r="M19" i="6" s="1"/>
  <c r="M60" i="6" s="1"/>
  <c r="A6" i="6"/>
  <c r="M6" i="6" s="1"/>
  <c r="M47" i="6" s="1"/>
  <c r="V31" i="3"/>
  <c r="O48" i="6" l="1"/>
  <c r="O52" i="6"/>
  <c r="O56" i="6"/>
  <c r="AI15" i="6"/>
  <c r="AF19" i="6"/>
  <c r="B61" i="6"/>
  <c r="N51" i="6"/>
  <c r="N55" i="6"/>
  <c r="O47" i="6"/>
  <c r="O51" i="6"/>
  <c r="O55" i="6"/>
  <c r="S47" i="6"/>
  <c r="S51" i="6"/>
  <c r="S55" i="6"/>
  <c r="AI10" i="6"/>
  <c r="R49" i="6"/>
  <c r="R53" i="6"/>
  <c r="R57" i="6"/>
  <c r="N48" i="6"/>
  <c r="N52" i="6"/>
  <c r="N56" i="6"/>
  <c r="P47" i="6"/>
  <c r="P51" i="6"/>
  <c r="P55" i="6"/>
  <c r="T47" i="6"/>
  <c r="T51" i="6"/>
  <c r="T53" i="6"/>
  <c r="T55" i="6"/>
  <c r="T57" i="6"/>
  <c r="W36" i="6"/>
  <c r="N49" i="6"/>
  <c r="N53" i="6"/>
  <c r="N57" i="6"/>
  <c r="Q51" i="6"/>
  <c r="S48" i="6"/>
  <c r="S52" i="6"/>
  <c r="S56" i="6"/>
  <c r="V60" i="6"/>
  <c r="W33" i="6"/>
  <c r="I19" i="6"/>
  <c r="D28" i="6"/>
  <c r="D30" i="6"/>
  <c r="D32" i="6"/>
  <c r="D34" i="6"/>
  <c r="D36" i="6"/>
  <c r="D38" i="6"/>
  <c r="N50" i="6"/>
  <c r="N54" i="6"/>
  <c r="N58" i="6"/>
  <c r="R50" i="6"/>
  <c r="R54" i="6"/>
  <c r="R58" i="6"/>
  <c r="T50" i="6"/>
  <c r="T54" i="6"/>
  <c r="T58" i="6"/>
  <c r="U60" i="6"/>
  <c r="C61" i="6"/>
  <c r="W29" i="6"/>
  <c r="AI11" i="6"/>
  <c r="B40" i="6"/>
  <c r="D31" i="6"/>
  <c r="D35" i="6"/>
  <c r="O49" i="6"/>
  <c r="O53" i="6"/>
  <c r="O54" i="6"/>
  <c r="O57" i="6"/>
  <c r="S49" i="6"/>
  <c r="S57" i="6"/>
  <c r="W28" i="6"/>
  <c r="G19" i="6"/>
  <c r="T19" i="6"/>
  <c r="R47" i="6"/>
  <c r="R51" i="6"/>
  <c r="R55" i="6"/>
  <c r="Y19" i="6"/>
  <c r="Y60" i="6" s="1"/>
  <c r="AC56" i="6"/>
  <c r="W27" i="6"/>
  <c r="O40" i="6"/>
  <c r="Y6" i="6"/>
  <c r="Y47" i="6" s="1"/>
  <c r="J19" i="6"/>
  <c r="C40" i="6"/>
  <c r="D29" i="6"/>
  <c r="D33" i="6"/>
  <c r="D37" i="6"/>
  <c r="W32" i="6"/>
  <c r="AD52" i="6"/>
  <c r="AI52" i="6" s="1"/>
  <c r="AC53" i="6"/>
  <c r="C19" i="6"/>
  <c r="K8" i="6"/>
  <c r="F19" i="6"/>
  <c r="Q50" i="6"/>
  <c r="Q54" i="6"/>
  <c r="Q58" i="6"/>
  <c r="E19" i="6"/>
  <c r="P48" i="6"/>
  <c r="P50" i="6"/>
  <c r="P52" i="6"/>
  <c r="P54" i="6"/>
  <c r="P56" i="6"/>
  <c r="P58" i="6"/>
  <c r="W31" i="6"/>
  <c r="K12" i="6"/>
  <c r="K16" i="6"/>
  <c r="K10" i="6"/>
  <c r="K14" i="6"/>
  <c r="K7" i="6"/>
  <c r="K11" i="6"/>
  <c r="K15" i="6"/>
  <c r="W17" i="6"/>
  <c r="P49" i="6"/>
  <c r="P53" i="6"/>
  <c r="P57" i="6"/>
  <c r="W9" i="6"/>
  <c r="K9" i="6"/>
  <c r="K13" i="6"/>
  <c r="K17" i="6"/>
  <c r="W14" i="6"/>
  <c r="AI6" i="6"/>
  <c r="K6" i="6"/>
  <c r="D19" i="6"/>
  <c r="F47" i="8"/>
  <c r="F49" i="8" s="1"/>
  <c r="D17" i="8"/>
  <c r="D19" i="8" s="1"/>
  <c r="A41" i="8"/>
  <c r="A42" i="8" s="1"/>
  <c r="A43" i="8" s="1"/>
  <c r="A44" i="8" s="1"/>
  <c r="A17" i="8"/>
  <c r="A19" i="8" s="1"/>
  <c r="A20" i="8" s="1"/>
  <c r="A21" i="8" s="1"/>
  <c r="F17" i="8"/>
  <c r="F19" i="8" s="1"/>
  <c r="D47" i="8"/>
  <c r="D49" i="8" s="1"/>
  <c r="H47" i="8"/>
  <c r="H49" i="8" s="1"/>
  <c r="E17" i="8"/>
  <c r="E19" i="8" s="1"/>
  <c r="I17" i="8"/>
  <c r="I19" i="8" s="1"/>
  <c r="G17" i="8"/>
  <c r="G19" i="8" s="1"/>
  <c r="G47" i="8"/>
  <c r="G49" i="8" s="1"/>
  <c r="E47" i="8"/>
  <c r="E49" i="8" s="1"/>
  <c r="I47" i="8"/>
  <c r="I49" i="8" s="1"/>
  <c r="B19" i="6"/>
  <c r="N19" i="6"/>
  <c r="W10" i="6"/>
  <c r="S40" i="6"/>
  <c r="W35" i="6"/>
  <c r="N47" i="6"/>
  <c r="T49" i="6"/>
  <c r="O50" i="6"/>
  <c r="O58" i="6"/>
  <c r="M27" i="6"/>
  <c r="M40" i="6"/>
  <c r="AI7" i="6"/>
  <c r="AB19" i="6"/>
  <c r="AI8" i="6"/>
  <c r="AI16" i="6"/>
  <c r="AI27" i="6"/>
  <c r="AA40" i="6"/>
  <c r="AD49" i="6"/>
  <c r="AI31" i="6"/>
  <c r="AI33" i="6"/>
  <c r="AB55" i="6"/>
  <c r="AD57" i="6"/>
  <c r="AF40" i="6"/>
  <c r="H19" i="6"/>
  <c r="D27" i="6"/>
  <c r="O19" i="6"/>
  <c r="W7" i="6"/>
  <c r="W12" i="6"/>
  <c r="W13" i="6"/>
  <c r="W15" i="6"/>
  <c r="N40" i="6"/>
  <c r="P40" i="6"/>
  <c r="Q40" i="6"/>
  <c r="R40" i="6"/>
  <c r="W30" i="6"/>
  <c r="W34" i="6"/>
  <c r="W38" i="6"/>
  <c r="T40" i="6"/>
  <c r="Q47" i="6"/>
  <c r="S53" i="6"/>
  <c r="Q55" i="6"/>
  <c r="AF49" i="6"/>
  <c r="AA19" i="6"/>
  <c r="AB40" i="6"/>
  <c r="W6" i="6"/>
  <c r="W37" i="6"/>
  <c r="AI14" i="6"/>
  <c r="S19" i="6"/>
  <c r="W8" i="6"/>
  <c r="W11" i="6"/>
  <c r="W16" i="6"/>
  <c r="AI13" i="6"/>
  <c r="AC40" i="6"/>
  <c r="AI29" i="6"/>
  <c r="AI30" i="6"/>
  <c r="AI34" i="6"/>
  <c r="AI37" i="6"/>
  <c r="AI38" i="6"/>
  <c r="AF54" i="6"/>
  <c r="AI54" i="6" s="1"/>
  <c r="AH60" i="6"/>
  <c r="AH40" i="6"/>
  <c r="AI35" i="6"/>
  <c r="AG60" i="6"/>
  <c r="AG19" i="6"/>
  <c r="AI9" i="6"/>
  <c r="AI12" i="6"/>
  <c r="AI17" i="6"/>
  <c r="AF51" i="6"/>
  <c r="AA60" i="6"/>
  <c r="AE60" i="6"/>
  <c r="AI48" i="6"/>
  <c r="AI50" i="6"/>
  <c r="AI58" i="6"/>
  <c r="AF47" i="6"/>
  <c r="Z49" i="6"/>
  <c r="Z57" i="6"/>
  <c r="AD19" i="6"/>
  <c r="Z40" i="6"/>
  <c r="AC19" i="6"/>
  <c r="AI28" i="6"/>
  <c r="AI32" i="6"/>
  <c r="AI36" i="6"/>
  <c r="Z47" i="6"/>
  <c r="Z51" i="6"/>
  <c r="Z55" i="6"/>
  <c r="AB47" i="6"/>
  <c r="AB60" i="6" s="1"/>
  <c r="Z53" i="6"/>
  <c r="Z19" i="6"/>
  <c r="AD40" i="6"/>
  <c r="E25" i="8" l="1"/>
  <c r="A23" i="8"/>
  <c r="A25" i="8" s="1"/>
  <c r="A27" i="8" s="1"/>
  <c r="A29" i="8" s="1"/>
  <c r="A31" i="8" s="1"/>
  <c r="H55" i="8"/>
  <c r="A47" i="8"/>
  <c r="A49" i="8" s="1"/>
  <c r="A50" i="8" s="1"/>
  <c r="A51" i="8" s="1"/>
  <c r="A53" i="8" s="1"/>
  <c r="A55" i="8" s="1"/>
  <c r="A57" i="8" s="1"/>
  <c r="A59" i="8" s="1"/>
  <c r="A61" i="8" s="1"/>
  <c r="A45" i="8"/>
  <c r="D25" i="8"/>
  <c r="W56" i="6"/>
  <c r="G51" i="8" s="1"/>
  <c r="G61" i="8" s="1"/>
  <c r="D61" i="6"/>
  <c r="W55" i="6"/>
  <c r="F51" i="8" s="1"/>
  <c r="F61" i="8" s="1"/>
  <c r="S60" i="6"/>
  <c r="W58" i="6"/>
  <c r="I51" i="8" s="1"/>
  <c r="I61" i="8" s="1"/>
  <c r="AI53" i="6"/>
  <c r="AI55" i="6"/>
  <c r="R60" i="6"/>
  <c r="AD60" i="6"/>
  <c r="N60" i="6"/>
  <c r="Y27" i="6"/>
  <c r="Y40" i="6"/>
  <c r="AI49" i="6"/>
  <c r="W52" i="6"/>
  <c r="I21" i="8" s="1"/>
  <c r="I31" i="8" s="1"/>
  <c r="W51" i="6"/>
  <c r="H21" i="8" s="1"/>
  <c r="W57" i="6"/>
  <c r="H51" i="8" s="1"/>
  <c r="H61" i="8" s="1"/>
  <c r="AC60" i="6"/>
  <c r="AI56" i="6"/>
  <c r="AI57" i="6"/>
  <c r="W47" i="6"/>
  <c r="D21" i="8" s="1"/>
  <c r="D40" i="6"/>
  <c r="W50" i="6"/>
  <c r="G21" i="8" s="1"/>
  <c r="G31" i="8" s="1"/>
  <c r="W54" i="6"/>
  <c r="E51" i="8" s="1"/>
  <c r="E61" i="8" s="1"/>
  <c r="O60" i="6"/>
  <c r="W40" i="6"/>
  <c r="P60" i="6"/>
  <c r="W48" i="6"/>
  <c r="E21" i="8" s="1"/>
  <c r="E31" i="8" s="1"/>
  <c r="W19" i="6"/>
  <c r="K19" i="6"/>
  <c r="W49" i="6"/>
  <c r="F21" i="8" s="1"/>
  <c r="F31" i="8" s="1"/>
  <c r="W53" i="6"/>
  <c r="D51" i="8" s="1"/>
  <c r="T60" i="6"/>
  <c r="Q60" i="6"/>
  <c r="AI19" i="6"/>
  <c r="AI40" i="6"/>
  <c r="AI51" i="6"/>
  <c r="AF60" i="6"/>
  <c r="AI47" i="6"/>
  <c r="Z60" i="6"/>
  <c r="K51" i="8" l="1"/>
  <c r="D61" i="8"/>
  <c r="K61" i="8" s="1"/>
  <c r="I55" i="8"/>
  <c r="D31" i="8"/>
  <c r="K21" i="8"/>
  <c r="D55" i="8"/>
  <c r="G55" i="8"/>
  <c r="F55" i="8"/>
  <c r="E55" i="8"/>
  <c r="H31" i="8"/>
  <c r="H25" i="8"/>
  <c r="G25" i="8"/>
  <c r="F25" i="8"/>
  <c r="I25" i="8"/>
  <c r="W60" i="6"/>
  <c r="W64" i="6" s="1"/>
  <c r="AI60" i="6"/>
  <c r="K31" i="8" l="1"/>
  <c r="L61" i="8"/>
  <c r="AI66" i="6"/>
  <c r="AI64" i="6"/>
  <c r="AF31" i="3"/>
  <c r="AE31" i="3"/>
  <c r="Y31" i="3"/>
  <c r="AE27" i="3"/>
  <c r="AC27" i="3"/>
  <c r="AB27" i="3"/>
  <c r="AU38" i="4" l="1"/>
  <c r="V43" i="3" l="1"/>
  <c r="P43" i="3"/>
  <c r="K43" i="3"/>
  <c r="J43" i="3"/>
  <c r="Y37" i="3"/>
  <c r="AE37" i="3"/>
  <c r="S16" i="3" l="1"/>
  <c r="T21" i="3"/>
  <c r="Q21" i="3"/>
  <c r="K21" i="3"/>
  <c r="H21" i="3"/>
  <c r="I6" i="4" l="1"/>
  <c r="AP26" i="4" s="1"/>
  <c r="AQ17" i="4" l="1"/>
  <c r="AE36" i="3" l="1"/>
  <c r="AE43" i="3" s="1"/>
  <c r="AF21" i="3"/>
  <c r="AE21" i="3"/>
  <c r="AE16" i="3"/>
  <c r="AE15" i="3"/>
  <c r="AE10" i="3"/>
  <c r="AE6" i="3"/>
  <c r="AE5" i="3"/>
  <c r="AC21" i="3"/>
  <c r="AB36" i="3"/>
  <c r="AB32" i="3"/>
  <c r="AB21" i="3"/>
  <c r="AB16" i="3"/>
  <c r="AB15" i="3"/>
  <c r="AB10" i="3"/>
  <c r="AB6" i="3"/>
  <c r="AB5" i="3"/>
  <c r="W21" i="3"/>
  <c r="V21" i="3"/>
  <c r="V16" i="3"/>
  <c r="V15" i="3"/>
  <c r="V10" i="3"/>
  <c r="V6" i="3"/>
  <c r="V5" i="3"/>
  <c r="S15" i="3"/>
  <c r="S10" i="3"/>
  <c r="S6" i="3"/>
  <c r="S5" i="3"/>
  <c r="AQ16" i="4"/>
  <c r="AQ15" i="4"/>
  <c r="AQ14" i="4"/>
  <c r="V27" i="3" l="1"/>
  <c r="V17" i="3"/>
  <c r="V7" i="3"/>
  <c r="AM6" i="4"/>
  <c r="AS26" i="4" s="1"/>
  <c r="AM7" i="4"/>
  <c r="AS27" i="4" s="1"/>
  <c r="AM8" i="4"/>
  <c r="AS28" i="4" s="1"/>
  <c r="AM9" i="4"/>
  <c r="AS29" i="4" s="1"/>
  <c r="AM10" i="4"/>
  <c r="AS30" i="4" s="1"/>
  <c r="AM11" i="4"/>
  <c r="AS31" i="4" s="1"/>
  <c r="AM13" i="4"/>
  <c r="AS33" i="4" s="1"/>
  <c r="AM17" i="4"/>
  <c r="AS37" i="4" s="1"/>
  <c r="AM18" i="4"/>
  <c r="AL19" i="4"/>
  <c r="AM16" i="4"/>
  <c r="AS36" i="4" s="1"/>
  <c r="AM15" i="4"/>
  <c r="AS35" i="4" s="1"/>
  <c r="AM14" i="4"/>
  <c r="AS34" i="4" s="1"/>
  <c r="AM12" i="4"/>
  <c r="AS32" i="4" s="1"/>
  <c r="D31" i="4"/>
  <c r="D30" i="4"/>
  <c r="D29" i="4"/>
  <c r="D28" i="4"/>
  <c r="AE6" i="4"/>
  <c r="U6" i="4"/>
  <c r="K6" i="4"/>
  <c r="AB19" i="4"/>
  <c r="AC18" i="4"/>
  <c r="AC17" i="4"/>
  <c r="AR37" i="4" s="1"/>
  <c r="AC16" i="4"/>
  <c r="AR36" i="4" s="1"/>
  <c r="AC15" i="4"/>
  <c r="AR35" i="4" s="1"/>
  <c r="AC14" i="4"/>
  <c r="AR34" i="4" s="1"/>
  <c r="AC13" i="4"/>
  <c r="AR33" i="4" s="1"/>
  <c r="AC12" i="4"/>
  <c r="AR32" i="4" s="1"/>
  <c r="AC11" i="4"/>
  <c r="AR31" i="4" s="1"/>
  <c r="AC10" i="4"/>
  <c r="AR30" i="4" s="1"/>
  <c r="AC9" i="4"/>
  <c r="AR29" i="4" s="1"/>
  <c r="AC8" i="4"/>
  <c r="AR28" i="4" s="1"/>
  <c r="AC7" i="4"/>
  <c r="AR27" i="4" s="1"/>
  <c r="AC6" i="4"/>
  <c r="AR26" i="4" s="1"/>
  <c r="R19" i="4"/>
  <c r="S18" i="4"/>
  <c r="S16" i="4"/>
  <c r="AQ36" i="4" s="1"/>
  <c r="S15" i="4"/>
  <c r="AQ35" i="4" s="1"/>
  <c r="I18" i="4"/>
  <c r="I17" i="4"/>
  <c r="AP37" i="4" s="1"/>
  <c r="I16" i="4"/>
  <c r="AP36" i="4" s="1"/>
  <c r="I15" i="4"/>
  <c r="AP35" i="4" s="1"/>
  <c r="I14" i="4"/>
  <c r="AP34" i="4" s="1"/>
  <c r="I13" i="4"/>
  <c r="AP33" i="4" s="1"/>
  <c r="I12" i="4"/>
  <c r="AP32" i="4" s="1"/>
  <c r="I11" i="4"/>
  <c r="AP31" i="4" s="1"/>
  <c r="I10" i="4"/>
  <c r="AP30" i="4" s="1"/>
  <c r="I9" i="4"/>
  <c r="AP29" i="4" s="1"/>
  <c r="I8" i="4"/>
  <c r="AP28" i="4" s="1"/>
  <c r="I7" i="4"/>
  <c r="AP27" i="4" s="1"/>
  <c r="H19" i="4"/>
  <c r="G27" i="3" l="1"/>
  <c r="J27" i="3"/>
  <c r="AR38" i="4"/>
  <c r="M31" i="3"/>
  <c r="P32" i="3"/>
  <c r="AE32" i="3" s="1"/>
  <c r="AS38" i="4"/>
  <c r="AT35" i="4"/>
  <c r="AV35" i="4" s="1"/>
  <c r="AT36" i="4"/>
  <c r="AV36" i="4" s="1"/>
  <c r="AT27" i="4"/>
  <c r="AV27" i="4" s="1"/>
  <c r="AP38" i="4"/>
  <c r="S27" i="3"/>
  <c r="S17" i="4"/>
  <c r="AQ37" i="4" s="1"/>
  <c r="AT37" i="4" s="1"/>
  <c r="AV37" i="4" s="1"/>
  <c r="S6" i="4"/>
  <c r="AQ26" i="4" s="1"/>
  <c r="S7" i="4"/>
  <c r="AQ27" i="4" s="1"/>
  <c r="S10" i="4"/>
  <c r="AQ30" i="4" s="1"/>
  <c r="AT30" i="4" s="1"/>
  <c r="AV30" i="4" s="1"/>
  <c r="S11" i="4"/>
  <c r="AQ31" i="4" s="1"/>
  <c r="AT31" i="4" s="1"/>
  <c r="AV31" i="4" s="1"/>
  <c r="AP6" i="4"/>
  <c r="S9" i="4"/>
  <c r="AQ29" i="4" s="1"/>
  <c r="AT29" i="4" s="1"/>
  <c r="AV29" i="4" s="1"/>
  <c r="S14" i="4"/>
  <c r="AQ34" i="4" s="1"/>
  <c r="AT34" i="4" s="1"/>
  <c r="AV34" i="4" s="1"/>
  <c r="S12" i="4"/>
  <c r="AQ32" i="4" s="1"/>
  <c r="AT32" i="4" s="1"/>
  <c r="AV32" i="4" s="1"/>
  <c r="S13" i="4"/>
  <c r="AQ33" i="4" s="1"/>
  <c r="AT33" i="4" s="1"/>
  <c r="AV33" i="4" s="1"/>
  <c r="S8" i="4"/>
  <c r="AQ28" i="4" s="1"/>
  <c r="AT28" i="4" s="1"/>
  <c r="AV28" i="4" s="1"/>
  <c r="S31" i="3" l="1"/>
  <c r="AB31" i="3"/>
  <c r="Y27" i="3"/>
  <c r="AQ38" i="4"/>
  <c r="AT26" i="4"/>
  <c r="W19" i="4"/>
  <c r="D35" i="4"/>
  <c r="D34" i="4"/>
  <c r="D33" i="4"/>
  <c r="D32" i="4"/>
  <c r="Y21" i="3"/>
  <c r="Z21" i="3" s="1"/>
  <c r="Y16" i="3"/>
  <c r="Y15" i="3"/>
  <c r="Y10" i="3"/>
  <c r="Y6" i="3"/>
  <c r="Y5" i="3"/>
  <c r="S7" i="3"/>
  <c r="P17" i="3"/>
  <c r="AE17" i="3" s="1"/>
  <c r="P7" i="3"/>
  <c r="AE7" i="3" s="1"/>
  <c r="M17" i="3"/>
  <c r="AB17" i="3" s="1"/>
  <c r="M7" i="3"/>
  <c r="AB7" i="3" s="1"/>
  <c r="J17" i="3"/>
  <c r="J7" i="3"/>
  <c r="AE7" i="4"/>
  <c r="AE8" i="4" s="1"/>
  <c r="AE9" i="4" s="1"/>
  <c r="AE10" i="4" s="1"/>
  <c r="AE11" i="4" s="1"/>
  <c r="AE12" i="4" s="1"/>
  <c r="AE13" i="4" s="1"/>
  <c r="AE14" i="4" s="1"/>
  <c r="AE15" i="4" s="1"/>
  <c r="AE16" i="4" s="1"/>
  <c r="AE17" i="4" s="1"/>
  <c r="U7" i="4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K7" i="4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A7" i="4"/>
  <c r="G7" i="3"/>
  <c r="G17" i="3"/>
  <c r="AF19" i="4"/>
  <c r="AG19" i="4"/>
  <c r="AH19" i="4"/>
  <c r="AI19" i="4"/>
  <c r="AK19" i="4"/>
  <c r="X19" i="4"/>
  <c r="Y19" i="4"/>
  <c r="Z19" i="4"/>
  <c r="AA19" i="4"/>
  <c r="L19" i="4"/>
  <c r="M19" i="4"/>
  <c r="N19" i="4"/>
  <c r="O19" i="4"/>
  <c r="Q19" i="4"/>
  <c r="AP11" i="4"/>
  <c r="B19" i="4"/>
  <c r="C19" i="4"/>
  <c r="D19" i="4"/>
  <c r="G19" i="4"/>
  <c r="D27" i="4"/>
  <c r="D36" i="4"/>
  <c r="D37" i="4"/>
  <c r="D38" i="4"/>
  <c r="B40" i="4"/>
  <c r="M37" i="3" s="1"/>
  <c r="C40" i="4"/>
  <c r="G36" i="3" s="1"/>
  <c r="D48" i="4"/>
  <c r="D48" i="6" s="1"/>
  <c r="D27" i="8" s="1"/>
  <c r="D29" i="8" s="1"/>
  <c r="D49" i="4"/>
  <c r="D49" i="6" s="1"/>
  <c r="E27" i="8" s="1"/>
  <c r="E29" i="8" s="1"/>
  <c r="D50" i="4"/>
  <c r="D50" i="6" s="1"/>
  <c r="F27" i="8" s="1"/>
  <c r="F29" i="8" s="1"/>
  <c r="D51" i="4"/>
  <c r="D51" i="6" s="1"/>
  <c r="G27" i="8" s="1"/>
  <c r="G29" i="8" s="1"/>
  <c r="D52" i="4"/>
  <c r="D52" i="6" s="1"/>
  <c r="H27" i="8" s="1"/>
  <c r="H29" i="8" s="1"/>
  <c r="D53" i="4"/>
  <c r="D53" i="6" s="1"/>
  <c r="I27" i="8" s="1"/>
  <c r="I29" i="8" s="1"/>
  <c r="D54" i="4"/>
  <c r="D54" i="6" s="1"/>
  <c r="D57" i="8" s="1"/>
  <c r="D59" i="8" s="1"/>
  <c r="D55" i="4"/>
  <c r="D55" i="6" s="1"/>
  <c r="E57" i="8" s="1"/>
  <c r="E59" i="8" s="1"/>
  <c r="D56" i="4"/>
  <c r="D56" i="6" s="1"/>
  <c r="F57" i="8" s="1"/>
  <c r="F59" i="8" s="1"/>
  <c r="D57" i="4"/>
  <c r="D57" i="6" s="1"/>
  <c r="G57" i="8" s="1"/>
  <c r="G59" i="8" s="1"/>
  <c r="D58" i="4"/>
  <c r="D58" i="6" s="1"/>
  <c r="H57" i="8" s="1"/>
  <c r="H59" i="8" s="1"/>
  <c r="D59" i="4"/>
  <c r="D59" i="6" s="1"/>
  <c r="I57" i="8" s="1"/>
  <c r="I59" i="8" s="1"/>
  <c r="B63" i="4"/>
  <c r="C63" i="4"/>
  <c r="A27" i="4"/>
  <c r="P19" i="4"/>
  <c r="AJ19" i="4"/>
  <c r="G28" i="3" l="1"/>
  <c r="O20" i="4"/>
  <c r="A48" i="4"/>
  <c r="A48" i="6" s="1"/>
  <c r="A27" i="6"/>
  <c r="K59" i="8"/>
  <c r="N20" i="4"/>
  <c r="J28" i="3"/>
  <c r="M20" i="4"/>
  <c r="K29" i="8"/>
  <c r="J30" i="3"/>
  <c r="L20" i="4"/>
  <c r="N29" i="4"/>
  <c r="I27" i="6" s="1"/>
  <c r="P28" i="3"/>
  <c r="AG20" i="4"/>
  <c r="A28" i="4"/>
  <c r="A7" i="6"/>
  <c r="M28" i="3"/>
  <c r="AB28" i="3" s="1"/>
  <c r="W20" i="4"/>
  <c r="AV26" i="4"/>
  <c r="AV38" i="4" s="1"/>
  <c r="AT38" i="4"/>
  <c r="M43" i="3"/>
  <c r="AB37" i="3"/>
  <c r="AB43" i="3" s="1"/>
  <c r="S37" i="3"/>
  <c r="G43" i="3"/>
  <c r="S36" i="3"/>
  <c r="G30" i="3"/>
  <c r="Y30" i="3" s="1"/>
  <c r="M30" i="3"/>
  <c r="AB30" i="3" s="1"/>
  <c r="V32" i="3"/>
  <c r="P30" i="3"/>
  <c r="M49" i="3"/>
  <c r="AE49" i="3"/>
  <c r="V49" i="3"/>
  <c r="V28" i="3"/>
  <c r="AE28" i="3"/>
  <c r="Y17" i="3"/>
  <c r="Y7" i="3"/>
  <c r="S17" i="3"/>
  <c r="S28" i="3"/>
  <c r="S32" i="3"/>
  <c r="AM19" i="4"/>
  <c r="AM20" i="4" s="1"/>
  <c r="J26" i="3"/>
  <c r="S19" i="4"/>
  <c r="G26" i="3"/>
  <c r="P29" i="3"/>
  <c r="AR6" i="4"/>
  <c r="AP8" i="4"/>
  <c r="AR8" i="4" s="1"/>
  <c r="AP9" i="4"/>
  <c r="AR9" i="4" s="1"/>
  <c r="A8" i="4"/>
  <c r="A8" i="6" s="1"/>
  <c r="AP17" i="4"/>
  <c r="AR17" i="4" s="1"/>
  <c r="AP15" i="4"/>
  <c r="AR15" i="4" s="1"/>
  <c r="AP14" i="4"/>
  <c r="AR14" i="4" s="1"/>
  <c r="AP10" i="4"/>
  <c r="AR10" i="4" s="1"/>
  <c r="Y32" i="3"/>
  <c r="M29" i="3"/>
  <c r="AB29" i="3" s="1"/>
  <c r="AP7" i="4"/>
  <c r="AR7" i="4" s="1"/>
  <c r="O29" i="4"/>
  <c r="V19" i="4"/>
  <c r="D63" i="4"/>
  <c r="C20" i="4" s="1"/>
  <c r="J29" i="3"/>
  <c r="AP16" i="4"/>
  <c r="AR16" i="4" s="1"/>
  <c r="E19" i="4"/>
  <c r="D40" i="4"/>
  <c r="E40" i="4" s="1"/>
  <c r="M29" i="4"/>
  <c r="J49" i="3"/>
  <c r="F19" i="4"/>
  <c r="Y28" i="3"/>
  <c r="AP12" i="4"/>
  <c r="AR12" i="4" s="1"/>
  <c r="AP13" i="4"/>
  <c r="AR13" i="4" s="1"/>
  <c r="P26" i="3"/>
  <c r="G49" i="3"/>
  <c r="S49" i="3"/>
  <c r="AB49" i="3"/>
  <c r="N35" i="4"/>
  <c r="P49" i="3"/>
  <c r="Y49" i="3"/>
  <c r="AR11" i="4"/>
  <c r="AQ19" i="4"/>
  <c r="AA20" i="4" l="1"/>
  <c r="Q20" i="4"/>
  <c r="AJ20" i="4"/>
  <c r="B20" i="4"/>
  <c r="Y8" i="6"/>
  <c r="M8" i="6"/>
  <c r="AB47" i="3"/>
  <c r="AB53" i="3" s="1"/>
  <c r="AL20" i="4"/>
  <c r="H20" i="4"/>
  <c r="AB20" i="4"/>
  <c r="R20" i="4"/>
  <c r="S20" i="4"/>
  <c r="Y7" i="6"/>
  <c r="M7" i="6"/>
  <c r="AH20" i="4"/>
  <c r="AI20" i="4"/>
  <c r="E27" i="4"/>
  <c r="AF20" i="4"/>
  <c r="M11" i="3"/>
  <c r="I33" i="6"/>
  <c r="F20" i="4"/>
  <c r="E20" i="4"/>
  <c r="AC19" i="4"/>
  <c r="AC20" i="4" s="1"/>
  <c r="V20" i="4"/>
  <c r="G20" i="4"/>
  <c r="A49" i="4"/>
  <c r="A49" i="6" s="1"/>
  <c r="A28" i="6"/>
  <c r="X20" i="4"/>
  <c r="D20" i="4"/>
  <c r="Y20" i="4"/>
  <c r="Z20" i="4"/>
  <c r="L59" i="8"/>
  <c r="AK20" i="4"/>
  <c r="P20" i="4"/>
  <c r="O35" i="4"/>
  <c r="J27" i="6"/>
  <c r="M35" i="4"/>
  <c r="H27" i="6"/>
  <c r="V30" i="3"/>
  <c r="AE30" i="3"/>
  <c r="S43" i="3"/>
  <c r="S30" i="3"/>
  <c r="M47" i="3"/>
  <c r="N37" i="3" s="1"/>
  <c r="AC37" i="3" s="1"/>
  <c r="Y36" i="3"/>
  <c r="Y43" i="3" s="1"/>
  <c r="AE47" i="3"/>
  <c r="AE53" i="3" s="1"/>
  <c r="V47" i="3"/>
  <c r="V53" i="3" s="1"/>
  <c r="M12" i="3"/>
  <c r="AB11" i="3"/>
  <c r="V29" i="3"/>
  <c r="AE29" i="3"/>
  <c r="V26" i="3"/>
  <c r="AE26" i="3"/>
  <c r="J34" i="3"/>
  <c r="J42" i="3" s="1"/>
  <c r="J47" i="3"/>
  <c r="J53" i="3" s="1"/>
  <c r="Y47" i="3"/>
  <c r="Y53" i="3" s="1"/>
  <c r="S47" i="3"/>
  <c r="S53" i="3" s="1"/>
  <c r="Y26" i="3"/>
  <c r="I19" i="4"/>
  <c r="I20" i="4" s="1"/>
  <c r="P34" i="3"/>
  <c r="M26" i="3"/>
  <c r="G29" i="3"/>
  <c r="A9" i="4"/>
  <c r="A9" i="6" s="1"/>
  <c r="A29" i="4"/>
  <c r="L29" i="4"/>
  <c r="AR19" i="4"/>
  <c r="P47" i="3"/>
  <c r="Q37" i="3" s="1"/>
  <c r="AF37" i="3" s="1"/>
  <c r="G47" i="3"/>
  <c r="AP19" i="4"/>
  <c r="M9" i="6" l="1"/>
  <c r="Y9" i="6"/>
  <c r="A50" i="4"/>
  <c r="A50" i="6" s="1"/>
  <c r="A29" i="6"/>
  <c r="M28" i="6"/>
  <c r="M48" i="6"/>
  <c r="M29" i="6"/>
  <c r="M49" i="6"/>
  <c r="Y48" i="6"/>
  <c r="Y28" i="6"/>
  <c r="Y29" i="6"/>
  <c r="Y49" i="6"/>
  <c r="T37" i="3"/>
  <c r="W31" i="3"/>
  <c r="P29" i="4"/>
  <c r="K27" i="6" s="1"/>
  <c r="G27" i="6"/>
  <c r="P11" i="3"/>
  <c r="J33" i="6"/>
  <c r="J11" i="3"/>
  <c r="J12" i="3" s="1"/>
  <c r="J19" i="3" s="1"/>
  <c r="J23" i="3" s="1"/>
  <c r="J41" i="3" s="1"/>
  <c r="J45" i="3" s="1"/>
  <c r="J51" i="3" s="1"/>
  <c r="J55" i="3" s="1"/>
  <c r="H33" i="6"/>
  <c r="H37" i="3"/>
  <c r="Z37" i="3" s="1"/>
  <c r="W37" i="3"/>
  <c r="P53" i="3"/>
  <c r="Q36" i="3"/>
  <c r="Q43" i="3" s="1"/>
  <c r="H36" i="3"/>
  <c r="H43" i="3" s="1"/>
  <c r="H32" i="3"/>
  <c r="N31" i="3"/>
  <c r="AC31" i="3" s="1"/>
  <c r="H31" i="3"/>
  <c r="K31" i="3"/>
  <c r="T31" i="3"/>
  <c r="M53" i="3"/>
  <c r="N36" i="3"/>
  <c r="N43" i="3" s="1"/>
  <c r="V34" i="3"/>
  <c r="V42" i="3" s="1"/>
  <c r="P42" i="3"/>
  <c r="AE34" i="3"/>
  <c r="AE42" i="3" s="1"/>
  <c r="M19" i="3"/>
  <c r="AB12" i="3"/>
  <c r="M34" i="3"/>
  <c r="AB26" i="3"/>
  <c r="H30" i="3"/>
  <c r="H27" i="3"/>
  <c r="N30" i="3"/>
  <c r="AC30" i="3" s="1"/>
  <c r="Q27" i="3"/>
  <c r="AF27" i="3" s="1"/>
  <c r="Q30" i="3"/>
  <c r="AF30" i="3" s="1"/>
  <c r="K27" i="3"/>
  <c r="K30" i="3"/>
  <c r="T30" i="3"/>
  <c r="T27" i="3"/>
  <c r="W30" i="3"/>
  <c r="W27" i="3"/>
  <c r="W10" i="3"/>
  <c r="W36" i="3"/>
  <c r="W5" i="3"/>
  <c r="W6" i="3"/>
  <c r="W16" i="3"/>
  <c r="W15" i="3"/>
  <c r="W32" i="3"/>
  <c r="W28" i="3"/>
  <c r="W26" i="3"/>
  <c r="W29" i="3"/>
  <c r="N29" i="3"/>
  <c r="AC29" i="3" s="1"/>
  <c r="G34" i="3"/>
  <c r="G42" i="3" s="1"/>
  <c r="S29" i="3"/>
  <c r="T29" i="3" s="1"/>
  <c r="S26" i="3"/>
  <c r="L35" i="4"/>
  <c r="T10" i="3"/>
  <c r="Y29" i="3"/>
  <c r="A10" i="4"/>
  <c r="A10" i="6" s="1"/>
  <c r="A30" i="4"/>
  <c r="T28" i="3"/>
  <c r="T32" i="3"/>
  <c r="Q6" i="3"/>
  <c r="AF6" i="3" s="1"/>
  <c r="K16" i="3"/>
  <c r="Q15" i="3"/>
  <c r="AF15" i="3" s="1"/>
  <c r="H26" i="3"/>
  <c r="K5" i="3"/>
  <c r="N10" i="3"/>
  <c r="AC10" i="3" s="1"/>
  <c r="N16" i="3"/>
  <c r="AC16" i="3" s="1"/>
  <c r="H29" i="3"/>
  <c r="K26" i="3"/>
  <c r="N5" i="3"/>
  <c r="AC5" i="3" s="1"/>
  <c r="T16" i="3"/>
  <c r="K15" i="3"/>
  <c r="N28" i="3"/>
  <c r="AC28" i="3" s="1"/>
  <c r="T5" i="3"/>
  <c r="N26" i="3"/>
  <c r="AC26" i="3" s="1"/>
  <c r="G53" i="3"/>
  <c r="K10" i="3"/>
  <c r="T36" i="3"/>
  <c r="T43" i="3" s="1"/>
  <c r="H5" i="3"/>
  <c r="K29" i="3"/>
  <c r="Q16" i="3"/>
  <c r="AF16" i="3" s="1"/>
  <c r="H16" i="3"/>
  <c r="Q5" i="3"/>
  <c r="AF5" i="3" s="1"/>
  <c r="T6" i="3"/>
  <c r="K28" i="3"/>
  <c r="H10" i="3"/>
  <c r="Q29" i="3"/>
  <c r="AF29" i="3" s="1"/>
  <c r="K6" i="3"/>
  <c r="Q10" i="3"/>
  <c r="AF10" i="3" s="1"/>
  <c r="K32" i="3"/>
  <c r="Q28" i="3"/>
  <c r="AF28" i="3" s="1"/>
  <c r="N15" i="3"/>
  <c r="AC15" i="3" s="1"/>
  <c r="Q32" i="3"/>
  <c r="AF32" i="3" s="1"/>
  <c r="H28" i="3"/>
  <c r="T15" i="3"/>
  <c r="N6" i="3"/>
  <c r="AC6" i="3" s="1"/>
  <c r="N32" i="3"/>
  <c r="AC32" i="3" s="1"/>
  <c r="H6" i="3"/>
  <c r="Q26" i="3"/>
  <c r="AF26" i="3" s="1"/>
  <c r="N11" i="3"/>
  <c r="AC11" i="3" s="1"/>
  <c r="H15" i="3"/>
  <c r="A51" i="4" l="1"/>
  <c r="A51" i="6" s="1"/>
  <c r="A30" i="6"/>
  <c r="P35" i="4"/>
  <c r="K33" i="6" s="1"/>
  <c r="Y50" i="6"/>
  <c r="Y30" i="6"/>
  <c r="K11" i="3"/>
  <c r="Y10" i="6"/>
  <c r="M10" i="6"/>
  <c r="W43" i="3"/>
  <c r="M30" i="6"/>
  <c r="M50" i="6"/>
  <c r="AE11" i="3"/>
  <c r="P12" i="3"/>
  <c r="V11" i="3"/>
  <c r="Q11" i="3"/>
  <c r="AF11" i="3" s="1"/>
  <c r="G11" i="3"/>
  <c r="S11" i="3" s="1"/>
  <c r="S12" i="3" s="1"/>
  <c r="G33" i="6"/>
  <c r="Z36" i="3"/>
  <c r="Z43" i="3" s="1"/>
  <c r="Z30" i="3"/>
  <c r="Z31" i="3"/>
  <c r="Z27" i="3"/>
  <c r="Z28" i="3"/>
  <c r="AC36" i="3"/>
  <c r="AC43" i="3" s="1"/>
  <c r="K12" i="3"/>
  <c r="M23" i="3"/>
  <c r="AB19" i="3"/>
  <c r="AF36" i="3"/>
  <c r="AF43" i="3" s="1"/>
  <c r="M42" i="3"/>
  <c r="AB34" i="3"/>
  <c r="AB42" i="3" s="1"/>
  <c r="W7" i="3"/>
  <c r="W34" i="3"/>
  <c r="W42" i="3" s="1"/>
  <c r="Y34" i="3"/>
  <c r="Y42" i="3" s="1"/>
  <c r="W17" i="3"/>
  <c r="Q7" i="3"/>
  <c r="AF7" i="3" s="1"/>
  <c r="S34" i="3"/>
  <c r="S42" i="3" s="1"/>
  <c r="H11" i="3"/>
  <c r="Z11" i="3" s="1"/>
  <c r="T26" i="3"/>
  <c r="H34" i="3"/>
  <c r="H42" i="3" s="1"/>
  <c r="A11" i="4"/>
  <c r="A11" i="6" s="1"/>
  <c r="A31" i="4"/>
  <c r="Z32" i="3"/>
  <c r="Z5" i="3"/>
  <c r="K7" i="3"/>
  <c r="Z29" i="3"/>
  <c r="T17" i="3"/>
  <c r="Q17" i="3"/>
  <c r="AF17" i="3" s="1"/>
  <c r="Z16" i="3"/>
  <c r="N12" i="3"/>
  <c r="AC12" i="3" s="1"/>
  <c r="N17" i="3"/>
  <c r="AC17" i="3" s="1"/>
  <c r="Z26" i="3"/>
  <c r="Q34" i="3"/>
  <c r="AF34" i="3" s="1"/>
  <c r="AF42" i="3" s="1"/>
  <c r="Z10" i="3"/>
  <c r="T7" i="3"/>
  <c r="Z15" i="3"/>
  <c r="H17" i="3"/>
  <c r="N34" i="3"/>
  <c r="N7" i="3"/>
  <c r="AC7" i="3" s="1"/>
  <c r="K17" i="3"/>
  <c r="Z6" i="3"/>
  <c r="K34" i="3"/>
  <c r="H7" i="3"/>
  <c r="A52" i="4" l="1"/>
  <c r="A52" i="6" s="1"/>
  <c r="A31" i="6"/>
  <c r="M51" i="6"/>
  <c r="M31" i="6"/>
  <c r="Y11" i="6"/>
  <c r="M11" i="6"/>
  <c r="Y51" i="6"/>
  <c r="Y31" i="6"/>
  <c r="Y11" i="3"/>
  <c r="T11" i="3"/>
  <c r="T12" i="3" s="1"/>
  <c r="G12" i="3"/>
  <c r="Y12" i="3" s="1"/>
  <c r="Q12" i="3"/>
  <c r="AF12" i="3" s="1"/>
  <c r="AE12" i="3"/>
  <c r="P19" i="3"/>
  <c r="V12" i="3"/>
  <c r="W11" i="3"/>
  <c r="W12" i="3" s="1"/>
  <c r="W19" i="3" s="1"/>
  <c r="M41" i="3"/>
  <c r="M45" i="3" s="1"/>
  <c r="M51" i="3" s="1"/>
  <c r="M55" i="3" s="1"/>
  <c r="AB23" i="3"/>
  <c r="AB41" i="3" s="1"/>
  <c r="AB45" i="3" s="1"/>
  <c r="AB51" i="3" s="1"/>
  <c r="AB55" i="3" s="1"/>
  <c r="N42" i="3"/>
  <c r="AC34" i="3"/>
  <c r="AC42" i="3" s="1"/>
  <c r="K19" i="3"/>
  <c r="K23" i="3" s="1"/>
  <c r="K41" i="3" s="1"/>
  <c r="T34" i="3"/>
  <c r="T42" i="3" s="1"/>
  <c r="H12" i="3"/>
  <c r="Z12" i="3" s="1"/>
  <c r="G19" i="3"/>
  <c r="A32" i="4"/>
  <c r="A12" i="4"/>
  <c r="A12" i="6" s="1"/>
  <c r="K42" i="3"/>
  <c r="Z34" i="3"/>
  <c r="Z42" i="3" s="1"/>
  <c r="Z7" i="3"/>
  <c r="N19" i="3"/>
  <c r="Z17" i="3"/>
  <c r="Q42" i="3"/>
  <c r="Y12" i="6" l="1"/>
  <c r="M12" i="6"/>
  <c r="M32" i="6"/>
  <c r="M52" i="6"/>
  <c r="A53" i="4"/>
  <c r="A53" i="6" s="1"/>
  <c r="A32" i="6"/>
  <c r="Y32" i="6"/>
  <c r="Y52" i="6"/>
  <c r="W23" i="3"/>
  <c r="W41" i="3" s="1"/>
  <c r="W45" i="3" s="1"/>
  <c r="Q19" i="3"/>
  <c r="AF19" i="3" s="1"/>
  <c r="AE19" i="3"/>
  <c r="P23" i="3"/>
  <c r="V19" i="3"/>
  <c r="V23" i="3" s="1"/>
  <c r="V41" i="3" s="1"/>
  <c r="V45" i="3" s="1"/>
  <c r="V51" i="3" s="1"/>
  <c r="V55" i="3" s="1"/>
  <c r="N23" i="3"/>
  <c r="AC19" i="3"/>
  <c r="Y19" i="3"/>
  <c r="S19" i="3"/>
  <c r="K45" i="3"/>
  <c r="G23" i="3"/>
  <c r="Y23" i="3" s="1"/>
  <c r="Y41" i="3" s="1"/>
  <c r="Y45" i="3" s="1"/>
  <c r="Y51" i="3" s="1"/>
  <c r="Y55" i="3" s="1"/>
  <c r="H19" i="3"/>
  <c r="H23" i="3" s="1"/>
  <c r="A33" i="4"/>
  <c r="A13" i="4"/>
  <c r="A13" i="6" s="1"/>
  <c r="T19" i="3"/>
  <c r="Y13" i="6" l="1"/>
  <c r="M13" i="6"/>
  <c r="M33" i="6"/>
  <c r="M53" i="6"/>
  <c r="A54" i="4"/>
  <c r="A54" i="6" s="1"/>
  <c r="A33" i="6"/>
  <c r="Y53" i="6"/>
  <c r="Y33" i="6"/>
  <c r="Q23" i="3"/>
  <c r="AF23" i="3" s="1"/>
  <c r="AF41" i="3" s="1"/>
  <c r="AF45" i="3" s="1"/>
  <c r="AE23" i="3"/>
  <c r="AE41" i="3" s="1"/>
  <c r="AE45" i="3" s="1"/>
  <c r="AE51" i="3" s="1"/>
  <c r="AE55" i="3" s="1"/>
  <c r="P41" i="3"/>
  <c r="P45" i="3" s="1"/>
  <c r="P51" i="3" s="1"/>
  <c r="P55" i="3" s="1"/>
  <c r="N41" i="3"/>
  <c r="N45" i="3" s="1"/>
  <c r="AC23" i="3"/>
  <c r="AC41" i="3" s="1"/>
  <c r="AC45" i="3" s="1"/>
  <c r="G41" i="3"/>
  <c r="G45" i="3" s="1"/>
  <c r="G51" i="3" s="1"/>
  <c r="S23" i="3"/>
  <c r="S41" i="3" s="1"/>
  <c r="Z19" i="3"/>
  <c r="A34" i="4"/>
  <c r="A14" i="4"/>
  <c r="A14" i="6" s="1"/>
  <c r="Z23" i="3"/>
  <c r="Z41" i="3" s="1"/>
  <c r="Z45" i="3" s="1"/>
  <c r="H41" i="3"/>
  <c r="H45" i="3" s="1"/>
  <c r="T23" i="3"/>
  <c r="M14" i="6" l="1"/>
  <c r="Y14" i="6"/>
  <c r="M54" i="6"/>
  <c r="M34" i="6"/>
  <c r="A55" i="4"/>
  <c r="A55" i="6" s="1"/>
  <c r="A34" i="6"/>
  <c r="Y34" i="6"/>
  <c r="Y54" i="6"/>
  <c r="Q41" i="3"/>
  <c r="Q45" i="3" s="1"/>
  <c r="G55" i="3"/>
  <c r="J57" i="3"/>
  <c r="A15" i="4"/>
  <c r="A15" i="6" s="1"/>
  <c r="A35" i="4"/>
  <c r="S45" i="3"/>
  <c r="S51" i="3" s="1"/>
  <c r="T41" i="3"/>
  <c r="Y15" i="6" l="1"/>
  <c r="M15" i="6"/>
  <c r="Y55" i="6"/>
  <c r="Y35" i="6"/>
  <c r="A56" i="4"/>
  <c r="A56" i="6" s="1"/>
  <c r="A35" i="6"/>
  <c r="M55" i="6"/>
  <c r="M35" i="6"/>
  <c r="A16" i="4"/>
  <c r="A16" i="6" s="1"/>
  <c r="A36" i="4"/>
  <c r="T45" i="3"/>
  <c r="A57" i="4" l="1"/>
  <c r="A57" i="6" s="1"/>
  <c r="A36" i="6"/>
  <c r="M56" i="6"/>
  <c r="M36" i="6"/>
  <c r="Y16" i="6"/>
  <c r="M16" i="6"/>
  <c r="Y36" i="6"/>
  <c r="Y56" i="6"/>
  <c r="A37" i="4"/>
  <c r="A17" i="4"/>
  <c r="S55" i="3"/>
  <c r="A38" i="4" l="1"/>
  <c r="A17" i="6"/>
  <c r="M37" i="6"/>
  <c r="M57" i="6"/>
  <c r="A58" i="4"/>
  <c r="A58" i="6" s="1"/>
  <c r="A37" i="6"/>
  <c r="Y57" i="6"/>
  <c r="Y37" i="6"/>
  <c r="Y17" i="6" l="1"/>
  <c r="M17" i="6"/>
  <c r="A59" i="4"/>
  <c r="A59" i="6" s="1"/>
  <c r="A38" i="6"/>
  <c r="M38" i="6" l="1"/>
  <c r="M58" i="6"/>
  <c r="Y58" i="6"/>
  <c r="Y38" i="6"/>
</calcChain>
</file>

<file path=xl/sharedStrings.xml><?xml version="1.0" encoding="utf-8"?>
<sst xmlns="http://schemas.openxmlformats.org/spreadsheetml/2006/main" count="430" uniqueCount="139">
  <si>
    <t>Environmental Compliance Plans</t>
  </si>
  <si>
    <t>Jurisdictional</t>
  </si>
  <si>
    <t>Basis</t>
  </si>
  <si>
    <t>Environmental Compliance Rate Base</t>
  </si>
  <si>
    <t>Pollution Control Plant in Service</t>
  </si>
  <si>
    <t>Pollution Control CWIP Excluding AFUDC</t>
  </si>
  <si>
    <t>Subtotal</t>
  </si>
  <si>
    <t>Additions:</t>
  </si>
  <si>
    <t>Cash Working Capital Allowance</t>
  </si>
  <si>
    <t>Deductions:</t>
  </si>
  <si>
    <t>Accumulated Depreciation on Pollution Control Plant</t>
  </si>
  <si>
    <t>Pollution Control Deferred Income Taxes</t>
  </si>
  <si>
    <t>Rate of Return -- Environmental Compliance Rate Base</t>
  </si>
  <si>
    <t>Return on Environmental Compliance Rate Base</t>
  </si>
  <si>
    <t>Pollution Control Operating Expenses</t>
  </si>
  <si>
    <t>12 Month Depreciation and Amortization Expense</t>
  </si>
  <si>
    <t>See Support Schedule A</t>
  </si>
  <si>
    <t>12 Month Taxes Other than Income Taxes</t>
  </si>
  <si>
    <t>12 Month Operating and Maintenance Expense</t>
  </si>
  <si>
    <t>Total Pollution Control Operating Expenses</t>
  </si>
  <si>
    <t>See Support Schedule B</t>
  </si>
  <si>
    <t>Less Gross Proceeds from By-Product &amp; Allowance Sales</t>
  </si>
  <si>
    <t>See Support Schedule C</t>
  </si>
  <si>
    <t>Support Schedule A</t>
  </si>
  <si>
    <t xml:space="preserve">  12 Month Balances for Selected Operating Expense Accounts</t>
  </si>
  <si>
    <t>Depreciation &amp; Amortization</t>
  </si>
  <si>
    <t>Taxes Other than Income Taxes</t>
  </si>
  <si>
    <t>Operating and Maintenance Expense</t>
  </si>
  <si>
    <t>Total</t>
  </si>
  <si>
    <t>Steam Plant</t>
  </si>
  <si>
    <t>FERC 502</t>
  </si>
  <si>
    <t>FERC 506</t>
  </si>
  <si>
    <t>FERC 512</t>
  </si>
  <si>
    <t>less Base Rate amount</t>
  </si>
  <si>
    <t>Totals</t>
  </si>
  <si>
    <t>Support Schedule B</t>
  </si>
  <si>
    <t xml:space="preserve">  12 Month Balances for Allowance Sales and By-Product Sales</t>
  </si>
  <si>
    <t>Total Proceeds from Allowance Sales</t>
  </si>
  <si>
    <t>Proceeds from By-Product Sales</t>
  </si>
  <si>
    <t>Total All Sale Proceeds</t>
  </si>
  <si>
    <t>ES Form 2.00</t>
  </si>
  <si>
    <t>Support Schedule C</t>
  </si>
  <si>
    <t xml:space="preserve">  12 Month Balances for Jurisdictional Revenues and Allocation Ratio</t>
  </si>
  <si>
    <t>KY Retail Revenues, Excl. Envir. Surch. Revenues</t>
  </si>
  <si>
    <t>Total Company Revenues, Excluding Envir. Surch. Revenues</t>
  </si>
  <si>
    <t>KY Retail Allocation Ratio</t>
  </si>
  <si>
    <t>KY Retail/ Total Company</t>
  </si>
  <si>
    <t>KY Jurisdictional</t>
  </si>
  <si>
    <t>2005 Plan</t>
  </si>
  <si>
    <t>2006 Plan</t>
  </si>
  <si>
    <t>Difference</t>
  </si>
  <si>
    <t>Calculation of Revenue Requirement</t>
  </si>
  <si>
    <t xml:space="preserve">Total Company Environmental Surcharge Gross Revenue Requirement </t>
  </si>
  <si>
    <t xml:space="preserve">Jurisdictional Allocation Ratio </t>
  </si>
  <si>
    <t xml:space="preserve">Jurisdictional Revenues for 12 Months </t>
  </si>
  <si>
    <t xml:space="preserve">Jurisdictional Environmental Surcharge Gross Revenue Requirement </t>
  </si>
  <si>
    <t>TOTAL</t>
  </si>
  <si>
    <t>Determination of Cash Working Capital Allowance - by Plan</t>
  </si>
  <si>
    <t>12 Months O&amp;M</t>
  </si>
  <si>
    <t>(1/8) of 12 mo</t>
  </si>
  <si>
    <t xml:space="preserve">   O&amp;M Expenses</t>
  </si>
  <si>
    <t>1/8</t>
  </si>
  <si>
    <t>Cash Working Capital</t>
  </si>
  <si>
    <t xml:space="preserve">   Allowance</t>
  </si>
  <si>
    <t>2009 Plan</t>
  </si>
  <si>
    <t>2011 Plan</t>
  </si>
  <si>
    <t>Eliminated Plans (2005 &amp; 2006)</t>
  </si>
  <si>
    <t>ES Form 2.00, March 2012</t>
  </si>
  <si>
    <t>ES Form 1.10, March 2012</t>
  </si>
  <si>
    <t>at March 31, 2012</t>
  </si>
  <si>
    <t>Amortization of ITC</t>
  </si>
  <si>
    <t>Check Total (from filing)</t>
  </si>
  <si>
    <t>KPSC Consultant</t>
  </si>
  <si>
    <t>Emission Allowance Expense</t>
  </si>
  <si>
    <t>ES Form 3.10</t>
  </si>
  <si>
    <t>Pre-2011 Environmental Compliance Plans</t>
  </si>
  <si>
    <t>2011 Environmental Compliance Plan</t>
  </si>
  <si>
    <t>Emission Allowance Inventory</t>
  </si>
  <si>
    <t>12 Month KPSC Consultant Expense</t>
  </si>
  <si>
    <t>12 Month Emission Allowance Expense</t>
  </si>
  <si>
    <t>12 Month Amortization of Investment Tax Credit</t>
  </si>
  <si>
    <t>Post Rate Case ECR Plan (2009)</t>
  </si>
  <si>
    <t>Post Rate Case ECR Plan (2011)</t>
  </si>
  <si>
    <t>FERC 509</t>
  </si>
  <si>
    <t>12 Month Beneficial Reuse Expense, net of amounts in base rates</t>
  </si>
  <si>
    <t>Beneficial Reuse Expense</t>
  </si>
  <si>
    <t>FERC 501</t>
  </si>
  <si>
    <t>Proceeds from Allowance Sales</t>
  </si>
  <si>
    <t>Base Rate Component</t>
  </si>
  <si>
    <t>Gross Proceeds from Allowance Sales (less Base Rate amount)</t>
  </si>
  <si>
    <t>from Monthly Filings</t>
  </si>
  <si>
    <t>Gross Proceeds from By-Product Sales and Allowance Sales-Base Rate amount only</t>
  </si>
  <si>
    <t>All Plans</t>
  </si>
  <si>
    <t>Balances for Selected Operating Expense Accounts for 12-months ended March 31, 2012</t>
  </si>
  <si>
    <t>Proceeds from By-Product Sales &amp; Base Rate Amount of Allowance Sales</t>
  </si>
  <si>
    <t>Proceeds from Allowance Sales Net of Base Rate Amount</t>
  </si>
  <si>
    <t>Post Rate Case ECR Plans (2009 &amp; 2011)</t>
  </si>
  <si>
    <t>2005 &amp; 2006 Plans</t>
  </si>
  <si>
    <t>2009 &amp; 2011 Plans</t>
  </si>
  <si>
    <t>TC1 O&amp;M related to 2006 Plan-Sorbent Injection moved to 2011 Plan</t>
  </si>
  <si>
    <t>Louisville Gas and Electric Company</t>
  </si>
  <si>
    <t>Calculation of 2005 &amp; 2006 Plans Monthly Jurisdictional Revenue Requirements</t>
  </si>
  <si>
    <t>Line</t>
  </si>
  <si>
    <t>Note</t>
  </si>
  <si>
    <t xml:space="preserve">  Eligible Pollution Control Plant</t>
  </si>
  <si>
    <t>(a)</t>
  </si>
  <si>
    <t xml:space="preserve">  Eligible Pollution CWIP Excluding AFUDC</t>
  </si>
  <si>
    <t xml:space="preserve">     Subtotal</t>
  </si>
  <si>
    <t xml:space="preserve">  Additions:</t>
  </si>
  <si>
    <t>(b)</t>
  </si>
  <si>
    <t>(c)</t>
  </si>
  <si>
    <t xml:space="preserve">  Cash Working Capital Allowance</t>
  </si>
  <si>
    <t>(d)</t>
  </si>
  <si>
    <t xml:space="preserve">  Deductions:</t>
  </si>
  <si>
    <t xml:space="preserve">  Accum Depreciation on Eligible Pollution Control Plant</t>
  </si>
  <si>
    <t xml:space="preserve">  Pollution Control Deferred Income Taxes</t>
  </si>
  <si>
    <t xml:space="preserve">  Rate of Return on Environmental Compliance Rate Base</t>
  </si>
  <si>
    <t>(e)</t>
  </si>
  <si>
    <t xml:space="preserve">  Pollution Control Operating Expenses</t>
  </si>
  <si>
    <t>(f)</t>
  </si>
  <si>
    <t xml:space="preserve">  Total Proceeds from By-Product Sales and</t>
  </si>
  <si>
    <t xml:space="preserve">       Allowance Sales (base rate amount only)</t>
  </si>
  <si>
    <t xml:space="preserve">  Jurisdictional Allocation Ratio for Expense Month </t>
  </si>
  <si>
    <t xml:space="preserve">  Jurisdictional Revenue Requirement</t>
  </si>
  <si>
    <t>ES Form 2.10 - Net Total 2005 &amp; 2006 Plans</t>
  </si>
  <si>
    <t>ES Form 2.40 - Recalculation based on 2005 &amp; 2006 Plans only</t>
  </si>
  <si>
    <t>ES Form 1.10, line 3</t>
  </si>
  <si>
    <t>ES Form 2.50 - Total 2005 &amp; 2006 Plan O&amp;M Expenses</t>
  </si>
  <si>
    <t>Louisville Gas &amp; Electric Company</t>
  </si>
  <si>
    <t xml:space="preserve">  Environmental Compliance Rate Base [Lines (3)+(6)-(10)]</t>
  </si>
  <si>
    <t xml:space="preserve">  Monthly Environmental Compliance Rate Base [Line (11)/12]</t>
  </si>
  <si>
    <t xml:space="preserve">  Total Revenue Requirement [Lines (12)x(13)+(14)-(15)]</t>
  </si>
  <si>
    <t>ES Form 1.10, line 8 for Apr-Nov, line 9 for Dec-Mar expense months</t>
  </si>
  <si>
    <t>ES Form 2.00 - Proceeds from By-Product and Allowance Sales</t>
  </si>
  <si>
    <t xml:space="preserve">   for 12-months ended March 31, 2012</t>
  </si>
  <si>
    <t xml:space="preserve">Balances for Allowance Sales and By-Product Sales </t>
  </si>
  <si>
    <t xml:space="preserve"> </t>
  </si>
  <si>
    <t>From RR 1.04</t>
  </si>
  <si>
    <t xml:space="preserve">  2005-2006 Plans Expenses [Lines (14) - (15)]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</si>
</sst>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&quot;$&quot;* #,##0_);_(&quot;$&quot;* \(#,##0\);_(&quot;$&quot;* &quot;-&quot;??_);_(@_)"/>
    <numFmt numFmtId="167" formatCode="0_);\(0\)"/>
  </numFmts>
  <fonts count="17" x14ac:knownFonts="1">
    <font>
      <sz val="8"/>
      <name val="Arial"/>
    </font>
    <font>
      <sz val="8"/>
      <name val="Arial"/>
      <family val="2"/>
    </font>
    <font>
      <u/>
      <sz val="8"/>
      <color indexed="12"/>
      <name val="Arial"/>
      <family val="2"/>
    </font>
    <font>
      <b/>
      <sz val="9"/>
      <name val="Arial"/>
      <family val="2"/>
    </font>
    <font>
      <u val="singleAccounting"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53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u val="singleAccounting"/>
      <sz val="8"/>
      <name val="Times New Roman"/>
      <family val="1"/>
    </font>
    <font>
      <u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9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37" fontId="11" fillId="0" borderId="0"/>
  </cellStyleXfs>
  <cellXfs count="175">
    <xf numFmtId="0" fontId="0" fillId="0" borderId="0" xfId="0"/>
    <xf numFmtId="17" fontId="0" fillId="0" borderId="0" xfId="0" applyNumberFormat="1" applyFill="1" applyAlignment="1">
      <alignment horizontal="left"/>
    </xf>
    <xf numFmtId="164" fontId="1" fillId="0" borderId="0" xfId="1" applyNumberFormat="1" applyFill="1" applyBorder="1"/>
    <xf numFmtId="17" fontId="1" fillId="0" borderId="0" xfId="4" applyNumberFormat="1" applyFill="1" applyAlignment="1">
      <alignment horizontal="left"/>
    </xf>
    <xf numFmtId="164" fontId="8" fillId="0" borderId="0" xfId="1" applyNumberFormat="1" applyFont="1" applyFill="1"/>
    <xf numFmtId="0" fontId="0" fillId="0" borderId="0" xfId="0" applyFill="1"/>
    <xf numFmtId="164" fontId="4" fillId="0" borderId="0" xfId="1" applyNumberFormat="1" applyFont="1" applyFill="1"/>
    <xf numFmtId="164" fontId="4" fillId="0" borderId="0" xfId="1" applyNumberFormat="1" applyFont="1" applyFill="1" applyBorder="1"/>
    <xf numFmtId="43" fontId="4" fillId="0" borderId="0" xfId="1" applyNumberFormat="1" applyFont="1" applyFill="1" applyBorder="1"/>
    <xf numFmtId="0" fontId="8" fillId="0" borderId="0" xfId="0" applyFont="1" applyFill="1" applyAlignment="1">
      <alignment horizontal="center" wrapText="1"/>
    </xf>
    <xf numFmtId="164" fontId="0" fillId="0" borderId="0" xfId="0" applyNumberFormat="1" applyFill="1"/>
    <xf numFmtId="0" fontId="0" fillId="0" borderId="0" xfId="0" applyFill="1" applyBorder="1"/>
    <xf numFmtId="43" fontId="8" fillId="0" borderId="0" xfId="1" applyNumberFormat="1" applyFont="1" applyFill="1" applyBorder="1"/>
    <xf numFmtId="164" fontId="8" fillId="0" borderId="0" xfId="1" applyNumberFormat="1" applyFont="1" applyFill="1" applyBorder="1"/>
    <xf numFmtId="43" fontId="0" fillId="0" borderId="0" xfId="0" applyNumberFormat="1" applyFill="1" applyBorder="1"/>
    <xf numFmtId="43" fontId="0" fillId="0" borderId="0" xfId="0" applyNumberFormat="1" applyFill="1"/>
    <xf numFmtId="164" fontId="1" fillId="0" borderId="0" xfId="1" applyNumberFormat="1" applyFill="1"/>
    <xf numFmtId="17" fontId="0" fillId="0" borderId="0" xfId="0" applyNumberFormat="1" applyFill="1"/>
    <xf numFmtId="17" fontId="0" fillId="0" borderId="0" xfId="0" quotePrefix="1" applyNumberFormat="1" applyFill="1" applyAlignment="1">
      <alignment horizontal="right"/>
    </xf>
    <xf numFmtId="164" fontId="1" fillId="0" borderId="2" xfId="1" applyNumberFormat="1" applyFill="1" applyBorder="1"/>
    <xf numFmtId="164" fontId="8" fillId="0" borderId="2" xfId="1" applyNumberFormat="1" applyFont="1" applyFill="1" applyBorder="1"/>
    <xf numFmtId="43" fontId="8" fillId="0" borderId="2" xfId="1" applyNumberFormat="1" applyFont="1" applyFill="1" applyBorder="1"/>
    <xf numFmtId="17" fontId="0" fillId="0" borderId="0" xfId="0" applyNumberForma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quotePrefix="1" applyFill="1"/>
    <xf numFmtId="0" fontId="0" fillId="0" borderId="0" xfId="0" quotePrefix="1" applyFill="1" applyAlignment="1">
      <alignment horizontal="right"/>
    </xf>
    <xf numFmtId="0" fontId="8" fillId="0" borderId="1" xfId="0" quotePrefix="1" applyFont="1" applyFill="1" applyBorder="1" applyAlignment="1">
      <alignment horizontal="right"/>
    </xf>
    <xf numFmtId="164" fontId="0" fillId="0" borderId="2" xfId="0" applyNumberFormat="1" applyFill="1" applyBorder="1"/>
    <xf numFmtId="17" fontId="8" fillId="0" borderId="0" xfId="4" applyNumberFormat="1" applyFont="1" applyFill="1" applyBorder="1" applyAlignment="1">
      <alignment horizontal="left"/>
    </xf>
    <xf numFmtId="164" fontId="1" fillId="0" borderId="1" xfId="1" applyNumberFormat="1" applyFill="1" applyBorder="1"/>
    <xf numFmtId="0" fontId="8" fillId="0" borderId="0" xfId="4" applyFont="1" applyFill="1" applyAlignment="1">
      <alignment horizontal="center" wrapText="1"/>
    </xf>
    <xf numFmtId="0" fontId="1" fillId="0" borderId="0" xfId="4" applyFill="1" applyAlignment="1">
      <alignment horizontal="center" wrapText="1"/>
    </xf>
    <xf numFmtId="0" fontId="1" fillId="0" borderId="0" xfId="0" applyFont="1" applyFill="1"/>
    <xf numFmtId="164" fontId="0" fillId="0" borderId="0" xfId="0" applyNumberForma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43" fontId="8" fillId="0" borderId="0" xfId="1" applyNumberFormat="1" applyFont="1" applyFill="1"/>
    <xf numFmtId="0" fontId="12" fillId="0" borderId="0" xfId="0" applyFont="1"/>
    <xf numFmtId="17" fontId="12" fillId="0" borderId="0" xfId="0" applyNumberFormat="1" applyFont="1"/>
    <xf numFmtId="0" fontId="12" fillId="0" borderId="0" xfId="4" applyFont="1" applyFill="1"/>
    <xf numFmtId="0" fontId="12" fillId="0" borderId="0" xfId="0" quotePrefix="1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Fill="1"/>
    <xf numFmtId="164" fontId="12" fillId="0" borderId="0" xfId="1" quotePrefix="1" applyNumberFormat="1" applyFont="1" applyFill="1" applyAlignment="1">
      <alignment horizontal="left"/>
    </xf>
    <xf numFmtId="164" fontId="12" fillId="0" borderId="0" xfId="1" applyNumberFormat="1" applyFont="1" applyFill="1"/>
    <xf numFmtId="164" fontId="12" fillId="0" borderId="0" xfId="1" applyNumberFormat="1" applyFont="1"/>
    <xf numFmtId="164" fontId="15" fillId="0" borderId="0" xfId="1" applyNumberFormat="1" applyFont="1" applyFill="1" applyBorder="1"/>
    <xf numFmtId="164" fontId="12" fillId="0" borderId="0" xfId="1" applyNumberFormat="1" applyFont="1" applyFill="1" applyBorder="1"/>
    <xf numFmtId="164" fontId="12" fillId="0" borderId="0" xfId="1" applyNumberFormat="1" applyFont="1" applyBorder="1"/>
    <xf numFmtId="164" fontId="15" fillId="0" borderId="0" xfId="1" applyNumberFormat="1" applyFont="1"/>
    <xf numFmtId="166" fontId="15" fillId="0" borderId="0" xfId="2" applyNumberFormat="1" applyFont="1" applyFill="1" applyBorder="1"/>
    <xf numFmtId="10" fontId="12" fillId="0" borderId="0" xfId="5" applyNumberFormat="1" applyFont="1" applyFill="1"/>
    <xf numFmtId="0" fontId="13" fillId="0" borderId="0" xfId="0" applyFont="1"/>
    <xf numFmtId="0" fontId="12" fillId="0" borderId="0" xfId="0" applyFont="1" applyFill="1" applyAlignment="1">
      <alignment horizontal="center"/>
    </xf>
    <xf numFmtId="0" fontId="12" fillId="0" borderId="0" xfId="4" quotePrefix="1" applyFont="1" applyFill="1" applyAlignment="1">
      <alignment horizontal="left"/>
    </xf>
    <xf numFmtId="164" fontId="15" fillId="0" borderId="0" xfId="1" applyNumberFormat="1" applyFont="1" applyFill="1"/>
    <xf numFmtId="164" fontId="12" fillId="0" borderId="1" xfId="1" applyNumberFormat="1" applyFont="1" applyBorder="1"/>
    <xf numFmtId="0" fontId="13" fillId="0" borderId="0" xfId="4" applyFont="1" applyFill="1" applyAlignment="1"/>
    <xf numFmtId="0" fontId="13" fillId="0" borderId="0" xfId="4" applyFont="1" applyFill="1"/>
    <xf numFmtId="165" fontId="12" fillId="0" borderId="2" xfId="5" applyNumberFormat="1" applyFont="1" applyFill="1" applyBorder="1"/>
    <xf numFmtId="165" fontId="12" fillId="0" borderId="2" xfId="5" applyNumberFormat="1" applyFont="1" applyBorder="1"/>
    <xf numFmtId="166" fontId="12" fillId="0" borderId="0" xfId="2" applyNumberFormat="1" applyFont="1" applyFill="1"/>
    <xf numFmtId="166" fontId="12" fillId="0" borderId="0" xfId="2" applyNumberFormat="1" applyFont="1"/>
    <xf numFmtId="165" fontId="16" fillId="0" borderId="0" xfId="5" applyNumberFormat="1" applyFont="1" applyFill="1" applyBorder="1"/>
    <xf numFmtId="166" fontId="12" fillId="0" borderId="2" xfId="2" applyNumberFormat="1" applyFont="1" applyFill="1" applyBorder="1"/>
    <xf numFmtId="166" fontId="12" fillId="0" borderId="0" xfId="0" applyNumberFormat="1" applyFont="1" applyFill="1"/>
    <xf numFmtId="0" fontId="12" fillId="0" borderId="0" xfId="0" applyFont="1" applyBorder="1"/>
    <xf numFmtId="166" fontId="12" fillId="0" borderId="0" xfId="2" applyNumberFormat="1" applyFont="1" applyFill="1" applyBorder="1"/>
    <xf numFmtId="0" fontId="12" fillId="0" borderId="0" xfId="0" applyFont="1" applyAlignment="1">
      <alignment horizontal="center" wrapText="1"/>
    </xf>
    <xf numFmtId="0" fontId="12" fillId="0" borderId="0" xfId="4" applyFont="1" applyFill="1" applyAlignment="1">
      <alignment horizontal="center" wrapText="1"/>
    </xf>
    <xf numFmtId="17" fontId="12" fillId="0" borderId="0" xfId="0" applyNumberFormat="1" applyFont="1" applyAlignment="1">
      <alignment horizontal="left"/>
    </xf>
    <xf numFmtId="17" fontId="12" fillId="0" borderId="0" xfId="0" applyNumberFormat="1" applyFont="1" applyAlignment="1">
      <alignment horizontal="right"/>
    </xf>
    <xf numFmtId="164" fontId="12" fillId="0" borderId="2" xfId="1" applyNumberFormat="1" applyFont="1" applyFill="1" applyBorder="1"/>
    <xf numFmtId="164" fontId="12" fillId="0" borderId="0" xfId="0" applyNumberFormat="1" applyFont="1"/>
    <xf numFmtId="0" fontId="12" fillId="0" borderId="0" xfId="0" applyFont="1" applyBorder="1" applyAlignment="1">
      <alignment horizontal="center" wrapText="1"/>
    </xf>
    <xf numFmtId="164" fontId="12" fillId="0" borderId="0" xfId="1" applyNumberFormat="1" applyFont="1" applyBorder="1" applyAlignment="1">
      <alignment horizontal="center" wrapText="1"/>
    </xf>
    <xf numFmtId="0" fontId="13" fillId="0" borderId="0" xfId="4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4" applyFont="1" applyFill="1" applyAlignment="1">
      <alignment horizontal="right"/>
    </xf>
    <xf numFmtId="164" fontId="12" fillId="0" borderId="0" xfId="0" applyNumberFormat="1" applyFont="1" applyFill="1"/>
    <xf numFmtId="0" fontId="12" fillId="0" borderId="0" xfId="4" quotePrefix="1" applyFont="1" applyFill="1" applyAlignment="1">
      <alignment horizontal="right"/>
    </xf>
    <xf numFmtId="0" fontId="12" fillId="0" borderId="0" xfId="0" quotePrefix="1" applyFont="1" applyFill="1" applyAlignment="1">
      <alignment horizontal="right"/>
    </xf>
    <xf numFmtId="0" fontId="12" fillId="0" borderId="1" xfId="0" quotePrefix="1" applyFont="1" applyFill="1" applyBorder="1" applyAlignment="1">
      <alignment horizontal="right"/>
    </xf>
    <xf numFmtId="164" fontId="12" fillId="0" borderId="2" xfId="0" applyNumberFormat="1" applyFont="1" applyFill="1" applyBorder="1"/>
    <xf numFmtId="164" fontId="12" fillId="0" borderId="1" xfId="1" applyNumberFormat="1" applyFont="1" applyFill="1" applyBorder="1"/>
    <xf numFmtId="164" fontId="12" fillId="0" borderId="2" xfId="1" applyNumberFormat="1" applyFont="1" applyBorder="1"/>
    <xf numFmtId="164" fontId="12" fillId="0" borderId="0" xfId="1" quotePrefix="1" applyNumberFormat="1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165" fontId="12" fillId="0" borderId="0" xfId="5" applyNumberFormat="1" applyFont="1" applyBorder="1"/>
    <xf numFmtId="165" fontId="15" fillId="0" borderId="0" xfId="5" applyNumberFormat="1" applyFont="1" applyBorder="1"/>
    <xf numFmtId="17" fontId="12" fillId="0" borderId="0" xfId="0" quotePrefix="1" applyNumberFormat="1" applyFont="1" applyAlignment="1">
      <alignment horizontal="right"/>
    </xf>
    <xf numFmtId="166" fontId="12" fillId="0" borderId="2" xfId="0" applyNumberFormat="1" applyFont="1" applyBorder="1"/>
    <xf numFmtId="0" fontId="13" fillId="0" borderId="0" xfId="6" applyFont="1"/>
    <xf numFmtId="0" fontId="12" fillId="0" borderId="0" xfId="6" applyFont="1"/>
    <xf numFmtId="0" fontId="12" fillId="0" borderId="0" xfId="6" applyFont="1" applyAlignment="1">
      <alignment horizontal="center"/>
    </xf>
    <xf numFmtId="17" fontId="12" fillId="0" borderId="0" xfId="6" applyNumberFormat="1" applyFont="1"/>
    <xf numFmtId="167" fontId="12" fillId="0" borderId="0" xfId="6" applyNumberFormat="1" applyFont="1" applyAlignment="1">
      <alignment horizontal="center"/>
    </xf>
    <xf numFmtId="0" fontId="12" fillId="0" borderId="0" xfId="6" applyFont="1" applyBorder="1" applyProtection="1"/>
    <xf numFmtId="42" fontId="12" fillId="0" borderId="0" xfId="7" applyNumberFormat="1" applyFont="1"/>
    <xf numFmtId="41" fontId="12" fillId="0" borderId="1" xfId="6" applyNumberFormat="1" applyFont="1" applyBorder="1"/>
    <xf numFmtId="0" fontId="12" fillId="0" borderId="0" xfId="6" quotePrefix="1" applyFont="1" applyBorder="1" applyAlignment="1" applyProtection="1">
      <alignment horizontal="left"/>
    </xf>
    <xf numFmtId="42" fontId="12" fillId="0" borderId="0" xfId="6" quotePrefix="1" applyNumberFormat="1" applyFont="1"/>
    <xf numFmtId="10" fontId="12" fillId="0" borderId="0" xfId="6" applyNumberFormat="1" applyFont="1"/>
    <xf numFmtId="42" fontId="12" fillId="0" borderId="0" xfId="6" applyNumberFormat="1" applyFont="1"/>
    <xf numFmtId="41" fontId="12" fillId="0" borderId="0" xfId="6" applyNumberFormat="1" applyFont="1"/>
    <xf numFmtId="0" fontId="12" fillId="0" borderId="0" xfId="6" applyFont="1" applyBorder="1" applyAlignment="1" applyProtection="1"/>
    <xf numFmtId="0" fontId="12" fillId="0" borderId="0" xfId="6" applyFont="1" applyFill="1" applyBorder="1" applyAlignment="1" applyProtection="1"/>
    <xf numFmtId="166" fontId="12" fillId="0" borderId="0" xfId="7" applyNumberFormat="1" applyFont="1" applyFill="1" applyBorder="1" applyProtection="1"/>
    <xf numFmtId="10" fontId="12" fillId="0" borderId="1" xfId="8" applyNumberFormat="1" applyFont="1" applyFill="1" applyBorder="1"/>
    <xf numFmtId="166" fontId="12" fillId="0" borderId="2" xfId="7" applyNumberFormat="1" applyFont="1" applyFill="1" applyBorder="1" applyProtection="1"/>
    <xf numFmtId="166" fontId="12" fillId="0" borderId="0" xfId="6" applyNumberFormat="1" applyFont="1"/>
    <xf numFmtId="167" fontId="12" fillId="0" borderId="0" xfId="0" applyNumberFormat="1" applyFont="1" applyAlignment="1">
      <alignment horizontal="center"/>
    </xf>
    <xf numFmtId="0" fontId="12" fillId="0" borderId="0" xfId="0" applyFont="1" applyBorder="1" applyProtection="1"/>
    <xf numFmtId="166" fontId="12" fillId="0" borderId="2" xfId="2" applyNumberFormat="1" applyFont="1" applyFill="1" applyBorder="1" applyProtection="1"/>
    <xf numFmtId="164" fontId="12" fillId="0" borderId="0" xfId="6" applyNumberFormat="1" applyFont="1"/>
    <xf numFmtId="41" fontId="12" fillId="0" borderId="0" xfId="6" applyNumberFormat="1" applyFont="1" applyBorder="1"/>
    <xf numFmtId="0" fontId="13" fillId="0" borderId="1" xfId="4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17" fontId="12" fillId="0" borderId="0" xfId="0" applyNumberFormat="1" applyFont="1" applyFill="1"/>
    <xf numFmtId="17" fontId="14" fillId="0" borderId="0" xfId="0" applyNumberFormat="1" applyFont="1" applyFill="1"/>
    <xf numFmtId="0" fontId="12" fillId="0" borderId="0" xfId="0" quotePrefix="1" applyFont="1" applyFill="1" applyAlignment="1">
      <alignment horizontal="center" wrapText="1"/>
    </xf>
    <xf numFmtId="0" fontId="12" fillId="0" borderId="1" xfId="3" quotePrefix="1" applyFont="1" applyFill="1" applyBorder="1" applyAlignment="1" applyProtection="1">
      <alignment horizontal="center"/>
    </xf>
    <xf numFmtId="17" fontId="12" fillId="0" borderId="0" xfId="0" quotePrefix="1" applyNumberFormat="1" applyFont="1" applyFill="1" applyAlignment="1">
      <alignment horizontal="left"/>
    </xf>
    <xf numFmtId="17" fontId="12" fillId="0" borderId="0" xfId="0" applyNumberFormat="1" applyFont="1" applyFill="1" applyAlignment="1">
      <alignment horizontal="left" indent="1"/>
    </xf>
    <xf numFmtId="17" fontId="12" fillId="0" borderId="0" xfId="0" quotePrefix="1" applyNumberFormat="1" applyFont="1" applyFill="1" applyAlignment="1">
      <alignment horizontal="left" indent="1"/>
    </xf>
    <xf numFmtId="0" fontId="13" fillId="0" borderId="0" xfId="0" applyFont="1" applyFill="1"/>
    <xf numFmtId="0" fontId="12" fillId="0" borderId="0" xfId="0" quotePrefix="1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12" fillId="0" borderId="0" xfId="0" applyFont="1" applyFill="1" applyBorder="1"/>
    <xf numFmtId="0" fontId="3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 wrapText="1"/>
    </xf>
    <xf numFmtId="0" fontId="3" fillId="0" borderId="0" xfId="0" quotePrefix="1" applyFont="1" applyFill="1" applyAlignment="1">
      <alignment horizontal="left"/>
    </xf>
    <xf numFmtId="164" fontId="1" fillId="0" borderId="0" xfId="1" quotePrefix="1" applyNumberFormat="1" applyFont="1" applyFill="1" applyBorder="1" applyAlignment="1">
      <alignment horizontal="left"/>
    </xf>
    <xf numFmtId="0" fontId="6" fillId="0" borderId="0" xfId="0" applyFont="1" applyFill="1" applyBorder="1"/>
    <xf numFmtId="164" fontId="6" fillId="0" borderId="0" xfId="1" quotePrefix="1" applyNumberFormat="1" applyFont="1" applyFill="1" applyBorder="1" applyAlignment="1">
      <alignment horizontal="left"/>
    </xf>
    <xf numFmtId="164" fontId="6" fillId="0" borderId="0" xfId="1" applyNumberFormat="1" applyFont="1" applyFill="1" applyBorder="1"/>
    <xf numFmtId="0" fontId="0" fillId="0" borderId="0" xfId="0" applyFill="1" applyBorder="1" applyAlignment="1">
      <alignment horizontal="center" wrapText="1"/>
    </xf>
    <xf numFmtId="164" fontId="1" fillId="0" borderId="0" xfId="1" applyNumberFormat="1" applyFont="1" applyFill="1" applyBorder="1" applyAlignment="1">
      <alignment horizont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 wrapText="1"/>
    </xf>
    <xf numFmtId="37" fontId="0" fillId="0" borderId="0" xfId="0" applyNumberFormat="1" applyFill="1"/>
    <xf numFmtId="39" fontId="0" fillId="0" borderId="0" xfId="0" applyNumberFormat="1" applyFill="1"/>
    <xf numFmtId="164" fontId="0" fillId="0" borderId="0" xfId="0" applyNumberFormat="1" applyFill="1" applyBorder="1"/>
    <xf numFmtId="164" fontId="1" fillId="0" borderId="0" xfId="5" applyNumberFormat="1" applyFill="1" applyBorder="1"/>
    <xf numFmtId="10" fontId="1" fillId="0" borderId="0" xfId="5" applyNumberFormat="1" applyFill="1" applyBorder="1"/>
    <xf numFmtId="10" fontId="1" fillId="0" borderId="0" xfId="5" applyNumberFormat="1" applyFont="1" applyFill="1" applyBorder="1"/>
    <xf numFmtId="164" fontId="1" fillId="0" borderId="0" xfId="1" applyNumberFormat="1" applyFont="1" applyFill="1" applyBorder="1"/>
    <xf numFmtId="17" fontId="8" fillId="0" borderId="0" xfId="0" applyNumberFormat="1" applyFont="1" applyFill="1" applyBorder="1"/>
    <xf numFmtId="166" fontId="0" fillId="0" borderId="0" xfId="0" applyNumberFormat="1" applyFill="1"/>
    <xf numFmtId="17" fontId="8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Border="1"/>
    <xf numFmtId="164" fontId="8" fillId="0" borderId="0" xfId="1" quotePrefix="1" applyNumberFormat="1" applyFont="1" applyFill="1" applyBorder="1" applyAlignment="1">
      <alignment horizontal="left"/>
    </xf>
    <xf numFmtId="164" fontId="1" fillId="0" borderId="0" xfId="1" quotePrefix="1" applyNumberFormat="1" applyFont="1" applyFill="1" applyBorder="1" applyAlignment="1">
      <alignment horizontal="center" wrapText="1"/>
    </xf>
    <xf numFmtId="164" fontId="8" fillId="0" borderId="0" xfId="1" quotePrefix="1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166" fontId="1" fillId="0" borderId="0" xfId="2" applyNumberFormat="1" applyFill="1"/>
    <xf numFmtId="166" fontId="1" fillId="0" borderId="0" xfId="2" applyNumberFormat="1" applyFill="1" applyBorder="1"/>
    <xf numFmtId="165" fontId="1" fillId="0" borderId="0" xfId="5" applyNumberFormat="1" applyFill="1" applyBorder="1"/>
    <xf numFmtId="164" fontId="7" fillId="0" borderId="0" xfId="1" applyNumberFormat="1" applyFont="1" applyFill="1"/>
    <xf numFmtId="17" fontId="8" fillId="0" borderId="0" xfId="0" applyNumberFormat="1" applyFont="1" applyFill="1" applyBorder="1" applyAlignment="1">
      <alignment horizontal="left"/>
    </xf>
    <xf numFmtId="166" fontId="8" fillId="0" borderId="0" xfId="2" applyNumberFormat="1" applyFont="1" applyFill="1" applyBorder="1"/>
    <xf numFmtId="165" fontId="8" fillId="0" borderId="0" xfId="5" applyNumberFormat="1" applyFont="1" applyFill="1" applyBorder="1"/>
    <xf numFmtId="165" fontId="1" fillId="0" borderId="0" xfId="5" applyNumberFormat="1" applyFont="1" applyFill="1" applyBorder="1"/>
    <xf numFmtId="166" fontId="1" fillId="0" borderId="2" xfId="2" applyNumberFormat="1" applyFill="1" applyBorder="1"/>
    <xf numFmtId="165" fontId="1" fillId="0" borderId="2" xfId="5" applyNumberFormat="1" applyFill="1" applyBorder="1"/>
    <xf numFmtId="17" fontId="0" fillId="0" borderId="0" xfId="0" quotePrefix="1" applyNumberFormat="1" applyFill="1" applyBorder="1" applyAlignment="1">
      <alignment horizontal="right"/>
    </xf>
    <xf numFmtId="166" fontId="0" fillId="0" borderId="0" xfId="0" applyNumberFormat="1" applyFill="1" applyBorder="1"/>
  </cellXfs>
  <cellStyles count="10">
    <cellStyle name="Comma" xfId="1" builtinId="3"/>
    <cellStyle name="Currency" xfId="2" builtinId="4"/>
    <cellStyle name="Currency 2" xfId="7"/>
    <cellStyle name="Hyperlink" xfId="3" builtinId="8"/>
    <cellStyle name="Normal" xfId="0" builtinId="0"/>
    <cellStyle name="Normal 2" xfId="6"/>
    <cellStyle name="Normal 4" xfId="9"/>
    <cellStyle name="Normal_KU ECR Plan 01-03 Elimination and Roll-in" xfId="4"/>
    <cellStyle name="Percent" xfId="5" builtinId="5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abSelected="1" topLeftCell="E1" zoomScale="80" zoomScaleNormal="80" zoomScaleSheetLayoutView="100" workbookViewId="0">
      <selection activeCell="J57" sqref="J57"/>
    </sheetView>
  </sheetViews>
  <sheetFormatPr defaultRowHeight="11.25" x14ac:dyDescent="0.2"/>
  <cols>
    <col min="1" max="1" width="3.1640625" style="42" customWidth="1"/>
    <col min="2" max="2" width="4" style="42" customWidth="1"/>
    <col min="3" max="3" width="11.83203125" style="42" customWidth="1"/>
    <col min="4" max="4" width="38.5" style="42" customWidth="1"/>
    <col min="5" max="5" width="9.6640625" style="42" customWidth="1"/>
    <col min="6" max="6" width="25.1640625" style="42" customWidth="1"/>
    <col min="7" max="7" width="16.83203125" style="42" customWidth="1"/>
    <col min="8" max="8" width="15.1640625" style="42" customWidth="1"/>
    <col min="9" max="9" width="2.1640625" style="42" customWidth="1"/>
    <col min="10" max="10" width="16.83203125" style="42" customWidth="1"/>
    <col min="11" max="11" width="15.1640625" style="42" customWidth="1"/>
    <col min="12" max="12" width="2.1640625" style="42" customWidth="1"/>
    <col min="13" max="13" width="16.83203125" style="42" customWidth="1"/>
    <col min="14" max="14" width="15.1640625" style="42" customWidth="1"/>
    <col min="15" max="15" width="2.1640625" style="42" customWidth="1"/>
    <col min="16" max="16" width="16.83203125" style="42" customWidth="1"/>
    <col min="17" max="17" width="15.1640625" style="42" customWidth="1"/>
    <col min="18" max="18" width="2.1640625" style="42" customWidth="1"/>
    <col min="19" max="19" width="16.83203125" style="42" customWidth="1"/>
    <col min="20" max="20" width="12.5" style="42" bestFit="1" customWidth="1"/>
    <col min="21" max="21" width="2.1640625" style="42" customWidth="1"/>
    <col min="22" max="22" width="16.83203125" style="42" customWidth="1"/>
    <col min="23" max="23" width="11.5" style="42" bestFit="1" customWidth="1"/>
    <col min="24" max="24" width="2.1640625" style="42" customWidth="1"/>
    <col min="25" max="25" width="16.83203125" style="42" customWidth="1"/>
    <col min="26" max="26" width="12.5" style="42" bestFit="1" customWidth="1"/>
    <col min="27" max="27" width="2.33203125" style="42" customWidth="1"/>
    <col min="28" max="28" width="16.83203125" style="42" customWidth="1"/>
    <col min="29" max="29" width="12.5" style="42" bestFit="1" customWidth="1"/>
    <col min="30" max="30" width="2.33203125" style="42" customWidth="1"/>
    <col min="31" max="31" width="16.83203125" style="42" customWidth="1"/>
    <col min="32" max="32" width="11.5" style="42" bestFit="1" customWidth="1"/>
    <col min="33" max="16384" width="9.33203125" style="42"/>
  </cols>
  <sheetData>
    <row r="1" spans="1:32" x14ac:dyDescent="0.2">
      <c r="D1" s="118"/>
      <c r="G1" s="116" t="s">
        <v>48</v>
      </c>
      <c r="H1" s="116"/>
      <c r="J1" s="116" t="s">
        <v>49</v>
      </c>
      <c r="K1" s="116"/>
      <c r="M1" s="116" t="s">
        <v>64</v>
      </c>
      <c r="N1" s="116"/>
      <c r="P1" s="116" t="s">
        <v>65</v>
      </c>
      <c r="Q1" s="116"/>
      <c r="S1" s="116" t="s">
        <v>56</v>
      </c>
      <c r="T1" s="116"/>
      <c r="U1" s="116"/>
      <c r="V1" s="116"/>
      <c r="W1" s="116"/>
      <c r="Y1" s="116" t="s">
        <v>66</v>
      </c>
      <c r="Z1" s="116"/>
      <c r="AA1" s="39"/>
      <c r="AB1" s="116" t="s">
        <v>81</v>
      </c>
      <c r="AC1" s="116"/>
      <c r="AD1" s="39"/>
      <c r="AE1" s="116" t="s">
        <v>82</v>
      </c>
      <c r="AF1" s="116"/>
    </row>
    <row r="2" spans="1:32" ht="33.75" x14ac:dyDescent="0.2">
      <c r="A2" s="119" t="s">
        <v>51</v>
      </c>
      <c r="B2" s="118"/>
      <c r="G2" s="120" t="s">
        <v>0</v>
      </c>
      <c r="H2" s="53" t="s">
        <v>1</v>
      </c>
      <c r="J2" s="120" t="s">
        <v>0</v>
      </c>
      <c r="K2" s="53" t="s">
        <v>1</v>
      </c>
      <c r="M2" s="120" t="s">
        <v>0</v>
      </c>
      <c r="N2" s="53" t="s">
        <v>1</v>
      </c>
      <c r="P2" s="120" t="s">
        <v>0</v>
      </c>
      <c r="Q2" s="53" t="s">
        <v>1</v>
      </c>
      <c r="S2" s="120" t="s">
        <v>75</v>
      </c>
      <c r="T2" s="53" t="s">
        <v>1</v>
      </c>
      <c r="V2" s="120" t="s">
        <v>76</v>
      </c>
      <c r="W2" s="53" t="s">
        <v>1</v>
      </c>
      <c r="Y2" s="120" t="s">
        <v>75</v>
      </c>
      <c r="Z2" s="53" t="s">
        <v>1</v>
      </c>
      <c r="AB2" s="120" t="s">
        <v>75</v>
      </c>
      <c r="AC2" s="53" t="s">
        <v>1</v>
      </c>
      <c r="AE2" s="120" t="s">
        <v>76</v>
      </c>
      <c r="AF2" s="53" t="s">
        <v>1</v>
      </c>
    </row>
    <row r="3" spans="1:32" x14ac:dyDescent="0.2">
      <c r="A3" s="118"/>
      <c r="B3" s="118"/>
      <c r="G3" s="121" t="s">
        <v>69</v>
      </c>
      <c r="H3" s="53" t="s">
        <v>2</v>
      </c>
      <c r="J3" s="121" t="s">
        <v>69</v>
      </c>
      <c r="K3" s="53" t="s">
        <v>2</v>
      </c>
      <c r="M3" s="121" t="s">
        <v>69</v>
      </c>
      <c r="N3" s="53" t="s">
        <v>2</v>
      </c>
      <c r="P3" s="121" t="s">
        <v>69</v>
      </c>
      <c r="Q3" s="53" t="s">
        <v>2</v>
      </c>
      <c r="S3" s="121" t="s">
        <v>69</v>
      </c>
      <c r="T3" s="53" t="s">
        <v>2</v>
      </c>
      <c r="V3" s="121" t="s">
        <v>69</v>
      </c>
      <c r="W3" s="53" t="s">
        <v>2</v>
      </c>
      <c r="Y3" s="121" t="s">
        <v>69</v>
      </c>
      <c r="Z3" s="53" t="s">
        <v>2</v>
      </c>
      <c r="AB3" s="121" t="s">
        <v>69</v>
      </c>
      <c r="AC3" s="53" t="s">
        <v>2</v>
      </c>
      <c r="AE3" s="121" t="s">
        <v>69</v>
      </c>
      <c r="AF3" s="53" t="s">
        <v>2</v>
      </c>
    </row>
    <row r="4" spans="1:32" x14ac:dyDescent="0.2">
      <c r="A4" s="118" t="s">
        <v>3</v>
      </c>
      <c r="B4" s="118"/>
    </row>
    <row r="5" spans="1:32" x14ac:dyDescent="0.2">
      <c r="B5" s="118" t="s">
        <v>4</v>
      </c>
      <c r="C5" s="118"/>
      <c r="F5" s="43" t="s">
        <v>67</v>
      </c>
      <c r="G5" s="44">
        <v>16412315</v>
      </c>
      <c r="H5" s="44">
        <f>G5*$G$47</f>
        <v>14403995.325783852</v>
      </c>
      <c r="J5" s="44">
        <v>50123997</v>
      </c>
      <c r="K5" s="44">
        <f>J5*$G$47</f>
        <v>43990492.413629882</v>
      </c>
      <c r="M5" s="44">
        <v>9594347</v>
      </c>
      <c r="N5" s="44">
        <f>M5*$G$47</f>
        <v>8420319.092215104</v>
      </c>
      <c r="P5" s="44">
        <v>0</v>
      </c>
      <c r="Q5" s="44">
        <f>P5*$G$47</f>
        <v>0</v>
      </c>
      <c r="S5" s="44">
        <f>+G5+J5+M5</f>
        <v>76130659</v>
      </c>
      <c r="T5" s="44">
        <f>S5*$G$47</f>
        <v>66814806.831628837</v>
      </c>
      <c r="V5" s="44">
        <f>+P5</f>
        <v>0</v>
      </c>
      <c r="W5" s="44">
        <f>V5*$G$47</f>
        <v>0</v>
      </c>
      <c r="Y5" s="44">
        <f t="shared" ref="Y5:Z7" si="0">+G5+J5</f>
        <v>66536312</v>
      </c>
      <c r="Z5" s="44">
        <f t="shared" si="0"/>
        <v>58394487.739413738</v>
      </c>
      <c r="AB5" s="44">
        <f t="shared" ref="AB5:AC7" si="1">+M5</f>
        <v>9594347</v>
      </c>
      <c r="AC5" s="44">
        <f t="shared" si="1"/>
        <v>8420319.092215104</v>
      </c>
      <c r="AE5" s="44">
        <f t="shared" ref="AE5:AF7" si="2">+P5</f>
        <v>0</v>
      </c>
      <c r="AF5" s="44">
        <f t="shared" si="2"/>
        <v>0</v>
      </c>
    </row>
    <row r="6" spans="1:32" ht="13.5" x14ac:dyDescent="0.35">
      <c r="B6" s="122" t="s">
        <v>5</v>
      </c>
      <c r="C6" s="122"/>
      <c r="F6" s="43" t="s">
        <v>67</v>
      </c>
      <c r="G6" s="46">
        <v>2669</v>
      </c>
      <c r="H6" s="46">
        <f>G6*$G$47</f>
        <v>2342.4034649905943</v>
      </c>
      <c r="J6" s="46">
        <v>0</v>
      </c>
      <c r="K6" s="46">
        <f>J6*$G$47</f>
        <v>0</v>
      </c>
      <c r="M6" s="46">
        <v>8720002</v>
      </c>
      <c r="N6" s="46">
        <f>M6*$G$47</f>
        <v>7652964.7431715662</v>
      </c>
      <c r="P6" s="46">
        <v>1943207</v>
      </c>
      <c r="Q6" s="46">
        <f>P6*$G$47</f>
        <v>1705423.3083529328</v>
      </c>
      <c r="S6" s="46">
        <f>+G6+J6+M6</f>
        <v>8722671</v>
      </c>
      <c r="T6" s="46">
        <f>S6*$G$47</f>
        <v>7655307.1466365568</v>
      </c>
      <c r="V6" s="46">
        <f>+P6</f>
        <v>1943207</v>
      </c>
      <c r="W6" s="46">
        <f>V6*$G$47</f>
        <v>1705423.3083529328</v>
      </c>
      <c r="Y6" s="46">
        <f t="shared" si="0"/>
        <v>2669</v>
      </c>
      <c r="Z6" s="46">
        <f t="shared" si="0"/>
        <v>2342.4034649905943</v>
      </c>
      <c r="AB6" s="46">
        <f t="shared" si="1"/>
        <v>8720002</v>
      </c>
      <c r="AC6" s="46">
        <f t="shared" si="1"/>
        <v>7652964.7431715662</v>
      </c>
      <c r="AE6" s="46">
        <f t="shared" si="2"/>
        <v>1943207</v>
      </c>
      <c r="AF6" s="46">
        <f t="shared" si="2"/>
        <v>1705423.3083529328</v>
      </c>
    </row>
    <row r="7" spans="1:32" x14ac:dyDescent="0.2">
      <c r="B7" s="118"/>
      <c r="C7" s="118"/>
      <c r="E7" s="42" t="s">
        <v>6</v>
      </c>
      <c r="G7" s="47">
        <f>SUM(G5:G6)</f>
        <v>16414984</v>
      </c>
      <c r="H7" s="47">
        <f>SUM(H5:H6)</f>
        <v>14406337.729248842</v>
      </c>
      <c r="J7" s="47">
        <f>SUM(J5:J6)</f>
        <v>50123997</v>
      </c>
      <c r="K7" s="47">
        <f>SUM(K5:K6)</f>
        <v>43990492.413629882</v>
      </c>
      <c r="M7" s="47">
        <f>SUM(M5:M6)</f>
        <v>18314349</v>
      </c>
      <c r="N7" s="47">
        <f>SUM(N5:N6)</f>
        <v>16073283.835386671</v>
      </c>
      <c r="P7" s="47">
        <f>SUM(P5:P6)</f>
        <v>1943207</v>
      </c>
      <c r="Q7" s="47">
        <f>SUM(Q5:Q6)</f>
        <v>1705423.3083529328</v>
      </c>
      <c r="S7" s="47">
        <f>SUM(S5:S6)</f>
        <v>84853330</v>
      </c>
      <c r="T7" s="47">
        <f>SUM(T5:T6)</f>
        <v>74470113.97826539</v>
      </c>
      <c r="V7" s="47">
        <f>SUM(V5:V6)</f>
        <v>1943207</v>
      </c>
      <c r="W7" s="47">
        <f>SUM(W5:W6)</f>
        <v>1705423.3083529328</v>
      </c>
      <c r="Y7" s="47">
        <f t="shared" si="0"/>
        <v>66538981</v>
      </c>
      <c r="Z7" s="47">
        <f t="shared" si="0"/>
        <v>58396830.142878726</v>
      </c>
      <c r="AB7" s="47">
        <f t="shared" si="1"/>
        <v>18314349</v>
      </c>
      <c r="AC7" s="47">
        <f t="shared" si="1"/>
        <v>16073283.835386671</v>
      </c>
      <c r="AE7" s="47">
        <f t="shared" si="2"/>
        <v>1943207</v>
      </c>
      <c r="AF7" s="47">
        <f t="shared" si="2"/>
        <v>1705423.3083529328</v>
      </c>
    </row>
    <row r="8" spans="1:32" x14ac:dyDescent="0.2">
      <c r="B8" s="118"/>
      <c r="C8" s="118"/>
    </row>
    <row r="9" spans="1:32" x14ac:dyDescent="0.2">
      <c r="B9" s="118" t="s">
        <v>7</v>
      </c>
      <c r="C9" s="118"/>
    </row>
    <row r="10" spans="1:32" x14ac:dyDescent="0.2">
      <c r="C10" s="123" t="s">
        <v>77</v>
      </c>
      <c r="F10" s="43" t="s">
        <v>67</v>
      </c>
      <c r="G10" s="44">
        <v>0</v>
      </c>
      <c r="H10" s="44">
        <f>G10*$G$47</f>
        <v>0</v>
      </c>
      <c r="J10" s="44">
        <v>0</v>
      </c>
      <c r="K10" s="44">
        <f>J10*$G$47</f>
        <v>0</v>
      </c>
      <c r="M10" s="44">
        <v>15658</v>
      </c>
      <c r="N10" s="44">
        <f>M10*$G$47</f>
        <v>13741.98331016213</v>
      </c>
      <c r="P10" s="44">
        <v>0</v>
      </c>
      <c r="Q10" s="44">
        <f>P10*$G$47</f>
        <v>0</v>
      </c>
      <c r="S10" s="44">
        <f>+G10+J10+M10</f>
        <v>15658</v>
      </c>
      <c r="T10" s="44">
        <f>S10*$G$47</f>
        <v>13741.98331016213</v>
      </c>
      <c r="V10" s="44">
        <f>+P10</f>
        <v>0</v>
      </c>
      <c r="W10" s="44">
        <f>V10*$G$47</f>
        <v>0</v>
      </c>
      <c r="Y10" s="44">
        <f t="shared" ref="Y10:Z12" si="3">+G10+J10</f>
        <v>0</v>
      </c>
      <c r="Z10" s="44">
        <f t="shared" si="3"/>
        <v>0</v>
      </c>
      <c r="AB10" s="44">
        <f t="shared" ref="AB10:AC12" si="4">+M10</f>
        <v>15658</v>
      </c>
      <c r="AC10" s="44">
        <f t="shared" si="4"/>
        <v>13741.98331016213</v>
      </c>
      <c r="AE10" s="44">
        <f t="shared" ref="AE10:AF12" si="5">+P10</f>
        <v>0</v>
      </c>
      <c r="AF10" s="44">
        <f t="shared" si="5"/>
        <v>0</v>
      </c>
    </row>
    <row r="11" spans="1:32" ht="13.5" x14ac:dyDescent="0.35">
      <c r="C11" s="124" t="s">
        <v>8</v>
      </c>
      <c r="F11" s="43" t="s">
        <v>67</v>
      </c>
      <c r="G11" s="46">
        <f>+'SuppSch TME0312 by Plan'!L35</f>
        <v>43821</v>
      </c>
      <c r="H11" s="46">
        <f>G11*$G$47</f>
        <v>38458.771914332268</v>
      </c>
      <c r="J11" s="46">
        <f>+'SuppSch TME0312 by Plan'!M35</f>
        <v>121756</v>
      </c>
      <c r="K11" s="46">
        <f>J11*$G$47</f>
        <v>106857.12861873166</v>
      </c>
      <c r="M11" s="46">
        <f>+'SuppSch TME0312 by Plan'!N35</f>
        <v>0</v>
      </c>
      <c r="N11" s="46">
        <f>M11*$G$47</f>
        <v>0</v>
      </c>
      <c r="P11" s="46">
        <f>+'SuppSch TME0312 by Plan'!O35</f>
        <v>68951</v>
      </c>
      <c r="Q11" s="46">
        <f>P11*$G$47</f>
        <v>60513.698506768997</v>
      </c>
      <c r="S11" s="46">
        <f>+G11+J11+M11</f>
        <v>165577</v>
      </c>
      <c r="T11" s="46">
        <f>S11*$G$47</f>
        <v>145315.90053306392</v>
      </c>
      <c r="V11" s="46">
        <f>+P11</f>
        <v>68951</v>
      </c>
      <c r="W11" s="46">
        <f>V11*$G$47</f>
        <v>60513.698506768997</v>
      </c>
      <c r="Y11" s="46">
        <f t="shared" si="3"/>
        <v>165577</v>
      </c>
      <c r="Z11" s="46">
        <f t="shared" si="3"/>
        <v>145315.90053306392</v>
      </c>
      <c r="AB11" s="46">
        <f t="shared" si="4"/>
        <v>0</v>
      </c>
      <c r="AC11" s="46">
        <f t="shared" si="4"/>
        <v>0</v>
      </c>
      <c r="AE11" s="46">
        <f t="shared" si="5"/>
        <v>68951</v>
      </c>
      <c r="AF11" s="46">
        <f t="shared" si="5"/>
        <v>60513.698506768997</v>
      </c>
    </row>
    <row r="12" spans="1:32" x14ac:dyDescent="0.2">
      <c r="D12" s="118"/>
      <c r="E12" s="42" t="s">
        <v>6</v>
      </c>
      <c r="G12" s="47">
        <f>SUM(G10:G11)</f>
        <v>43821</v>
      </c>
      <c r="H12" s="47">
        <f>SUM(H10:H11)</f>
        <v>38458.771914332268</v>
      </c>
      <c r="J12" s="47">
        <f>SUM(J10:J11)</f>
        <v>121756</v>
      </c>
      <c r="K12" s="47">
        <f>SUM(K10:K11)</f>
        <v>106857.12861873166</v>
      </c>
      <c r="M12" s="47">
        <f>SUM(M10:M11)</f>
        <v>15658</v>
      </c>
      <c r="N12" s="47">
        <f>SUM(N10:N11)</f>
        <v>13741.98331016213</v>
      </c>
      <c r="P12" s="47">
        <f>SUM(P10:P11)</f>
        <v>68951</v>
      </c>
      <c r="Q12" s="47">
        <f>SUM(Q10:Q11)</f>
        <v>60513.698506768997</v>
      </c>
      <c r="S12" s="47">
        <f>SUM(S10:S11)</f>
        <v>181235</v>
      </c>
      <c r="T12" s="47">
        <f>SUM(T10:T11)</f>
        <v>159057.88384322604</v>
      </c>
      <c r="V12" s="47">
        <f>SUM(V10:V11)</f>
        <v>68951</v>
      </c>
      <c r="W12" s="47">
        <f>SUM(W10:W11)</f>
        <v>60513.698506768997</v>
      </c>
      <c r="Y12" s="47">
        <f t="shared" si="3"/>
        <v>165577</v>
      </c>
      <c r="Z12" s="47">
        <f t="shared" si="3"/>
        <v>145315.90053306392</v>
      </c>
      <c r="AB12" s="47">
        <f t="shared" si="4"/>
        <v>15658</v>
      </c>
      <c r="AC12" s="47">
        <f t="shared" si="4"/>
        <v>13741.98331016213</v>
      </c>
      <c r="AE12" s="47">
        <f t="shared" si="5"/>
        <v>68951</v>
      </c>
      <c r="AF12" s="47">
        <f t="shared" si="5"/>
        <v>60513.698506768997</v>
      </c>
    </row>
    <row r="13" spans="1:32" x14ac:dyDescent="0.2">
      <c r="G13" s="44"/>
      <c r="H13" s="44"/>
      <c r="J13" s="44"/>
      <c r="K13" s="44"/>
      <c r="M13" s="44"/>
      <c r="N13" s="44"/>
      <c r="P13" s="44"/>
      <c r="Q13" s="44"/>
      <c r="S13" s="44"/>
      <c r="T13" s="44"/>
      <c r="V13" s="44"/>
      <c r="W13" s="44"/>
      <c r="Y13" s="44"/>
      <c r="Z13" s="44"/>
      <c r="AB13" s="44"/>
      <c r="AC13" s="44"/>
      <c r="AE13" s="44"/>
      <c r="AF13" s="44"/>
    </row>
    <row r="14" spans="1:32" x14ac:dyDescent="0.2">
      <c r="B14" s="118" t="s">
        <v>9</v>
      </c>
      <c r="C14" s="118"/>
    </row>
    <row r="15" spans="1:32" x14ac:dyDescent="0.2">
      <c r="C15" s="118" t="s">
        <v>10</v>
      </c>
      <c r="F15" s="43" t="s">
        <v>67</v>
      </c>
      <c r="G15" s="44">
        <v>1762623</v>
      </c>
      <c r="H15" s="44">
        <f>G15*$G$47</f>
        <v>1546936.763833689</v>
      </c>
      <c r="J15" s="44">
        <v>2996166</v>
      </c>
      <c r="K15" s="44">
        <f>J15*$G$47</f>
        <v>2629535.264176474</v>
      </c>
      <c r="M15" s="44">
        <v>71534</v>
      </c>
      <c r="N15" s="44">
        <f>M15*$G$47</f>
        <v>62780.625501924755</v>
      </c>
      <c r="P15" s="44">
        <v>0</v>
      </c>
      <c r="Q15" s="44">
        <f>P15*$G$47</f>
        <v>0</v>
      </c>
      <c r="S15" s="44">
        <f>+G15+J15+M15</f>
        <v>4830323</v>
      </c>
      <c r="T15" s="44">
        <f>S15*$G$47</f>
        <v>4239252.6535120877</v>
      </c>
      <c r="V15" s="44">
        <f>+P15</f>
        <v>0</v>
      </c>
      <c r="W15" s="44">
        <f>V15*$G$47</f>
        <v>0</v>
      </c>
      <c r="Y15" s="44">
        <f t="shared" ref="Y15:Z17" si="6">+G15+J15</f>
        <v>4758789</v>
      </c>
      <c r="Z15" s="44">
        <f t="shared" si="6"/>
        <v>4176472.028010163</v>
      </c>
      <c r="AB15" s="44">
        <f t="shared" ref="AB15:AC17" si="7">+M15</f>
        <v>71534</v>
      </c>
      <c r="AC15" s="44">
        <f t="shared" si="7"/>
        <v>62780.625501924755</v>
      </c>
      <c r="AE15" s="44">
        <f t="shared" ref="AE15:AF17" si="8">+P15</f>
        <v>0</v>
      </c>
      <c r="AF15" s="44">
        <f t="shared" si="8"/>
        <v>0</v>
      </c>
    </row>
    <row r="16" spans="1:32" ht="13.5" x14ac:dyDescent="0.35">
      <c r="C16" s="118" t="s">
        <v>11</v>
      </c>
      <c r="F16" s="43" t="s">
        <v>67</v>
      </c>
      <c r="G16" s="46">
        <v>2086342</v>
      </c>
      <c r="H16" s="46">
        <f>G16*$G$47</f>
        <v>1831043.3607925838</v>
      </c>
      <c r="J16" s="46">
        <v>1458398</v>
      </c>
      <c r="K16" s="46">
        <f>J16*$G$47</f>
        <v>1279938.7517929384</v>
      </c>
      <c r="M16" s="46">
        <v>179488</v>
      </c>
      <c r="N16" s="46">
        <f>M16*$G$47</f>
        <v>157524.65834553458</v>
      </c>
      <c r="P16" s="46">
        <v>0</v>
      </c>
      <c r="Q16" s="46">
        <f>P16*$G$47</f>
        <v>0</v>
      </c>
      <c r="S16" s="46">
        <f>+G16+J16+M16</f>
        <v>3724228</v>
      </c>
      <c r="T16" s="46">
        <f>S16*$G$47</f>
        <v>3268506.7709310567</v>
      </c>
      <c r="V16" s="55">
        <f t="shared" ref="V16" si="9">+P16</f>
        <v>0</v>
      </c>
      <c r="W16" s="46">
        <f>V16*$G$47</f>
        <v>0</v>
      </c>
      <c r="Y16" s="46">
        <f t="shared" si="6"/>
        <v>3544740</v>
      </c>
      <c r="Z16" s="46">
        <f t="shared" si="6"/>
        <v>3110982.1125855222</v>
      </c>
      <c r="AB16" s="46">
        <f t="shared" si="7"/>
        <v>179488</v>
      </c>
      <c r="AC16" s="46">
        <f t="shared" si="7"/>
        <v>157524.65834553458</v>
      </c>
      <c r="AE16" s="46">
        <f t="shared" si="8"/>
        <v>0</v>
      </c>
      <c r="AF16" s="46">
        <f t="shared" si="8"/>
        <v>0</v>
      </c>
    </row>
    <row r="17" spans="1:32" x14ac:dyDescent="0.2">
      <c r="D17" s="118"/>
      <c r="E17" s="42" t="s">
        <v>6</v>
      </c>
      <c r="G17" s="47">
        <f>SUM(G15:G16)</f>
        <v>3848965</v>
      </c>
      <c r="H17" s="47">
        <f>SUM(H15:H16)</f>
        <v>3377980.1246262728</v>
      </c>
      <c r="J17" s="47">
        <f>SUM(J15:J16)</f>
        <v>4454564</v>
      </c>
      <c r="K17" s="47">
        <f>SUM(K15:K16)</f>
        <v>3909474.0159694124</v>
      </c>
      <c r="M17" s="47">
        <f>SUM(M15:M16)</f>
        <v>251022</v>
      </c>
      <c r="N17" s="47">
        <f>SUM(N15:N16)</f>
        <v>220305.28384745933</v>
      </c>
      <c r="P17" s="47">
        <f>SUM(P15:P16)</f>
        <v>0</v>
      </c>
      <c r="Q17" s="47">
        <f>SUM(Q15:Q16)</f>
        <v>0</v>
      </c>
      <c r="S17" s="47">
        <f>SUM(S15:S16)</f>
        <v>8554551</v>
      </c>
      <c r="T17" s="47">
        <f>SUM(T15:T16)</f>
        <v>7507759.4244431444</v>
      </c>
      <c r="V17" s="47">
        <f>SUM(V15:V16)</f>
        <v>0</v>
      </c>
      <c r="W17" s="47">
        <f>SUM(W15:W16)</f>
        <v>0</v>
      </c>
      <c r="Y17" s="47">
        <f t="shared" si="6"/>
        <v>8303529</v>
      </c>
      <c r="Z17" s="47">
        <f t="shared" si="6"/>
        <v>7287454.1405956857</v>
      </c>
      <c r="AB17" s="47">
        <f t="shared" si="7"/>
        <v>251022</v>
      </c>
      <c r="AC17" s="47">
        <f t="shared" si="7"/>
        <v>220305.28384745933</v>
      </c>
      <c r="AE17" s="47">
        <f t="shared" si="8"/>
        <v>0</v>
      </c>
      <c r="AF17" s="47">
        <f t="shared" si="8"/>
        <v>0</v>
      </c>
    </row>
    <row r="18" spans="1:32" x14ac:dyDescent="0.2">
      <c r="G18" s="44"/>
      <c r="H18" s="44"/>
      <c r="J18" s="44"/>
      <c r="K18" s="44"/>
      <c r="M18" s="44"/>
      <c r="N18" s="44"/>
      <c r="P18" s="44"/>
      <c r="Q18" s="44"/>
      <c r="S18" s="44"/>
      <c r="T18" s="44"/>
      <c r="V18" s="44"/>
      <c r="W18" s="44"/>
      <c r="Y18" s="44"/>
      <c r="Z18" s="44"/>
      <c r="AB18" s="44"/>
      <c r="AC18" s="44"/>
      <c r="AE18" s="44"/>
      <c r="AF18" s="44"/>
    </row>
    <row r="19" spans="1:32" ht="13.5" x14ac:dyDescent="0.35">
      <c r="D19" s="42" t="s">
        <v>3</v>
      </c>
      <c r="G19" s="50">
        <f>G7+G12-G17</f>
        <v>12609840</v>
      </c>
      <c r="H19" s="50">
        <f>H7+H12-H17</f>
        <v>11066816.376536902</v>
      </c>
      <c r="J19" s="50">
        <f>J7+J12-J17</f>
        <v>45791189</v>
      </c>
      <c r="K19" s="50">
        <f>K7+K12-K17</f>
        <v>40187875.526279204</v>
      </c>
      <c r="M19" s="50">
        <f>M7+M12-M17</f>
        <v>18078985</v>
      </c>
      <c r="N19" s="50">
        <f>N7+N12-N17</f>
        <v>15866720.534849375</v>
      </c>
      <c r="P19" s="50">
        <f>P7+P12-P17</f>
        <v>2012158</v>
      </c>
      <c r="Q19" s="50">
        <f>Q7+Q12-Q17</f>
        <v>1765937.0068597018</v>
      </c>
      <c r="S19" s="50">
        <f>+G19+J19+M19</f>
        <v>76480014</v>
      </c>
      <c r="T19" s="50">
        <f>T7+T12-T17</f>
        <v>67121412.437665477</v>
      </c>
      <c r="V19" s="50">
        <f>+P19</f>
        <v>2012158</v>
      </c>
      <c r="W19" s="50">
        <f>W7+W12-W17</f>
        <v>1765937.0068597018</v>
      </c>
      <c r="Y19" s="50">
        <f>+G19+J19</f>
        <v>58401029</v>
      </c>
      <c r="Z19" s="50">
        <f>+H19+K19</f>
        <v>51254691.902816102</v>
      </c>
      <c r="AB19" s="50">
        <f>+M19</f>
        <v>18078985</v>
      </c>
      <c r="AC19" s="50">
        <f>+N19</f>
        <v>15866720.534849375</v>
      </c>
      <c r="AE19" s="50">
        <f>+P19</f>
        <v>2012158</v>
      </c>
      <c r="AF19" s="50">
        <f>+Q19</f>
        <v>1765937.0068597018</v>
      </c>
    </row>
    <row r="20" spans="1:32" x14ac:dyDescent="0.2">
      <c r="G20" s="44"/>
      <c r="H20" s="44"/>
      <c r="J20" s="44"/>
      <c r="K20" s="44"/>
      <c r="M20" s="44"/>
      <c r="N20" s="44"/>
      <c r="P20" s="44"/>
      <c r="Q20" s="44"/>
      <c r="S20" s="44"/>
      <c r="T20" s="44"/>
      <c r="V20" s="44"/>
      <c r="W20" s="44"/>
      <c r="Y20" s="44"/>
      <c r="Z20" s="44"/>
      <c r="AB20" s="44"/>
      <c r="AC20" s="44"/>
      <c r="AE20" s="44"/>
      <c r="AF20" s="44"/>
    </row>
    <row r="21" spans="1:32" x14ac:dyDescent="0.2">
      <c r="B21" s="42" t="s">
        <v>12</v>
      </c>
      <c r="F21" s="42" t="s">
        <v>68</v>
      </c>
      <c r="G21" s="51">
        <v>0.1082</v>
      </c>
      <c r="H21" s="51">
        <f>+$G$21</f>
        <v>0.1082</v>
      </c>
      <c r="J21" s="51">
        <v>0.1082</v>
      </c>
      <c r="K21" s="51">
        <f>+$J$21</f>
        <v>0.1082</v>
      </c>
      <c r="M21" s="51">
        <v>0.1082</v>
      </c>
      <c r="N21" s="51">
        <v>0.1082</v>
      </c>
      <c r="P21" s="51">
        <v>0.1037</v>
      </c>
      <c r="Q21" s="51">
        <f>+$P$21</f>
        <v>0.1037</v>
      </c>
      <c r="S21" s="51">
        <v>0.1082</v>
      </c>
      <c r="T21" s="51">
        <f>+$S$21</f>
        <v>0.1082</v>
      </c>
      <c r="V21" s="51">
        <f>+$P$21</f>
        <v>0.1037</v>
      </c>
      <c r="W21" s="51">
        <f>+$P$21</f>
        <v>0.1037</v>
      </c>
      <c r="Y21" s="51">
        <f>+G21</f>
        <v>0.1082</v>
      </c>
      <c r="Z21" s="51">
        <f>+Y21</f>
        <v>0.1082</v>
      </c>
      <c r="AB21" s="51">
        <f>+M21</f>
        <v>0.1082</v>
      </c>
      <c r="AC21" s="51">
        <f>+N21</f>
        <v>0.1082</v>
      </c>
      <c r="AE21" s="51">
        <f>+P21</f>
        <v>0.1037</v>
      </c>
      <c r="AF21" s="51">
        <f>+Q21</f>
        <v>0.1037</v>
      </c>
    </row>
    <row r="23" spans="1:32" ht="13.5" x14ac:dyDescent="0.35">
      <c r="A23" s="125" t="s">
        <v>13</v>
      </c>
      <c r="G23" s="50">
        <f>G19*G21</f>
        <v>1364384.6880000001</v>
      </c>
      <c r="H23" s="50">
        <f>H19*H21</f>
        <v>1197429.5319412928</v>
      </c>
      <c r="J23" s="50">
        <f>J19*J21</f>
        <v>4954606.6497999998</v>
      </c>
      <c r="K23" s="50">
        <f>K19*K21</f>
        <v>4348328.1319434103</v>
      </c>
      <c r="M23" s="50">
        <f>M19*M21</f>
        <v>1956146.1770000001</v>
      </c>
      <c r="N23" s="50">
        <f>N19*N21</f>
        <v>1716779.1618707024</v>
      </c>
      <c r="P23" s="50">
        <f>P19*P21</f>
        <v>208660.78460000001</v>
      </c>
      <c r="Q23" s="50">
        <f>Q19*Q21</f>
        <v>183127.66761135109</v>
      </c>
      <c r="S23" s="50">
        <f>S19*S21</f>
        <v>8275137.5148</v>
      </c>
      <c r="T23" s="50">
        <f>T19*T21</f>
        <v>7262536.8257554052</v>
      </c>
      <c r="V23" s="50">
        <f>V19*V21</f>
        <v>208660.78460000001</v>
      </c>
      <c r="W23" s="50">
        <f>W19*W21</f>
        <v>183127.66761135109</v>
      </c>
      <c r="Y23" s="50">
        <f>+G23+J23</f>
        <v>6318991.3377999999</v>
      </c>
      <c r="Z23" s="50">
        <f>+H23+K23</f>
        <v>5545757.6638847031</v>
      </c>
      <c r="AB23" s="50">
        <f>+M23</f>
        <v>1956146.1770000001</v>
      </c>
      <c r="AC23" s="50">
        <f>+N23</f>
        <v>1716779.1618707024</v>
      </c>
      <c r="AE23" s="50">
        <f>+P23</f>
        <v>208660.78460000001</v>
      </c>
      <c r="AF23" s="50">
        <f>+Q23</f>
        <v>183127.66761135109</v>
      </c>
    </row>
    <row r="24" spans="1:32" x14ac:dyDescent="0.2">
      <c r="A24" s="125" t="s">
        <v>13</v>
      </c>
    </row>
    <row r="25" spans="1:32" x14ac:dyDescent="0.2">
      <c r="A25" s="42" t="s">
        <v>14</v>
      </c>
      <c r="G25" s="53"/>
      <c r="H25" s="53"/>
      <c r="J25" s="53"/>
      <c r="K25" s="53"/>
      <c r="M25" s="53"/>
      <c r="N25" s="53"/>
      <c r="P25" s="53"/>
      <c r="Q25" s="53"/>
      <c r="S25" s="53"/>
      <c r="T25" s="53"/>
      <c r="V25" s="53"/>
      <c r="W25" s="53"/>
      <c r="Y25" s="53"/>
      <c r="Z25" s="53"/>
      <c r="AB25" s="53"/>
      <c r="AC25" s="53"/>
      <c r="AE25" s="53"/>
      <c r="AF25" s="53"/>
    </row>
    <row r="26" spans="1:32" x14ac:dyDescent="0.2">
      <c r="B26" s="42" t="s">
        <v>15</v>
      </c>
      <c r="F26" s="42" t="s">
        <v>16</v>
      </c>
      <c r="G26" s="44">
        <f>+'SuppSch TME0312 by Plan'!B19</f>
        <v>475409</v>
      </c>
      <c r="H26" s="44">
        <f t="shared" ref="H26:H32" si="10">G26*$G$47</f>
        <v>417234.80288037221</v>
      </c>
      <c r="J26" s="44">
        <f>+'SuppSch TME0312 by Plan'!L19</f>
        <v>2067753</v>
      </c>
      <c r="K26" s="44">
        <f t="shared" ref="K26:K32" si="11">J26*$G$47</f>
        <v>1814729.034074446</v>
      </c>
      <c r="M26" s="44">
        <f>+'SuppSch TME0312 by Plan'!V19</f>
        <v>71533</v>
      </c>
      <c r="N26" s="44">
        <f t="shared" ref="N26:N32" si="12">M26*$G$47</f>
        <v>62779.747868554579</v>
      </c>
      <c r="P26" s="44">
        <f>+'SuppSch TME0312 by Plan'!AF19</f>
        <v>0</v>
      </c>
      <c r="Q26" s="44">
        <f t="shared" ref="Q26:Q32" si="13">P26*$G$47</f>
        <v>0</v>
      </c>
      <c r="S26" s="44">
        <f t="shared" ref="S26:S32" si="14">+G26+J26+M26</f>
        <v>2614695</v>
      </c>
      <c r="T26" s="44">
        <f t="shared" ref="T26:T32" si="15">S26*$G$47</f>
        <v>2294743.5848233728</v>
      </c>
      <c r="V26" s="44">
        <f>+P26</f>
        <v>0</v>
      </c>
      <c r="W26" s="44">
        <f t="shared" ref="W26:W32" si="16">V26*$G$47</f>
        <v>0</v>
      </c>
      <c r="Y26" s="44">
        <f t="shared" ref="Y26:Z32" si="17">+G26+J26</f>
        <v>2543162</v>
      </c>
      <c r="Z26" s="44">
        <f t="shared" si="17"/>
        <v>2231963.8369548181</v>
      </c>
      <c r="AB26" s="44">
        <f t="shared" ref="AB26:AC29" si="18">+M26</f>
        <v>71533</v>
      </c>
      <c r="AC26" s="44">
        <f t="shared" si="18"/>
        <v>62779.747868554579</v>
      </c>
      <c r="AE26" s="44">
        <f t="shared" ref="AE26:AF29" si="19">+P26</f>
        <v>0</v>
      </c>
      <c r="AF26" s="44">
        <f t="shared" si="19"/>
        <v>0</v>
      </c>
    </row>
    <row r="27" spans="1:32" x14ac:dyDescent="0.2">
      <c r="B27" s="42" t="s">
        <v>80</v>
      </c>
      <c r="F27" s="42" t="s">
        <v>16</v>
      </c>
      <c r="G27" s="44">
        <f>+'SuppSch TME0312 by Plan'!H19</f>
        <v>0</v>
      </c>
      <c r="H27" s="44">
        <f t="shared" si="10"/>
        <v>0</v>
      </c>
      <c r="J27" s="44">
        <f>+'SuppSch TME0312 by Plan'!R19</f>
        <v>-174324</v>
      </c>
      <c r="K27" s="44">
        <f t="shared" si="11"/>
        <v>-152992.55962196342</v>
      </c>
      <c r="M27" s="44">
        <v>0</v>
      </c>
      <c r="N27" s="44">
        <v>0</v>
      </c>
      <c r="P27" s="44">
        <v>0</v>
      </c>
      <c r="Q27" s="44">
        <f t="shared" si="13"/>
        <v>0</v>
      </c>
      <c r="S27" s="44">
        <f t="shared" si="14"/>
        <v>-174324</v>
      </c>
      <c r="T27" s="44">
        <f t="shared" si="15"/>
        <v>-152992.55962196342</v>
      </c>
      <c r="V27" s="44">
        <f t="shared" ref="V27" si="20">+P27</f>
        <v>0</v>
      </c>
      <c r="W27" s="44">
        <f t="shared" si="16"/>
        <v>0</v>
      </c>
      <c r="Y27" s="44">
        <f t="shared" ref="Y27" si="21">+G27+J27</f>
        <v>-174324</v>
      </c>
      <c r="Z27" s="44">
        <f t="shared" ref="Z27" si="22">+H27+K27</f>
        <v>-152992.55962196342</v>
      </c>
      <c r="AB27" s="44">
        <f t="shared" si="18"/>
        <v>0</v>
      </c>
      <c r="AC27" s="44">
        <f t="shared" si="18"/>
        <v>0</v>
      </c>
      <c r="AE27" s="44">
        <f t="shared" si="19"/>
        <v>0</v>
      </c>
      <c r="AF27" s="44">
        <f t="shared" si="19"/>
        <v>0</v>
      </c>
    </row>
    <row r="28" spans="1:32" x14ac:dyDescent="0.2">
      <c r="B28" s="42" t="s">
        <v>17</v>
      </c>
      <c r="F28" s="42" t="s">
        <v>16</v>
      </c>
      <c r="G28" s="44">
        <f>+'SuppSch TME0312 by Plan'!C19</f>
        <v>20997</v>
      </c>
      <c r="H28" s="44">
        <f t="shared" si="10"/>
        <v>18427.667873513492</v>
      </c>
      <c r="J28" s="44">
        <f>+'SuppSch TME0312 by Plan'!M19</f>
        <v>73137</v>
      </c>
      <c r="K28" s="44">
        <f t="shared" si="11"/>
        <v>64187.471794311386</v>
      </c>
      <c r="M28" s="44">
        <f>+'SuppSch TME0312 by Plan'!W19</f>
        <v>14652.470000000001</v>
      </c>
      <c r="N28" s="44">
        <f t="shared" si="12"/>
        <v>12859.496627452505</v>
      </c>
      <c r="P28" s="44">
        <f>+'SuppSch TME0312 by Plan'!AG19</f>
        <v>405</v>
      </c>
      <c r="Q28" s="44">
        <f t="shared" si="13"/>
        <v>355.44151491989157</v>
      </c>
      <c r="S28" s="44">
        <f t="shared" si="14"/>
        <v>108786.47</v>
      </c>
      <c r="T28" s="44">
        <f t="shared" si="15"/>
        <v>95474.636295277378</v>
      </c>
      <c r="V28" s="44">
        <f t="shared" ref="V28:V32" si="23">+P28</f>
        <v>405</v>
      </c>
      <c r="W28" s="44">
        <f t="shared" si="16"/>
        <v>355.44151491989157</v>
      </c>
      <c r="Y28" s="44">
        <f t="shared" si="17"/>
        <v>94134</v>
      </c>
      <c r="Z28" s="44">
        <f t="shared" si="17"/>
        <v>82615.139667824871</v>
      </c>
      <c r="AB28" s="44">
        <f t="shared" si="18"/>
        <v>14652.470000000001</v>
      </c>
      <c r="AC28" s="44">
        <f t="shared" si="18"/>
        <v>12859.496627452505</v>
      </c>
      <c r="AE28" s="44">
        <f t="shared" si="19"/>
        <v>405</v>
      </c>
      <c r="AF28" s="44">
        <f t="shared" si="19"/>
        <v>355.44151491989157</v>
      </c>
    </row>
    <row r="29" spans="1:32" x14ac:dyDescent="0.2">
      <c r="B29" s="126" t="s">
        <v>18</v>
      </c>
      <c r="F29" s="42" t="s">
        <v>16</v>
      </c>
      <c r="G29" s="44">
        <f>SUM('SuppSch TME0312 by Plan'!D19:F19)</f>
        <v>350565</v>
      </c>
      <c r="H29" s="44">
        <f t="shared" si="10"/>
        <v>307667.54241454764</v>
      </c>
      <c r="J29" s="44">
        <f>SUM('SuppSch TME0312 by Plan'!N19:P19)</f>
        <v>974048</v>
      </c>
      <c r="K29" s="44">
        <f t="shared" si="11"/>
        <v>854857.02894985327</v>
      </c>
      <c r="M29" s="44">
        <f>SUM('SuppSch TME0312 by Plan'!X19:Z19)</f>
        <v>0</v>
      </c>
      <c r="N29" s="44">
        <f t="shared" si="12"/>
        <v>0</v>
      </c>
      <c r="P29" s="44">
        <f>SUM('SuppSch TME0312 by Plan'!AH19:AJ19)</f>
        <v>551608.97000000009</v>
      </c>
      <c r="Q29" s="44">
        <f t="shared" si="13"/>
        <v>484110.43935852114</v>
      </c>
      <c r="S29" s="44">
        <f t="shared" si="14"/>
        <v>1324613</v>
      </c>
      <c r="T29" s="44">
        <f t="shared" si="15"/>
        <v>1162524.5713644009</v>
      </c>
      <c r="V29" s="44">
        <f t="shared" si="23"/>
        <v>551608.97000000009</v>
      </c>
      <c r="W29" s="44">
        <f t="shared" si="16"/>
        <v>484110.43935852114</v>
      </c>
      <c r="Y29" s="44">
        <f t="shared" si="17"/>
        <v>1324613</v>
      </c>
      <c r="Z29" s="44">
        <f t="shared" si="17"/>
        <v>1162524.5713644009</v>
      </c>
      <c r="AB29" s="44">
        <f t="shared" si="18"/>
        <v>0</v>
      </c>
      <c r="AC29" s="44">
        <f t="shared" si="18"/>
        <v>0</v>
      </c>
      <c r="AE29" s="44">
        <f t="shared" si="19"/>
        <v>551608.97000000009</v>
      </c>
      <c r="AF29" s="44">
        <f t="shared" si="19"/>
        <v>484110.43935852114</v>
      </c>
    </row>
    <row r="30" spans="1:32" x14ac:dyDescent="0.2">
      <c r="B30" s="126" t="s">
        <v>79</v>
      </c>
      <c r="F30" s="42" t="s">
        <v>16</v>
      </c>
      <c r="G30" s="44">
        <f>+'SuppSch TME0312 by Plan'!G19</f>
        <v>0</v>
      </c>
      <c r="H30" s="44">
        <f t="shared" si="10"/>
        <v>0</v>
      </c>
      <c r="J30" s="44">
        <f>+'SuppSch TME0312 by Plan'!Q19</f>
        <v>0</v>
      </c>
      <c r="K30" s="44">
        <f t="shared" si="11"/>
        <v>0</v>
      </c>
      <c r="M30" s="44">
        <f>+'SuppSch TME0312 by Plan'!AA19</f>
        <v>65356</v>
      </c>
      <c r="N30" s="44">
        <f t="shared" si="12"/>
        <v>57358.606540998604</v>
      </c>
      <c r="P30" s="44">
        <f>+'SuppSch TME0312 by Plan'!AK19</f>
        <v>0</v>
      </c>
      <c r="Q30" s="44">
        <f t="shared" si="13"/>
        <v>0</v>
      </c>
      <c r="S30" s="44">
        <f t="shared" si="14"/>
        <v>65356</v>
      </c>
      <c r="T30" s="44">
        <f t="shared" si="15"/>
        <v>57358.606540998604</v>
      </c>
      <c r="V30" s="44">
        <f t="shared" ref="V30" si="24">+P30</f>
        <v>0</v>
      </c>
      <c r="W30" s="44">
        <f t="shared" si="16"/>
        <v>0</v>
      </c>
      <c r="Y30" s="44">
        <f t="shared" ref="Y30:Y31" si="25">+G30+J30</f>
        <v>0</v>
      </c>
      <c r="Z30" s="44">
        <f t="shared" ref="Z30:Z31" si="26">+H30+K30</f>
        <v>0</v>
      </c>
      <c r="AB30" s="44">
        <f t="shared" ref="AB30:AB31" si="27">+M30</f>
        <v>65356</v>
      </c>
      <c r="AC30" s="44">
        <f t="shared" ref="AC30:AC31" si="28">+N30</f>
        <v>57358.606540998604</v>
      </c>
      <c r="AE30" s="44">
        <f t="shared" ref="AE30:AE31" si="29">+P30</f>
        <v>0</v>
      </c>
      <c r="AF30" s="44">
        <f t="shared" ref="AF30:AF31" si="30">+Q30</f>
        <v>0</v>
      </c>
    </row>
    <row r="31" spans="1:32" x14ac:dyDescent="0.2">
      <c r="B31" s="54" t="s">
        <v>84</v>
      </c>
      <c r="F31" s="42" t="s">
        <v>16</v>
      </c>
      <c r="G31" s="44">
        <v>0</v>
      </c>
      <c r="H31" s="44">
        <f t="shared" si="10"/>
        <v>0</v>
      </c>
      <c r="J31" s="44">
        <v>0</v>
      </c>
      <c r="K31" s="44">
        <f t="shared" si="11"/>
        <v>0</v>
      </c>
      <c r="M31" s="44">
        <f>+'SuppSch TME0312 by Plan'!AB19</f>
        <v>5985</v>
      </c>
      <c r="N31" s="44">
        <f t="shared" si="12"/>
        <v>5252.6357204828419</v>
      </c>
      <c r="P31" s="44">
        <v>0</v>
      </c>
      <c r="Q31" s="44">
        <v>0</v>
      </c>
      <c r="S31" s="44">
        <f t="shared" ref="S31" si="31">+G31+J31+M31</f>
        <v>5985</v>
      </c>
      <c r="T31" s="44">
        <f t="shared" ref="T31" si="32">S31*$G$47</f>
        <v>5252.6357204828419</v>
      </c>
      <c r="V31" s="44">
        <f t="shared" ref="V31" si="33">+P31</f>
        <v>0</v>
      </c>
      <c r="W31" s="44">
        <f t="shared" ref="W31" si="34">V31*$G$47</f>
        <v>0</v>
      </c>
      <c r="Y31" s="44">
        <f t="shared" si="25"/>
        <v>0</v>
      </c>
      <c r="Z31" s="44">
        <f t="shared" si="26"/>
        <v>0</v>
      </c>
      <c r="AB31" s="44">
        <f t="shared" si="27"/>
        <v>5985</v>
      </c>
      <c r="AC31" s="44">
        <f t="shared" si="28"/>
        <v>5252.6357204828419</v>
      </c>
      <c r="AE31" s="44">
        <f t="shared" si="29"/>
        <v>0</v>
      </c>
      <c r="AF31" s="44">
        <f t="shared" si="30"/>
        <v>0</v>
      </c>
    </row>
    <row r="32" spans="1:32" ht="13.5" x14ac:dyDescent="0.35">
      <c r="B32" s="126" t="s">
        <v>78</v>
      </c>
      <c r="F32" s="42" t="s">
        <v>16</v>
      </c>
      <c r="G32" s="55">
        <v>0</v>
      </c>
      <c r="H32" s="55">
        <f t="shared" si="10"/>
        <v>0</v>
      </c>
      <c r="J32" s="55">
        <v>0</v>
      </c>
      <c r="K32" s="55">
        <f t="shared" si="11"/>
        <v>0</v>
      </c>
      <c r="M32" s="55">
        <v>0</v>
      </c>
      <c r="N32" s="55">
        <f t="shared" si="12"/>
        <v>0</v>
      </c>
      <c r="P32" s="55">
        <f>+'SuppSch TME0312 by Plan'!AL19</f>
        <v>92712.56</v>
      </c>
      <c r="Q32" s="55">
        <f t="shared" si="13"/>
        <v>81367.636490126766</v>
      </c>
      <c r="S32" s="55">
        <f t="shared" si="14"/>
        <v>0</v>
      </c>
      <c r="T32" s="55">
        <f t="shared" si="15"/>
        <v>0</v>
      </c>
      <c r="V32" s="84">
        <f t="shared" si="23"/>
        <v>92712.56</v>
      </c>
      <c r="W32" s="55">
        <f t="shared" si="16"/>
        <v>81367.636490126766</v>
      </c>
      <c r="Y32" s="55">
        <f t="shared" si="17"/>
        <v>0</v>
      </c>
      <c r="Z32" s="55">
        <f t="shared" si="17"/>
        <v>0</v>
      </c>
      <c r="AB32" s="55">
        <f>+M32</f>
        <v>0</v>
      </c>
      <c r="AC32" s="55">
        <f>+N32</f>
        <v>0</v>
      </c>
      <c r="AE32" s="55">
        <f>+P32</f>
        <v>92712.56</v>
      </c>
      <c r="AF32" s="55">
        <f>+Q32</f>
        <v>81367.636490126766</v>
      </c>
    </row>
    <row r="33" spans="1:32" x14ac:dyDescent="0.2">
      <c r="G33" s="44"/>
      <c r="H33" s="44"/>
      <c r="J33" s="44"/>
      <c r="K33" s="44"/>
      <c r="M33" s="44"/>
      <c r="N33" s="44"/>
      <c r="P33" s="44"/>
      <c r="Q33" s="44"/>
      <c r="S33" s="44"/>
      <c r="T33" s="44"/>
      <c r="V33" s="44"/>
      <c r="W33" s="44"/>
      <c r="Y33" s="44"/>
      <c r="Z33" s="44"/>
      <c r="AB33" s="44"/>
      <c r="AC33" s="44"/>
      <c r="AE33" s="44"/>
      <c r="AF33" s="44"/>
    </row>
    <row r="34" spans="1:32" ht="13.5" x14ac:dyDescent="0.35">
      <c r="A34" s="125" t="s">
        <v>19</v>
      </c>
      <c r="G34" s="50">
        <f>SUM(G26:G33)</f>
        <v>846971</v>
      </c>
      <c r="H34" s="50">
        <f>SUM(H26:H33)</f>
        <v>743330.01316843333</v>
      </c>
      <c r="J34" s="50">
        <f>SUM(J26:J33)</f>
        <v>2940614</v>
      </c>
      <c r="K34" s="50">
        <f>SUM(K26:K33)</f>
        <v>2580780.9751966475</v>
      </c>
      <c r="M34" s="50">
        <f>SUM(M26:M33)</f>
        <v>157526.47</v>
      </c>
      <c r="N34" s="50">
        <f>SUM(N26:N33)</f>
        <v>138250.48675748854</v>
      </c>
      <c r="P34" s="50">
        <f>SUM(P26:P33)</f>
        <v>644726.53</v>
      </c>
      <c r="Q34" s="50">
        <f>SUM(Q26:Q33)</f>
        <v>565833.51736356784</v>
      </c>
      <c r="S34" s="50">
        <f>SUM(S26:S33)</f>
        <v>3945111.47</v>
      </c>
      <c r="T34" s="50">
        <f>SUM(T26:T33)</f>
        <v>3462361.4751225687</v>
      </c>
      <c r="V34" s="50">
        <f>SUM(V26:V33)</f>
        <v>644726.53</v>
      </c>
      <c r="W34" s="50">
        <f>SUM(W26:W33)</f>
        <v>565833.51736356784</v>
      </c>
      <c r="Y34" s="50">
        <f>+G34+J34</f>
        <v>3787585</v>
      </c>
      <c r="Z34" s="50">
        <f>+H34+K34</f>
        <v>3324110.9883650807</v>
      </c>
      <c r="AB34" s="50">
        <f>+M34</f>
        <v>157526.47</v>
      </c>
      <c r="AC34" s="50">
        <f>+N34</f>
        <v>138250.48675748854</v>
      </c>
      <c r="AE34" s="50">
        <f>+P34</f>
        <v>644726.53</v>
      </c>
      <c r="AF34" s="50">
        <f>+Q34</f>
        <v>565833.51736356784</v>
      </c>
    </row>
    <row r="36" spans="1:32" x14ac:dyDescent="0.2">
      <c r="A36" s="57" t="s">
        <v>91</v>
      </c>
      <c r="F36" s="42" t="s">
        <v>20</v>
      </c>
      <c r="G36" s="44">
        <f>+'SuppSch TME0312 by Plan'!$C$40</f>
        <v>-223921</v>
      </c>
      <c r="H36" s="44">
        <f>G36*$G$47</f>
        <v>-196520.54188241245</v>
      </c>
      <c r="J36" s="44">
        <v>0</v>
      </c>
      <c r="K36" s="44">
        <v>0</v>
      </c>
      <c r="M36" s="44">
        <v>0</v>
      </c>
      <c r="N36" s="44">
        <f>M36*$M$47</f>
        <v>0</v>
      </c>
      <c r="P36" s="44">
        <v>0</v>
      </c>
      <c r="Q36" s="44">
        <f>P36*$P$47</f>
        <v>0</v>
      </c>
      <c r="S36" s="44">
        <f t="shared" ref="S36" si="35">+G36+J36+M36</f>
        <v>-223921</v>
      </c>
      <c r="T36" s="44">
        <f>S36*$G$47</f>
        <v>-196520.54188241245</v>
      </c>
      <c r="V36" s="44">
        <v>0</v>
      </c>
      <c r="W36" s="44">
        <f>V36*$G$47</f>
        <v>0</v>
      </c>
      <c r="Y36" s="44">
        <f>+G36+J36</f>
        <v>-223921</v>
      </c>
      <c r="Z36" s="44">
        <f>+H36+K36</f>
        <v>-196520.54188241245</v>
      </c>
      <c r="AB36" s="44">
        <f>+M36</f>
        <v>0</v>
      </c>
      <c r="AC36" s="44">
        <f>+N36</f>
        <v>0</v>
      </c>
      <c r="AE36" s="44">
        <f>+P36</f>
        <v>0</v>
      </c>
      <c r="AF36" s="44">
        <f>+Q36</f>
        <v>0</v>
      </c>
    </row>
    <row r="37" spans="1:32" x14ac:dyDescent="0.2">
      <c r="A37" s="58" t="s">
        <v>89</v>
      </c>
      <c r="F37" s="42" t="s">
        <v>20</v>
      </c>
      <c r="G37" s="44">
        <v>0</v>
      </c>
      <c r="H37" s="44">
        <f>G37*$G$47</f>
        <v>0</v>
      </c>
      <c r="J37" s="44">
        <v>0</v>
      </c>
      <c r="K37" s="44">
        <v>0</v>
      </c>
      <c r="M37" s="44">
        <f>+'SuppSch TME0312 by Plan'!$B$40</f>
        <v>893</v>
      </c>
      <c r="N37" s="44">
        <f>M37*$M$47</f>
        <v>783.72659956410666</v>
      </c>
      <c r="P37" s="44">
        <v>0</v>
      </c>
      <c r="Q37" s="44">
        <f>P37*$P$47</f>
        <v>0</v>
      </c>
      <c r="S37" s="44">
        <f t="shared" ref="S37" si="36">+G37+J37+M37</f>
        <v>893</v>
      </c>
      <c r="T37" s="44">
        <f>S37*$G$47</f>
        <v>783.72659956410666</v>
      </c>
      <c r="V37" s="44">
        <v>0</v>
      </c>
      <c r="W37" s="44">
        <f>V37*$G$47</f>
        <v>0</v>
      </c>
      <c r="Y37" s="44">
        <f>+G37+J37</f>
        <v>0</v>
      </c>
      <c r="Z37" s="44">
        <f>+H37+K37</f>
        <v>0</v>
      </c>
      <c r="AB37" s="44">
        <f>+M37</f>
        <v>893</v>
      </c>
      <c r="AC37" s="44">
        <f>+N37</f>
        <v>783.72659956410666</v>
      </c>
      <c r="AE37" s="44">
        <f>+P37</f>
        <v>0</v>
      </c>
      <c r="AF37" s="44">
        <f>+Q37</f>
        <v>0</v>
      </c>
    </row>
    <row r="39" spans="1:32" x14ac:dyDescent="0.2">
      <c r="A39" s="125" t="s">
        <v>52</v>
      </c>
    </row>
    <row r="41" spans="1:32" x14ac:dyDescent="0.2">
      <c r="B41" s="42" t="s">
        <v>13</v>
      </c>
      <c r="G41" s="44">
        <f>G23</f>
        <v>1364384.6880000001</v>
      </c>
      <c r="H41" s="44">
        <f>H23</f>
        <v>1197429.5319412928</v>
      </c>
      <c r="J41" s="44">
        <f>J23</f>
        <v>4954606.6497999998</v>
      </c>
      <c r="K41" s="44">
        <f>K23</f>
        <v>4348328.1319434103</v>
      </c>
      <c r="M41" s="44">
        <f>M23</f>
        <v>1956146.1770000001</v>
      </c>
      <c r="N41" s="44">
        <f>N23</f>
        <v>1716779.1618707024</v>
      </c>
      <c r="P41" s="44">
        <f>P23</f>
        <v>208660.78460000001</v>
      </c>
      <c r="Q41" s="44">
        <f>Q23</f>
        <v>183127.66761135109</v>
      </c>
      <c r="S41" s="44">
        <f>S23</f>
        <v>8275137.5148</v>
      </c>
      <c r="T41" s="44">
        <f>T23</f>
        <v>7262536.8257554052</v>
      </c>
      <c r="V41" s="44">
        <f>V23</f>
        <v>208660.78460000001</v>
      </c>
      <c r="W41" s="44">
        <f>W23</f>
        <v>183127.66761135109</v>
      </c>
      <c r="Y41" s="44">
        <f>Y23</f>
        <v>6318991.3377999999</v>
      </c>
      <c r="Z41" s="44">
        <f>Z23</f>
        <v>5545757.6638847031</v>
      </c>
      <c r="AB41" s="44">
        <f>AB23</f>
        <v>1956146.1770000001</v>
      </c>
      <c r="AC41" s="44">
        <f>AC23</f>
        <v>1716779.1618707024</v>
      </c>
      <c r="AE41" s="44">
        <f>AE23</f>
        <v>208660.78460000001</v>
      </c>
      <c r="AF41" s="44">
        <f>AF23</f>
        <v>183127.66761135109</v>
      </c>
    </row>
    <row r="42" spans="1:32" x14ac:dyDescent="0.2">
      <c r="B42" s="42" t="s">
        <v>14</v>
      </c>
      <c r="G42" s="44">
        <f>G34</f>
        <v>846971</v>
      </c>
      <c r="H42" s="44">
        <f>H34</f>
        <v>743330.01316843333</v>
      </c>
      <c r="J42" s="44">
        <f>J34</f>
        <v>2940614</v>
      </c>
      <c r="K42" s="44">
        <f>K34</f>
        <v>2580780.9751966475</v>
      </c>
      <c r="M42" s="44">
        <f>M34</f>
        <v>157526.47</v>
      </c>
      <c r="N42" s="44">
        <f>N34</f>
        <v>138250.48675748854</v>
      </c>
      <c r="P42" s="44">
        <f>P34</f>
        <v>644726.53</v>
      </c>
      <c r="Q42" s="44">
        <f>Q34</f>
        <v>565833.51736356784</v>
      </c>
      <c r="S42" s="44">
        <f>S34</f>
        <v>3945111.47</v>
      </c>
      <c r="T42" s="44">
        <f>T34</f>
        <v>3462361.4751225687</v>
      </c>
      <c r="V42" s="44">
        <f>V34</f>
        <v>644726.53</v>
      </c>
      <c r="W42" s="44">
        <f>W34</f>
        <v>565833.51736356784</v>
      </c>
      <c r="Y42" s="44">
        <f>Y34</f>
        <v>3787585</v>
      </c>
      <c r="Z42" s="44">
        <f>Z34</f>
        <v>3324110.9883650807</v>
      </c>
      <c r="AB42" s="44">
        <f>AB34</f>
        <v>157526.47</v>
      </c>
      <c r="AC42" s="44">
        <f>AC34</f>
        <v>138250.48675748854</v>
      </c>
      <c r="AE42" s="44">
        <f>AE34</f>
        <v>644726.53</v>
      </c>
      <c r="AF42" s="44">
        <f>AF34</f>
        <v>565833.51736356784</v>
      </c>
    </row>
    <row r="43" spans="1:32" ht="13.5" x14ac:dyDescent="0.35">
      <c r="B43" s="42" t="s">
        <v>21</v>
      </c>
      <c r="G43" s="46">
        <f>-G36-G37</f>
        <v>223921</v>
      </c>
      <c r="H43" s="46">
        <f>-H36-H37</f>
        <v>196520.54188241245</v>
      </c>
      <c r="J43" s="46">
        <f>-J36-J37</f>
        <v>0</v>
      </c>
      <c r="K43" s="46">
        <f>-K36-K37</f>
        <v>0</v>
      </c>
      <c r="M43" s="46">
        <f>-M36-M37</f>
        <v>-893</v>
      </c>
      <c r="N43" s="46">
        <f>-N36-N37</f>
        <v>-783.72659956410666</v>
      </c>
      <c r="P43" s="46">
        <f>-P36-P37</f>
        <v>0</v>
      </c>
      <c r="Q43" s="46">
        <f>-Q36-Q37</f>
        <v>0</v>
      </c>
      <c r="S43" s="46">
        <f>-S36-S37</f>
        <v>223028</v>
      </c>
      <c r="T43" s="46">
        <f>-T36-T37</f>
        <v>195736.81528284834</v>
      </c>
      <c r="V43" s="46">
        <f>-V36-V37</f>
        <v>0</v>
      </c>
      <c r="W43" s="46">
        <f>-W36-W37</f>
        <v>0</v>
      </c>
      <c r="Y43" s="46">
        <f>-Y36-Y37</f>
        <v>223921</v>
      </c>
      <c r="Z43" s="46">
        <f>-Z36-Z37</f>
        <v>196520.54188241245</v>
      </c>
      <c r="AB43" s="46">
        <f>-AB36-AB37</f>
        <v>-893</v>
      </c>
      <c r="AC43" s="46">
        <f>-AC36-AC37</f>
        <v>-783.72659956410666</v>
      </c>
      <c r="AE43" s="46">
        <f>-AE36-AE37</f>
        <v>0</v>
      </c>
      <c r="AF43" s="46">
        <f>-AF36-AF37</f>
        <v>0</v>
      </c>
    </row>
    <row r="44" spans="1:32" x14ac:dyDescent="0.2">
      <c r="G44" s="44"/>
      <c r="H44" s="44"/>
      <c r="J44" s="44"/>
      <c r="K44" s="44"/>
      <c r="M44" s="44"/>
      <c r="N44" s="44"/>
      <c r="P44" s="44"/>
      <c r="Q44" s="44"/>
      <c r="S44" s="44"/>
      <c r="T44" s="44"/>
      <c r="V44" s="44"/>
      <c r="W44" s="44"/>
      <c r="Y44" s="44"/>
      <c r="Z44" s="44"/>
      <c r="AB44" s="44"/>
      <c r="AC44" s="44"/>
      <c r="AE44" s="44"/>
      <c r="AF44" s="44"/>
    </row>
    <row r="45" spans="1:32" ht="13.5" x14ac:dyDescent="0.35">
      <c r="A45" s="39" t="s">
        <v>52</v>
      </c>
      <c r="G45" s="50">
        <f>SUM(G41:G44)</f>
        <v>2435276.6880000001</v>
      </c>
      <c r="H45" s="50">
        <f>SUM(H41:H44)</f>
        <v>2137280.0869921385</v>
      </c>
      <c r="J45" s="50">
        <f>SUM(J41:J44)</f>
        <v>7895220.6497999998</v>
      </c>
      <c r="K45" s="50">
        <f>SUM(K41:K44)</f>
        <v>6929109.1071400577</v>
      </c>
      <c r="M45" s="50">
        <f>SUM(M41:M44)</f>
        <v>2112779.6470000003</v>
      </c>
      <c r="N45" s="50">
        <f>SUM(N41:N44)</f>
        <v>1854245.9220286268</v>
      </c>
      <c r="P45" s="50">
        <f>SUM(P41:P44)</f>
        <v>853387.31460000004</v>
      </c>
      <c r="Q45" s="50">
        <f>SUM(Q41:Q44)</f>
        <v>748961.18497491896</v>
      </c>
      <c r="S45" s="50">
        <f>SUM(S41:S44)</f>
        <v>12443276.9848</v>
      </c>
      <c r="T45" s="50">
        <f>SUM(T41:T44)</f>
        <v>10920635.116160821</v>
      </c>
      <c r="V45" s="50">
        <f>SUM(V41:V44)</f>
        <v>853387.31460000004</v>
      </c>
      <c r="W45" s="50">
        <f>SUM(W41:W44)</f>
        <v>748961.18497491896</v>
      </c>
      <c r="Y45" s="50">
        <f>SUM(Y41:Y44)</f>
        <v>10330497.3378</v>
      </c>
      <c r="Z45" s="50">
        <f>SUM(Z41:Z44)</f>
        <v>9066389.1941321958</v>
      </c>
      <c r="AB45" s="50">
        <f>SUM(AB41:AB44)</f>
        <v>2112779.6470000003</v>
      </c>
      <c r="AC45" s="50">
        <f>SUM(AC41:AC44)</f>
        <v>1854245.9220286268</v>
      </c>
      <c r="AE45" s="50">
        <f>SUM(AE41:AE44)</f>
        <v>853387.31460000004</v>
      </c>
      <c r="AF45" s="50">
        <f>SUM(AF41:AF44)</f>
        <v>748961.18497491896</v>
      </c>
    </row>
    <row r="47" spans="1:32" ht="12" thickBot="1" x14ac:dyDescent="0.25">
      <c r="A47" s="127" t="s">
        <v>53</v>
      </c>
      <c r="F47" s="42" t="s">
        <v>22</v>
      </c>
      <c r="G47" s="59">
        <f>+'SuppSch TME0312 by Plan'!$D$63</f>
        <v>0.87763337017257181</v>
      </c>
      <c r="J47" s="59">
        <f>+'SuppSch TME0312 by Plan'!$D$63</f>
        <v>0.87763337017257181</v>
      </c>
      <c r="M47" s="59">
        <f>+'SuppSch TME0312 by Plan'!$D$63</f>
        <v>0.87763337017257181</v>
      </c>
      <c r="P47" s="59">
        <f>+'SuppSch TME0312 by Plan'!$D$63</f>
        <v>0.87763337017257181</v>
      </c>
      <c r="S47" s="59">
        <f>+'SuppSch TME0312 by Plan'!$D$63</f>
        <v>0.87763337017257181</v>
      </c>
      <c r="V47" s="59">
        <f>+'SuppSch TME0312 by Plan'!$D$63</f>
        <v>0.87763337017257181</v>
      </c>
      <c r="Y47" s="59">
        <f>+'SuppSch TME0312 by Plan'!$D$63</f>
        <v>0.87763337017257181</v>
      </c>
      <c r="AB47" s="59">
        <f>+'SuppSch TME0312 by Plan'!$D$63</f>
        <v>0.87763337017257181</v>
      </c>
      <c r="AC47" s="44"/>
      <c r="AE47" s="59">
        <f>+'SuppSch TME0312 by Plan'!$D$63</f>
        <v>0.87763337017257181</v>
      </c>
      <c r="AF47" s="44"/>
    </row>
    <row r="48" spans="1:32" ht="12" thickTop="1" x14ac:dyDescent="0.2"/>
    <row r="49" spans="1:32" ht="13.5" x14ac:dyDescent="0.35">
      <c r="A49" s="125" t="s">
        <v>54</v>
      </c>
      <c r="F49" s="42" t="s">
        <v>22</v>
      </c>
      <c r="G49" s="50">
        <f>+'SuppSch TME0312 by Plan'!$B$63</f>
        <v>900465528</v>
      </c>
      <c r="J49" s="50">
        <f>+'SuppSch TME0312 by Plan'!$B$63</f>
        <v>900465528</v>
      </c>
      <c r="M49" s="50">
        <f>+'SuppSch TME0312 by Plan'!$B$63</f>
        <v>900465528</v>
      </c>
      <c r="P49" s="50">
        <f>+'SuppSch TME0312 by Plan'!$B$63</f>
        <v>900465528</v>
      </c>
      <c r="S49" s="50">
        <f>+'SuppSch TME0312 by Plan'!$B$63</f>
        <v>900465528</v>
      </c>
      <c r="V49" s="50">
        <f>+'SuppSch TME0312 by Plan'!$B$63</f>
        <v>900465528</v>
      </c>
      <c r="Y49" s="50">
        <f>+'SuppSch TME0312 by Plan'!$B$63</f>
        <v>900465528</v>
      </c>
      <c r="AB49" s="50">
        <f>+'SuppSch TME0312 by Plan'!$B$63</f>
        <v>900465528</v>
      </c>
      <c r="AE49" s="50">
        <f>+'SuppSch TME0312 by Plan'!$B$63</f>
        <v>900465528</v>
      </c>
    </row>
    <row r="51" spans="1:32" x14ac:dyDescent="0.2">
      <c r="A51" s="42" t="s">
        <v>52</v>
      </c>
      <c r="G51" s="61">
        <f>G45</f>
        <v>2435276.6880000001</v>
      </c>
      <c r="J51" s="61">
        <f>J45</f>
        <v>7895220.6497999998</v>
      </c>
      <c r="M51" s="61">
        <f>M45</f>
        <v>2112779.6470000003</v>
      </c>
      <c r="P51" s="61">
        <f>P45</f>
        <v>853387.31460000004</v>
      </c>
      <c r="S51" s="61">
        <f>S45</f>
        <v>12443276.9848</v>
      </c>
      <c r="V51" s="61">
        <f>V45</f>
        <v>853387.31460000004</v>
      </c>
      <c r="Y51" s="61">
        <f>Y45</f>
        <v>10330497.3378</v>
      </c>
      <c r="AB51" s="61">
        <f>AB45</f>
        <v>2112779.6470000003</v>
      </c>
      <c r="AE51" s="61">
        <f>AE45</f>
        <v>853387.31460000004</v>
      </c>
    </row>
    <row r="52" spans="1:32" x14ac:dyDescent="0.2">
      <c r="G52" s="44"/>
      <c r="J52" s="44"/>
      <c r="M52" s="44"/>
      <c r="P52" s="44"/>
      <c r="S52" s="44"/>
      <c r="V52" s="44"/>
      <c r="Y52" s="44"/>
      <c r="AB52" s="44"/>
      <c r="AE52" s="44"/>
    </row>
    <row r="53" spans="1:32" x14ac:dyDescent="0.2">
      <c r="A53" s="42" t="s">
        <v>53</v>
      </c>
      <c r="G53" s="63">
        <f>G47</f>
        <v>0.87763337017257181</v>
      </c>
      <c r="J53" s="63">
        <f>J47</f>
        <v>0.87763337017257181</v>
      </c>
      <c r="M53" s="63">
        <f>M47</f>
        <v>0.87763337017257181</v>
      </c>
      <c r="P53" s="63">
        <f>P47</f>
        <v>0.87763337017257181</v>
      </c>
      <c r="S53" s="63">
        <f>S47</f>
        <v>0.87763337017257181</v>
      </c>
      <c r="V53" s="63">
        <f>V47</f>
        <v>0.87763337017257181</v>
      </c>
      <c r="Y53" s="63">
        <f>Y47</f>
        <v>0.87763337017257181</v>
      </c>
      <c r="AB53" s="63">
        <f>AB47</f>
        <v>0.87763337017257181</v>
      </c>
      <c r="AE53" s="63">
        <f>AE47</f>
        <v>0.87763337017257181</v>
      </c>
    </row>
    <row r="54" spans="1:32" x14ac:dyDescent="0.2">
      <c r="G54" s="44"/>
      <c r="J54" s="44"/>
      <c r="M54" s="44"/>
      <c r="P54" s="44"/>
      <c r="S54" s="44"/>
      <c r="V54" s="44"/>
      <c r="Y54" s="44"/>
      <c r="AB54" s="44"/>
      <c r="AE54" s="44"/>
    </row>
    <row r="55" spans="1:32" ht="12" thickBot="1" x14ac:dyDescent="0.25">
      <c r="A55" s="127" t="s">
        <v>55</v>
      </c>
      <c r="G55" s="64">
        <f>G51*G53</f>
        <v>2137280.0869921385</v>
      </c>
      <c r="J55" s="64">
        <f>J51*J53</f>
        <v>6929109.1071400559</v>
      </c>
      <c r="M55" s="64">
        <f>M51*M53</f>
        <v>1854245.922028627</v>
      </c>
      <c r="P55" s="64">
        <f>P51*P53</f>
        <v>748961.18497491884</v>
      </c>
      <c r="S55" s="64">
        <f>S51*S53</f>
        <v>10920635.116160821</v>
      </c>
      <c r="V55" s="64">
        <f>V51*V53</f>
        <v>748961.18497491884</v>
      </c>
      <c r="Y55" s="64">
        <f>Y51*Y53</f>
        <v>9066389.1941321958</v>
      </c>
      <c r="AB55" s="64">
        <f>AB51*AB53</f>
        <v>1854245.922028627</v>
      </c>
      <c r="AE55" s="64">
        <f>AE51*AE53</f>
        <v>748961.18497491884</v>
      </c>
    </row>
    <row r="56" spans="1:32" ht="12" thickTop="1" x14ac:dyDescent="0.2">
      <c r="G56" s="44"/>
      <c r="J56" s="44"/>
      <c r="M56" s="44"/>
      <c r="P56" s="44"/>
      <c r="S56" s="44"/>
      <c r="V56" s="44"/>
      <c r="Y56" s="44"/>
      <c r="AB56" s="44"/>
      <c r="AE56" s="44"/>
    </row>
    <row r="57" spans="1:32" x14ac:dyDescent="0.2">
      <c r="J57" s="65">
        <f>+J51+G51</f>
        <v>10330497.3378</v>
      </c>
    </row>
    <row r="59" spans="1:32" x14ac:dyDescent="0.2">
      <c r="AB59" s="128"/>
      <c r="AC59" s="128"/>
      <c r="AE59" s="128"/>
      <c r="AF59" s="128"/>
    </row>
    <row r="60" spans="1:32" x14ac:dyDescent="0.2">
      <c r="AB60" s="67"/>
      <c r="AC60" s="128"/>
      <c r="AE60" s="67"/>
      <c r="AF60" s="128"/>
    </row>
    <row r="61" spans="1:32" x14ac:dyDescent="0.2">
      <c r="AB61" s="128"/>
      <c r="AC61" s="128"/>
      <c r="AE61" s="128"/>
      <c r="AF61" s="128"/>
    </row>
  </sheetData>
  <mergeCells count="8">
    <mergeCell ref="AE1:AF1"/>
    <mergeCell ref="Y1:Z1"/>
    <mergeCell ref="AB1:AC1"/>
    <mergeCell ref="G1:H1"/>
    <mergeCell ref="J1:K1"/>
    <mergeCell ref="M1:N1"/>
    <mergeCell ref="P1:Q1"/>
    <mergeCell ref="S1:W1"/>
  </mergeCells>
  <phoneticPr fontId="0" type="noConversion"/>
  <printOptions horizontalCentered="1"/>
  <pageMargins left="0.5" right="0.5" top="1.4" bottom="1" header="0.5" footer="0.5"/>
  <pageSetup scale="69" fitToWidth="2" orientation="landscape" r:id="rId1"/>
  <headerFooter alignWithMargins="0">
    <oddHeader>&amp;C&amp;"Times New Roman,Bold"&amp;12
Louisville Gas And Electric Company
Calculation of ECR Revenue Requirement by Plan at March 31, 2012</oddHeader>
    <oddFooter>&amp;R&amp;"Times New Roman,Bold"&amp;12Conroy Exhibit P4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zoomScaleSheetLayoutView="100" workbookViewId="0">
      <selection activeCell="O30" sqref="O30"/>
    </sheetView>
  </sheetViews>
  <sheetFormatPr defaultRowHeight="11.25" x14ac:dyDescent="0.2"/>
  <cols>
    <col min="1" max="1" width="5.1640625" style="93" customWidth="1"/>
    <col min="2" max="2" width="49.5" style="93" bestFit="1" customWidth="1"/>
    <col min="3" max="3" width="4.83203125" style="94" bestFit="1" customWidth="1"/>
    <col min="4" max="9" width="15" style="93" bestFit="1" customWidth="1"/>
    <col min="10" max="10" width="2.33203125" style="93" customWidth="1"/>
    <col min="11" max="15" width="15" style="93" bestFit="1" customWidth="1"/>
    <col min="16" max="16384" width="9.33203125" style="93"/>
  </cols>
  <sheetData>
    <row r="1" spans="1:13" x14ac:dyDescent="0.2">
      <c r="A1" s="92" t="s">
        <v>128</v>
      </c>
    </row>
    <row r="2" spans="1:13" x14ac:dyDescent="0.2">
      <c r="A2" s="92" t="s">
        <v>101</v>
      </c>
    </row>
    <row r="4" spans="1:13" x14ac:dyDescent="0.2">
      <c r="A4" s="94" t="s">
        <v>102</v>
      </c>
      <c r="C4" s="94" t="s">
        <v>103</v>
      </c>
      <c r="D4" s="95">
        <v>40663</v>
      </c>
      <c r="E4" s="95">
        <v>40694</v>
      </c>
      <c r="F4" s="95">
        <v>40724</v>
      </c>
      <c r="G4" s="95">
        <v>40755</v>
      </c>
      <c r="H4" s="95">
        <v>40786</v>
      </c>
      <c r="I4" s="95">
        <v>40816</v>
      </c>
    </row>
    <row r="5" spans="1:13" x14ac:dyDescent="0.2">
      <c r="A5" s="94"/>
    </row>
    <row r="6" spans="1:13" x14ac:dyDescent="0.2">
      <c r="A6" s="96">
        <v>-1</v>
      </c>
      <c r="B6" s="97" t="s">
        <v>104</v>
      </c>
      <c r="C6" s="94" t="s">
        <v>105</v>
      </c>
      <c r="D6" s="98">
        <v>65553070</v>
      </c>
      <c r="E6" s="98">
        <v>68088518</v>
      </c>
      <c r="F6" s="98">
        <v>64865222</v>
      </c>
      <c r="G6" s="98">
        <v>64865222</v>
      </c>
      <c r="H6" s="98">
        <v>64865222</v>
      </c>
      <c r="I6" s="98">
        <v>64865222</v>
      </c>
    </row>
    <row r="7" spans="1:13" x14ac:dyDescent="0.2">
      <c r="A7" s="96">
        <f>-1+A6</f>
        <v>-2</v>
      </c>
      <c r="B7" s="97" t="s">
        <v>106</v>
      </c>
      <c r="C7" s="94" t="s">
        <v>105</v>
      </c>
      <c r="D7" s="99">
        <v>2887321</v>
      </c>
      <c r="E7" s="99">
        <v>1664077</v>
      </c>
      <c r="F7" s="99">
        <v>1472488</v>
      </c>
      <c r="G7" s="99">
        <v>1554057</v>
      </c>
      <c r="H7" s="99">
        <v>1568518</v>
      </c>
      <c r="I7" s="99">
        <v>1626056</v>
      </c>
    </row>
    <row r="8" spans="1:13" x14ac:dyDescent="0.2">
      <c r="A8" s="96">
        <f t="shared" ref="A8:A15" si="0">-1+A7</f>
        <v>-3</v>
      </c>
      <c r="B8" s="97" t="s">
        <v>107</v>
      </c>
      <c r="D8" s="98">
        <f>+D6+D7</f>
        <v>68440391</v>
      </c>
      <c r="E8" s="98">
        <f t="shared" ref="E8:I8" si="1">+E6+E7</f>
        <v>69752595</v>
      </c>
      <c r="F8" s="98">
        <f t="shared" si="1"/>
        <v>66337710</v>
      </c>
      <c r="G8" s="98">
        <f t="shared" si="1"/>
        <v>66419279</v>
      </c>
      <c r="H8" s="98">
        <f t="shared" si="1"/>
        <v>66433740</v>
      </c>
      <c r="I8" s="98">
        <f t="shared" si="1"/>
        <v>66491278</v>
      </c>
    </row>
    <row r="9" spans="1:13" x14ac:dyDescent="0.2">
      <c r="A9" s="96">
        <f t="shared" si="0"/>
        <v>-4</v>
      </c>
      <c r="B9" s="97" t="s">
        <v>108</v>
      </c>
    </row>
    <row r="10" spans="1:13" x14ac:dyDescent="0.2">
      <c r="A10" s="96">
        <f t="shared" si="0"/>
        <v>-5</v>
      </c>
      <c r="B10" s="97" t="s">
        <v>111</v>
      </c>
      <c r="C10" s="94" t="s">
        <v>112</v>
      </c>
      <c r="D10" s="99">
        <v>193576</v>
      </c>
      <c r="E10" s="99">
        <v>197014</v>
      </c>
      <c r="F10" s="99">
        <v>191776</v>
      </c>
      <c r="G10" s="99">
        <v>194544</v>
      </c>
      <c r="H10" s="99">
        <v>213862</v>
      </c>
      <c r="I10" s="99">
        <v>213699</v>
      </c>
    </row>
    <row r="11" spans="1:13" x14ac:dyDescent="0.2">
      <c r="A11" s="96">
        <f t="shared" si="0"/>
        <v>-6</v>
      </c>
      <c r="B11" s="97" t="s">
        <v>107</v>
      </c>
      <c r="D11" s="98">
        <f>+D10</f>
        <v>193576</v>
      </c>
      <c r="E11" s="98">
        <f t="shared" ref="E11:I11" si="2">+E10</f>
        <v>197014</v>
      </c>
      <c r="F11" s="98">
        <f t="shared" si="2"/>
        <v>191776</v>
      </c>
      <c r="G11" s="98">
        <f t="shared" si="2"/>
        <v>194544</v>
      </c>
      <c r="H11" s="98">
        <f t="shared" si="2"/>
        <v>213862</v>
      </c>
      <c r="I11" s="98">
        <f t="shared" si="2"/>
        <v>213699</v>
      </c>
    </row>
    <row r="12" spans="1:13" x14ac:dyDescent="0.2">
      <c r="A12" s="96">
        <f t="shared" si="0"/>
        <v>-7</v>
      </c>
      <c r="B12" s="97" t="s">
        <v>113</v>
      </c>
    </row>
    <row r="13" spans="1:13" x14ac:dyDescent="0.2">
      <c r="A13" s="96">
        <f t="shared" si="0"/>
        <v>-8</v>
      </c>
      <c r="B13" s="97" t="s">
        <v>114</v>
      </c>
      <c r="C13" s="94" t="s">
        <v>105</v>
      </c>
      <c r="D13" s="98">
        <v>2855097</v>
      </c>
      <c r="E13" s="98">
        <v>3071963</v>
      </c>
      <c r="F13" s="98">
        <v>2805876</v>
      </c>
      <c r="G13" s="98">
        <v>3022814</v>
      </c>
      <c r="H13" s="98">
        <v>3237960</v>
      </c>
      <c r="I13" s="98">
        <v>3454898</v>
      </c>
    </row>
    <row r="14" spans="1:13" x14ac:dyDescent="0.2">
      <c r="A14" s="96">
        <f t="shared" si="0"/>
        <v>-9</v>
      </c>
      <c r="B14" s="100" t="s">
        <v>115</v>
      </c>
      <c r="C14" s="94" t="s">
        <v>105</v>
      </c>
      <c r="D14" s="99">
        <v>2365820</v>
      </c>
      <c r="E14" s="99">
        <v>2519150</v>
      </c>
      <c r="F14" s="99">
        <v>2450998</v>
      </c>
      <c r="G14" s="99">
        <v>2469191</v>
      </c>
      <c r="H14" s="99">
        <v>2617371</v>
      </c>
      <c r="I14" s="99">
        <v>2767368</v>
      </c>
    </row>
    <row r="15" spans="1:13" x14ac:dyDescent="0.2">
      <c r="A15" s="96">
        <f t="shared" si="0"/>
        <v>-10</v>
      </c>
      <c r="B15" s="97" t="s">
        <v>107</v>
      </c>
      <c r="D15" s="101">
        <f t="shared" ref="D15:I15" si="3">SUM(D13:D14)</f>
        <v>5220917</v>
      </c>
      <c r="E15" s="101">
        <f t="shared" si="3"/>
        <v>5591113</v>
      </c>
      <c r="F15" s="101">
        <f t="shared" si="3"/>
        <v>5256874</v>
      </c>
      <c r="G15" s="101">
        <f t="shared" si="3"/>
        <v>5492005</v>
      </c>
      <c r="H15" s="101">
        <f t="shared" si="3"/>
        <v>5855331</v>
      </c>
      <c r="I15" s="101">
        <f t="shared" si="3"/>
        <v>6222266</v>
      </c>
      <c r="M15" s="102"/>
    </row>
    <row r="16" spans="1:13" x14ac:dyDescent="0.2">
      <c r="A16" s="96"/>
      <c r="B16" s="97"/>
      <c r="D16" s="101"/>
      <c r="M16" s="102"/>
    </row>
    <row r="17" spans="1:13" x14ac:dyDescent="0.2">
      <c r="A17" s="96">
        <f>-1+A15</f>
        <v>-11</v>
      </c>
      <c r="B17" s="97" t="s">
        <v>129</v>
      </c>
      <c r="D17" s="103">
        <f t="shared" ref="D17:I17" si="4">+D8+D11-D15</f>
        <v>63413050</v>
      </c>
      <c r="E17" s="103">
        <f t="shared" si="4"/>
        <v>64358496</v>
      </c>
      <c r="F17" s="103">
        <f t="shared" si="4"/>
        <v>61272612</v>
      </c>
      <c r="G17" s="103">
        <f t="shared" si="4"/>
        <v>61121818</v>
      </c>
      <c r="H17" s="103">
        <f t="shared" si="4"/>
        <v>60792271</v>
      </c>
      <c r="I17" s="103">
        <f t="shared" si="4"/>
        <v>60482711</v>
      </c>
      <c r="M17" s="102"/>
    </row>
    <row r="18" spans="1:13" x14ac:dyDescent="0.2">
      <c r="A18" s="96"/>
      <c r="M18" s="102"/>
    </row>
    <row r="19" spans="1:13" x14ac:dyDescent="0.2">
      <c r="A19" s="96">
        <f>-1+A17</f>
        <v>-12</v>
      </c>
      <c r="B19" s="97" t="s">
        <v>130</v>
      </c>
      <c r="D19" s="98">
        <f t="shared" ref="D19:I19" si="5">ROUND(+D17/12,0)</f>
        <v>5284421</v>
      </c>
      <c r="E19" s="98">
        <f t="shared" si="5"/>
        <v>5363208</v>
      </c>
      <c r="F19" s="98">
        <f t="shared" si="5"/>
        <v>5106051</v>
      </c>
      <c r="G19" s="98">
        <f t="shared" si="5"/>
        <v>5093485</v>
      </c>
      <c r="H19" s="98">
        <f t="shared" si="5"/>
        <v>5066023</v>
      </c>
      <c r="I19" s="98">
        <f t="shared" si="5"/>
        <v>5040226</v>
      </c>
      <c r="M19" s="102"/>
    </row>
    <row r="20" spans="1:13" x14ac:dyDescent="0.2">
      <c r="A20" s="96">
        <f t="shared" ref="A20:A21" si="6">-1+A19</f>
        <v>-13</v>
      </c>
      <c r="B20" s="97" t="s">
        <v>116</v>
      </c>
      <c r="C20" s="94" t="s">
        <v>117</v>
      </c>
      <c r="D20" s="102">
        <v>0.11310000000000001</v>
      </c>
      <c r="E20" s="102">
        <v>0.11310000000000001</v>
      </c>
      <c r="F20" s="102">
        <v>0.11310000000000001</v>
      </c>
      <c r="G20" s="102">
        <v>0.11310000000000001</v>
      </c>
      <c r="H20" s="102">
        <v>0.11310000000000001</v>
      </c>
      <c r="I20" s="102">
        <v>0.11310000000000001</v>
      </c>
      <c r="M20" s="102"/>
    </row>
    <row r="21" spans="1:13" x14ac:dyDescent="0.2">
      <c r="A21" s="96">
        <f t="shared" si="6"/>
        <v>-14</v>
      </c>
      <c r="B21" s="97" t="s">
        <v>118</v>
      </c>
      <c r="C21" s="94" t="s">
        <v>119</v>
      </c>
      <c r="D21" s="104">
        <f>+'SuppSch TME0312'!W47</f>
        <v>251355</v>
      </c>
      <c r="E21" s="104">
        <f>+'SuppSch TME0312'!W48</f>
        <v>304241</v>
      </c>
      <c r="F21" s="104">
        <f>+'SuppSch TME0312'!W49</f>
        <v>264863</v>
      </c>
      <c r="G21" s="104">
        <f>+'SuppSch TME0312'!W50</f>
        <v>325912</v>
      </c>
      <c r="H21" s="104">
        <f>+'SuppSch TME0312'!W51</f>
        <v>420864</v>
      </c>
      <c r="I21" s="104">
        <f>+'SuppSch TME0312'!W52</f>
        <v>315279</v>
      </c>
      <c r="K21" s="110">
        <f>SUM(D21:I21)</f>
        <v>1882514</v>
      </c>
      <c r="M21" s="102"/>
    </row>
    <row r="22" spans="1:13" x14ac:dyDescent="0.2">
      <c r="A22" s="96"/>
      <c r="B22" s="105" t="s">
        <v>120</v>
      </c>
      <c r="M22" s="102"/>
    </row>
    <row r="23" spans="1:13" x14ac:dyDescent="0.2">
      <c r="A23" s="96">
        <f>-1+A21</f>
        <v>-15</v>
      </c>
      <c r="B23" s="106" t="s">
        <v>121</v>
      </c>
      <c r="C23" s="94" t="s">
        <v>109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M23" s="102"/>
    </row>
    <row r="24" spans="1:13" x14ac:dyDescent="0.2">
      <c r="A24" s="96"/>
      <c r="M24" s="102"/>
    </row>
    <row r="25" spans="1:13" x14ac:dyDescent="0.2">
      <c r="A25" s="96">
        <f>-1+A23</f>
        <v>-16</v>
      </c>
      <c r="B25" s="97" t="s">
        <v>131</v>
      </c>
      <c r="D25" s="107">
        <f>ROUND((D19*D20)+D21-D23,0)</f>
        <v>849023</v>
      </c>
      <c r="E25" s="107">
        <f t="shared" ref="E25:I25" si="7">ROUND((E19*E20)+E21-E23,0)</f>
        <v>910820</v>
      </c>
      <c r="F25" s="107">
        <f t="shared" si="7"/>
        <v>842357</v>
      </c>
      <c r="G25" s="107">
        <f t="shared" si="7"/>
        <v>901985</v>
      </c>
      <c r="H25" s="107">
        <f t="shared" si="7"/>
        <v>993831</v>
      </c>
      <c r="I25" s="107">
        <f t="shared" si="7"/>
        <v>885329</v>
      </c>
      <c r="M25" s="102"/>
    </row>
    <row r="26" spans="1:13" x14ac:dyDescent="0.2">
      <c r="A26" s="96"/>
      <c r="M26" s="102"/>
    </row>
    <row r="27" spans="1:13" x14ac:dyDescent="0.2">
      <c r="A27" s="96">
        <f>-1+A25</f>
        <v>-17</v>
      </c>
      <c r="B27" s="97" t="s">
        <v>122</v>
      </c>
      <c r="C27" s="94" t="s">
        <v>117</v>
      </c>
      <c r="D27" s="108">
        <f>ROUND('SuppSch TME0312'!D48,4)</f>
        <v>0.86499999999999999</v>
      </c>
      <c r="E27" s="108">
        <f>ROUND('SuppSch TME0312'!D49,4)</f>
        <v>0.86819999999999997</v>
      </c>
      <c r="F27" s="108">
        <f>ROUND('SuppSch TME0312'!D50,4)</f>
        <v>0.92269999999999996</v>
      </c>
      <c r="G27" s="108">
        <f>ROUND('SuppSch TME0312'!D51,4)</f>
        <v>0.91800000000000004</v>
      </c>
      <c r="H27" s="108">
        <f>ROUND('SuppSch TME0312'!D52,4)</f>
        <v>0.93589999999999995</v>
      </c>
      <c r="I27" s="108">
        <f>ROUND('SuppSch TME0312'!D53,4)</f>
        <v>0.87549999999999994</v>
      </c>
    </row>
    <row r="28" spans="1:13" x14ac:dyDescent="0.2">
      <c r="A28" s="96"/>
    </row>
    <row r="29" spans="1:13" ht="12" thickBot="1" x14ac:dyDescent="0.25">
      <c r="A29" s="96">
        <f>-1+A27</f>
        <v>-18</v>
      </c>
      <c r="B29" s="97" t="s">
        <v>123</v>
      </c>
      <c r="D29" s="109">
        <f t="shared" ref="D29:I29" si="8">ROUND(+D25*D27,0)</f>
        <v>734405</v>
      </c>
      <c r="E29" s="109">
        <f t="shared" si="8"/>
        <v>790774</v>
      </c>
      <c r="F29" s="109">
        <f>ROUND(+F25*F27,0)+2</f>
        <v>777245</v>
      </c>
      <c r="G29" s="109">
        <f t="shared" si="8"/>
        <v>828022</v>
      </c>
      <c r="H29" s="109">
        <f t="shared" si="8"/>
        <v>930126</v>
      </c>
      <c r="I29" s="109">
        <f t="shared" si="8"/>
        <v>775106</v>
      </c>
      <c r="K29" s="110">
        <f>SUM(D29:I29)</f>
        <v>4835678</v>
      </c>
    </row>
    <row r="30" spans="1:13" ht="12" thickTop="1" x14ac:dyDescent="0.2"/>
    <row r="31" spans="1:13" ht="12" thickBot="1" x14ac:dyDescent="0.25">
      <c r="A31" s="111">
        <f>-1+A29</f>
        <v>-19</v>
      </c>
      <c r="B31" s="112" t="s">
        <v>138</v>
      </c>
      <c r="C31" s="41"/>
      <c r="D31" s="113">
        <f>+D21-D23</f>
        <v>251355</v>
      </c>
      <c r="E31" s="113">
        <f t="shared" ref="E31:I31" si="9">+E21-E23</f>
        <v>304241</v>
      </c>
      <c r="F31" s="113">
        <f t="shared" si="9"/>
        <v>264863</v>
      </c>
      <c r="G31" s="113">
        <f t="shared" si="9"/>
        <v>325912</v>
      </c>
      <c r="H31" s="113">
        <f t="shared" si="9"/>
        <v>420864</v>
      </c>
      <c r="I31" s="113">
        <f t="shared" si="9"/>
        <v>315279</v>
      </c>
      <c r="K31" s="110">
        <f>SUM(D31:I31)</f>
        <v>1882514</v>
      </c>
    </row>
    <row r="32" spans="1:13" ht="12" thickTop="1" x14ac:dyDescent="0.2">
      <c r="L32" s="114"/>
    </row>
    <row r="33" spans="1:12" x14ac:dyDescent="0.2">
      <c r="L33" s="114"/>
    </row>
    <row r="34" spans="1:12" x14ac:dyDescent="0.2">
      <c r="A34" s="94" t="s">
        <v>102</v>
      </c>
      <c r="C34" s="94" t="s">
        <v>103</v>
      </c>
      <c r="D34" s="95">
        <v>40847</v>
      </c>
      <c r="E34" s="95">
        <v>40877</v>
      </c>
      <c r="F34" s="95">
        <v>40908</v>
      </c>
      <c r="G34" s="95">
        <v>40939</v>
      </c>
      <c r="H34" s="95">
        <v>40968</v>
      </c>
      <c r="I34" s="95">
        <v>40999</v>
      </c>
      <c r="L34" s="114"/>
    </row>
    <row r="35" spans="1:12" x14ac:dyDescent="0.2">
      <c r="A35" s="94"/>
      <c r="L35" s="114"/>
    </row>
    <row r="36" spans="1:12" x14ac:dyDescent="0.2">
      <c r="A36" s="96">
        <v>-1</v>
      </c>
      <c r="B36" s="97" t="s">
        <v>104</v>
      </c>
      <c r="C36" s="94" t="s">
        <v>105</v>
      </c>
      <c r="D36" s="98">
        <v>64865222</v>
      </c>
      <c r="E36" s="98">
        <v>64865222</v>
      </c>
      <c r="F36" s="98">
        <v>64865222</v>
      </c>
      <c r="G36" s="98">
        <v>64865222</v>
      </c>
      <c r="H36" s="98">
        <v>64865222</v>
      </c>
      <c r="I36" s="98">
        <v>66536312</v>
      </c>
      <c r="L36" s="114"/>
    </row>
    <row r="37" spans="1:12" x14ac:dyDescent="0.2">
      <c r="A37" s="96">
        <f>-1+A36</f>
        <v>-2</v>
      </c>
      <c r="B37" s="97" t="s">
        <v>106</v>
      </c>
      <c r="C37" s="94" t="s">
        <v>105</v>
      </c>
      <c r="D37" s="99">
        <v>1651248</v>
      </c>
      <c r="E37" s="99">
        <v>1686057</v>
      </c>
      <c r="F37" s="99">
        <v>1600267</v>
      </c>
      <c r="G37" s="99">
        <v>1639354</v>
      </c>
      <c r="H37" s="99">
        <v>1637666</v>
      </c>
      <c r="I37" s="99">
        <v>2669</v>
      </c>
      <c r="L37" s="114"/>
    </row>
    <row r="38" spans="1:12" x14ac:dyDescent="0.2">
      <c r="A38" s="96">
        <f t="shared" ref="A38:A45" si="10">-1+A37</f>
        <v>-3</v>
      </c>
      <c r="B38" s="97" t="s">
        <v>107</v>
      </c>
      <c r="D38" s="98">
        <f t="shared" ref="D38:I38" si="11">+D36+D37</f>
        <v>66516470</v>
      </c>
      <c r="E38" s="98">
        <f t="shared" si="11"/>
        <v>66551279</v>
      </c>
      <c r="F38" s="98">
        <f t="shared" si="11"/>
        <v>66465489</v>
      </c>
      <c r="G38" s="98">
        <f t="shared" si="11"/>
        <v>66504576</v>
      </c>
      <c r="H38" s="98">
        <f t="shared" si="11"/>
        <v>66502888</v>
      </c>
      <c r="I38" s="98">
        <f t="shared" si="11"/>
        <v>66538981</v>
      </c>
      <c r="L38" s="114"/>
    </row>
    <row r="39" spans="1:12" x14ac:dyDescent="0.2">
      <c r="A39" s="96">
        <f t="shared" si="10"/>
        <v>-4</v>
      </c>
      <c r="B39" s="97" t="s">
        <v>108</v>
      </c>
      <c r="L39" s="114"/>
    </row>
    <row r="40" spans="1:12" x14ac:dyDescent="0.2">
      <c r="A40" s="96">
        <f t="shared" si="10"/>
        <v>-5</v>
      </c>
      <c r="B40" s="97" t="s">
        <v>111</v>
      </c>
      <c r="C40" s="94" t="s">
        <v>109</v>
      </c>
      <c r="D40" s="99">
        <v>216231</v>
      </c>
      <c r="E40" s="99">
        <v>213035</v>
      </c>
      <c r="F40" s="99">
        <v>209839</v>
      </c>
      <c r="G40" s="99">
        <v>214428</v>
      </c>
      <c r="H40" s="99">
        <v>214549</v>
      </c>
      <c r="I40" s="99">
        <v>209372</v>
      </c>
      <c r="L40" s="114"/>
    </row>
    <row r="41" spans="1:12" x14ac:dyDescent="0.2">
      <c r="A41" s="96">
        <f t="shared" si="10"/>
        <v>-6</v>
      </c>
      <c r="B41" s="97" t="s">
        <v>107</v>
      </c>
      <c r="D41" s="98">
        <f>+D40</f>
        <v>216231</v>
      </c>
      <c r="E41" s="98">
        <f t="shared" ref="E41:I41" si="12">+E40</f>
        <v>213035</v>
      </c>
      <c r="F41" s="98">
        <f t="shared" si="12"/>
        <v>209839</v>
      </c>
      <c r="G41" s="98">
        <f t="shared" si="12"/>
        <v>214428</v>
      </c>
      <c r="H41" s="98">
        <f t="shared" si="12"/>
        <v>214549</v>
      </c>
      <c r="I41" s="98">
        <f t="shared" si="12"/>
        <v>209372</v>
      </c>
    </row>
    <row r="42" spans="1:12" x14ac:dyDescent="0.2">
      <c r="A42" s="96">
        <f t="shared" si="10"/>
        <v>-7</v>
      </c>
      <c r="B42" s="97" t="s">
        <v>113</v>
      </c>
    </row>
    <row r="43" spans="1:12" x14ac:dyDescent="0.2">
      <c r="A43" s="96">
        <f t="shared" si="10"/>
        <v>-8</v>
      </c>
      <c r="B43" s="97" t="s">
        <v>114</v>
      </c>
      <c r="C43" s="94" t="s">
        <v>105</v>
      </c>
      <c r="D43" s="98">
        <v>3671836</v>
      </c>
      <c r="E43" s="98">
        <v>3888775</v>
      </c>
      <c r="F43" s="98">
        <v>4105713</v>
      </c>
      <c r="G43" s="98">
        <v>4322651</v>
      </c>
      <c r="H43" s="98">
        <v>4539589</v>
      </c>
      <c r="I43" s="98">
        <v>4758788</v>
      </c>
    </row>
    <row r="44" spans="1:12" x14ac:dyDescent="0.2">
      <c r="A44" s="96">
        <f t="shared" si="10"/>
        <v>-9</v>
      </c>
      <c r="B44" s="100" t="s">
        <v>115</v>
      </c>
      <c r="C44" s="94" t="s">
        <v>105</v>
      </c>
      <c r="D44" s="99">
        <v>2917365</v>
      </c>
      <c r="E44" s="99">
        <v>3067363</v>
      </c>
      <c r="F44" s="99">
        <v>3217100</v>
      </c>
      <c r="G44" s="99">
        <v>3325745</v>
      </c>
      <c r="H44" s="99">
        <v>3434236</v>
      </c>
      <c r="I44" s="99">
        <v>3544740</v>
      </c>
    </row>
    <row r="45" spans="1:12" x14ac:dyDescent="0.2">
      <c r="A45" s="96">
        <f t="shared" si="10"/>
        <v>-10</v>
      </c>
      <c r="B45" s="97" t="s">
        <v>107</v>
      </c>
      <c r="D45" s="101">
        <f t="shared" ref="D45:I45" si="13">SUM(D43:D44)</f>
        <v>6589201</v>
      </c>
      <c r="E45" s="101">
        <f t="shared" si="13"/>
        <v>6956138</v>
      </c>
      <c r="F45" s="101">
        <f t="shared" si="13"/>
        <v>7322813</v>
      </c>
      <c r="G45" s="101">
        <f t="shared" si="13"/>
        <v>7648396</v>
      </c>
      <c r="H45" s="101">
        <f t="shared" si="13"/>
        <v>7973825</v>
      </c>
      <c r="I45" s="101">
        <f t="shared" si="13"/>
        <v>8303528</v>
      </c>
    </row>
    <row r="46" spans="1:12" x14ac:dyDescent="0.2">
      <c r="A46" s="96"/>
      <c r="B46" s="97"/>
    </row>
    <row r="47" spans="1:12" x14ac:dyDescent="0.2">
      <c r="A47" s="96">
        <f>-1+A45</f>
        <v>-11</v>
      </c>
      <c r="B47" s="97" t="s">
        <v>129</v>
      </c>
      <c r="D47" s="103">
        <f t="shared" ref="D47:I47" si="14">+D38+D41-D45</f>
        <v>60143500</v>
      </c>
      <c r="E47" s="103">
        <f t="shared" si="14"/>
        <v>59808176</v>
      </c>
      <c r="F47" s="103">
        <f t="shared" si="14"/>
        <v>59352515</v>
      </c>
      <c r="G47" s="103">
        <f t="shared" si="14"/>
        <v>59070608</v>
      </c>
      <c r="H47" s="103">
        <f t="shared" si="14"/>
        <v>58743612</v>
      </c>
      <c r="I47" s="103">
        <f t="shared" si="14"/>
        <v>58444825</v>
      </c>
    </row>
    <row r="48" spans="1:12" x14ac:dyDescent="0.2">
      <c r="A48" s="96"/>
    </row>
    <row r="49" spans="1:12" x14ac:dyDescent="0.2">
      <c r="A49" s="96">
        <f>-1+A47</f>
        <v>-12</v>
      </c>
      <c r="B49" s="97" t="s">
        <v>130</v>
      </c>
      <c r="D49" s="98">
        <f t="shared" ref="D49:I49" si="15">ROUND(+D47/12,0)</f>
        <v>5011958</v>
      </c>
      <c r="E49" s="98">
        <f t="shared" si="15"/>
        <v>4984015</v>
      </c>
      <c r="F49" s="98">
        <f t="shared" si="15"/>
        <v>4946043</v>
      </c>
      <c r="G49" s="98">
        <f t="shared" si="15"/>
        <v>4922551</v>
      </c>
      <c r="H49" s="98">
        <f t="shared" si="15"/>
        <v>4895301</v>
      </c>
      <c r="I49" s="98">
        <f t="shared" si="15"/>
        <v>4870402</v>
      </c>
    </row>
    <row r="50" spans="1:12" x14ac:dyDescent="0.2">
      <c r="A50" s="96">
        <f t="shared" ref="A50:A51" si="16">-1+A49</f>
        <v>-13</v>
      </c>
      <c r="B50" s="97" t="s">
        <v>116</v>
      </c>
      <c r="C50" s="94" t="s">
        <v>110</v>
      </c>
      <c r="D50" s="102">
        <v>0.11310000000000001</v>
      </c>
      <c r="E50" s="102">
        <v>0.11310000000000001</v>
      </c>
      <c r="F50" s="102">
        <v>0.11310000000000001</v>
      </c>
      <c r="G50" s="102">
        <v>0.1082</v>
      </c>
      <c r="H50" s="102">
        <v>0.1082</v>
      </c>
      <c r="I50" s="102">
        <v>0.1082</v>
      </c>
    </row>
    <row r="51" spans="1:12" x14ac:dyDescent="0.2">
      <c r="A51" s="96">
        <f t="shared" si="16"/>
        <v>-14</v>
      </c>
      <c r="B51" s="97" t="s">
        <v>118</v>
      </c>
      <c r="C51" s="94" t="s">
        <v>112</v>
      </c>
      <c r="D51" s="104">
        <f>+'SuppSch TME0312'!W53</f>
        <v>255361</v>
      </c>
      <c r="E51" s="104">
        <f>+'SuppSch TME0312'!W54</f>
        <v>289696</v>
      </c>
      <c r="F51" s="104">
        <f>+'SuppSch TME0312'!W55</f>
        <v>335539</v>
      </c>
      <c r="G51" s="104">
        <f>+'SuppSch TME0312'!W56</f>
        <v>342554</v>
      </c>
      <c r="H51" s="104">
        <f>+'SuppSch TME0312'!W57</f>
        <v>365960</v>
      </c>
      <c r="I51" s="115">
        <f>+'SuppSch TME0312'!W58</f>
        <v>315961</v>
      </c>
      <c r="K51" s="110">
        <f>SUM(D51:I51)</f>
        <v>1905071</v>
      </c>
      <c r="L51" s="104"/>
    </row>
    <row r="52" spans="1:12" x14ac:dyDescent="0.2">
      <c r="A52" s="96"/>
      <c r="B52" s="105" t="s">
        <v>120</v>
      </c>
      <c r="I52" s="104"/>
    </row>
    <row r="53" spans="1:12" x14ac:dyDescent="0.2">
      <c r="A53" s="96">
        <f>-1+A51</f>
        <v>-15</v>
      </c>
      <c r="B53" s="106" t="s">
        <v>121</v>
      </c>
      <c r="C53" s="94" t="s">
        <v>117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-223921</v>
      </c>
      <c r="K53" s="104">
        <f>+I53</f>
        <v>-223921</v>
      </c>
    </row>
    <row r="54" spans="1:12" x14ac:dyDescent="0.2">
      <c r="A54" s="96"/>
    </row>
    <row r="55" spans="1:12" x14ac:dyDescent="0.2">
      <c r="A55" s="96">
        <f>-1+A53</f>
        <v>-16</v>
      </c>
      <c r="B55" s="97" t="s">
        <v>131</v>
      </c>
      <c r="D55" s="107">
        <f t="shared" ref="D55:I55" si="17">ROUND((D49*D50)+D51-D53,0)</f>
        <v>822213</v>
      </c>
      <c r="E55" s="107">
        <f t="shared" si="17"/>
        <v>853388</v>
      </c>
      <c r="F55" s="107">
        <f t="shared" si="17"/>
        <v>894936</v>
      </c>
      <c r="G55" s="107">
        <f t="shared" si="17"/>
        <v>875174</v>
      </c>
      <c r="H55" s="107">
        <f t="shared" si="17"/>
        <v>895632</v>
      </c>
      <c r="I55" s="107">
        <f t="shared" si="17"/>
        <v>1066859</v>
      </c>
    </row>
    <row r="56" spans="1:12" x14ac:dyDescent="0.2">
      <c r="A56" s="96"/>
    </row>
    <row r="57" spans="1:12" x14ac:dyDescent="0.2">
      <c r="A57" s="96">
        <f>-1+A55</f>
        <v>-17</v>
      </c>
      <c r="B57" s="97" t="s">
        <v>122</v>
      </c>
      <c r="C57" s="94" t="s">
        <v>119</v>
      </c>
      <c r="D57" s="108">
        <f>ROUND('SuppSch TME0312'!D54,4)</f>
        <v>0.82679999999999998</v>
      </c>
      <c r="E57" s="108">
        <f>ROUND('SuppSch TME0312'!D55,4)</f>
        <v>0.81950000000000001</v>
      </c>
      <c r="F57" s="108">
        <f>ROUND('SuppSch TME0312'!D56,4)</f>
        <v>0.8115</v>
      </c>
      <c r="G57" s="108">
        <f>ROUND('SuppSch TME0312'!D57,4)</f>
        <v>0.85040000000000004</v>
      </c>
      <c r="H57" s="108">
        <f>ROUND('SuppSch TME0312'!D58,4)</f>
        <v>0.90500000000000003</v>
      </c>
      <c r="I57" s="108">
        <f>ROUND('SuppSch TME0312'!D59,4)</f>
        <v>0.89219999999999999</v>
      </c>
    </row>
    <row r="58" spans="1:12" x14ac:dyDescent="0.2">
      <c r="A58" s="96"/>
    </row>
    <row r="59" spans="1:12" ht="12" thickBot="1" x14ac:dyDescent="0.25">
      <c r="A59" s="96">
        <f>-1+A57</f>
        <v>-18</v>
      </c>
      <c r="B59" s="97" t="s">
        <v>123</v>
      </c>
      <c r="D59" s="109">
        <f t="shared" ref="D59:I59" si="18">ROUND(+D55*D57,0)</f>
        <v>679806</v>
      </c>
      <c r="E59" s="109">
        <f t="shared" si="18"/>
        <v>699351</v>
      </c>
      <c r="F59" s="109">
        <f>ROUND(+F55*F57,0)+1</f>
        <v>726242</v>
      </c>
      <c r="G59" s="109">
        <f t="shared" si="18"/>
        <v>744248</v>
      </c>
      <c r="H59" s="109">
        <f>ROUND(+H55*H57,0)+1</f>
        <v>810548</v>
      </c>
      <c r="I59" s="109">
        <f t="shared" si="18"/>
        <v>951852</v>
      </c>
      <c r="K59" s="110">
        <f>SUM(D59:I59)</f>
        <v>4612047</v>
      </c>
      <c r="L59" s="110">
        <f>+K59+K29</f>
        <v>9447725</v>
      </c>
    </row>
    <row r="60" spans="1:12" ht="12" thickTop="1" x14ac:dyDescent="0.2"/>
    <row r="61" spans="1:12" ht="12" thickBot="1" x14ac:dyDescent="0.25">
      <c r="A61" s="111">
        <f>-1+A59</f>
        <v>-19</v>
      </c>
      <c r="B61" s="112" t="s">
        <v>138</v>
      </c>
      <c r="C61" s="41"/>
      <c r="D61" s="113">
        <f>+D51-D53</f>
        <v>255361</v>
      </c>
      <c r="E61" s="113">
        <f t="shared" ref="E61:I61" si="19">+E51-E53</f>
        <v>289696</v>
      </c>
      <c r="F61" s="113">
        <f t="shared" si="19"/>
        <v>335539</v>
      </c>
      <c r="G61" s="113">
        <f t="shared" si="19"/>
        <v>342554</v>
      </c>
      <c r="H61" s="113">
        <f t="shared" si="19"/>
        <v>365960</v>
      </c>
      <c r="I61" s="113">
        <f t="shared" si="19"/>
        <v>539882</v>
      </c>
      <c r="K61" s="110">
        <f>SUM(D61:I61)</f>
        <v>2128992</v>
      </c>
      <c r="L61" s="110">
        <f>+K61+K31</f>
        <v>4011506</v>
      </c>
    </row>
    <row r="62" spans="1:12" ht="12" thickTop="1" x14ac:dyDescent="0.2"/>
    <row r="64" spans="1:12" x14ac:dyDescent="0.2">
      <c r="A64" s="94" t="s">
        <v>105</v>
      </c>
      <c r="B64" s="93" t="s">
        <v>124</v>
      </c>
    </row>
    <row r="65" spans="1:2" x14ac:dyDescent="0.2">
      <c r="A65" s="94" t="s">
        <v>109</v>
      </c>
      <c r="B65" s="93" t="s">
        <v>125</v>
      </c>
    </row>
    <row r="66" spans="1:2" x14ac:dyDescent="0.2">
      <c r="A66" s="94" t="s">
        <v>110</v>
      </c>
      <c r="B66" s="93" t="s">
        <v>126</v>
      </c>
    </row>
    <row r="67" spans="1:2" x14ac:dyDescent="0.2">
      <c r="A67" s="94" t="s">
        <v>112</v>
      </c>
      <c r="B67" s="93" t="s">
        <v>127</v>
      </c>
    </row>
    <row r="68" spans="1:2" x14ac:dyDescent="0.2">
      <c r="A68" s="94" t="s">
        <v>117</v>
      </c>
      <c r="B68" s="37" t="s">
        <v>133</v>
      </c>
    </row>
    <row r="69" spans="1:2" x14ac:dyDescent="0.2">
      <c r="A69" s="94" t="s">
        <v>119</v>
      </c>
      <c r="B69" s="37" t="s">
        <v>132</v>
      </c>
    </row>
  </sheetData>
  <pageMargins left="0.75" right="0.5" top="1.25" bottom="0.75" header="0.55000000000000004" footer="0.55000000000000004"/>
  <pageSetup scale="77" orientation="portrait" r:id="rId1"/>
  <headerFooter>
    <oddHeader>&amp;R&amp;"Times New Roman,Bold"&amp;12Conroy Exhibit P4
Page &amp;P of &amp;N</oddHeader>
  </headerFooter>
  <ignoredErrors>
    <ignoredError sqref="F29 F59 H5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zoomScaleNormal="100" zoomScaleSheetLayoutView="90" workbookViewId="0">
      <selection activeCell="G28" sqref="G28"/>
    </sheetView>
  </sheetViews>
  <sheetFormatPr defaultRowHeight="11.25" x14ac:dyDescent="0.2"/>
  <cols>
    <col min="1" max="1" width="10.6640625" style="37" customWidth="1"/>
    <col min="2" max="2" width="13.6640625" style="37" customWidth="1"/>
    <col min="3" max="3" width="15.6640625" style="37" customWidth="1"/>
    <col min="4" max="4" width="13.5" style="37" customWidth="1"/>
    <col min="5" max="6" width="12" style="37" customWidth="1"/>
    <col min="7" max="7" width="11.33203125" style="37" customWidth="1"/>
    <col min="8" max="8" width="12.1640625" style="37" customWidth="1"/>
    <col min="9" max="10" width="11.5" style="37" customWidth="1"/>
    <col min="11" max="11" width="11.83203125" style="37" customWidth="1"/>
    <col min="12" max="12" width="0.83203125" style="37" customWidth="1"/>
    <col min="13" max="13" width="10.6640625" style="37" customWidth="1"/>
    <col min="14" max="14" width="13.6640625" style="37" customWidth="1"/>
    <col min="15" max="15" width="15.6640625" style="37" customWidth="1"/>
    <col min="16" max="18" width="12" style="37" customWidth="1"/>
    <col min="19" max="19" width="11.33203125" style="37" customWidth="1"/>
    <col min="20" max="20" width="12.1640625" style="37" customWidth="1"/>
    <col min="21" max="22" width="11.5" style="37" customWidth="1"/>
    <col min="23" max="23" width="11.83203125" style="37" customWidth="1"/>
    <col min="24" max="24" width="1" style="37" customWidth="1"/>
    <col min="25" max="25" width="10.6640625" style="37" customWidth="1"/>
    <col min="26" max="26" width="13.6640625" style="37" customWidth="1"/>
    <col min="27" max="27" width="15.6640625" style="37" customWidth="1"/>
    <col min="28" max="30" width="12" style="37" customWidth="1"/>
    <col min="31" max="31" width="11.33203125" style="37" customWidth="1"/>
    <col min="32" max="32" width="12.1640625" style="37" customWidth="1"/>
    <col min="33" max="34" width="11.5" style="37" customWidth="1"/>
    <col min="35" max="35" width="11.83203125" style="37" customWidth="1"/>
    <col min="36" max="16384" width="9.33203125" style="37"/>
  </cols>
  <sheetData>
    <row r="1" spans="1:35" x14ac:dyDescent="0.2">
      <c r="A1" s="52" t="s">
        <v>100</v>
      </c>
      <c r="M1" s="52" t="s">
        <v>100</v>
      </c>
      <c r="Y1" s="52" t="s">
        <v>100</v>
      </c>
    </row>
    <row r="2" spans="1:35" x14ac:dyDescent="0.2">
      <c r="A2" s="52" t="s">
        <v>93</v>
      </c>
      <c r="M2" s="52" t="s">
        <v>93</v>
      </c>
      <c r="Y2" s="52" t="s">
        <v>93</v>
      </c>
    </row>
    <row r="3" spans="1:35" x14ac:dyDescent="0.2">
      <c r="M3" s="52" t="s">
        <v>66</v>
      </c>
      <c r="Y3" s="52" t="s">
        <v>96</v>
      </c>
    </row>
    <row r="4" spans="1:35" ht="33.75" x14ac:dyDescent="0.2">
      <c r="A4" s="52" t="s">
        <v>92</v>
      </c>
      <c r="B4" s="68" t="s">
        <v>25</v>
      </c>
      <c r="C4" s="68" t="s">
        <v>26</v>
      </c>
      <c r="D4" s="117" t="s">
        <v>27</v>
      </c>
      <c r="E4" s="117"/>
      <c r="F4" s="117"/>
      <c r="G4" s="68" t="s">
        <v>70</v>
      </c>
      <c r="H4" s="68" t="s">
        <v>73</v>
      </c>
      <c r="I4" s="69" t="s">
        <v>85</v>
      </c>
      <c r="J4" s="68" t="s">
        <v>72</v>
      </c>
      <c r="K4" s="68" t="s">
        <v>28</v>
      </c>
      <c r="M4" s="52" t="s">
        <v>48</v>
      </c>
      <c r="N4" s="68" t="s">
        <v>25</v>
      </c>
      <c r="O4" s="68" t="s">
        <v>26</v>
      </c>
      <c r="P4" s="117" t="s">
        <v>27</v>
      </c>
      <c r="Q4" s="117"/>
      <c r="R4" s="117"/>
      <c r="S4" s="68" t="s">
        <v>70</v>
      </c>
      <c r="T4" s="68" t="s">
        <v>73</v>
      </c>
      <c r="U4" s="69" t="s">
        <v>85</v>
      </c>
      <c r="V4" s="68" t="s">
        <v>72</v>
      </c>
      <c r="W4" s="68" t="s">
        <v>28</v>
      </c>
      <c r="Y4" s="52" t="s">
        <v>64</v>
      </c>
      <c r="Z4" s="68" t="s">
        <v>25</v>
      </c>
      <c r="AA4" s="68" t="s">
        <v>26</v>
      </c>
      <c r="AB4" s="117" t="s">
        <v>27</v>
      </c>
      <c r="AC4" s="117"/>
      <c r="AD4" s="117"/>
      <c r="AE4" s="68" t="s">
        <v>70</v>
      </c>
      <c r="AF4" s="68" t="s">
        <v>73</v>
      </c>
      <c r="AG4" s="69" t="s">
        <v>85</v>
      </c>
      <c r="AH4" s="68" t="s">
        <v>72</v>
      </c>
      <c r="AI4" s="68" t="s">
        <v>28</v>
      </c>
    </row>
    <row r="5" spans="1:35" x14ac:dyDescent="0.2">
      <c r="B5" s="68" t="s">
        <v>29</v>
      </c>
      <c r="C5" s="40"/>
      <c r="D5" s="40" t="s">
        <v>30</v>
      </c>
      <c r="E5" s="40" t="s">
        <v>31</v>
      </c>
      <c r="F5" s="68" t="s">
        <v>32</v>
      </c>
      <c r="H5" s="69" t="s">
        <v>83</v>
      </c>
      <c r="I5" s="69" t="s">
        <v>86</v>
      </c>
      <c r="N5" s="68" t="s">
        <v>29</v>
      </c>
      <c r="O5" s="40"/>
      <c r="P5" s="40" t="s">
        <v>30</v>
      </c>
      <c r="Q5" s="40" t="s">
        <v>31</v>
      </c>
      <c r="R5" s="68" t="s">
        <v>32</v>
      </c>
      <c r="T5" s="69" t="s">
        <v>83</v>
      </c>
      <c r="U5" s="69" t="s">
        <v>86</v>
      </c>
      <c r="Z5" s="68" t="s">
        <v>29</v>
      </c>
      <c r="AA5" s="40"/>
      <c r="AB5" s="40" t="s">
        <v>30</v>
      </c>
      <c r="AC5" s="40" t="s">
        <v>31</v>
      </c>
      <c r="AD5" s="68" t="s">
        <v>32</v>
      </c>
      <c r="AF5" s="69" t="s">
        <v>83</v>
      </c>
      <c r="AG5" s="69" t="s">
        <v>86</v>
      </c>
    </row>
    <row r="6" spans="1:35" x14ac:dyDescent="0.2">
      <c r="A6" s="70">
        <f>+'SuppSch TME0312 by Plan'!A6</f>
        <v>40663</v>
      </c>
      <c r="B6" s="44">
        <f>+'SuppSch TME0312 by Plan'!B6+'SuppSch TME0312 by Plan'!L6+'SuppSch TME0312 by Plan'!V6+'SuppSch TME0312 by Plan'!AF6</f>
        <v>211473</v>
      </c>
      <c r="C6" s="44">
        <f>+'SuppSch TME0312 by Plan'!C6+'SuppSch TME0312 by Plan'!M6+'SuppSch TME0312 by Plan'!W6+'SuppSch TME0312 by Plan'!AG6</f>
        <v>9298.98</v>
      </c>
      <c r="D6" s="44">
        <f>+'SuppSch TME0312 by Plan'!D6+'SuppSch TME0312 by Plan'!N6+'SuppSch TME0312 by Plan'!X6+'SuppSch TME0312 by Plan'!AH6</f>
        <v>35899</v>
      </c>
      <c r="E6" s="44">
        <f>+'SuppSch TME0312 by Plan'!E6+'SuppSch TME0312 by Plan'!O6+'SuppSch TME0312 by Plan'!Y6+'SuppSch TME0312 by Plan'!AI6</f>
        <v>53324.51</v>
      </c>
      <c r="F6" s="44">
        <f>+'SuppSch TME0312 by Plan'!F6+'SuppSch TME0312 by Plan'!P6+'SuppSch TME0312 by Plan'!Z6+'SuppSch TME0312 by Plan'!AJ6</f>
        <v>12797.51</v>
      </c>
      <c r="G6" s="44">
        <f>+'SuppSch TME0312 by Plan'!R6</f>
        <v>-14527</v>
      </c>
      <c r="H6" s="44">
        <f>+'SuppSch TME0312 by Plan'!AA6</f>
        <v>0</v>
      </c>
      <c r="I6" s="44">
        <f>+'SuppSch TME0312 by Plan'!AB6</f>
        <v>0</v>
      </c>
      <c r="J6" s="44">
        <f>+'SuppSch TME0312 by Plan'!AL6</f>
        <v>0</v>
      </c>
      <c r="K6" s="44">
        <f>SUM(B6:J6)</f>
        <v>308266</v>
      </c>
      <c r="L6" s="44"/>
      <c r="M6" s="70">
        <f>+$A6</f>
        <v>40663</v>
      </c>
      <c r="N6" s="44">
        <f>+'SuppSch TME0312 by Plan'!B6</f>
        <v>40616</v>
      </c>
      <c r="O6" s="44">
        <f>+'SuppSch TME0312 by Plan'!C6</f>
        <v>2166</v>
      </c>
      <c r="P6" s="44">
        <f>+'SuppSch TME0312 by Plan'!D6</f>
        <v>35899</v>
      </c>
      <c r="Q6" s="44">
        <f>+'SuppSch TME0312 by Plan'!E6</f>
        <v>0</v>
      </c>
      <c r="R6" s="44">
        <f>+'SuppSch TME0312 by Plan'!F6</f>
        <v>0</v>
      </c>
      <c r="S6" s="44">
        <f>+'SuppSch TME0312 by Plan'!H6</f>
        <v>0</v>
      </c>
      <c r="T6" s="44">
        <f>+'SuppSch TME0312 by Plan'!G6</f>
        <v>0</v>
      </c>
      <c r="U6" s="44">
        <v>0</v>
      </c>
      <c r="V6" s="44">
        <v>0</v>
      </c>
      <c r="W6" s="44">
        <f>SUM(N6:V6)</f>
        <v>78681</v>
      </c>
      <c r="X6" s="44"/>
      <c r="Y6" s="70">
        <f>+$A6</f>
        <v>40663</v>
      </c>
      <c r="Z6" s="44">
        <f>+'SuppSch TME0312 by Plan'!V6</f>
        <v>0</v>
      </c>
      <c r="AA6" s="44">
        <f>+'SuppSch TME0312 by Plan'!W6</f>
        <v>988.98</v>
      </c>
      <c r="AB6" s="44">
        <f>+'SuppSch TME0312 by Plan'!X6</f>
        <v>0</v>
      </c>
      <c r="AC6" s="44">
        <f>+'SuppSch TME0312 by Plan'!Y6</f>
        <v>0</v>
      </c>
      <c r="AD6" s="44">
        <f>+'SuppSch TME0312 by Plan'!Z6</f>
        <v>0</v>
      </c>
      <c r="AE6" s="44">
        <v>0</v>
      </c>
      <c r="AF6" s="44">
        <f>+'SuppSch TME0312 by Plan'!AA6</f>
        <v>0</v>
      </c>
      <c r="AG6" s="44">
        <f>+'SuppSch TME0312 by Plan'!AB6</f>
        <v>0</v>
      </c>
      <c r="AH6" s="44">
        <v>0</v>
      </c>
      <c r="AI6" s="44">
        <f>SUM(Z6:AH6)</f>
        <v>988.98</v>
      </c>
    </row>
    <row r="7" spans="1:35" x14ac:dyDescent="0.2">
      <c r="A7" s="70">
        <f>+'SuppSch TME0312 by Plan'!A7</f>
        <v>40694</v>
      </c>
      <c r="B7" s="44">
        <f>+'SuppSch TME0312 by Plan'!B7+'SuppSch TME0312 by Plan'!L7+'SuppSch TME0312 by Plan'!V7+'SuppSch TME0312 by Plan'!AF7</f>
        <v>213428</v>
      </c>
      <c r="C7" s="44">
        <f>+'SuppSch TME0312 by Plan'!C7+'SuppSch TME0312 by Plan'!M7+'SuppSch TME0312 by Plan'!W7+'SuppSch TME0312 by Plan'!AG7</f>
        <v>9299</v>
      </c>
      <c r="D7" s="44">
        <f>+'SuppSch TME0312 by Plan'!D7+'SuppSch TME0312 by Plan'!N7+'SuppSch TME0312 by Plan'!X7+'SuppSch TME0312 by Plan'!AH7</f>
        <v>37578</v>
      </c>
      <c r="E7" s="44">
        <f>+'SuppSch TME0312 by Plan'!E7+'SuppSch TME0312 by Plan'!O7+'SuppSch TME0312 by Plan'!Y7+'SuppSch TME0312 by Plan'!AI7</f>
        <v>102054.62</v>
      </c>
      <c r="F7" s="44">
        <f>+'SuppSch TME0312 by Plan'!F7+'SuppSch TME0312 by Plan'!P7+'SuppSch TME0312 by Plan'!Z7+'SuppSch TME0312 by Plan'!AJ7</f>
        <v>8446.3799999999992</v>
      </c>
      <c r="G7" s="44">
        <f>+'SuppSch TME0312 by Plan'!R7</f>
        <v>-14527</v>
      </c>
      <c r="H7" s="44">
        <f>+'SuppSch TME0312 by Plan'!AA7</f>
        <v>0</v>
      </c>
      <c r="I7" s="44">
        <f>+'SuppSch TME0312 by Plan'!AB7</f>
        <v>0</v>
      </c>
      <c r="J7" s="44">
        <f>+'SuppSch TME0312 by Plan'!AL7</f>
        <v>0</v>
      </c>
      <c r="K7" s="44">
        <f t="shared" ref="K7:K17" si="0">SUM(B7:J7)</f>
        <v>356279</v>
      </c>
      <c r="L7" s="44"/>
      <c r="M7" s="70">
        <f t="shared" ref="M7:M19" si="1">+$A7</f>
        <v>40694</v>
      </c>
      <c r="N7" s="44">
        <f>+'SuppSch TME0312 by Plan'!B7</f>
        <v>42571</v>
      </c>
      <c r="O7" s="44">
        <f>+'SuppSch TME0312 by Plan'!C7</f>
        <v>2166</v>
      </c>
      <c r="P7" s="44">
        <f>+'SuppSch TME0312 by Plan'!D7</f>
        <v>16976</v>
      </c>
      <c r="Q7" s="44">
        <f>+'SuppSch TME0312 by Plan'!E7</f>
        <v>0</v>
      </c>
      <c r="R7" s="44">
        <f>+'SuppSch TME0312 by Plan'!F7</f>
        <v>0</v>
      </c>
      <c r="S7" s="44">
        <f>+'SuppSch TME0312 by Plan'!H7</f>
        <v>0</v>
      </c>
      <c r="T7" s="44">
        <f>+'SuppSch TME0312 by Plan'!G7</f>
        <v>0</v>
      </c>
      <c r="U7" s="44">
        <v>0</v>
      </c>
      <c r="V7" s="44">
        <v>0</v>
      </c>
      <c r="W7" s="44">
        <f t="shared" ref="W7:W17" si="2">SUM(N7:V7)</f>
        <v>61713</v>
      </c>
      <c r="X7" s="44"/>
      <c r="Y7" s="70">
        <f t="shared" ref="Y7:Y19" si="3">+$A7</f>
        <v>40694</v>
      </c>
      <c r="Z7" s="44">
        <f>+'SuppSch TME0312 by Plan'!V7</f>
        <v>0</v>
      </c>
      <c r="AA7" s="44">
        <f>+'SuppSch TME0312 by Plan'!W7</f>
        <v>989</v>
      </c>
      <c r="AB7" s="44">
        <f>+'SuppSch TME0312 by Plan'!X7</f>
        <v>0</v>
      </c>
      <c r="AC7" s="44">
        <f>+'SuppSch TME0312 by Plan'!Y7</f>
        <v>0</v>
      </c>
      <c r="AD7" s="44">
        <f>+'SuppSch TME0312 by Plan'!Z7</f>
        <v>0</v>
      </c>
      <c r="AE7" s="44">
        <v>0</v>
      </c>
      <c r="AF7" s="44">
        <f>+'SuppSch TME0312 by Plan'!AA7</f>
        <v>0</v>
      </c>
      <c r="AG7" s="44">
        <f>+'SuppSch TME0312 by Plan'!AB7</f>
        <v>0</v>
      </c>
      <c r="AH7" s="44">
        <v>0</v>
      </c>
      <c r="AI7" s="44">
        <f t="shared" ref="AI7:AI17" si="4">SUM(Z7:AH7)</f>
        <v>989</v>
      </c>
    </row>
    <row r="8" spans="1:35" x14ac:dyDescent="0.2">
      <c r="A8" s="70">
        <f>+'SuppSch TME0312 by Plan'!A8</f>
        <v>40724</v>
      </c>
      <c r="B8" s="44">
        <f>+'SuppSch TME0312 by Plan'!B8+'SuppSch TME0312 by Plan'!L8+'SuppSch TME0312 by Plan'!V8+'SuppSch TME0312 by Plan'!AF8</f>
        <v>210834</v>
      </c>
      <c r="C8" s="44">
        <f>+'SuppSch TME0312 by Plan'!C8+'SuppSch TME0312 by Plan'!M8+'SuppSch TME0312 by Plan'!W8+'SuppSch TME0312 by Plan'!AG8</f>
        <v>7652.49</v>
      </c>
      <c r="D8" s="44">
        <f>+'SuppSch TME0312 by Plan'!D8+'SuppSch TME0312 by Plan'!N8+'SuppSch TME0312 by Plan'!X8+'SuppSch TME0312 by Plan'!AH8</f>
        <v>39805</v>
      </c>
      <c r="E8" s="44">
        <f>+'SuppSch TME0312 by Plan'!E8+'SuppSch TME0312 by Plan'!O8+'SuppSch TME0312 by Plan'!Y8+'SuppSch TME0312 by Plan'!AI8</f>
        <v>57404.76</v>
      </c>
      <c r="F8" s="44">
        <f>+'SuppSch TME0312 by Plan'!F8+'SuppSch TME0312 by Plan'!P8+'SuppSch TME0312 by Plan'!Z8+'SuppSch TME0312 by Plan'!AJ8</f>
        <v>9044.75</v>
      </c>
      <c r="G8" s="44">
        <f>+'SuppSch TME0312 by Plan'!R8</f>
        <v>-14527</v>
      </c>
      <c r="H8" s="44">
        <f>+'SuppSch TME0312 by Plan'!AA8</f>
        <v>0</v>
      </c>
      <c r="I8" s="44">
        <f>+'SuppSch TME0312 by Plan'!AB8</f>
        <v>0</v>
      </c>
      <c r="J8" s="44">
        <f>+'SuppSch TME0312 by Plan'!AL8</f>
        <v>0</v>
      </c>
      <c r="K8" s="44">
        <f t="shared" si="0"/>
        <v>310214</v>
      </c>
      <c r="L8" s="44"/>
      <c r="M8" s="70">
        <f t="shared" si="1"/>
        <v>40724</v>
      </c>
      <c r="N8" s="44">
        <f>+'SuppSch TME0312 by Plan'!B8</f>
        <v>39127</v>
      </c>
      <c r="O8" s="44">
        <f>+'SuppSch TME0312 by Plan'!C8</f>
        <v>519</v>
      </c>
      <c r="P8" s="44">
        <f>+'SuppSch TME0312 by Plan'!D8</f>
        <v>20219</v>
      </c>
      <c r="Q8" s="44">
        <f>+'SuppSch TME0312 by Plan'!E8</f>
        <v>0</v>
      </c>
      <c r="R8" s="44">
        <f>+'SuppSch TME0312 by Plan'!F8</f>
        <v>0</v>
      </c>
      <c r="S8" s="44">
        <f>+'SuppSch TME0312 by Plan'!H8</f>
        <v>0</v>
      </c>
      <c r="T8" s="44">
        <f>+'SuppSch TME0312 by Plan'!G8</f>
        <v>0</v>
      </c>
      <c r="U8" s="44">
        <v>0</v>
      </c>
      <c r="V8" s="44">
        <v>0</v>
      </c>
      <c r="W8" s="44">
        <f t="shared" si="2"/>
        <v>59865</v>
      </c>
      <c r="X8" s="44"/>
      <c r="Y8" s="70">
        <f t="shared" si="3"/>
        <v>40724</v>
      </c>
      <c r="Z8" s="44">
        <f>+'SuppSch TME0312 by Plan'!V8</f>
        <v>0</v>
      </c>
      <c r="AA8" s="44">
        <f>+'SuppSch TME0312 by Plan'!W8</f>
        <v>989.49</v>
      </c>
      <c r="AB8" s="44">
        <f>+'SuppSch TME0312 by Plan'!X8</f>
        <v>0</v>
      </c>
      <c r="AC8" s="44">
        <f>+'SuppSch TME0312 by Plan'!Y8</f>
        <v>0</v>
      </c>
      <c r="AD8" s="44">
        <f>+'SuppSch TME0312 by Plan'!Z8</f>
        <v>0</v>
      </c>
      <c r="AE8" s="44">
        <v>0</v>
      </c>
      <c r="AF8" s="44">
        <f>+'SuppSch TME0312 by Plan'!AA8</f>
        <v>0</v>
      </c>
      <c r="AG8" s="44">
        <f>+'SuppSch TME0312 by Plan'!AB8</f>
        <v>0</v>
      </c>
      <c r="AH8" s="44">
        <v>0</v>
      </c>
      <c r="AI8" s="44">
        <f t="shared" si="4"/>
        <v>989.49</v>
      </c>
    </row>
    <row r="9" spans="1:35" x14ac:dyDescent="0.2">
      <c r="A9" s="70">
        <f>+'SuppSch TME0312 by Plan'!A9</f>
        <v>40755</v>
      </c>
      <c r="B9" s="44">
        <f>+'SuppSch TME0312 by Plan'!B9+'SuppSch TME0312 by Plan'!L9+'SuppSch TME0312 by Plan'!V9+'SuppSch TME0312 by Plan'!AF9</f>
        <v>211685</v>
      </c>
      <c r="C9" s="44">
        <f>+'SuppSch TME0312 by Plan'!C9+'SuppSch TME0312 by Plan'!M9+'SuppSch TME0312 by Plan'!W9+'SuppSch TME0312 by Plan'!AG9</f>
        <v>8900</v>
      </c>
      <c r="D9" s="44">
        <f>+'SuppSch TME0312 by Plan'!D9+'SuppSch TME0312 by Plan'!N9+'SuppSch TME0312 by Plan'!X9+'SuppSch TME0312 by Plan'!AH9</f>
        <v>74962</v>
      </c>
      <c r="E9" s="44">
        <f>+'SuppSch TME0312 by Plan'!E9+'SuppSch TME0312 by Plan'!O9+'SuppSch TME0312 by Plan'!Y9+'SuppSch TME0312 by Plan'!AI9</f>
        <v>88189</v>
      </c>
      <c r="F9" s="44">
        <f>+'SuppSch TME0312 by Plan'!F9+'SuppSch TME0312 by Plan'!P9+'SuppSch TME0312 by Plan'!Z9+'SuppSch TME0312 by Plan'!AJ9</f>
        <v>7137</v>
      </c>
      <c r="G9" s="44">
        <f>+'SuppSch TME0312 by Plan'!R9</f>
        <v>-14527</v>
      </c>
      <c r="H9" s="44">
        <f>+'SuppSch TME0312 by Plan'!AA9</f>
        <v>0</v>
      </c>
      <c r="I9" s="44">
        <f>+'SuppSch TME0312 by Plan'!AB9</f>
        <v>0</v>
      </c>
      <c r="J9" s="44">
        <f>+'SuppSch TME0312 by Plan'!AL9</f>
        <v>0</v>
      </c>
      <c r="K9" s="44">
        <f t="shared" si="0"/>
        <v>376346</v>
      </c>
      <c r="L9" s="44"/>
      <c r="M9" s="70">
        <f t="shared" si="1"/>
        <v>40755</v>
      </c>
      <c r="N9" s="44">
        <f>+'SuppSch TME0312 by Plan'!B9</f>
        <v>39127</v>
      </c>
      <c r="O9" s="44">
        <f>+'SuppSch TME0312 by Plan'!C9</f>
        <v>1767</v>
      </c>
      <c r="P9" s="44">
        <f>+'SuppSch TME0312 by Plan'!D9</f>
        <v>79604</v>
      </c>
      <c r="Q9" s="44">
        <f>+'SuppSch TME0312 by Plan'!E9</f>
        <v>0</v>
      </c>
      <c r="R9" s="44">
        <f>+'SuppSch TME0312 by Plan'!F9</f>
        <v>0</v>
      </c>
      <c r="S9" s="44">
        <f>+'SuppSch TME0312 by Plan'!H9</f>
        <v>0</v>
      </c>
      <c r="T9" s="44">
        <f>+'SuppSch TME0312 by Plan'!G9</f>
        <v>0</v>
      </c>
      <c r="U9" s="44">
        <v>0</v>
      </c>
      <c r="V9" s="44">
        <v>0</v>
      </c>
      <c r="W9" s="44">
        <f t="shared" si="2"/>
        <v>120498</v>
      </c>
      <c r="X9" s="44"/>
      <c r="Y9" s="70">
        <f t="shared" si="3"/>
        <v>40755</v>
      </c>
      <c r="Z9" s="44">
        <f>+'SuppSch TME0312 by Plan'!V9</f>
        <v>0</v>
      </c>
      <c r="AA9" s="44">
        <f>+'SuppSch TME0312 by Plan'!W9</f>
        <v>989</v>
      </c>
      <c r="AB9" s="44">
        <f>+'SuppSch TME0312 by Plan'!X9</f>
        <v>0</v>
      </c>
      <c r="AC9" s="44">
        <f>+'SuppSch TME0312 by Plan'!Y9</f>
        <v>0</v>
      </c>
      <c r="AD9" s="44">
        <f>+'SuppSch TME0312 by Plan'!Z9</f>
        <v>0</v>
      </c>
      <c r="AE9" s="44">
        <v>0</v>
      </c>
      <c r="AF9" s="44">
        <f>+'SuppSch TME0312 by Plan'!AA9</f>
        <v>0</v>
      </c>
      <c r="AG9" s="44">
        <f>+'SuppSch TME0312 by Plan'!AB9</f>
        <v>0</v>
      </c>
      <c r="AH9" s="44">
        <v>0</v>
      </c>
      <c r="AI9" s="44">
        <f t="shared" si="4"/>
        <v>989</v>
      </c>
    </row>
    <row r="10" spans="1:35" x14ac:dyDescent="0.2">
      <c r="A10" s="70">
        <f>+'SuppSch TME0312 by Plan'!A10</f>
        <v>40786</v>
      </c>
      <c r="B10" s="44">
        <f>+'SuppSch TME0312 by Plan'!B10+'SuppSch TME0312 by Plan'!L10+'SuppSch TME0312 by Plan'!V10+'SuppSch TME0312 by Plan'!AF10</f>
        <v>211685</v>
      </c>
      <c r="C10" s="44">
        <f>+'SuppSch TME0312 by Plan'!C10+'SuppSch TME0312 by Plan'!M10+'SuppSch TME0312 by Plan'!W10+'SuppSch TME0312 by Plan'!AG10</f>
        <v>8900</v>
      </c>
      <c r="D10" s="44">
        <f>+'SuppSch TME0312 by Plan'!D10+'SuppSch TME0312 by Plan'!N10+'SuppSch TME0312 by Plan'!X10+'SuppSch TME0312 by Plan'!AH10</f>
        <v>65999</v>
      </c>
      <c r="E10" s="44">
        <f>+'SuppSch TME0312 by Plan'!E10+'SuppSch TME0312 by Plan'!O10+'SuppSch TME0312 by Plan'!Y10+'SuppSch TME0312 by Plan'!AI10</f>
        <v>192353</v>
      </c>
      <c r="F10" s="44">
        <f>+'SuppSch TME0312 by Plan'!F10+'SuppSch TME0312 by Plan'!P10+'SuppSch TME0312 by Plan'!Z10+'SuppSch TME0312 by Plan'!AJ10</f>
        <v>11772</v>
      </c>
      <c r="G10" s="44">
        <f>+'SuppSch TME0312 by Plan'!R10</f>
        <v>-14527</v>
      </c>
      <c r="H10" s="44">
        <f>+'SuppSch TME0312 by Plan'!AA10</f>
        <v>0</v>
      </c>
      <c r="I10" s="44">
        <f>+'SuppSch TME0312 by Plan'!AB10</f>
        <v>0</v>
      </c>
      <c r="J10" s="44">
        <f>+'SuppSch TME0312 by Plan'!AL10</f>
        <v>0</v>
      </c>
      <c r="K10" s="44">
        <f t="shared" si="0"/>
        <v>476182</v>
      </c>
      <c r="L10" s="44"/>
      <c r="M10" s="70">
        <f t="shared" si="1"/>
        <v>40786</v>
      </c>
      <c r="N10" s="44">
        <f>+'SuppSch TME0312 by Plan'!B10</f>
        <v>39127</v>
      </c>
      <c r="O10" s="44">
        <f>+'SuppSch TME0312 by Plan'!C10</f>
        <v>1767</v>
      </c>
      <c r="P10" s="44">
        <f>+'SuppSch TME0312 by Plan'!D10</f>
        <v>52402</v>
      </c>
      <c r="Q10" s="44">
        <f>+'SuppSch TME0312 by Plan'!E10</f>
        <v>0</v>
      </c>
      <c r="R10" s="44">
        <f>+'SuppSch TME0312 by Plan'!F10</f>
        <v>0</v>
      </c>
      <c r="S10" s="44">
        <f>+'SuppSch TME0312 by Plan'!H10</f>
        <v>0</v>
      </c>
      <c r="T10" s="44">
        <f>+'SuppSch TME0312 by Plan'!G10</f>
        <v>0</v>
      </c>
      <c r="U10" s="44">
        <v>0</v>
      </c>
      <c r="V10" s="44">
        <v>0</v>
      </c>
      <c r="W10" s="44">
        <f t="shared" si="2"/>
        <v>93296</v>
      </c>
      <c r="X10" s="44"/>
      <c r="Y10" s="70">
        <f t="shared" si="3"/>
        <v>40786</v>
      </c>
      <c r="Z10" s="44">
        <f>+'SuppSch TME0312 by Plan'!V10</f>
        <v>0</v>
      </c>
      <c r="AA10" s="44">
        <f>+'SuppSch TME0312 by Plan'!W10</f>
        <v>989</v>
      </c>
      <c r="AB10" s="44">
        <f>+'SuppSch TME0312 by Plan'!X10</f>
        <v>0</v>
      </c>
      <c r="AC10" s="44">
        <f>+'SuppSch TME0312 by Plan'!Y10</f>
        <v>0</v>
      </c>
      <c r="AD10" s="44">
        <f>+'SuppSch TME0312 by Plan'!Z10</f>
        <v>0</v>
      </c>
      <c r="AE10" s="44">
        <v>0</v>
      </c>
      <c r="AF10" s="44">
        <f>+'SuppSch TME0312 by Plan'!AA10</f>
        <v>0</v>
      </c>
      <c r="AG10" s="44">
        <f>+'SuppSch TME0312 by Plan'!AB10</f>
        <v>0</v>
      </c>
      <c r="AH10" s="44">
        <v>0</v>
      </c>
      <c r="AI10" s="44">
        <f t="shared" si="4"/>
        <v>989</v>
      </c>
    </row>
    <row r="11" spans="1:35" x14ac:dyDescent="0.2">
      <c r="A11" s="70">
        <f>+'SuppSch TME0312 by Plan'!A11</f>
        <v>40816</v>
      </c>
      <c r="B11" s="44">
        <f>+'SuppSch TME0312 by Plan'!B11+'SuppSch TME0312 by Plan'!L11+'SuppSch TME0312 by Plan'!V11+'SuppSch TME0312 by Plan'!AF11</f>
        <v>211685</v>
      </c>
      <c r="C11" s="44">
        <f>+'SuppSch TME0312 by Plan'!C11+'SuppSch TME0312 by Plan'!M11+'SuppSch TME0312 by Plan'!W11+'SuppSch TME0312 by Plan'!AG11</f>
        <v>8900</v>
      </c>
      <c r="D11" s="44">
        <f>+'SuppSch TME0312 by Plan'!D11+'SuppSch TME0312 by Plan'!N11+'SuppSch TME0312 by Plan'!X11+'SuppSch TME0312 by Plan'!AH11</f>
        <v>58460</v>
      </c>
      <c r="E11" s="44">
        <f>+'SuppSch TME0312 by Plan'!E11+'SuppSch TME0312 by Plan'!O11+'SuppSch TME0312 by Plan'!Y11+'SuppSch TME0312 by Plan'!AI11</f>
        <v>101496.7</v>
      </c>
      <c r="F11" s="44">
        <f>+'SuppSch TME0312 by Plan'!F11+'SuppSch TME0312 by Plan'!P11+'SuppSch TME0312 by Plan'!Z11+'SuppSch TME0312 by Plan'!AJ11</f>
        <v>14587</v>
      </c>
      <c r="G11" s="44">
        <f>+'SuppSch TME0312 by Plan'!R11</f>
        <v>-14527</v>
      </c>
      <c r="H11" s="44">
        <f>+'SuppSch TME0312 by Plan'!AA11</f>
        <v>0</v>
      </c>
      <c r="I11" s="44">
        <f>+'SuppSch TME0312 by Plan'!AB11</f>
        <v>0</v>
      </c>
      <c r="J11" s="44">
        <f>+'SuppSch TME0312 by Plan'!AL11</f>
        <v>14565.3</v>
      </c>
      <c r="K11" s="44">
        <f t="shared" si="0"/>
        <v>395167</v>
      </c>
      <c r="L11" s="44"/>
      <c r="M11" s="70">
        <f t="shared" si="1"/>
        <v>40816</v>
      </c>
      <c r="N11" s="44">
        <f>+'SuppSch TME0312 by Plan'!B11</f>
        <v>39127</v>
      </c>
      <c r="O11" s="44">
        <f>+'SuppSch TME0312 by Plan'!C11</f>
        <v>1767</v>
      </c>
      <c r="P11" s="44">
        <f>+'SuppSch TME0312 by Plan'!D11</f>
        <v>51109</v>
      </c>
      <c r="Q11" s="44">
        <f>+'SuppSch TME0312 by Plan'!E11</f>
        <v>0</v>
      </c>
      <c r="R11" s="44">
        <f>+'SuppSch TME0312 by Plan'!F11</f>
        <v>0</v>
      </c>
      <c r="S11" s="44">
        <f>+'SuppSch TME0312 by Plan'!H11</f>
        <v>0</v>
      </c>
      <c r="T11" s="44">
        <f>+'SuppSch TME0312 by Plan'!G11</f>
        <v>0</v>
      </c>
      <c r="U11" s="44">
        <v>0</v>
      </c>
      <c r="V11" s="44">
        <v>0</v>
      </c>
      <c r="W11" s="44">
        <f t="shared" si="2"/>
        <v>92003</v>
      </c>
      <c r="X11" s="44"/>
      <c r="Y11" s="70">
        <f t="shared" si="3"/>
        <v>40816</v>
      </c>
      <c r="Z11" s="44">
        <f>+'SuppSch TME0312 by Plan'!V11</f>
        <v>0</v>
      </c>
      <c r="AA11" s="44">
        <f>+'SuppSch TME0312 by Plan'!W11</f>
        <v>989</v>
      </c>
      <c r="AB11" s="44">
        <f>+'SuppSch TME0312 by Plan'!X11</f>
        <v>0</v>
      </c>
      <c r="AC11" s="44">
        <f>+'SuppSch TME0312 by Plan'!Y11</f>
        <v>0</v>
      </c>
      <c r="AD11" s="44">
        <f>+'SuppSch TME0312 by Plan'!Z11</f>
        <v>0</v>
      </c>
      <c r="AE11" s="44">
        <v>0</v>
      </c>
      <c r="AF11" s="44">
        <f>+'SuppSch TME0312 by Plan'!AA11</f>
        <v>0</v>
      </c>
      <c r="AG11" s="44">
        <f>+'SuppSch TME0312 by Plan'!AB11</f>
        <v>0</v>
      </c>
      <c r="AH11" s="44">
        <v>0</v>
      </c>
      <c r="AI11" s="44">
        <f t="shared" si="4"/>
        <v>989</v>
      </c>
    </row>
    <row r="12" spans="1:35" x14ac:dyDescent="0.2">
      <c r="A12" s="70">
        <f>+'SuppSch TME0312 by Plan'!A12</f>
        <v>40847</v>
      </c>
      <c r="B12" s="44">
        <f>+'SuppSch TME0312 by Plan'!B12+'SuppSch TME0312 by Plan'!L12+'SuppSch TME0312 by Plan'!V12+'SuppSch TME0312 by Plan'!AF12</f>
        <v>211685</v>
      </c>
      <c r="C12" s="44">
        <f>+'SuppSch TME0312 by Plan'!C12+'SuppSch TME0312 by Plan'!M12+'SuppSch TME0312 by Plan'!W12+'SuppSch TME0312 by Plan'!AG12</f>
        <v>8900</v>
      </c>
      <c r="D12" s="44">
        <f>+'SuppSch TME0312 by Plan'!D12+'SuppSch TME0312 by Plan'!N12+'SuppSch TME0312 by Plan'!X12+'SuppSch TME0312 by Plan'!AH12</f>
        <v>-14134</v>
      </c>
      <c r="E12" s="44">
        <f>+'SuppSch TME0312 by Plan'!E12+'SuppSch TME0312 by Plan'!O12+'SuppSch TME0312 by Plan'!Y12+'SuppSch TME0312 by Plan'!AI12</f>
        <v>64922.49</v>
      </c>
      <c r="F12" s="44">
        <f>+'SuppSch TME0312 by Plan'!F12+'SuppSch TME0312 by Plan'!P12+'SuppSch TME0312 by Plan'!Z12+'SuppSch TME0312 by Plan'!AJ12</f>
        <v>10779</v>
      </c>
      <c r="G12" s="44">
        <f>+'SuppSch TME0312 by Plan'!R12</f>
        <v>-14527</v>
      </c>
      <c r="H12" s="44">
        <f>+'SuppSch TME0312 by Plan'!AA12</f>
        <v>0</v>
      </c>
      <c r="I12" s="44">
        <f>+'SuppSch TME0312 by Plan'!AB12</f>
        <v>0</v>
      </c>
      <c r="J12" s="44">
        <f>+'SuppSch TME0312 by Plan'!AL12</f>
        <v>54442.51</v>
      </c>
      <c r="K12" s="44">
        <f t="shared" si="0"/>
        <v>322068</v>
      </c>
      <c r="L12" s="44"/>
      <c r="M12" s="70">
        <f t="shared" si="1"/>
        <v>40847</v>
      </c>
      <c r="N12" s="44">
        <f>+'SuppSch TME0312 by Plan'!B12</f>
        <v>39127</v>
      </c>
      <c r="O12" s="44">
        <f>+'SuppSch TME0312 by Plan'!C12</f>
        <v>1767</v>
      </c>
      <c r="P12" s="44">
        <f>+'SuppSch TME0312 by Plan'!D12</f>
        <v>-36303</v>
      </c>
      <c r="Q12" s="44">
        <f>+'SuppSch TME0312 by Plan'!E12</f>
        <v>0</v>
      </c>
      <c r="R12" s="44">
        <f>+'SuppSch TME0312 by Plan'!F12</f>
        <v>0</v>
      </c>
      <c r="S12" s="44">
        <f>+'SuppSch TME0312 by Plan'!H12</f>
        <v>0</v>
      </c>
      <c r="T12" s="44">
        <f>+'SuppSch TME0312 by Plan'!G12</f>
        <v>0</v>
      </c>
      <c r="U12" s="44">
        <v>0</v>
      </c>
      <c r="V12" s="44">
        <v>0</v>
      </c>
      <c r="W12" s="44">
        <f t="shared" si="2"/>
        <v>4591</v>
      </c>
      <c r="X12" s="44"/>
      <c r="Y12" s="70">
        <f t="shared" si="3"/>
        <v>40847</v>
      </c>
      <c r="Z12" s="44">
        <f>+'SuppSch TME0312 by Plan'!V12</f>
        <v>0</v>
      </c>
      <c r="AA12" s="44">
        <f>+'SuppSch TME0312 by Plan'!W12</f>
        <v>989</v>
      </c>
      <c r="AB12" s="44">
        <f>+'SuppSch TME0312 by Plan'!X12</f>
        <v>0</v>
      </c>
      <c r="AC12" s="44">
        <f>+'SuppSch TME0312 by Plan'!Y12</f>
        <v>0</v>
      </c>
      <c r="AD12" s="44">
        <f>+'SuppSch TME0312 by Plan'!Z12</f>
        <v>0</v>
      </c>
      <c r="AE12" s="44">
        <v>0</v>
      </c>
      <c r="AF12" s="44">
        <f>+'SuppSch TME0312 by Plan'!AA12</f>
        <v>0</v>
      </c>
      <c r="AG12" s="44">
        <f>+'SuppSch TME0312 by Plan'!AB12</f>
        <v>0</v>
      </c>
      <c r="AH12" s="44">
        <v>0</v>
      </c>
      <c r="AI12" s="44">
        <f t="shared" si="4"/>
        <v>989</v>
      </c>
    </row>
    <row r="13" spans="1:35" x14ac:dyDescent="0.2">
      <c r="A13" s="70">
        <f>+'SuppSch TME0312 by Plan'!A13</f>
        <v>40877</v>
      </c>
      <c r="B13" s="44">
        <f>+'SuppSch TME0312 by Plan'!B13+'SuppSch TME0312 by Plan'!L13+'SuppSch TME0312 by Plan'!V13+'SuppSch TME0312 by Plan'!AF13</f>
        <v>211685</v>
      </c>
      <c r="C13" s="44">
        <f>+'SuppSch TME0312 by Plan'!C13+'SuppSch TME0312 by Plan'!M13+'SuppSch TME0312 by Plan'!W13+'SuppSch TME0312 by Plan'!AG13</f>
        <v>8900</v>
      </c>
      <c r="D13" s="44">
        <f>+'SuppSch TME0312 by Plan'!D13+'SuppSch TME0312 by Plan'!N13+'SuppSch TME0312 by Plan'!X13+'SuppSch TME0312 by Plan'!AH13</f>
        <v>-17674</v>
      </c>
      <c r="E13" s="44">
        <f>+'SuppSch TME0312 by Plan'!E13+'SuppSch TME0312 by Plan'!O13+'SuppSch TME0312 by Plan'!Y13+'SuppSch TME0312 by Plan'!AI13</f>
        <v>104037</v>
      </c>
      <c r="F13" s="44">
        <f>+'SuppSch TME0312 by Plan'!F13+'SuppSch TME0312 by Plan'!P13+'SuppSch TME0312 by Plan'!Z13+'SuppSch TME0312 by Plan'!AJ13</f>
        <v>17910</v>
      </c>
      <c r="G13" s="44">
        <f>+'SuppSch TME0312 by Plan'!R13</f>
        <v>-14527</v>
      </c>
      <c r="H13" s="44">
        <f>+'SuppSch TME0312 by Plan'!AA13</f>
        <v>32919</v>
      </c>
      <c r="I13" s="44">
        <f>+'SuppSch TME0312 by Plan'!AB13</f>
        <v>0</v>
      </c>
      <c r="J13" s="44">
        <f>+'SuppSch TME0312 by Plan'!AL13</f>
        <v>7520</v>
      </c>
      <c r="K13" s="44">
        <f t="shared" si="0"/>
        <v>350770</v>
      </c>
      <c r="L13" s="44"/>
      <c r="M13" s="70">
        <f t="shared" si="1"/>
        <v>40877</v>
      </c>
      <c r="N13" s="44">
        <f>+'SuppSch TME0312 by Plan'!B13</f>
        <v>39127</v>
      </c>
      <c r="O13" s="44">
        <f>+'SuppSch TME0312 by Plan'!C13</f>
        <v>1767</v>
      </c>
      <c r="P13" s="44">
        <f>+'SuppSch TME0312 by Plan'!D13</f>
        <v>-37080</v>
      </c>
      <c r="Q13" s="44">
        <f>+'SuppSch TME0312 by Plan'!E13</f>
        <v>0</v>
      </c>
      <c r="R13" s="44">
        <f>+'SuppSch TME0312 by Plan'!F13</f>
        <v>0</v>
      </c>
      <c r="S13" s="44">
        <f>+'SuppSch TME0312 by Plan'!H13</f>
        <v>0</v>
      </c>
      <c r="T13" s="44">
        <f>+'SuppSch TME0312 by Plan'!G13</f>
        <v>0</v>
      </c>
      <c r="U13" s="44">
        <v>0</v>
      </c>
      <c r="V13" s="44">
        <v>0</v>
      </c>
      <c r="W13" s="44">
        <f t="shared" si="2"/>
        <v>3814</v>
      </c>
      <c r="X13" s="44"/>
      <c r="Y13" s="70">
        <f t="shared" si="3"/>
        <v>40877</v>
      </c>
      <c r="Z13" s="44">
        <f>+'SuppSch TME0312 by Plan'!V13</f>
        <v>0</v>
      </c>
      <c r="AA13" s="44">
        <f>+'SuppSch TME0312 by Plan'!W13</f>
        <v>989</v>
      </c>
      <c r="AB13" s="44">
        <f>+'SuppSch TME0312 by Plan'!X13</f>
        <v>0</v>
      </c>
      <c r="AC13" s="44">
        <f>+'SuppSch TME0312 by Plan'!Y13</f>
        <v>0</v>
      </c>
      <c r="AD13" s="44">
        <f>+'SuppSch TME0312 by Plan'!Z13</f>
        <v>0</v>
      </c>
      <c r="AE13" s="44">
        <v>0</v>
      </c>
      <c r="AF13" s="44">
        <f>+'SuppSch TME0312 by Plan'!AA13</f>
        <v>32919</v>
      </c>
      <c r="AG13" s="44">
        <f>+'SuppSch TME0312 by Plan'!AB13</f>
        <v>0</v>
      </c>
      <c r="AH13" s="44">
        <v>0</v>
      </c>
      <c r="AI13" s="44">
        <f t="shared" si="4"/>
        <v>33908</v>
      </c>
    </row>
    <row r="14" spans="1:35" x14ac:dyDescent="0.2">
      <c r="A14" s="70">
        <f>+'SuppSch TME0312 by Plan'!A14</f>
        <v>40908</v>
      </c>
      <c r="B14" s="44">
        <f>+'SuppSch TME0312 by Plan'!B14+'SuppSch TME0312 by Plan'!L14+'SuppSch TME0312 by Plan'!V14+'SuppSch TME0312 by Plan'!AF14</f>
        <v>221904</v>
      </c>
      <c r="C14" s="44">
        <f>+'SuppSch TME0312 by Plan'!C14+'SuppSch TME0312 by Plan'!M14+'SuppSch TME0312 by Plan'!W14+'SuppSch TME0312 by Plan'!AG14</f>
        <v>8900</v>
      </c>
      <c r="D14" s="44">
        <f>+'SuppSch TME0312 by Plan'!D14+'SuppSch TME0312 by Plan'!N14+'SuppSch TME0312 by Plan'!X14+'SuppSch TME0312 by Plan'!AH14</f>
        <v>51676</v>
      </c>
      <c r="E14" s="44">
        <f>+'SuppSch TME0312 by Plan'!E14+'SuppSch TME0312 by Plan'!O14+'SuppSch TME0312 by Plan'!Y14+'SuppSch TME0312 by Plan'!AI14</f>
        <v>118326.45</v>
      </c>
      <c r="F14" s="44">
        <f>+'SuppSch TME0312 by Plan'!F14+'SuppSch TME0312 by Plan'!P14+'SuppSch TME0312 by Plan'!Z14+'SuppSch TME0312 by Plan'!AJ14</f>
        <v>13009</v>
      </c>
      <c r="G14" s="44">
        <f>+'SuppSch TME0312 by Plan'!R14</f>
        <v>-14527</v>
      </c>
      <c r="H14" s="44">
        <f>+'SuppSch TME0312 by Plan'!AA14</f>
        <v>28072</v>
      </c>
      <c r="I14" s="44">
        <f>+'SuppSch TME0312 by Plan'!AB14</f>
        <v>0</v>
      </c>
      <c r="J14" s="44">
        <f>+'SuppSch TME0312 by Plan'!AL14</f>
        <v>14417.55</v>
      </c>
      <c r="K14" s="44">
        <f t="shared" si="0"/>
        <v>441778</v>
      </c>
      <c r="L14" s="44"/>
      <c r="M14" s="70">
        <f t="shared" si="1"/>
        <v>40908</v>
      </c>
      <c r="N14" s="44">
        <f>+'SuppSch TME0312 by Plan'!B14</f>
        <v>39127</v>
      </c>
      <c r="O14" s="44">
        <f>+'SuppSch TME0312 by Plan'!C14</f>
        <v>1767</v>
      </c>
      <c r="P14" s="44">
        <f>+'SuppSch TME0312 by Plan'!D14</f>
        <v>33300</v>
      </c>
      <c r="Q14" s="44">
        <f>+'SuppSch TME0312 by Plan'!E14</f>
        <v>0</v>
      </c>
      <c r="R14" s="44">
        <f>+'SuppSch TME0312 by Plan'!F14</f>
        <v>0</v>
      </c>
      <c r="S14" s="44">
        <f>+'SuppSch TME0312 by Plan'!H14</f>
        <v>0</v>
      </c>
      <c r="T14" s="44">
        <f>+'SuppSch TME0312 by Plan'!G14</f>
        <v>0</v>
      </c>
      <c r="U14" s="44">
        <v>0</v>
      </c>
      <c r="V14" s="44">
        <v>0</v>
      </c>
      <c r="W14" s="44">
        <f t="shared" si="2"/>
        <v>74194</v>
      </c>
      <c r="X14" s="44"/>
      <c r="Y14" s="70">
        <f t="shared" si="3"/>
        <v>40908</v>
      </c>
      <c r="Z14" s="44">
        <f>+'SuppSch TME0312 by Plan'!V14</f>
        <v>10219</v>
      </c>
      <c r="AA14" s="44">
        <f>+'SuppSch TME0312 by Plan'!W14</f>
        <v>989</v>
      </c>
      <c r="AB14" s="44">
        <f>+'SuppSch TME0312 by Plan'!X14</f>
        <v>0</v>
      </c>
      <c r="AC14" s="44">
        <f>+'SuppSch TME0312 by Plan'!Y14</f>
        <v>0</v>
      </c>
      <c r="AD14" s="44">
        <f>+'SuppSch TME0312 by Plan'!Z14</f>
        <v>0</v>
      </c>
      <c r="AE14" s="44">
        <v>0</v>
      </c>
      <c r="AF14" s="44">
        <f>+'SuppSch TME0312 by Plan'!AA14</f>
        <v>28072</v>
      </c>
      <c r="AG14" s="44">
        <f>+'SuppSch TME0312 by Plan'!AB14</f>
        <v>0</v>
      </c>
      <c r="AH14" s="44">
        <v>0</v>
      </c>
      <c r="AI14" s="44">
        <f t="shared" si="4"/>
        <v>39280</v>
      </c>
    </row>
    <row r="15" spans="1:35" x14ac:dyDescent="0.2">
      <c r="A15" s="70">
        <f>+'SuppSch TME0312 by Plan'!A15</f>
        <v>40939</v>
      </c>
      <c r="B15" s="44">
        <f>+'SuppSch TME0312 by Plan'!B15+'SuppSch TME0312 by Plan'!L15+'SuppSch TME0312 by Plan'!V15+'SuppSch TME0312 by Plan'!AF15</f>
        <v>232123</v>
      </c>
      <c r="C15" s="44">
        <f>+'SuppSch TME0312 by Plan'!C15+'SuppSch TME0312 by Plan'!M15+'SuppSch TME0312 by Plan'!W15+'SuppSch TME0312 by Plan'!AG15</f>
        <v>9847</v>
      </c>
      <c r="D15" s="44">
        <f>+'SuppSch TME0312 by Plan'!D15+'SuppSch TME0312 by Plan'!N15+'SuppSch TME0312 by Plan'!X15+'SuppSch TME0312 by Plan'!AH15</f>
        <v>65315</v>
      </c>
      <c r="E15" s="44">
        <f>+'SuppSch TME0312 by Plan'!E15+'SuppSch TME0312 by Plan'!O15+'SuppSch TME0312 by Plan'!Y15+'SuppSch TME0312 by Plan'!AI15</f>
        <v>116523.8</v>
      </c>
      <c r="F15" s="44">
        <f>+'SuppSch TME0312 by Plan'!F15+'SuppSch TME0312 by Plan'!P15+'SuppSch TME0312 by Plan'!Z15+'SuppSch TME0312 by Plan'!AJ15</f>
        <v>9769</v>
      </c>
      <c r="G15" s="44">
        <f>+'SuppSch TME0312 by Plan'!R15</f>
        <v>-14527</v>
      </c>
      <c r="H15" s="44">
        <f>+'SuppSch TME0312 by Plan'!AA15</f>
        <v>1760</v>
      </c>
      <c r="I15" s="44">
        <f>+'SuppSch TME0312 by Plan'!AB15</f>
        <v>0</v>
      </c>
      <c r="J15" s="44">
        <f>+'SuppSch TME0312 by Plan'!AL15</f>
        <v>1767.2</v>
      </c>
      <c r="K15" s="44">
        <f t="shared" si="0"/>
        <v>422578</v>
      </c>
      <c r="L15" s="44"/>
      <c r="M15" s="70">
        <f t="shared" si="1"/>
        <v>40939</v>
      </c>
      <c r="N15" s="44">
        <f>+'SuppSch TME0312 by Plan'!B15</f>
        <v>39127</v>
      </c>
      <c r="O15" s="44">
        <f>+'SuppSch TME0312 by Plan'!C15</f>
        <v>1848</v>
      </c>
      <c r="P15" s="44">
        <f>+'SuppSch TME0312 by Plan'!D15</f>
        <v>48774</v>
      </c>
      <c r="Q15" s="44">
        <f>+'SuppSch TME0312 by Plan'!E15</f>
        <v>0</v>
      </c>
      <c r="R15" s="44">
        <f>+'SuppSch TME0312 by Plan'!F15</f>
        <v>0</v>
      </c>
      <c r="S15" s="44">
        <f>+'SuppSch TME0312 by Plan'!H15</f>
        <v>0</v>
      </c>
      <c r="T15" s="44">
        <f>+'SuppSch TME0312 by Plan'!G15</f>
        <v>0</v>
      </c>
      <c r="U15" s="44">
        <v>0</v>
      </c>
      <c r="V15" s="44">
        <v>0</v>
      </c>
      <c r="W15" s="44">
        <f t="shared" si="2"/>
        <v>89749</v>
      </c>
      <c r="X15" s="44"/>
      <c r="Y15" s="70">
        <f t="shared" si="3"/>
        <v>40939</v>
      </c>
      <c r="Z15" s="44">
        <f>+'SuppSch TME0312 by Plan'!V15</f>
        <v>20438</v>
      </c>
      <c r="AA15" s="44">
        <f>+'SuppSch TME0312 by Plan'!W15</f>
        <v>1917</v>
      </c>
      <c r="AB15" s="44">
        <f>+'SuppSch TME0312 by Plan'!X15</f>
        <v>0</v>
      </c>
      <c r="AC15" s="44">
        <f>+'SuppSch TME0312 by Plan'!Y15</f>
        <v>0</v>
      </c>
      <c r="AD15" s="44">
        <f>+'SuppSch TME0312 by Plan'!Z15</f>
        <v>0</v>
      </c>
      <c r="AE15" s="44">
        <v>0</v>
      </c>
      <c r="AF15" s="44">
        <f>+'SuppSch TME0312 by Plan'!AA15</f>
        <v>1760</v>
      </c>
      <c r="AG15" s="44">
        <f>+'SuppSch TME0312 by Plan'!AB15</f>
        <v>0</v>
      </c>
      <c r="AH15" s="44">
        <v>0</v>
      </c>
      <c r="AI15" s="44">
        <f t="shared" si="4"/>
        <v>24115</v>
      </c>
    </row>
    <row r="16" spans="1:35" x14ac:dyDescent="0.2">
      <c r="A16" s="70">
        <f>+'SuppSch TME0312 by Plan'!A16</f>
        <v>40968</v>
      </c>
      <c r="B16" s="44">
        <f>+'SuppSch TME0312 by Plan'!B16+'SuppSch TME0312 by Plan'!L16+'SuppSch TME0312 by Plan'!V16+'SuppSch TME0312 by Plan'!AF16</f>
        <v>232123</v>
      </c>
      <c r="C16" s="44">
        <f>+'SuppSch TME0312 by Plan'!C16+'SuppSch TME0312 by Plan'!M16+'SuppSch TME0312 by Plan'!W16+'SuppSch TME0312 by Plan'!AG16</f>
        <v>9847</v>
      </c>
      <c r="D16" s="44">
        <f>+'SuppSch TME0312 by Plan'!D16+'SuppSch TME0312 by Plan'!N16+'SuppSch TME0312 by Plan'!X16+'SuppSch TME0312 by Plan'!AH16</f>
        <v>73885</v>
      </c>
      <c r="E16" s="44">
        <f>+'SuppSch TME0312 by Plan'!E16+'SuppSch TME0312 by Plan'!O16+'SuppSch TME0312 by Plan'!Y16+'SuppSch TME0312 by Plan'!AI16</f>
        <v>110907</v>
      </c>
      <c r="F16" s="44">
        <f>+'SuppSch TME0312 by Plan'!F16+'SuppSch TME0312 by Plan'!P16+'SuppSch TME0312 by Plan'!Z16+'SuppSch TME0312 by Plan'!AJ16</f>
        <v>18973</v>
      </c>
      <c r="G16" s="44">
        <f>+'SuppSch TME0312 by Plan'!R16</f>
        <v>-14527</v>
      </c>
      <c r="H16" s="44">
        <f>+'SuppSch TME0312 by Plan'!AA16</f>
        <v>1206</v>
      </c>
      <c r="I16" s="44">
        <f>+'SuppSch TME0312 by Plan'!AB16</f>
        <v>0</v>
      </c>
      <c r="J16" s="44">
        <f>+'SuppSch TME0312 by Plan'!AL16</f>
        <v>0</v>
      </c>
      <c r="K16" s="44">
        <f t="shared" si="0"/>
        <v>432414</v>
      </c>
      <c r="L16" s="44"/>
      <c r="M16" s="70">
        <f t="shared" si="1"/>
        <v>40968</v>
      </c>
      <c r="N16" s="44">
        <f>+'SuppSch TME0312 by Plan'!B16</f>
        <v>39127</v>
      </c>
      <c r="O16" s="44">
        <f>+'SuppSch TME0312 by Plan'!C16</f>
        <v>1848</v>
      </c>
      <c r="P16" s="44">
        <f>+'SuppSch TME0312 by Plan'!D16</f>
        <v>51259</v>
      </c>
      <c r="Q16" s="44">
        <f>+'SuppSch TME0312 by Plan'!E16</f>
        <v>0</v>
      </c>
      <c r="R16" s="44">
        <f>+'SuppSch TME0312 by Plan'!F16</f>
        <v>0</v>
      </c>
      <c r="S16" s="44">
        <f>+'SuppSch TME0312 by Plan'!H16</f>
        <v>0</v>
      </c>
      <c r="T16" s="44">
        <f>+'SuppSch TME0312 by Plan'!G16</f>
        <v>0</v>
      </c>
      <c r="U16" s="44">
        <v>0</v>
      </c>
      <c r="V16" s="44">
        <v>0</v>
      </c>
      <c r="W16" s="44">
        <f t="shared" si="2"/>
        <v>92234</v>
      </c>
      <c r="X16" s="44"/>
      <c r="Y16" s="70">
        <f t="shared" si="3"/>
        <v>40968</v>
      </c>
      <c r="Z16" s="44">
        <f>+'SuppSch TME0312 by Plan'!V16</f>
        <v>20438</v>
      </c>
      <c r="AA16" s="44">
        <f>+'SuppSch TME0312 by Plan'!W16</f>
        <v>1917</v>
      </c>
      <c r="AB16" s="44">
        <f>+'SuppSch TME0312 by Plan'!X16</f>
        <v>0</v>
      </c>
      <c r="AC16" s="44">
        <f>+'SuppSch TME0312 by Plan'!Y16</f>
        <v>0</v>
      </c>
      <c r="AD16" s="44">
        <f>+'SuppSch TME0312 by Plan'!Z16</f>
        <v>0</v>
      </c>
      <c r="AE16" s="44">
        <v>0</v>
      </c>
      <c r="AF16" s="44">
        <f>+'SuppSch TME0312 by Plan'!AA16</f>
        <v>1206</v>
      </c>
      <c r="AG16" s="44">
        <f>+'SuppSch TME0312 by Plan'!AB16</f>
        <v>0</v>
      </c>
      <c r="AH16" s="44">
        <v>0</v>
      </c>
      <c r="AI16" s="44">
        <f t="shared" si="4"/>
        <v>23561</v>
      </c>
    </row>
    <row r="17" spans="1:35" ht="13.5" x14ac:dyDescent="0.35">
      <c r="A17" s="70">
        <f>+'SuppSch TME0312 by Plan'!A17</f>
        <v>40999</v>
      </c>
      <c r="B17" s="55">
        <f>+'SuppSch TME0312 by Plan'!B17+'SuppSch TME0312 by Plan'!L17+'SuppSch TME0312 by Plan'!V17+'SuppSch TME0312 by Plan'!AF17</f>
        <v>234385</v>
      </c>
      <c r="C17" s="55">
        <f>+'SuppSch TME0312 by Plan'!C17+'SuppSch TME0312 by Plan'!M17+'SuppSch TME0312 by Plan'!W17+'SuppSch TME0312 by Plan'!AG17</f>
        <v>9847</v>
      </c>
      <c r="D17" s="55">
        <f>+'SuppSch TME0312 by Plan'!D17+'SuppSch TME0312 by Plan'!N17+'SuppSch TME0312 by Plan'!X17+'SuppSch TME0312 by Plan'!AH17</f>
        <v>44766</v>
      </c>
      <c r="E17" s="55">
        <f>+'SuppSch TME0312 by Plan'!E17+'SuppSch TME0312 by Plan'!O17+'SuppSch TME0312 by Plan'!Y17+'SuppSch TME0312 by Plan'!AI17</f>
        <v>107887</v>
      </c>
      <c r="F17" s="55">
        <f>+'SuppSch TME0312 by Plan'!F17+'SuppSch TME0312 by Plan'!P17+'SuppSch TME0312 by Plan'!Z17+'SuppSch TME0312 by Plan'!AJ17</f>
        <v>8034</v>
      </c>
      <c r="G17" s="55">
        <f>+'SuppSch TME0312 by Plan'!R17</f>
        <v>-14527</v>
      </c>
      <c r="H17" s="55">
        <f>+'SuppSch TME0312 by Plan'!AA17</f>
        <v>1399</v>
      </c>
      <c r="I17" s="55">
        <f>+'SuppSch TME0312 by Plan'!AB17</f>
        <v>5985</v>
      </c>
      <c r="J17" s="55">
        <f>+'SuppSch TME0312 by Plan'!AL17</f>
        <v>0</v>
      </c>
      <c r="K17" s="55">
        <f t="shared" si="0"/>
        <v>397776</v>
      </c>
      <c r="L17" s="44"/>
      <c r="M17" s="70">
        <f t="shared" si="1"/>
        <v>40999</v>
      </c>
      <c r="N17" s="55">
        <f>+'SuppSch TME0312 by Plan'!B17</f>
        <v>40079</v>
      </c>
      <c r="O17" s="55">
        <f>+'SuppSch TME0312 by Plan'!C17</f>
        <v>1848</v>
      </c>
      <c r="P17" s="55">
        <f>+'SuppSch TME0312 by Plan'!D17</f>
        <v>34406</v>
      </c>
      <c r="Q17" s="55">
        <f>+'SuppSch TME0312 by Plan'!E17</f>
        <v>0</v>
      </c>
      <c r="R17" s="55">
        <f>+'SuppSch TME0312 by Plan'!F17</f>
        <v>0</v>
      </c>
      <c r="S17" s="55">
        <f>+'SuppSch TME0312 by Plan'!H17</f>
        <v>0</v>
      </c>
      <c r="T17" s="55">
        <f>+'SuppSch TME0312 by Plan'!G17</f>
        <v>0</v>
      </c>
      <c r="U17" s="55">
        <v>0</v>
      </c>
      <c r="V17" s="55">
        <v>0</v>
      </c>
      <c r="W17" s="55">
        <f t="shared" si="2"/>
        <v>76333</v>
      </c>
      <c r="X17" s="44"/>
      <c r="Y17" s="70">
        <f t="shared" si="3"/>
        <v>40999</v>
      </c>
      <c r="Z17" s="55">
        <f>+'SuppSch TME0312 by Plan'!V17</f>
        <v>20438</v>
      </c>
      <c r="AA17" s="55">
        <f>+'SuppSch TME0312 by Plan'!W17</f>
        <v>1917</v>
      </c>
      <c r="AB17" s="55">
        <f>+'SuppSch TME0312 by Plan'!X17</f>
        <v>0</v>
      </c>
      <c r="AC17" s="55">
        <f>+'SuppSch TME0312 by Plan'!Y17</f>
        <v>0</v>
      </c>
      <c r="AD17" s="55">
        <f>+'SuppSch TME0312 by Plan'!Z17</f>
        <v>0</v>
      </c>
      <c r="AE17" s="55">
        <v>0</v>
      </c>
      <c r="AF17" s="55">
        <f>+'SuppSch TME0312 by Plan'!AA17</f>
        <v>1399</v>
      </c>
      <c r="AG17" s="55">
        <f>+'SuppSch TME0312 by Plan'!AB17</f>
        <v>5985</v>
      </c>
      <c r="AH17" s="55">
        <v>0</v>
      </c>
      <c r="AI17" s="55">
        <f t="shared" si="4"/>
        <v>29739</v>
      </c>
    </row>
    <row r="18" spans="1:35" x14ac:dyDescent="0.2">
      <c r="A18" s="70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70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70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1:35" ht="12" thickBot="1" x14ac:dyDescent="0.25">
      <c r="A19" s="71" t="str">
        <f>+'SuppSch TME0312 by Plan'!A19</f>
        <v>Totals</v>
      </c>
      <c r="B19" s="72">
        <f>SUM(B6:B18)</f>
        <v>2614695</v>
      </c>
      <c r="C19" s="72">
        <f t="shared" ref="C19:F19" si="5">SUM(C6:C18)</f>
        <v>109191.47</v>
      </c>
      <c r="D19" s="72">
        <f t="shared" si="5"/>
        <v>516537</v>
      </c>
      <c r="E19" s="72">
        <f t="shared" si="5"/>
        <v>1217426.33</v>
      </c>
      <c r="F19" s="72">
        <f t="shared" si="5"/>
        <v>142258.64000000001</v>
      </c>
      <c r="G19" s="72">
        <f t="shared" ref="G19" si="6">SUM(G6:G18)</f>
        <v>-174324</v>
      </c>
      <c r="H19" s="72">
        <f t="shared" ref="H19" si="7">SUM(H6:H18)</f>
        <v>65356</v>
      </c>
      <c r="I19" s="72">
        <f t="shared" ref="I19" si="8">SUM(I6:I18)</f>
        <v>5985</v>
      </c>
      <c r="J19" s="72">
        <f t="shared" ref="J19:K19" si="9">SUM(J6:J18)</f>
        <v>92712.56</v>
      </c>
      <c r="K19" s="72">
        <f t="shared" si="9"/>
        <v>4589838</v>
      </c>
      <c r="L19" s="44"/>
      <c r="M19" s="71" t="str">
        <f t="shared" si="1"/>
        <v>Totals</v>
      </c>
      <c r="N19" s="72">
        <f>SUM(N6:N18)</f>
        <v>475409</v>
      </c>
      <c r="O19" s="72">
        <f t="shared" ref="O19:W19" si="10">SUM(O6:O18)</f>
        <v>20997</v>
      </c>
      <c r="P19" s="72">
        <f t="shared" si="10"/>
        <v>350565</v>
      </c>
      <c r="Q19" s="72">
        <f t="shared" si="10"/>
        <v>0</v>
      </c>
      <c r="R19" s="72">
        <f t="shared" si="10"/>
        <v>0</v>
      </c>
      <c r="S19" s="72">
        <f t="shared" si="10"/>
        <v>0</v>
      </c>
      <c r="T19" s="72">
        <f t="shared" si="10"/>
        <v>0</v>
      </c>
      <c r="U19" s="72">
        <f t="shared" si="10"/>
        <v>0</v>
      </c>
      <c r="V19" s="72">
        <f t="shared" si="10"/>
        <v>0</v>
      </c>
      <c r="W19" s="72">
        <f t="shared" si="10"/>
        <v>846971</v>
      </c>
      <c r="X19" s="44"/>
      <c r="Y19" s="71" t="str">
        <f t="shared" si="3"/>
        <v>Totals</v>
      </c>
      <c r="Z19" s="72">
        <f>SUM(Z6:Z18)</f>
        <v>71533</v>
      </c>
      <c r="AA19" s="72">
        <f t="shared" ref="AA19" si="11">SUM(AA6:AA18)</f>
        <v>14652.470000000001</v>
      </c>
      <c r="AB19" s="72">
        <f t="shared" ref="AB19" si="12">SUM(AB6:AB18)</f>
        <v>0</v>
      </c>
      <c r="AC19" s="72">
        <f t="shared" ref="AC19" si="13">SUM(AC6:AC18)</f>
        <v>0</v>
      </c>
      <c r="AD19" s="72">
        <f t="shared" ref="AD19" si="14">SUM(AD6:AD18)</f>
        <v>0</v>
      </c>
      <c r="AE19" s="72">
        <f t="shared" ref="AE19" si="15">SUM(AE6:AE18)</f>
        <v>0</v>
      </c>
      <c r="AF19" s="72">
        <f t="shared" ref="AF19" si="16">SUM(AF6:AF18)</f>
        <v>65356</v>
      </c>
      <c r="AG19" s="72">
        <f t="shared" ref="AG19" si="17">SUM(AG6:AG18)</f>
        <v>5985</v>
      </c>
      <c r="AH19" s="72">
        <f t="shared" ref="AH19" si="18">SUM(AH6:AH18)</f>
        <v>0</v>
      </c>
      <c r="AI19" s="72">
        <f t="shared" ref="AI19" si="19">SUM(AI6:AI18)</f>
        <v>157526.47</v>
      </c>
    </row>
    <row r="20" spans="1:35" ht="12" thickTop="1" x14ac:dyDescent="0.2">
      <c r="A20" s="38"/>
      <c r="M20" s="38"/>
      <c r="Y20" s="38"/>
    </row>
    <row r="21" spans="1:35" x14ac:dyDescent="0.2">
      <c r="A21" s="38"/>
      <c r="M21" s="38"/>
      <c r="Y21" s="38"/>
    </row>
    <row r="22" spans="1:35" x14ac:dyDescent="0.2">
      <c r="W22" s="73"/>
    </row>
    <row r="23" spans="1:35" x14ac:dyDescent="0.2">
      <c r="A23" s="52" t="s">
        <v>135</v>
      </c>
      <c r="F23" s="58" t="s">
        <v>57</v>
      </c>
      <c r="W23" s="73"/>
    </row>
    <row r="24" spans="1:35" x14ac:dyDescent="0.2">
      <c r="A24" s="52" t="s">
        <v>134</v>
      </c>
      <c r="W24" s="37" t="s">
        <v>136</v>
      </c>
    </row>
    <row r="25" spans="1:35" ht="45" x14ac:dyDescent="0.2">
      <c r="A25" s="66"/>
      <c r="B25" s="74" t="s">
        <v>95</v>
      </c>
      <c r="C25" s="74" t="s">
        <v>94</v>
      </c>
      <c r="D25" s="75" t="s">
        <v>39</v>
      </c>
      <c r="G25" s="76" t="s">
        <v>48</v>
      </c>
      <c r="H25" s="76" t="s">
        <v>49</v>
      </c>
      <c r="I25" s="76" t="s">
        <v>64</v>
      </c>
      <c r="J25" s="76" t="s">
        <v>65</v>
      </c>
      <c r="K25" s="76" t="s">
        <v>28</v>
      </c>
      <c r="M25" s="52" t="s">
        <v>49</v>
      </c>
      <c r="N25" s="68" t="s">
        <v>25</v>
      </c>
      <c r="O25" s="68" t="s">
        <v>26</v>
      </c>
      <c r="P25" s="117" t="s">
        <v>27</v>
      </c>
      <c r="Q25" s="117"/>
      <c r="R25" s="117"/>
      <c r="S25" s="68" t="s">
        <v>70</v>
      </c>
      <c r="T25" s="68" t="s">
        <v>73</v>
      </c>
      <c r="U25" s="69" t="s">
        <v>85</v>
      </c>
      <c r="V25" s="68" t="s">
        <v>72</v>
      </c>
      <c r="W25" s="68" t="s">
        <v>28</v>
      </c>
      <c r="Y25" s="52" t="s">
        <v>65</v>
      </c>
      <c r="Z25" s="68" t="s">
        <v>25</v>
      </c>
      <c r="AA25" s="68" t="s">
        <v>26</v>
      </c>
      <c r="AB25" s="117" t="s">
        <v>27</v>
      </c>
      <c r="AC25" s="117"/>
      <c r="AD25" s="117"/>
      <c r="AE25" s="68" t="s">
        <v>70</v>
      </c>
      <c r="AF25" s="68" t="s">
        <v>73</v>
      </c>
      <c r="AG25" s="69" t="s">
        <v>85</v>
      </c>
      <c r="AH25" s="68" t="s">
        <v>72</v>
      </c>
      <c r="AI25" s="68" t="s">
        <v>28</v>
      </c>
    </row>
    <row r="26" spans="1:35" x14ac:dyDescent="0.2">
      <c r="A26" s="66"/>
      <c r="B26" s="77" t="s">
        <v>40</v>
      </c>
      <c r="C26" s="77" t="s">
        <v>40</v>
      </c>
      <c r="D26" s="48"/>
      <c r="N26" s="68" t="s">
        <v>29</v>
      </c>
      <c r="O26" s="40"/>
      <c r="P26" s="40" t="s">
        <v>30</v>
      </c>
      <c r="Q26" s="40" t="s">
        <v>31</v>
      </c>
      <c r="R26" s="68" t="s">
        <v>32</v>
      </c>
      <c r="T26" s="69" t="s">
        <v>83</v>
      </c>
      <c r="U26" s="69" t="s">
        <v>86</v>
      </c>
      <c r="Z26" s="68" t="s">
        <v>29</v>
      </c>
      <c r="AA26" s="40"/>
      <c r="AB26" s="40" t="s">
        <v>30</v>
      </c>
      <c r="AC26" s="40" t="s">
        <v>31</v>
      </c>
      <c r="AD26" s="68" t="s">
        <v>32</v>
      </c>
      <c r="AF26" s="69" t="s">
        <v>83</v>
      </c>
      <c r="AG26" s="69" t="s">
        <v>86</v>
      </c>
    </row>
    <row r="27" spans="1:35" x14ac:dyDescent="0.2">
      <c r="A27" s="70">
        <f>+'SuppSch TME0312 by Plan'!A27</f>
        <v>40663</v>
      </c>
      <c r="B27" s="48">
        <f>+'SuppSch TME0312 by Plan'!B27</f>
        <v>0</v>
      </c>
      <c r="C27" s="48">
        <f>+'SuppSch TME0312 by Plan'!C27</f>
        <v>0</v>
      </c>
      <c r="D27" s="73">
        <f>SUM(B27:C27)</f>
        <v>0</v>
      </c>
      <c r="F27" s="78" t="s">
        <v>58</v>
      </c>
      <c r="G27" s="79">
        <f>+'SuppSch TME0312 by Plan'!L29</f>
        <v>350565</v>
      </c>
      <c r="H27" s="79">
        <f>+'SuppSch TME0312 by Plan'!M29</f>
        <v>974048</v>
      </c>
      <c r="I27" s="79">
        <f>+'SuppSch TME0312 by Plan'!N29</f>
        <v>0</v>
      </c>
      <c r="J27" s="79">
        <f>+'SuppSch TME0312 by Plan'!O29</f>
        <v>551608.97000000009</v>
      </c>
      <c r="K27" s="79">
        <f>+'SuppSch TME0312 by Plan'!P29</f>
        <v>1876221.9700000002</v>
      </c>
      <c r="M27" s="70">
        <f>+M6</f>
        <v>40663</v>
      </c>
      <c r="N27" s="44">
        <f>+'SuppSch TME0312 by Plan'!L6</f>
        <v>170857</v>
      </c>
      <c r="O27" s="44">
        <f>+'SuppSch TME0312 by Plan'!M6</f>
        <v>6144</v>
      </c>
      <c r="P27" s="44">
        <f>+'SuppSch TME0312 by Plan'!N6</f>
        <v>0</v>
      </c>
      <c r="Q27" s="44">
        <f>+'SuppSch TME0312 by Plan'!O6</f>
        <v>2012</v>
      </c>
      <c r="R27" s="44">
        <f>+'SuppSch TME0312 by Plan'!P6</f>
        <v>8188</v>
      </c>
      <c r="S27" s="44">
        <f>+'SuppSch TME0312 by Plan'!R6</f>
        <v>-14527</v>
      </c>
      <c r="T27" s="44">
        <f>+'SuppSch TME0312 by Plan'!Q6</f>
        <v>0</v>
      </c>
      <c r="U27" s="44">
        <v>0</v>
      </c>
      <c r="V27" s="44">
        <v>0</v>
      </c>
      <c r="W27" s="44">
        <f>SUM(N27:V27)</f>
        <v>172674</v>
      </c>
      <c r="Y27" s="70">
        <f>+Y6</f>
        <v>40663</v>
      </c>
      <c r="Z27" s="44">
        <f>+'SuppSch TME0312 by Plan'!AF6</f>
        <v>0</v>
      </c>
      <c r="AA27" s="44">
        <f>+'SuppSch TME0312 by Plan'!AG6</f>
        <v>0</v>
      </c>
      <c r="AB27" s="44">
        <f>+'SuppSch TME0312 by Plan'!AH6</f>
        <v>0</v>
      </c>
      <c r="AC27" s="44">
        <f>+'SuppSch TME0312 by Plan'!AI6</f>
        <v>51312.51</v>
      </c>
      <c r="AD27" s="44">
        <f>+'SuppSch TME0312 by Plan'!AJ6</f>
        <v>4609.51</v>
      </c>
      <c r="AE27" s="44">
        <v>0</v>
      </c>
      <c r="AF27" s="44">
        <f>+'SuppSch TME0312 by Plan'!AK6</f>
        <v>0</v>
      </c>
      <c r="AG27" s="44">
        <v>0</v>
      </c>
      <c r="AH27" s="44">
        <f>+'SuppSch TME0312 by Plan'!AL6</f>
        <v>0</v>
      </c>
      <c r="AI27" s="44">
        <f>SUM(Z27:AH27)</f>
        <v>55922.020000000004</v>
      </c>
    </row>
    <row r="28" spans="1:35" x14ac:dyDescent="0.2">
      <c r="A28" s="70">
        <f>+'SuppSch TME0312 by Plan'!A28</f>
        <v>40694</v>
      </c>
      <c r="B28" s="48">
        <f>+'SuppSch TME0312 by Plan'!B28</f>
        <v>29</v>
      </c>
      <c r="C28" s="48">
        <f>+'SuppSch TME0312 by Plan'!C28</f>
        <v>0</v>
      </c>
      <c r="D28" s="73">
        <f t="shared" ref="D28:D38" si="20">SUM(B28:C28)</f>
        <v>29</v>
      </c>
      <c r="F28" s="80"/>
      <c r="G28" s="42"/>
      <c r="H28" s="42"/>
      <c r="I28" s="42"/>
      <c r="J28" s="42"/>
      <c r="K28" s="42"/>
      <c r="M28" s="70">
        <f t="shared" ref="M28:M40" si="21">+M7</f>
        <v>40694</v>
      </c>
      <c r="N28" s="44">
        <f>+'SuppSch TME0312 by Plan'!L7</f>
        <v>170857</v>
      </c>
      <c r="O28" s="44">
        <f>+'SuppSch TME0312 by Plan'!M7</f>
        <v>6144</v>
      </c>
      <c r="P28" s="44">
        <f>+'SuppSch TME0312 by Plan'!N7</f>
        <v>20602</v>
      </c>
      <c r="Q28" s="44">
        <f>+'SuppSch TME0312 by Plan'!O7</f>
        <v>51717</v>
      </c>
      <c r="R28" s="44">
        <f>+'SuppSch TME0312 by Plan'!P7</f>
        <v>7735</v>
      </c>
      <c r="S28" s="44">
        <f>+'SuppSch TME0312 by Plan'!R7</f>
        <v>-14527</v>
      </c>
      <c r="T28" s="44">
        <f>+'SuppSch TME0312 by Plan'!Q7</f>
        <v>0</v>
      </c>
      <c r="U28" s="44">
        <v>0</v>
      </c>
      <c r="V28" s="44">
        <v>0</v>
      </c>
      <c r="W28" s="44">
        <f t="shared" ref="W28:W38" si="22">SUM(N28:V28)</f>
        <v>242528</v>
      </c>
      <c r="Y28" s="70">
        <f t="shared" ref="Y28:Y40" si="23">+Y7</f>
        <v>40694</v>
      </c>
      <c r="Z28" s="44">
        <f>+'SuppSch TME0312 by Plan'!AF7</f>
        <v>0</v>
      </c>
      <c r="AA28" s="44">
        <f>+'SuppSch TME0312 by Plan'!AG7</f>
        <v>0</v>
      </c>
      <c r="AB28" s="44">
        <f>+'SuppSch TME0312 by Plan'!AH7</f>
        <v>0</v>
      </c>
      <c r="AC28" s="44">
        <f>+'SuppSch TME0312 by Plan'!AI7</f>
        <v>50337.62</v>
      </c>
      <c r="AD28" s="44">
        <f>+'SuppSch TME0312 by Plan'!AJ7</f>
        <v>711.38</v>
      </c>
      <c r="AE28" s="44">
        <v>0</v>
      </c>
      <c r="AF28" s="44">
        <f>+'SuppSch TME0312 by Plan'!AK7</f>
        <v>0</v>
      </c>
      <c r="AG28" s="44">
        <v>0</v>
      </c>
      <c r="AH28" s="44">
        <f>+'SuppSch TME0312 by Plan'!AL7</f>
        <v>0</v>
      </c>
      <c r="AI28" s="44">
        <f t="shared" ref="AI28:AI38" si="24">SUM(Z28:AH28)</f>
        <v>51049</v>
      </c>
    </row>
    <row r="29" spans="1:35" x14ac:dyDescent="0.2">
      <c r="A29" s="70">
        <f>+'SuppSch TME0312 by Plan'!A29</f>
        <v>40724</v>
      </c>
      <c r="B29" s="48">
        <f>+'SuppSch TME0312 by Plan'!B29</f>
        <v>37</v>
      </c>
      <c r="C29" s="48">
        <f>+'SuppSch TME0312 by Plan'!C29</f>
        <v>0</v>
      </c>
      <c r="D29" s="73">
        <f t="shared" si="20"/>
        <v>37</v>
      </c>
      <c r="F29" s="80" t="s">
        <v>59</v>
      </c>
      <c r="G29" s="81"/>
      <c r="H29" s="81"/>
      <c r="I29" s="81"/>
      <c r="J29" s="81"/>
      <c r="K29" s="81"/>
      <c r="M29" s="70">
        <f t="shared" si="21"/>
        <v>40724</v>
      </c>
      <c r="N29" s="44">
        <f>+'SuppSch TME0312 by Plan'!L8</f>
        <v>171707</v>
      </c>
      <c r="O29" s="44">
        <f>+'SuppSch TME0312 by Plan'!M8</f>
        <v>6144</v>
      </c>
      <c r="P29" s="44">
        <f>+'SuppSch TME0312 by Plan'!N8</f>
        <v>19586</v>
      </c>
      <c r="Q29" s="44">
        <f>+'SuppSch TME0312 by Plan'!O8</f>
        <v>13302</v>
      </c>
      <c r="R29" s="44">
        <f>+'SuppSch TME0312 by Plan'!P8</f>
        <v>8786</v>
      </c>
      <c r="S29" s="44">
        <f>+'SuppSch TME0312 by Plan'!R8</f>
        <v>-14527</v>
      </c>
      <c r="T29" s="44">
        <f>+'SuppSch TME0312 by Plan'!Q8</f>
        <v>0</v>
      </c>
      <c r="U29" s="44">
        <v>0</v>
      </c>
      <c r="V29" s="44">
        <v>0</v>
      </c>
      <c r="W29" s="44">
        <f t="shared" si="22"/>
        <v>204998</v>
      </c>
      <c r="Y29" s="70">
        <f t="shared" si="23"/>
        <v>40724</v>
      </c>
      <c r="Z29" s="44">
        <f>+'SuppSch TME0312 by Plan'!AF8</f>
        <v>0</v>
      </c>
      <c r="AA29" s="44">
        <f>+'SuppSch TME0312 by Plan'!AG8</f>
        <v>0</v>
      </c>
      <c r="AB29" s="44">
        <f>+'SuppSch TME0312 by Plan'!AH8</f>
        <v>0</v>
      </c>
      <c r="AC29" s="44">
        <f>+'SuppSch TME0312 by Plan'!AI8</f>
        <v>44102.76</v>
      </c>
      <c r="AD29" s="44">
        <f>+'SuppSch TME0312 by Plan'!AJ8</f>
        <v>258.75</v>
      </c>
      <c r="AE29" s="44">
        <v>0</v>
      </c>
      <c r="AF29" s="44">
        <f>+'SuppSch TME0312 by Plan'!AK8</f>
        <v>0</v>
      </c>
      <c r="AG29" s="44">
        <v>0</v>
      </c>
      <c r="AH29" s="44">
        <f>+'SuppSch TME0312 by Plan'!AL8</f>
        <v>0</v>
      </c>
      <c r="AI29" s="44">
        <f t="shared" si="24"/>
        <v>44361.51</v>
      </c>
    </row>
    <row r="30" spans="1:35" x14ac:dyDescent="0.2">
      <c r="A30" s="70">
        <f>+'SuppSch TME0312 by Plan'!A30</f>
        <v>40755</v>
      </c>
      <c r="B30" s="48">
        <f>+'SuppSch TME0312 by Plan'!B30</f>
        <v>52</v>
      </c>
      <c r="C30" s="48">
        <f>+'SuppSch TME0312 by Plan'!C30</f>
        <v>0</v>
      </c>
      <c r="D30" s="73">
        <f t="shared" si="20"/>
        <v>52</v>
      </c>
      <c r="F30" s="78" t="s">
        <v>60</v>
      </c>
      <c r="G30" s="82" t="s">
        <v>61</v>
      </c>
      <c r="H30" s="82" t="s">
        <v>61</v>
      </c>
      <c r="I30" s="82" t="s">
        <v>61</v>
      </c>
      <c r="J30" s="82" t="s">
        <v>61</v>
      </c>
      <c r="K30" s="82" t="s">
        <v>61</v>
      </c>
      <c r="M30" s="70">
        <f t="shared" si="21"/>
        <v>40755</v>
      </c>
      <c r="N30" s="44">
        <f>+'SuppSch TME0312 by Plan'!L9</f>
        <v>172558</v>
      </c>
      <c r="O30" s="44">
        <f>+'SuppSch TME0312 by Plan'!M9</f>
        <v>6144</v>
      </c>
      <c r="P30" s="44">
        <f>+'SuppSch TME0312 by Plan'!N9</f>
        <v>-4642</v>
      </c>
      <c r="Q30" s="44">
        <f>+'SuppSch TME0312 by Plan'!O9</f>
        <v>38282</v>
      </c>
      <c r="R30" s="44">
        <f>+'SuppSch TME0312 by Plan'!P9</f>
        <v>7599</v>
      </c>
      <c r="S30" s="44">
        <f>+'SuppSch TME0312 by Plan'!R9</f>
        <v>-14527</v>
      </c>
      <c r="T30" s="44">
        <f>+'SuppSch TME0312 by Plan'!Q9</f>
        <v>0</v>
      </c>
      <c r="U30" s="44">
        <v>0</v>
      </c>
      <c r="V30" s="44">
        <v>0</v>
      </c>
      <c r="W30" s="44">
        <f t="shared" si="22"/>
        <v>205414</v>
      </c>
      <c r="Y30" s="70">
        <f t="shared" si="23"/>
        <v>40755</v>
      </c>
      <c r="Z30" s="44">
        <f>+'SuppSch TME0312 by Plan'!AF9</f>
        <v>0</v>
      </c>
      <c r="AA30" s="44">
        <f>+'SuppSch TME0312 by Plan'!AG9</f>
        <v>0</v>
      </c>
      <c r="AB30" s="44">
        <f>+'SuppSch TME0312 by Plan'!AH9</f>
        <v>0</v>
      </c>
      <c r="AC30" s="44">
        <f>+'SuppSch TME0312 by Plan'!AI9</f>
        <v>49907</v>
      </c>
      <c r="AD30" s="44">
        <f>+'SuppSch TME0312 by Plan'!AJ9</f>
        <v>-462</v>
      </c>
      <c r="AE30" s="44">
        <v>0</v>
      </c>
      <c r="AF30" s="44">
        <f>+'SuppSch TME0312 by Plan'!AK9</f>
        <v>0</v>
      </c>
      <c r="AG30" s="44">
        <v>0</v>
      </c>
      <c r="AH30" s="44">
        <f>+'SuppSch TME0312 by Plan'!AL9</f>
        <v>0</v>
      </c>
      <c r="AI30" s="44">
        <f t="shared" si="24"/>
        <v>49445</v>
      </c>
    </row>
    <row r="31" spans="1:35" x14ac:dyDescent="0.2">
      <c r="A31" s="70">
        <f>+'SuppSch TME0312 by Plan'!A31</f>
        <v>40786</v>
      </c>
      <c r="B31" s="48">
        <f>+'SuppSch TME0312 by Plan'!B31</f>
        <v>37</v>
      </c>
      <c r="C31" s="48">
        <f>+'SuppSch TME0312 by Plan'!C31</f>
        <v>0</v>
      </c>
      <c r="D31" s="73">
        <f t="shared" si="20"/>
        <v>37</v>
      </c>
      <c r="F31" s="78"/>
      <c r="G31" s="42"/>
      <c r="H31" s="42"/>
      <c r="I31" s="42"/>
      <c r="J31" s="42"/>
      <c r="K31" s="42"/>
      <c r="M31" s="70">
        <f t="shared" si="21"/>
        <v>40786</v>
      </c>
      <c r="N31" s="44">
        <f>+'SuppSch TME0312 by Plan'!L10</f>
        <v>172558</v>
      </c>
      <c r="O31" s="44">
        <f>+'SuppSch TME0312 by Plan'!M10</f>
        <v>6144</v>
      </c>
      <c r="P31" s="44">
        <f>+'SuppSch TME0312 by Plan'!N10</f>
        <v>13597</v>
      </c>
      <c r="Q31" s="44">
        <f>+'SuppSch TME0312 by Plan'!O10</f>
        <v>138130</v>
      </c>
      <c r="R31" s="44">
        <f>+'SuppSch TME0312 by Plan'!P10</f>
        <v>11666</v>
      </c>
      <c r="S31" s="44">
        <f>+'SuppSch TME0312 by Plan'!R10</f>
        <v>-14527</v>
      </c>
      <c r="T31" s="44">
        <f>+'SuppSch TME0312 by Plan'!Q10</f>
        <v>0</v>
      </c>
      <c r="U31" s="44">
        <v>0</v>
      </c>
      <c r="V31" s="44">
        <v>0</v>
      </c>
      <c r="W31" s="44">
        <f t="shared" si="22"/>
        <v>327568</v>
      </c>
      <c r="Y31" s="70">
        <f t="shared" si="23"/>
        <v>40786</v>
      </c>
      <c r="Z31" s="44">
        <f>+'SuppSch TME0312 by Plan'!AF10</f>
        <v>0</v>
      </c>
      <c r="AA31" s="44">
        <f>+'SuppSch TME0312 by Plan'!AG10</f>
        <v>0</v>
      </c>
      <c r="AB31" s="44">
        <f>+'SuppSch TME0312 by Plan'!AH10</f>
        <v>0</v>
      </c>
      <c r="AC31" s="44">
        <f>+'SuppSch TME0312 by Plan'!AI10</f>
        <v>54223</v>
      </c>
      <c r="AD31" s="44">
        <f>+'SuppSch TME0312 by Plan'!AJ10</f>
        <v>106</v>
      </c>
      <c r="AE31" s="44">
        <v>0</v>
      </c>
      <c r="AF31" s="44">
        <f>+'SuppSch TME0312 by Plan'!AK10</f>
        <v>0</v>
      </c>
      <c r="AG31" s="44">
        <v>0</v>
      </c>
      <c r="AH31" s="44">
        <f>+'SuppSch TME0312 by Plan'!AL10</f>
        <v>0</v>
      </c>
      <c r="AI31" s="44">
        <f t="shared" si="24"/>
        <v>54329</v>
      </c>
    </row>
    <row r="32" spans="1:35" x14ac:dyDescent="0.2">
      <c r="A32" s="70">
        <f>+'SuppSch TME0312 by Plan'!A32</f>
        <v>40816</v>
      </c>
      <c r="B32" s="48">
        <f>+'SuppSch TME0312 by Plan'!B32</f>
        <v>37</v>
      </c>
      <c r="C32" s="48">
        <f>+'SuppSch TME0312 by Plan'!C32</f>
        <v>0</v>
      </c>
      <c r="D32" s="73">
        <f t="shared" si="20"/>
        <v>37</v>
      </c>
      <c r="F32" s="78" t="s">
        <v>62</v>
      </c>
      <c r="G32" s="42"/>
      <c r="H32" s="42"/>
      <c r="I32" s="42"/>
      <c r="J32" s="42"/>
      <c r="K32" s="42"/>
      <c r="M32" s="70">
        <f t="shared" si="21"/>
        <v>40816</v>
      </c>
      <c r="N32" s="44">
        <f>+'SuppSch TME0312 by Plan'!L11</f>
        <v>172558</v>
      </c>
      <c r="O32" s="44">
        <f>+'SuppSch TME0312 by Plan'!M11</f>
        <v>6144</v>
      </c>
      <c r="P32" s="44">
        <f>+'SuppSch TME0312 by Plan'!N11</f>
        <v>7351</v>
      </c>
      <c r="Q32" s="44">
        <f>+'SuppSch TME0312 by Plan'!O11</f>
        <v>37489</v>
      </c>
      <c r="R32" s="44">
        <f>+'SuppSch TME0312 by Plan'!P11</f>
        <v>14261</v>
      </c>
      <c r="S32" s="44">
        <f>+'SuppSch TME0312 by Plan'!R11</f>
        <v>-14527</v>
      </c>
      <c r="T32" s="44">
        <f>+'SuppSch TME0312 by Plan'!Q11</f>
        <v>0</v>
      </c>
      <c r="U32" s="44">
        <v>0</v>
      </c>
      <c r="V32" s="44">
        <v>0</v>
      </c>
      <c r="W32" s="44">
        <f t="shared" si="22"/>
        <v>223276</v>
      </c>
      <c r="Y32" s="70">
        <f t="shared" si="23"/>
        <v>40816</v>
      </c>
      <c r="Z32" s="44">
        <f>+'SuppSch TME0312 by Plan'!AF11</f>
        <v>0</v>
      </c>
      <c r="AA32" s="44">
        <f>+'SuppSch TME0312 by Plan'!AG11</f>
        <v>0</v>
      </c>
      <c r="AB32" s="44">
        <f>+'SuppSch TME0312 by Plan'!AH11</f>
        <v>0</v>
      </c>
      <c r="AC32" s="44">
        <f>+'SuppSch TME0312 by Plan'!AI11</f>
        <v>64007.7</v>
      </c>
      <c r="AD32" s="44">
        <f>+'SuppSch TME0312 by Plan'!AJ11</f>
        <v>326</v>
      </c>
      <c r="AE32" s="44">
        <v>0</v>
      </c>
      <c r="AF32" s="44">
        <f>+'SuppSch TME0312 by Plan'!AK11</f>
        <v>0</v>
      </c>
      <c r="AG32" s="44">
        <v>0</v>
      </c>
      <c r="AH32" s="44">
        <f>+'SuppSch TME0312 by Plan'!AL11</f>
        <v>14565.3</v>
      </c>
      <c r="AI32" s="44">
        <f t="shared" si="24"/>
        <v>78899</v>
      </c>
    </row>
    <row r="33" spans="1:35" ht="12" thickBot="1" x14ac:dyDescent="0.25">
      <c r="A33" s="70">
        <f>+'SuppSch TME0312 by Plan'!A33</f>
        <v>40847</v>
      </c>
      <c r="B33" s="48">
        <f>+'SuppSch TME0312 by Plan'!B33</f>
        <v>7</v>
      </c>
      <c r="C33" s="48">
        <f>+'SuppSch TME0312 by Plan'!C33</f>
        <v>0</v>
      </c>
      <c r="D33" s="73">
        <f t="shared" si="20"/>
        <v>7</v>
      </c>
      <c r="F33" s="78" t="s">
        <v>63</v>
      </c>
      <c r="G33" s="83">
        <f>+'SuppSch TME0312 by Plan'!L35</f>
        <v>43821</v>
      </c>
      <c r="H33" s="83">
        <f>+'SuppSch TME0312 by Plan'!M35</f>
        <v>121756</v>
      </c>
      <c r="I33" s="83">
        <f>+'SuppSch TME0312 by Plan'!N35</f>
        <v>0</v>
      </c>
      <c r="J33" s="83">
        <f>+'SuppSch TME0312 by Plan'!O35</f>
        <v>68951</v>
      </c>
      <c r="K33" s="83">
        <f>+'SuppSch TME0312 by Plan'!P35</f>
        <v>234528</v>
      </c>
      <c r="M33" s="70">
        <f t="shared" si="21"/>
        <v>40847</v>
      </c>
      <c r="N33" s="44">
        <f>+'SuppSch TME0312 by Plan'!L12</f>
        <v>172558</v>
      </c>
      <c r="O33" s="44">
        <f>+'SuppSch TME0312 by Plan'!M12</f>
        <v>6144</v>
      </c>
      <c r="P33" s="44">
        <f>+'SuppSch TME0312 by Plan'!N12</f>
        <v>22169</v>
      </c>
      <c r="Q33" s="44">
        <f>+'SuppSch TME0312 by Plan'!O12</f>
        <v>53647</v>
      </c>
      <c r="R33" s="44">
        <f>+'SuppSch TME0312 by Plan'!P12</f>
        <v>10779</v>
      </c>
      <c r="S33" s="44">
        <f>+'SuppSch TME0312 by Plan'!R12</f>
        <v>-14527</v>
      </c>
      <c r="T33" s="44">
        <f>+'SuppSch TME0312 by Plan'!Q12</f>
        <v>0</v>
      </c>
      <c r="U33" s="44">
        <v>0</v>
      </c>
      <c r="V33" s="44">
        <v>0</v>
      </c>
      <c r="W33" s="44">
        <f t="shared" si="22"/>
        <v>250770</v>
      </c>
      <c r="Y33" s="70">
        <f t="shared" si="23"/>
        <v>40847</v>
      </c>
      <c r="Z33" s="44">
        <f>+'SuppSch TME0312 by Plan'!AF12</f>
        <v>0</v>
      </c>
      <c r="AA33" s="44">
        <f>+'SuppSch TME0312 by Plan'!AG12</f>
        <v>0</v>
      </c>
      <c r="AB33" s="44">
        <f>+'SuppSch TME0312 by Plan'!AH12</f>
        <v>0</v>
      </c>
      <c r="AC33" s="44">
        <f>+'SuppSch TME0312 by Plan'!AI12</f>
        <v>11275.49</v>
      </c>
      <c r="AD33" s="44">
        <f>+'SuppSch TME0312 by Plan'!AJ12</f>
        <v>0</v>
      </c>
      <c r="AE33" s="44">
        <v>0</v>
      </c>
      <c r="AF33" s="44">
        <f>+'SuppSch TME0312 by Plan'!AK12</f>
        <v>0</v>
      </c>
      <c r="AG33" s="44">
        <v>0</v>
      </c>
      <c r="AH33" s="44">
        <f>+'SuppSch TME0312 by Plan'!AL12</f>
        <v>54442.51</v>
      </c>
      <c r="AI33" s="44">
        <f t="shared" si="24"/>
        <v>65718</v>
      </c>
    </row>
    <row r="34" spans="1:35" ht="12" thickTop="1" x14ac:dyDescent="0.2">
      <c r="A34" s="70">
        <f>+'SuppSch TME0312 by Plan'!A34</f>
        <v>40877</v>
      </c>
      <c r="B34" s="48">
        <f>+'SuppSch TME0312 by Plan'!B34</f>
        <v>0</v>
      </c>
      <c r="C34" s="48">
        <f>+'SuppSch TME0312 by Plan'!C34</f>
        <v>0</v>
      </c>
      <c r="D34" s="73">
        <f t="shared" si="20"/>
        <v>0</v>
      </c>
      <c r="M34" s="70">
        <f t="shared" si="21"/>
        <v>40877</v>
      </c>
      <c r="N34" s="44">
        <f>+'SuppSch TME0312 by Plan'!L13</f>
        <v>172558</v>
      </c>
      <c r="O34" s="44">
        <f>+'SuppSch TME0312 by Plan'!M13</f>
        <v>6144</v>
      </c>
      <c r="P34" s="44">
        <f>+'SuppSch TME0312 by Plan'!N13</f>
        <v>19406</v>
      </c>
      <c r="Q34" s="44">
        <f>+'SuppSch TME0312 by Plan'!O13</f>
        <v>85467</v>
      </c>
      <c r="R34" s="44">
        <f>+'SuppSch TME0312 by Plan'!P13</f>
        <v>16834</v>
      </c>
      <c r="S34" s="44">
        <f>+'SuppSch TME0312 by Plan'!R13</f>
        <v>-14527</v>
      </c>
      <c r="T34" s="44">
        <f>+'SuppSch TME0312 by Plan'!Q13</f>
        <v>0</v>
      </c>
      <c r="U34" s="44">
        <v>0</v>
      </c>
      <c r="V34" s="44">
        <v>0</v>
      </c>
      <c r="W34" s="44">
        <f t="shared" si="22"/>
        <v>285882</v>
      </c>
      <c r="Y34" s="70">
        <f t="shared" si="23"/>
        <v>40877</v>
      </c>
      <c r="Z34" s="44">
        <f>+'SuppSch TME0312 by Plan'!AF13</f>
        <v>0</v>
      </c>
      <c r="AA34" s="44">
        <f>+'SuppSch TME0312 by Plan'!AG13</f>
        <v>0</v>
      </c>
      <c r="AB34" s="44">
        <f>+'SuppSch TME0312 by Plan'!AH13</f>
        <v>0</v>
      </c>
      <c r="AC34" s="44">
        <f>+'SuppSch TME0312 by Plan'!AI13</f>
        <v>18570</v>
      </c>
      <c r="AD34" s="44">
        <f>+'SuppSch TME0312 by Plan'!AJ13</f>
        <v>1076</v>
      </c>
      <c r="AE34" s="44">
        <v>0</v>
      </c>
      <c r="AF34" s="44">
        <f>+'SuppSch TME0312 by Plan'!AK13</f>
        <v>0</v>
      </c>
      <c r="AG34" s="44">
        <v>0</v>
      </c>
      <c r="AH34" s="44">
        <f>+'SuppSch TME0312 by Plan'!AL13</f>
        <v>7520</v>
      </c>
      <c r="AI34" s="44">
        <f t="shared" si="24"/>
        <v>27166</v>
      </c>
    </row>
    <row r="35" spans="1:35" x14ac:dyDescent="0.2">
      <c r="A35" s="70">
        <f>+'SuppSch TME0312 by Plan'!A35</f>
        <v>40908</v>
      </c>
      <c r="B35" s="48">
        <f>+'SuppSch TME0312 by Plan'!B35</f>
        <v>0</v>
      </c>
      <c r="C35" s="48">
        <f>+'SuppSch TME0312 by Plan'!C35</f>
        <v>0</v>
      </c>
      <c r="D35" s="73">
        <f t="shared" si="20"/>
        <v>0</v>
      </c>
      <c r="M35" s="70">
        <f t="shared" si="21"/>
        <v>40908</v>
      </c>
      <c r="N35" s="44">
        <f>+'SuppSch TME0312 by Plan'!L14</f>
        <v>172558</v>
      </c>
      <c r="O35" s="44">
        <f>+'SuppSch TME0312 by Plan'!M14</f>
        <v>6144</v>
      </c>
      <c r="P35" s="44">
        <f>+'SuppSch TME0312 by Plan'!N14</f>
        <v>18376</v>
      </c>
      <c r="Q35" s="44">
        <f>+'SuppSch TME0312 by Plan'!O14</f>
        <v>66578</v>
      </c>
      <c r="R35" s="44">
        <f>+'SuppSch TME0312 by Plan'!P14</f>
        <v>12216</v>
      </c>
      <c r="S35" s="44">
        <f>+'SuppSch TME0312 by Plan'!R14</f>
        <v>-14527</v>
      </c>
      <c r="T35" s="44">
        <f>+'SuppSch TME0312 by Plan'!Q14</f>
        <v>0</v>
      </c>
      <c r="U35" s="44">
        <v>0</v>
      </c>
      <c r="V35" s="44">
        <v>0</v>
      </c>
      <c r="W35" s="44">
        <f t="shared" si="22"/>
        <v>261345</v>
      </c>
      <c r="Y35" s="70">
        <f t="shared" si="23"/>
        <v>40908</v>
      </c>
      <c r="Z35" s="44">
        <f>+'SuppSch TME0312 by Plan'!AF14</f>
        <v>0</v>
      </c>
      <c r="AA35" s="44">
        <f>+'SuppSch TME0312 by Plan'!AG14</f>
        <v>0</v>
      </c>
      <c r="AB35" s="44">
        <f>+'SuppSch TME0312 by Plan'!AH14</f>
        <v>0</v>
      </c>
      <c r="AC35" s="44">
        <f>+'SuppSch TME0312 by Plan'!AI14</f>
        <v>51748.45</v>
      </c>
      <c r="AD35" s="44">
        <f>+'SuppSch TME0312 by Plan'!AJ14</f>
        <v>793</v>
      </c>
      <c r="AE35" s="44">
        <v>0</v>
      </c>
      <c r="AF35" s="44">
        <f>+'SuppSch TME0312 by Plan'!AK14</f>
        <v>0</v>
      </c>
      <c r="AG35" s="44">
        <v>0</v>
      </c>
      <c r="AH35" s="44">
        <f>+'SuppSch TME0312 by Plan'!AL14</f>
        <v>14417.55</v>
      </c>
      <c r="AI35" s="44">
        <f t="shared" si="24"/>
        <v>66959</v>
      </c>
    </row>
    <row r="36" spans="1:35" x14ac:dyDescent="0.2">
      <c r="A36" s="70">
        <f>+'SuppSch TME0312 by Plan'!A36</f>
        <v>40939</v>
      </c>
      <c r="B36" s="48">
        <f>+'SuppSch TME0312 by Plan'!B36</f>
        <v>0</v>
      </c>
      <c r="C36" s="48">
        <f>+'SuppSch TME0312 by Plan'!C36</f>
        <v>0</v>
      </c>
      <c r="D36" s="73">
        <f t="shared" si="20"/>
        <v>0</v>
      </c>
      <c r="M36" s="70">
        <f t="shared" si="21"/>
        <v>40939</v>
      </c>
      <c r="N36" s="44">
        <f>+'SuppSch TME0312 by Plan'!L15</f>
        <v>172558</v>
      </c>
      <c r="O36" s="44">
        <f>+'SuppSch TME0312 by Plan'!M15</f>
        <v>5947</v>
      </c>
      <c r="P36" s="44">
        <f>+'SuppSch TME0312 by Plan'!N15</f>
        <v>16541</v>
      </c>
      <c r="Q36" s="44">
        <f>+'SuppSch TME0312 by Plan'!O15</f>
        <v>62748</v>
      </c>
      <c r="R36" s="44">
        <f>+'SuppSch TME0312 by Plan'!P15</f>
        <v>9538</v>
      </c>
      <c r="S36" s="44">
        <f>+'SuppSch TME0312 by Plan'!R15</f>
        <v>-14527</v>
      </c>
      <c r="T36" s="44">
        <f>+'SuppSch TME0312 by Plan'!Q15</f>
        <v>0</v>
      </c>
      <c r="U36" s="44">
        <v>0</v>
      </c>
      <c r="V36" s="44">
        <v>0</v>
      </c>
      <c r="W36" s="44">
        <f t="shared" si="22"/>
        <v>252805</v>
      </c>
      <c r="Y36" s="70">
        <f t="shared" si="23"/>
        <v>40939</v>
      </c>
      <c r="Z36" s="44">
        <f>+'SuppSch TME0312 by Plan'!AF15</f>
        <v>0</v>
      </c>
      <c r="AA36" s="44">
        <f>+'SuppSch TME0312 by Plan'!AG15</f>
        <v>135</v>
      </c>
      <c r="AB36" s="44">
        <f>+'SuppSch TME0312 by Plan'!AH15</f>
        <v>0</v>
      </c>
      <c r="AC36" s="44">
        <f>+'SuppSch TME0312 by Plan'!AI15</f>
        <v>53775.8</v>
      </c>
      <c r="AD36" s="44">
        <f>+'SuppSch TME0312 by Plan'!AJ15</f>
        <v>231</v>
      </c>
      <c r="AE36" s="44">
        <v>0</v>
      </c>
      <c r="AF36" s="44">
        <f>+'SuppSch TME0312 by Plan'!AK15</f>
        <v>0</v>
      </c>
      <c r="AG36" s="44">
        <v>0</v>
      </c>
      <c r="AH36" s="44">
        <f>+'SuppSch TME0312 by Plan'!AL15</f>
        <v>1767.2</v>
      </c>
      <c r="AI36" s="44">
        <f t="shared" si="24"/>
        <v>55909</v>
      </c>
    </row>
    <row r="37" spans="1:35" x14ac:dyDescent="0.2">
      <c r="A37" s="70">
        <f>+'SuppSch TME0312 by Plan'!A37</f>
        <v>40968</v>
      </c>
      <c r="B37" s="48">
        <f>+'SuppSch TME0312 by Plan'!B37</f>
        <v>0</v>
      </c>
      <c r="C37" s="48">
        <f>+'SuppSch TME0312 by Plan'!C37</f>
        <v>0</v>
      </c>
      <c r="D37" s="73">
        <f t="shared" si="20"/>
        <v>0</v>
      </c>
      <c r="M37" s="70">
        <f t="shared" si="21"/>
        <v>40968</v>
      </c>
      <c r="N37" s="44">
        <f>+'SuppSch TME0312 by Plan'!L16</f>
        <v>172558</v>
      </c>
      <c r="O37" s="44">
        <f>+'SuppSch TME0312 by Plan'!M16</f>
        <v>5947</v>
      </c>
      <c r="P37" s="44">
        <f>+'SuppSch TME0312 by Plan'!N16</f>
        <v>22626</v>
      </c>
      <c r="Q37" s="44">
        <f>+'SuppSch TME0312 by Plan'!O16</f>
        <v>68857</v>
      </c>
      <c r="R37" s="44">
        <f>+'SuppSch TME0312 by Plan'!P16</f>
        <v>18265</v>
      </c>
      <c r="S37" s="44">
        <f>+'SuppSch TME0312 by Plan'!R16</f>
        <v>-14527</v>
      </c>
      <c r="T37" s="44">
        <f>+'SuppSch TME0312 by Plan'!Q16</f>
        <v>0</v>
      </c>
      <c r="U37" s="44">
        <v>0</v>
      </c>
      <c r="V37" s="44">
        <v>0</v>
      </c>
      <c r="W37" s="44">
        <f t="shared" si="22"/>
        <v>273726</v>
      </c>
      <c r="Y37" s="70">
        <f t="shared" si="23"/>
        <v>40968</v>
      </c>
      <c r="Z37" s="44">
        <f>+'SuppSch TME0312 by Plan'!AF16</f>
        <v>0</v>
      </c>
      <c r="AA37" s="44">
        <f>+'SuppSch TME0312 by Plan'!AG16</f>
        <v>135</v>
      </c>
      <c r="AB37" s="44">
        <f>+'SuppSch TME0312 by Plan'!AH16</f>
        <v>0</v>
      </c>
      <c r="AC37" s="44">
        <f>+'SuppSch TME0312 by Plan'!AI16</f>
        <v>42050</v>
      </c>
      <c r="AD37" s="44">
        <f>+'SuppSch TME0312 by Plan'!AJ16</f>
        <v>708</v>
      </c>
      <c r="AE37" s="44">
        <v>0</v>
      </c>
      <c r="AF37" s="44">
        <f>+'SuppSch TME0312 by Plan'!AK16</f>
        <v>0</v>
      </c>
      <c r="AG37" s="44">
        <v>0</v>
      </c>
      <c r="AH37" s="44">
        <f>+'SuppSch TME0312 by Plan'!AL16</f>
        <v>0</v>
      </c>
      <c r="AI37" s="44">
        <f t="shared" si="24"/>
        <v>42893</v>
      </c>
    </row>
    <row r="38" spans="1:35" ht="13.5" x14ac:dyDescent="0.35">
      <c r="A38" s="70">
        <f>+'SuppSch TME0312 by Plan'!A38</f>
        <v>40999</v>
      </c>
      <c r="B38" s="84">
        <f>+'SuppSch TME0312 by Plan'!B38</f>
        <v>694</v>
      </c>
      <c r="C38" s="56">
        <f>+'SuppSch TME0312 by Plan'!C38</f>
        <v>-223921</v>
      </c>
      <c r="D38" s="56">
        <f t="shared" si="20"/>
        <v>-223227</v>
      </c>
      <c r="M38" s="70">
        <f t="shared" si="21"/>
        <v>40999</v>
      </c>
      <c r="N38" s="55">
        <f>+'SuppSch TME0312 by Plan'!L17</f>
        <v>173868</v>
      </c>
      <c r="O38" s="55">
        <f>+'SuppSch TME0312 by Plan'!M17</f>
        <v>5947</v>
      </c>
      <c r="P38" s="55">
        <f>+'SuppSch TME0312 by Plan'!N17</f>
        <v>10360</v>
      </c>
      <c r="Q38" s="55">
        <f>+'SuppSch TME0312 by Plan'!O17</f>
        <v>57245</v>
      </c>
      <c r="R38" s="55">
        <f>+'SuppSch TME0312 by Plan'!P17</f>
        <v>6735</v>
      </c>
      <c r="S38" s="55">
        <f>+'SuppSch TME0312 by Plan'!R17</f>
        <v>-14527</v>
      </c>
      <c r="T38" s="55">
        <f>+'SuppSch TME0312 by Plan'!Q17</f>
        <v>0</v>
      </c>
      <c r="U38" s="55">
        <v>0</v>
      </c>
      <c r="V38" s="55">
        <v>0</v>
      </c>
      <c r="W38" s="55">
        <f t="shared" si="22"/>
        <v>239628</v>
      </c>
      <c r="Y38" s="70">
        <f t="shared" si="23"/>
        <v>40999</v>
      </c>
      <c r="Z38" s="55">
        <f>+'SuppSch TME0312 by Plan'!AF17</f>
        <v>0</v>
      </c>
      <c r="AA38" s="55">
        <f>+'SuppSch TME0312 by Plan'!AG17</f>
        <v>135</v>
      </c>
      <c r="AB38" s="55">
        <f>+'SuppSch TME0312 by Plan'!AH17</f>
        <v>0</v>
      </c>
      <c r="AC38" s="55">
        <f>+'SuppSch TME0312 by Plan'!AI17</f>
        <v>50642</v>
      </c>
      <c r="AD38" s="55">
        <f>+'SuppSch TME0312 by Plan'!AJ17</f>
        <v>1299</v>
      </c>
      <c r="AE38" s="55">
        <v>0</v>
      </c>
      <c r="AF38" s="55">
        <f>+'SuppSch TME0312 by Plan'!AK17</f>
        <v>0</v>
      </c>
      <c r="AG38" s="55">
        <v>0</v>
      </c>
      <c r="AH38" s="55">
        <f>+'SuppSch TME0312 by Plan'!AL17</f>
        <v>0</v>
      </c>
      <c r="AI38" s="55">
        <f t="shared" si="24"/>
        <v>52076</v>
      </c>
    </row>
    <row r="39" spans="1:35" x14ac:dyDescent="0.2">
      <c r="A39" s="66"/>
      <c r="B39" s="66"/>
      <c r="C39" s="66"/>
      <c r="D39" s="66"/>
      <c r="M39" s="70"/>
      <c r="N39" s="44"/>
      <c r="O39" s="44"/>
      <c r="P39" s="44"/>
      <c r="Q39" s="44"/>
      <c r="R39" s="44"/>
      <c r="S39" s="44"/>
      <c r="T39" s="44"/>
      <c r="U39" s="44"/>
      <c r="V39" s="44"/>
      <c r="W39" s="44"/>
      <c r="Y39" s="70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5" ht="12" thickBot="1" x14ac:dyDescent="0.25">
      <c r="A40" s="71" t="str">
        <f>+'SuppSch TME0312 by Plan'!A40</f>
        <v>Totals</v>
      </c>
      <c r="B40" s="72">
        <f>SUM(B27:B39)</f>
        <v>893</v>
      </c>
      <c r="C40" s="85">
        <f>SUM(C27:C39)</f>
        <v>-223921</v>
      </c>
      <c r="D40" s="85">
        <f>SUM(D27:D39)</f>
        <v>-223028</v>
      </c>
      <c r="M40" s="71" t="str">
        <f t="shared" si="21"/>
        <v>Totals</v>
      </c>
      <c r="N40" s="72">
        <f>SUM(N27:N39)</f>
        <v>2067753</v>
      </c>
      <c r="O40" s="72">
        <f t="shared" ref="O40" si="25">SUM(O27:O39)</f>
        <v>73137</v>
      </c>
      <c r="P40" s="72">
        <f t="shared" ref="P40" si="26">SUM(P27:P39)</f>
        <v>165972</v>
      </c>
      <c r="Q40" s="72">
        <f t="shared" ref="Q40" si="27">SUM(Q27:Q39)</f>
        <v>675474</v>
      </c>
      <c r="R40" s="72">
        <f t="shared" ref="R40" si="28">SUM(R27:R39)</f>
        <v>132602</v>
      </c>
      <c r="S40" s="72">
        <f t="shared" ref="S40" si="29">SUM(S27:S39)</f>
        <v>-174324</v>
      </c>
      <c r="T40" s="72">
        <f t="shared" ref="T40" si="30">SUM(T27:T39)</f>
        <v>0</v>
      </c>
      <c r="U40" s="72">
        <f t="shared" ref="U40" si="31">SUM(U27:U39)</f>
        <v>0</v>
      </c>
      <c r="V40" s="72">
        <f t="shared" ref="V40" si="32">SUM(V27:V39)</f>
        <v>0</v>
      </c>
      <c r="W40" s="72">
        <f t="shared" ref="W40" si="33">SUM(W27:W39)</f>
        <v>2940614</v>
      </c>
      <c r="Y40" s="71" t="str">
        <f t="shared" si="23"/>
        <v>Totals</v>
      </c>
      <c r="Z40" s="72">
        <f>SUM(Z27:Z39)</f>
        <v>0</v>
      </c>
      <c r="AA40" s="72">
        <f t="shared" ref="AA40" si="34">SUM(AA27:AA39)</f>
        <v>405</v>
      </c>
      <c r="AB40" s="72">
        <f t="shared" ref="AB40" si="35">SUM(AB27:AB39)</f>
        <v>0</v>
      </c>
      <c r="AC40" s="72">
        <f t="shared" ref="AC40" si="36">SUM(AC27:AC39)</f>
        <v>541952.33000000007</v>
      </c>
      <c r="AD40" s="72">
        <f t="shared" ref="AD40" si="37">SUM(AD27:AD39)</f>
        <v>9656.64</v>
      </c>
      <c r="AE40" s="72">
        <f t="shared" ref="AE40" si="38">SUM(AE27:AE39)</f>
        <v>0</v>
      </c>
      <c r="AF40" s="72">
        <f t="shared" ref="AF40" si="39">SUM(AF27:AF39)</f>
        <v>0</v>
      </c>
      <c r="AG40" s="72">
        <f t="shared" ref="AG40" si="40">SUM(AG27:AG39)</f>
        <v>0</v>
      </c>
      <c r="AH40" s="72">
        <f t="shared" ref="AH40" si="41">SUM(AH27:AH39)</f>
        <v>92712.56</v>
      </c>
      <c r="AI40" s="72">
        <f t="shared" ref="AI40" si="42">SUM(AI27:AI39)</f>
        <v>644726.53</v>
      </c>
    </row>
    <row r="41" spans="1:35" ht="12" thickTop="1" x14ac:dyDescent="0.2">
      <c r="M41" s="38"/>
      <c r="Y41" s="38"/>
    </row>
    <row r="45" spans="1:35" ht="45" x14ac:dyDescent="0.2">
      <c r="A45" s="66"/>
      <c r="B45" s="74" t="s">
        <v>43</v>
      </c>
      <c r="C45" s="74" t="s">
        <v>44</v>
      </c>
      <c r="D45" s="86" t="s">
        <v>45</v>
      </c>
      <c r="M45" s="87" t="s">
        <v>97</v>
      </c>
      <c r="N45" s="68" t="s">
        <v>25</v>
      </c>
      <c r="O45" s="68" t="s">
        <v>26</v>
      </c>
      <c r="P45" s="117" t="s">
        <v>27</v>
      </c>
      <c r="Q45" s="117"/>
      <c r="R45" s="117"/>
      <c r="S45" s="68" t="s">
        <v>70</v>
      </c>
      <c r="T45" s="68" t="s">
        <v>73</v>
      </c>
      <c r="U45" s="69" t="s">
        <v>85</v>
      </c>
      <c r="V45" s="68" t="s">
        <v>72</v>
      </c>
      <c r="W45" s="68" t="s">
        <v>28</v>
      </c>
      <c r="Y45" s="87" t="s">
        <v>98</v>
      </c>
      <c r="Z45" s="68" t="s">
        <v>25</v>
      </c>
      <c r="AA45" s="68" t="s">
        <v>26</v>
      </c>
      <c r="AB45" s="117" t="s">
        <v>27</v>
      </c>
      <c r="AC45" s="117"/>
      <c r="AD45" s="117"/>
      <c r="AE45" s="68" t="s">
        <v>70</v>
      </c>
      <c r="AF45" s="68" t="s">
        <v>73</v>
      </c>
      <c r="AG45" s="69" t="s">
        <v>85</v>
      </c>
      <c r="AH45" s="68" t="s">
        <v>72</v>
      </c>
      <c r="AI45" s="68" t="s">
        <v>28</v>
      </c>
    </row>
    <row r="46" spans="1:35" ht="33.75" x14ac:dyDescent="0.2">
      <c r="A46" s="66"/>
      <c r="B46" s="77" t="s">
        <v>74</v>
      </c>
      <c r="C46" s="77" t="s">
        <v>74</v>
      </c>
      <c r="D46" s="86" t="s">
        <v>46</v>
      </c>
      <c r="N46" s="68" t="s">
        <v>29</v>
      </c>
      <c r="O46" s="40"/>
      <c r="P46" s="40" t="s">
        <v>30</v>
      </c>
      <c r="Q46" s="40" t="s">
        <v>31</v>
      </c>
      <c r="R46" s="68" t="s">
        <v>32</v>
      </c>
      <c r="T46" s="69" t="s">
        <v>83</v>
      </c>
      <c r="U46" s="69" t="s">
        <v>86</v>
      </c>
      <c r="Z46" s="68" t="s">
        <v>29</v>
      </c>
      <c r="AA46" s="40"/>
      <c r="AB46" s="40" t="s">
        <v>30</v>
      </c>
      <c r="AC46" s="40" t="s">
        <v>31</v>
      </c>
      <c r="AD46" s="68" t="s">
        <v>32</v>
      </c>
      <c r="AF46" s="69" t="s">
        <v>83</v>
      </c>
      <c r="AG46" s="69" t="s">
        <v>86</v>
      </c>
    </row>
    <row r="47" spans="1:35" x14ac:dyDescent="0.2">
      <c r="A47" s="38"/>
      <c r="M47" s="70">
        <f t="shared" ref="M47:M58" si="43">+M6</f>
        <v>40663</v>
      </c>
      <c r="N47" s="44">
        <f>+N6+N27</f>
        <v>211473</v>
      </c>
      <c r="O47" s="44">
        <f t="shared" ref="O47:V47" si="44">+O6+O27</f>
        <v>8310</v>
      </c>
      <c r="P47" s="44">
        <f t="shared" si="44"/>
        <v>35899</v>
      </c>
      <c r="Q47" s="44">
        <f t="shared" si="44"/>
        <v>2012</v>
      </c>
      <c r="R47" s="44">
        <f t="shared" si="44"/>
        <v>8188</v>
      </c>
      <c r="S47" s="44">
        <f t="shared" si="44"/>
        <v>-14527</v>
      </c>
      <c r="T47" s="44">
        <f t="shared" si="44"/>
        <v>0</v>
      </c>
      <c r="U47" s="44">
        <f t="shared" si="44"/>
        <v>0</v>
      </c>
      <c r="V47" s="44">
        <f t="shared" si="44"/>
        <v>0</v>
      </c>
      <c r="W47" s="44">
        <f>SUM(N47:V47)</f>
        <v>251355</v>
      </c>
      <c r="Y47" s="70">
        <f t="shared" ref="Y47:Y58" si="45">+Y6</f>
        <v>40663</v>
      </c>
      <c r="Z47" s="44">
        <f>+Z6+Z27</f>
        <v>0</v>
      </c>
      <c r="AA47" s="44">
        <f t="shared" ref="AA47:AH47" si="46">+AA6+AA27</f>
        <v>988.98</v>
      </c>
      <c r="AB47" s="44">
        <f t="shared" si="46"/>
        <v>0</v>
      </c>
      <c r="AC47" s="44">
        <f t="shared" si="46"/>
        <v>51312.51</v>
      </c>
      <c r="AD47" s="44">
        <f t="shared" si="46"/>
        <v>4609.51</v>
      </c>
      <c r="AE47" s="44">
        <f t="shared" si="46"/>
        <v>0</v>
      </c>
      <c r="AF47" s="44">
        <f t="shared" si="46"/>
        <v>0</v>
      </c>
      <c r="AG47" s="44">
        <f t="shared" si="46"/>
        <v>0</v>
      </c>
      <c r="AH47" s="44">
        <f t="shared" si="46"/>
        <v>0</v>
      </c>
      <c r="AI47" s="44">
        <f>SUM(Z47:AH47)</f>
        <v>56911.000000000007</v>
      </c>
    </row>
    <row r="48" spans="1:35" x14ac:dyDescent="0.2">
      <c r="A48" s="70">
        <f>+'SuppSch TME0312 by Plan'!A48</f>
        <v>40663</v>
      </c>
      <c r="B48" s="62">
        <f>+'SuppSch TME0312 by Plan'!B48</f>
        <v>62399735</v>
      </c>
      <c r="C48" s="62">
        <f>+'SuppSch TME0312 by Plan'!C48</f>
        <v>72141917</v>
      </c>
      <c r="D48" s="88">
        <f>+'SuppSch TME0312 by Plan'!D48</f>
        <v>0.86495809364200849</v>
      </c>
      <c r="M48" s="70">
        <f t="shared" si="43"/>
        <v>40694</v>
      </c>
      <c r="N48" s="44">
        <f t="shared" ref="N48:V48" si="47">+N7+N28</f>
        <v>213428</v>
      </c>
      <c r="O48" s="44">
        <f t="shared" si="47"/>
        <v>8310</v>
      </c>
      <c r="P48" s="44">
        <f t="shared" si="47"/>
        <v>37578</v>
      </c>
      <c r="Q48" s="44">
        <f t="shared" si="47"/>
        <v>51717</v>
      </c>
      <c r="R48" s="44">
        <f t="shared" si="47"/>
        <v>7735</v>
      </c>
      <c r="S48" s="44">
        <f t="shared" si="47"/>
        <v>-14527</v>
      </c>
      <c r="T48" s="44">
        <f t="shared" si="47"/>
        <v>0</v>
      </c>
      <c r="U48" s="44">
        <f t="shared" si="47"/>
        <v>0</v>
      </c>
      <c r="V48" s="44">
        <f t="shared" si="47"/>
        <v>0</v>
      </c>
      <c r="W48" s="44">
        <f t="shared" ref="W48:W58" si="48">SUM(N48:V48)</f>
        <v>304241</v>
      </c>
      <c r="Y48" s="70">
        <f t="shared" si="45"/>
        <v>40694</v>
      </c>
      <c r="Z48" s="44">
        <f t="shared" ref="Z48:AH48" si="49">+Z7+Z28</f>
        <v>0</v>
      </c>
      <c r="AA48" s="44">
        <f t="shared" si="49"/>
        <v>989</v>
      </c>
      <c r="AB48" s="44">
        <f t="shared" si="49"/>
        <v>0</v>
      </c>
      <c r="AC48" s="44">
        <f t="shared" si="49"/>
        <v>50337.62</v>
      </c>
      <c r="AD48" s="44">
        <f t="shared" si="49"/>
        <v>711.38</v>
      </c>
      <c r="AE48" s="44">
        <f t="shared" si="49"/>
        <v>0</v>
      </c>
      <c r="AF48" s="44">
        <f t="shared" si="49"/>
        <v>0</v>
      </c>
      <c r="AG48" s="44">
        <f t="shared" si="49"/>
        <v>0</v>
      </c>
      <c r="AH48" s="44">
        <f t="shared" si="49"/>
        <v>0</v>
      </c>
      <c r="AI48" s="44">
        <f t="shared" ref="AI48:AI58" si="50">SUM(Z48:AH48)</f>
        <v>52038</v>
      </c>
    </row>
    <row r="49" spans="1:35" x14ac:dyDescent="0.2">
      <c r="A49" s="70">
        <f>+'SuppSch TME0312 by Plan'!A49</f>
        <v>40694</v>
      </c>
      <c r="B49" s="45">
        <f>+'SuppSch TME0312 by Plan'!B49</f>
        <v>65590042</v>
      </c>
      <c r="C49" s="45">
        <f>+'SuppSch TME0312 by Plan'!C49</f>
        <v>75542976</v>
      </c>
      <c r="D49" s="88">
        <f>+'SuppSch TME0312 by Plan'!D49</f>
        <v>0.86824805525268156</v>
      </c>
      <c r="M49" s="70">
        <f t="shared" si="43"/>
        <v>40724</v>
      </c>
      <c r="N49" s="44">
        <f t="shared" ref="N49:V49" si="51">+N8+N29</f>
        <v>210834</v>
      </c>
      <c r="O49" s="44">
        <f t="shared" si="51"/>
        <v>6663</v>
      </c>
      <c r="P49" s="44">
        <f t="shared" si="51"/>
        <v>39805</v>
      </c>
      <c r="Q49" s="44">
        <f t="shared" si="51"/>
        <v>13302</v>
      </c>
      <c r="R49" s="44">
        <f t="shared" si="51"/>
        <v>8786</v>
      </c>
      <c r="S49" s="44">
        <f t="shared" si="51"/>
        <v>-14527</v>
      </c>
      <c r="T49" s="44">
        <f t="shared" si="51"/>
        <v>0</v>
      </c>
      <c r="U49" s="44">
        <f t="shared" si="51"/>
        <v>0</v>
      </c>
      <c r="V49" s="44">
        <f t="shared" si="51"/>
        <v>0</v>
      </c>
      <c r="W49" s="44">
        <f t="shared" si="48"/>
        <v>264863</v>
      </c>
      <c r="Y49" s="70">
        <f t="shared" si="45"/>
        <v>40724</v>
      </c>
      <c r="Z49" s="44">
        <f t="shared" ref="Z49:AH49" si="52">+Z8+Z29</f>
        <v>0</v>
      </c>
      <c r="AA49" s="44">
        <f t="shared" si="52"/>
        <v>989.49</v>
      </c>
      <c r="AB49" s="44">
        <f t="shared" si="52"/>
        <v>0</v>
      </c>
      <c r="AC49" s="44">
        <f t="shared" si="52"/>
        <v>44102.76</v>
      </c>
      <c r="AD49" s="44">
        <f t="shared" si="52"/>
        <v>258.75</v>
      </c>
      <c r="AE49" s="44">
        <f t="shared" si="52"/>
        <v>0</v>
      </c>
      <c r="AF49" s="44">
        <f t="shared" si="52"/>
        <v>0</v>
      </c>
      <c r="AG49" s="44">
        <f t="shared" si="52"/>
        <v>0</v>
      </c>
      <c r="AH49" s="44">
        <f t="shared" si="52"/>
        <v>0</v>
      </c>
      <c r="AI49" s="44">
        <f t="shared" si="50"/>
        <v>45351</v>
      </c>
    </row>
    <row r="50" spans="1:35" x14ac:dyDescent="0.2">
      <c r="A50" s="70">
        <f>+'SuppSch TME0312 by Plan'!A50</f>
        <v>40724</v>
      </c>
      <c r="B50" s="45">
        <f>+'SuppSch TME0312 by Plan'!B50</f>
        <v>85552331</v>
      </c>
      <c r="C50" s="45">
        <f>+'SuppSch TME0312 by Plan'!C50</f>
        <v>92722749</v>
      </c>
      <c r="D50" s="88">
        <f>+'SuppSch TME0312 by Plan'!D50</f>
        <v>0.92266819009000689</v>
      </c>
      <c r="M50" s="70">
        <f t="shared" si="43"/>
        <v>40755</v>
      </c>
      <c r="N50" s="44">
        <f t="shared" ref="N50:V50" si="53">+N9+N30</f>
        <v>211685</v>
      </c>
      <c r="O50" s="44">
        <f t="shared" si="53"/>
        <v>7911</v>
      </c>
      <c r="P50" s="44">
        <f t="shared" si="53"/>
        <v>74962</v>
      </c>
      <c r="Q50" s="44">
        <f t="shared" si="53"/>
        <v>38282</v>
      </c>
      <c r="R50" s="44">
        <f t="shared" si="53"/>
        <v>7599</v>
      </c>
      <c r="S50" s="44">
        <f t="shared" si="53"/>
        <v>-14527</v>
      </c>
      <c r="T50" s="44">
        <f t="shared" si="53"/>
        <v>0</v>
      </c>
      <c r="U50" s="44">
        <f t="shared" si="53"/>
        <v>0</v>
      </c>
      <c r="V50" s="44">
        <f t="shared" si="53"/>
        <v>0</v>
      </c>
      <c r="W50" s="44">
        <f t="shared" si="48"/>
        <v>325912</v>
      </c>
      <c r="Y50" s="70">
        <f t="shared" si="45"/>
        <v>40755</v>
      </c>
      <c r="Z50" s="44">
        <f t="shared" ref="Z50:AH50" si="54">+Z9+Z30</f>
        <v>0</v>
      </c>
      <c r="AA50" s="44">
        <f t="shared" si="54"/>
        <v>989</v>
      </c>
      <c r="AB50" s="44">
        <f t="shared" si="54"/>
        <v>0</v>
      </c>
      <c r="AC50" s="44">
        <f t="shared" si="54"/>
        <v>49907</v>
      </c>
      <c r="AD50" s="44">
        <f t="shared" si="54"/>
        <v>-462</v>
      </c>
      <c r="AE50" s="44">
        <f t="shared" si="54"/>
        <v>0</v>
      </c>
      <c r="AF50" s="44">
        <f t="shared" si="54"/>
        <v>0</v>
      </c>
      <c r="AG50" s="44">
        <f t="shared" si="54"/>
        <v>0</v>
      </c>
      <c r="AH50" s="44">
        <f t="shared" si="54"/>
        <v>0</v>
      </c>
      <c r="AI50" s="44">
        <f t="shared" si="50"/>
        <v>50434</v>
      </c>
    </row>
    <row r="51" spans="1:35" x14ac:dyDescent="0.2">
      <c r="A51" s="70">
        <f>+'SuppSch TME0312 by Plan'!A51</f>
        <v>40755</v>
      </c>
      <c r="B51" s="45">
        <f>+'SuppSch TME0312 by Plan'!B51</f>
        <v>92680126</v>
      </c>
      <c r="C51" s="45">
        <f>+'SuppSch TME0312 by Plan'!C51</f>
        <v>100956855</v>
      </c>
      <c r="D51" s="88">
        <f>+'SuppSch TME0312 by Plan'!D51</f>
        <v>0.91801716683824985</v>
      </c>
      <c r="M51" s="70">
        <f t="shared" si="43"/>
        <v>40786</v>
      </c>
      <c r="N51" s="44">
        <f t="shared" ref="N51:V51" si="55">+N10+N31</f>
        <v>211685</v>
      </c>
      <c r="O51" s="44">
        <f t="shared" si="55"/>
        <v>7911</v>
      </c>
      <c r="P51" s="44">
        <f t="shared" si="55"/>
        <v>65999</v>
      </c>
      <c r="Q51" s="44">
        <f t="shared" si="55"/>
        <v>138130</v>
      </c>
      <c r="R51" s="44">
        <f t="shared" si="55"/>
        <v>11666</v>
      </c>
      <c r="S51" s="44">
        <f t="shared" si="55"/>
        <v>-14527</v>
      </c>
      <c r="T51" s="44">
        <f t="shared" si="55"/>
        <v>0</v>
      </c>
      <c r="U51" s="44">
        <f t="shared" si="55"/>
        <v>0</v>
      </c>
      <c r="V51" s="44">
        <f t="shared" si="55"/>
        <v>0</v>
      </c>
      <c r="W51" s="44">
        <f t="shared" si="48"/>
        <v>420864</v>
      </c>
      <c r="Y51" s="70">
        <f t="shared" si="45"/>
        <v>40786</v>
      </c>
      <c r="Z51" s="44">
        <f t="shared" ref="Z51:AH51" si="56">+Z10+Z31</f>
        <v>0</v>
      </c>
      <c r="AA51" s="44">
        <f t="shared" si="56"/>
        <v>989</v>
      </c>
      <c r="AB51" s="44">
        <f t="shared" si="56"/>
        <v>0</v>
      </c>
      <c r="AC51" s="44">
        <f t="shared" si="56"/>
        <v>54223</v>
      </c>
      <c r="AD51" s="44">
        <f t="shared" si="56"/>
        <v>106</v>
      </c>
      <c r="AE51" s="44">
        <f t="shared" si="56"/>
        <v>0</v>
      </c>
      <c r="AF51" s="44">
        <f t="shared" si="56"/>
        <v>0</v>
      </c>
      <c r="AG51" s="44">
        <f t="shared" si="56"/>
        <v>0</v>
      </c>
      <c r="AH51" s="44">
        <f t="shared" si="56"/>
        <v>0</v>
      </c>
      <c r="AI51" s="44">
        <f t="shared" si="50"/>
        <v>55318</v>
      </c>
    </row>
    <row r="52" spans="1:35" x14ac:dyDescent="0.2">
      <c r="A52" s="70">
        <f>+'SuppSch TME0312 by Plan'!A52</f>
        <v>40786</v>
      </c>
      <c r="B52" s="45">
        <f>+'SuppSch TME0312 by Plan'!B52</f>
        <v>105502255</v>
      </c>
      <c r="C52" s="45">
        <f>+'SuppSch TME0312 by Plan'!C52</f>
        <v>112725200</v>
      </c>
      <c r="D52" s="88">
        <f>+'SuppSch TME0312 by Plan'!D52</f>
        <v>0.93592430973730811</v>
      </c>
      <c r="M52" s="70">
        <f t="shared" si="43"/>
        <v>40816</v>
      </c>
      <c r="N52" s="44">
        <f t="shared" ref="N52:V52" si="57">+N11+N32</f>
        <v>211685</v>
      </c>
      <c r="O52" s="44">
        <f t="shared" si="57"/>
        <v>7911</v>
      </c>
      <c r="P52" s="44">
        <f t="shared" si="57"/>
        <v>58460</v>
      </c>
      <c r="Q52" s="44">
        <f t="shared" si="57"/>
        <v>37489</v>
      </c>
      <c r="R52" s="44">
        <f t="shared" si="57"/>
        <v>14261</v>
      </c>
      <c r="S52" s="44">
        <f t="shared" si="57"/>
        <v>-14527</v>
      </c>
      <c r="T52" s="44">
        <f t="shared" si="57"/>
        <v>0</v>
      </c>
      <c r="U52" s="44">
        <f t="shared" si="57"/>
        <v>0</v>
      </c>
      <c r="V52" s="44">
        <f t="shared" si="57"/>
        <v>0</v>
      </c>
      <c r="W52" s="44">
        <f t="shared" si="48"/>
        <v>315279</v>
      </c>
      <c r="Y52" s="70">
        <f t="shared" si="45"/>
        <v>40816</v>
      </c>
      <c r="Z52" s="44">
        <f t="shared" ref="Z52:AH52" si="58">+Z11+Z32</f>
        <v>0</v>
      </c>
      <c r="AA52" s="44">
        <f t="shared" si="58"/>
        <v>989</v>
      </c>
      <c r="AB52" s="44">
        <f t="shared" si="58"/>
        <v>0</v>
      </c>
      <c r="AC52" s="44">
        <f t="shared" si="58"/>
        <v>64007.7</v>
      </c>
      <c r="AD52" s="44">
        <f t="shared" si="58"/>
        <v>326</v>
      </c>
      <c r="AE52" s="44">
        <f t="shared" si="58"/>
        <v>0</v>
      </c>
      <c r="AF52" s="44">
        <f t="shared" si="58"/>
        <v>0</v>
      </c>
      <c r="AG52" s="44">
        <f t="shared" si="58"/>
        <v>0</v>
      </c>
      <c r="AH52" s="44">
        <f t="shared" si="58"/>
        <v>14565.3</v>
      </c>
      <c r="AI52" s="44">
        <f t="shared" si="50"/>
        <v>79888</v>
      </c>
    </row>
    <row r="53" spans="1:35" x14ac:dyDescent="0.2">
      <c r="A53" s="70">
        <f>+'SuppSch TME0312 by Plan'!A53</f>
        <v>40816</v>
      </c>
      <c r="B53" s="45">
        <f>+'SuppSch TME0312 by Plan'!B53</f>
        <v>87284465</v>
      </c>
      <c r="C53" s="45">
        <f>+'SuppSch TME0312 by Plan'!C53</f>
        <v>99697403</v>
      </c>
      <c r="D53" s="88">
        <f>+'SuppSch TME0312 by Plan'!D53</f>
        <v>0.87549386818029751</v>
      </c>
      <c r="M53" s="70">
        <f t="shared" si="43"/>
        <v>40847</v>
      </c>
      <c r="N53" s="44">
        <f t="shared" ref="N53:V53" si="59">+N12+N33</f>
        <v>211685</v>
      </c>
      <c r="O53" s="44">
        <f t="shared" si="59"/>
        <v>7911</v>
      </c>
      <c r="P53" s="44">
        <f t="shared" si="59"/>
        <v>-14134</v>
      </c>
      <c r="Q53" s="44">
        <f t="shared" si="59"/>
        <v>53647</v>
      </c>
      <c r="R53" s="44">
        <f t="shared" si="59"/>
        <v>10779</v>
      </c>
      <c r="S53" s="44">
        <f t="shared" si="59"/>
        <v>-14527</v>
      </c>
      <c r="T53" s="44">
        <f t="shared" si="59"/>
        <v>0</v>
      </c>
      <c r="U53" s="44">
        <f t="shared" si="59"/>
        <v>0</v>
      </c>
      <c r="V53" s="44">
        <f t="shared" si="59"/>
        <v>0</v>
      </c>
      <c r="W53" s="44">
        <f t="shared" si="48"/>
        <v>255361</v>
      </c>
      <c r="Y53" s="70">
        <f t="shared" si="45"/>
        <v>40847</v>
      </c>
      <c r="Z53" s="44">
        <f t="shared" ref="Z53:AH53" si="60">+Z12+Z33</f>
        <v>0</v>
      </c>
      <c r="AA53" s="44">
        <f t="shared" si="60"/>
        <v>989</v>
      </c>
      <c r="AB53" s="44">
        <f t="shared" si="60"/>
        <v>0</v>
      </c>
      <c r="AC53" s="44">
        <f t="shared" si="60"/>
        <v>11275.49</v>
      </c>
      <c r="AD53" s="44">
        <f t="shared" si="60"/>
        <v>0</v>
      </c>
      <c r="AE53" s="44">
        <f t="shared" si="60"/>
        <v>0</v>
      </c>
      <c r="AF53" s="44">
        <f t="shared" si="60"/>
        <v>0</v>
      </c>
      <c r="AG53" s="44">
        <f t="shared" si="60"/>
        <v>0</v>
      </c>
      <c r="AH53" s="44">
        <f t="shared" si="60"/>
        <v>54442.51</v>
      </c>
      <c r="AI53" s="44">
        <f t="shared" si="50"/>
        <v>66707</v>
      </c>
    </row>
    <row r="54" spans="1:35" x14ac:dyDescent="0.2">
      <c r="A54" s="70">
        <f>+'SuppSch TME0312 by Plan'!A54</f>
        <v>40847</v>
      </c>
      <c r="B54" s="45">
        <f>+'SuppSch TME0312 by Plan'!B54</f>
        <v>67100418</v>
      </c>
      <c r="C54" s="45">
        <f>+'SuppSch TME0312 by Plan'!C54</f>
        <v>81152067</v>
      </c>
      <c r="D54" s="88">
        <f>+'SuppSch TME0312 by Plan'!D54</f>
        <v>0.82684792243184635</v>
      </c>
      <c r="M54" s="70">
        <f t="shared" si="43"/>
        <v>40877</v>
      </c>
      <c r="N54" s="44">
        <f t="shared" ref="N54:V54" si="61">+N13+N34</f>
        <v>211685</v>
      </c>
      <c r="O54" s="44">
        <f t="shared" si="61"/>
        <v>7911</v>
      </c>
      <c r="P54" s="44">
        <f t="shared" si="61"/>
        <v>-17674</v>
      </c>
      <c r="Q54" s="44">
        <f t="shared" si="61"/>
        <v>85467</v>
      </c>
      <c r="R54" s="44">
        <f t="shared" si="61"/>
        <v>16834</v>
      </c>
      <c r="S54" s="44">
        <f t="shared" si="61"/>
        <v>-14527</v>
      </c>
      <c r="T54" s="44">
        <f t="shared" si="61"/>
        <v>0</v>
      </c>
      <c r="U54" s="44">
        <f t="shared" si="61"/>
        <v>0</v>
      </c>
      <c r="V54" s="44">
        <f t="shared" si="61"/>
        <v>0</v>
      </c>
      <c r="W54" s="44">
        <f t="shared" si="48"/>
        <v>289696</v>
      </c>
      <c r="Y54" s="70">
        <f t="shared" si="45"/>
        <v>40877</v>
      </c>
      <c r="Z54" s="44">
        <f t="shared" ref="Z54:AH54" si="62">+Z13+Z34</f>
        <v>0</v>
      </c>
      <c r="AA54" s="44">
        <f t="shared" si="62"/>
        <v>989</v>
      </c>
      <c r="AB54" s="44">
        <f t="shared" si="62"/>
        <v>0</v>
      </c>
      <c r="AC54" s="44">
        <f t="shared" si="62"/>
        <v>18570</v>
      </c>
      <c r="AD54" s="44">
        <f t="shared" si="62"/>
        <v>1076</v>
      </c>
      <c r="AE54" s="44">
        <f t="shared" si="62"/>
        <v>0</v>
      </c>
      <c r="AF54" s="44">
        <f t="shared" si="62"/>
        <v>32919</v>
      </c>
      <c r="AG54" s="44">
        <f t="shared" si="62"/>
        <v>0</v>
      </c>
      <c r="AH54" s="44">
        <f t="shared" si="62"/>
        <v>7520</v>
      </c>
      <c r="AI54" s="44">
        <f t="shared" si="50"/>
        <v>61074</v>
      </c>
    </row>
    <row r="55" spans="1:35" x14ac:dyDescent="0.2">
      <c r="A55" s="70">
        <f>+'SuppSch TME0312 by Plan'!A55</f>
        <v>40877</v>
      </c>
      <c r="B55" s="45">
        <f>+'SuppSch TME0312 by Plan'!B55</f>
        <v>59812659</v>
      </c>
      <c r="C55" s="45">
        <f>+'SuppSch TME0312 by Plan'!C55</f>
        <v>72986687</v>
      </c>
      <c r="D55" s="88">
        <f>+'SuppSch TME0312 by Plan'!D55</f>
        <v>0.81950094542584184</v>
      </c>
      <c r="M55" s="70">
        <f t="shared" si="43"/>
        <v>40908</v>
      </c>
      <c r="N55" s="44">
        <f t="shared" ref="N55:V55" si="63">+N14+N35</f>
        <v>211685</v>
      </c>
      <c r="O55" s="44">
        <f t="shared" si="63"/>
        <v>7911</v>
      </c>
      <c r="P55" s="44">
        <f t="shared" si="63"/>
        <v>51676</v>
      </c>
      <c r="Q55" s="44">
        <f t="shared" si="63"/>
        <v>66578</v>
      </c>
      <c r="R55" s="44">
        <f t="shared" si="63"/>
        <v>12216</v>
      </c>
      <c r="S55" s="44">
        <f t="shared" si="63"/>
        <v>-14527</v>
      </c>
      <c r="T55" s="44">
        <f t="shared" si="63"/>
        <v>0</v>
      </c>
      <c r="U55" s="44">
        <f t="shared" si="63"/>
        <v>0</v>
      </c>
      <c r="V55" s="44">
        <f t="shared" si="63"/>
        <v>0</v>
      </c>
      <c r="W55" s="44">
        <f t="shared" si="48"/>
        <v>335539</v>
      </c>
      <c r="Y55" s="70">
        <f t="shared" si="45"/>
        <v>40908</v>
      </c>
      <c r="Z55" s="44">
        <f t="shared" ref="Z55:AH55" si="64">+Z14+Z35</f>
        <v>10219</v>
      </c>
      <c r="AA55" s="44">
        <f t="shared" si="64"/>
        <v>989</v>
      </c>
      <c r="AB55" s="44">
        <f t="shared" si="64"/>
        <v>0</v>
      </c>
      <c r="AC55" s="44">
        <f t="shared" si="64"/>
        <v>51748.45</v>
      </c>
      <c r="AD55" s="44">
        <f t="shared" si="64"/>
        <v>793</v>
      </c>
      <c r="AE55" s="44">
        <f t="shared" si="64"/>
        <v>0</v>
      </c>
      <c r="AF55" s="44">
        <f t="shared" si="64"/>
        <v>28072</v>
      </c>
      <c r="AG55" s="44">
        <f t="shared" si="64"/>
        <v>0</v>
      </c>
      <c r="AH55" s="44">
        <f t="shared" si="64"/>
        <v>14417.55</v>
      </c>
      <c r="AI55" s="44">
        <f t="shared" si="50"/>
        <v>106239</v>
      </c>
    </row>
    <row r="56" spans="1:35" x14ac:dyDescent="0.2">
      <c r="A56" s="70">
        <f>+'SuppSch TME0312 by Plan'!A56</f>
        <v>40908</v>
      </c>
      <c r="B56" s="45">
        <f>+'SuppSch TME0312 by Plan'!B56</f>
        <v>65648206</v>
      </c>
      <c r="C56" s="45">
        <f>+'SuppSch TME0312 by Plan'!C56</f>
        <v>80899824</v>
      </c>
      <c r="D56" s="88">
        <f>+'SuppSch TME0312 by Plan'!D56</f>
        <v>0.81147526353085764</v>
      </c>
      <c r="M56" s="70">
        <f t="shared" si="43"/>
        <v>40939</v>
      </c>
      <c r="N56" s="44">
        <f t="shared" ref="N56:V56" si="65">+N15+N36</f>
        <v>211685</v>
      </c>
      <c r="O56" s="44">
        <f t="shared" si="65"/>
        <v>7795</v>
      </c>
      <c r="P56" s="44">
        <f t="shared" si="65"/>
        <v>65315</v>
      </c>
      <c r="Q56" s="44">
        <f t="shared" si="65"/>
        <v>62748</v>
      </c>
      <c r="R56" s="44">
        <f t="shared" si="65"/>
        <v>9538</v>
      </c>
      <c r="S56" s="44">
        <f t="shared" si="65"/>
        <v>-14527</v>
      </c>
      <c r="T56" s="44">
        <f t="shared" si="65"/>
        <v>0</v>
      </c>
      <c r="U56" s="44">
        <f t="shared" si="65"/>
        <v>0</v>
      </c>
      <c r="V56" s="44">
        <f t="shared" si="65"/>
        <v>0</v>
      </c>
      <c r="W56" s="44">
        <f t="shared" si="48"/>
        <v>342554</v>
      </c>
      <c r="Y56" s="70">
        <f t="shared" si="45"/>
        <v>40939</v>
      </c>
      <c r="Z56" s="44">
        <f t="shared" ref="Z56:AH56" si="66">+Z15+Z36</f>
        <v>20438</v>
      </c>
      <c r="AA56" s="44">
        <f t="shared" si="66"/>
        <v>2052</v>
      </c>
      <c r="AB56" s="44">
        <f t="shared" si="66"/>
        <v>0</v>
      </c>
      <c r="AC56" s="44">
        <f t="shared" si="66"/>
        <v>53775.8</v>
      </c>
      <c r="AD56" s="44">
        <f t="shared" si="66"/>
        <v>231</v>
      </c>
      <c r="AE56" s="44">
        <f t="shared" si="66"/>
        <v>0</v>
      </c>
      <c r="AF56" s="44">
        <f t="shared" si="66"/>
        <v>1760</v>
      </c>
      <c r="AG56" s="44">
        <f t="shared" si="66"/>
        <v>0</v>
      </c>
      <c r="AH56" s="44">
        <f t="shared" si="66"/>
        <v>1767.2</v>
      </c>
      <c r="AI56" s="44">
        <f t="shared" si="50"/>
        <v>80024</v>
      </c>
    </row>
    <row r="57" spans="1:35" x14ac:dyDescent="0.2">
      <c r="A57" s="70">
        <f>+'SuppSch TME0312 by Plan'!A57</f>
        <v>40939</v>
      </c>
      <c r="B57" s="45">
        <f>+'SuppSch TME0312 by Plan'!B57</f>
        <v>74605985</v>
      </c>
      <c r="C57" s="45">
        <f>+'SuppSch TME0312 by Plan'!C57</f>
        <v>87729220</v>
      </c>
      <c r="D57" s="88">
        <f>+'SuppSch TME0312 by Plan'!D57</f>
        <v>0.85041204059491238</v>
      </c>
      <c r="M57" s="70">
        <f t="shared" si="43"/>
        <v>40968</v>
      </c>
      <c r="N57" s="44">
        <f t="shared" ref="N57:V57" si="67">+N16+N37</f>
        <v>211685</v>
      </c>
      <c r="O57" s="44">
        <f t="shared" si="67"/>
        <v>7795</v>
      </c>
      <c r="P57" s="44">
        <f t="shared" si="67"/>
        <v>73885</v>
      </c>
      <c r="Q57" s="44">
        <f t="shared" si="67"/>
        <v>68857</v>
      </c>
      <c r="R57" s="44">
        <f t="shared" si="67"/>
        <v>18265</v>
      </c>
      <c r="S57" s="44">
        <f t="shared" si="67"/>
        <v>-14527</v>
      </c>
      <c r="T57" s="44">
        <f t="shared" si="67"/>
        <v>0</v>
      </c>
      <c r="U57" s="44">
        <f t="shared" si="67"/>
        <v>0</v>
      </c>
      <c r="V57" s="44">
        <f t="shared" si="67"/>
        <v>0</v>
      </c>
      <c r="W57" s="44">
        <f t="shared" si="48"/>
        <v>365960</v>
      </c>
      <c r="Y57" s="70">
        <f t="shared" si="45"/>
        <v>40968</v>
      </c>
      <c r="Z57" s="44">
        <f t="shared" ref="Z57:AH57" si="68">+Z16+Z37</f>
        <v>20438</v>
      </c>
      <c r="AA57" s="44">
        <f t="shared" si="68"/>
        <v>2052</v>
      </c>
      <c r="AB57" s="44">
        <f t="shared" si="68"/>
        <v>0</v>
      </c>
      <c r="AC57" s="44">
        <f t="shared" si="68"/>
        <v>42050</v>
      </c>
      <c r="AD57" s="44">
        <f t="shared" si="68"/>
        <v>708</v>
      </c>
      <c r="AE57" s="44">
        <f t="shared" si="68"/>
        <v>0</v>
      </c>
      <c r="AF57" s="44">
        <f t="shared" si="68"/>
        <v>1206</v>
      </c>
      <c r="AG57" s="44">
        <f t="shared" si="68"/>
        <v>0</v>
      </c>
      <c r="AH57" s="44">
        <f t="shared" si="68"/>
        <v>0</v>
      </c>
      <c r="AI57" s="44">
        <f t="shared" si="50"/>
        <v>66454</v>
      </c>
    </row>
    <row r="58" spans="1:35" ht="13.5" x14ac:dyDescent="0.35">
      <c r="A58" s="70">
        <f>+'SuppSch TME0312 by Plan'!A58</f>
        <v>40968</v>
      </c>
      <c r="B58" s="45">
        <f>+'SuppSch TME0312 by Plan'!B58</f>
        <v>66491403</v>
      </c>
      <c r="C58" s="45">
        <f>+'SuppSch TME0312 by Plan'!C58</f>
        <v>73467747</v>
      </c>
      <c r="D58" s="88">
        <f>+'SuppSch TME0312 by Plan'!D58</f>
        <v>0.90504208601905267</v>
      </c>
      <c r="M58" s="70">
        <f t="shared" si="43"/>
        <v>40999</v>
      </c>
      <c r="N58" s="55">
        <f t="shared" ref="N58:V58" si="69">+N17+N38</f>
        <v>213947</v>
      </c>
      <c r="O58" s="55">
        <f t="shared" si="69"/>
        <v>7795</v>
      </c>
      <c r="P58" s="55">
        <f t="shared" si="69"/>
        <v>44766</v>
      </c>
      <c r="Q58" s="55">
        <f t="shared" si="69"/>
        <v>57245</v>
      </c>
      <c r="R58" s="55">
        <f t="shared" si="69"/>
        <v>6735</v>
      </c>
      <c r="S58" s="55">
        <f t="shared" si="69"/>
        <v>-14527</v>
      </c>
      <c r="T58" s="55">
        <f t="shared" si="69"/>
        <v>0</v>
      </c>
      <c r="U58" s="55">
        <f t="shared" si="69"/>
        <v>0</v>
      </c>
      <c r="V58" s="55">
        <f t="shared" si="69"/>
        <v>0</v>
      </c>
      <c r="W58" s="55">
        <f t="shared" si="48"/>
        <v>315961</v>
      </c>
      <c r="Y58" s="70">
        <f t="shared" si="45"/>
        <v>40999</v>
      </c>
      <c r="Z58" s="55">
        <f t="shared" ref="Z58:AH58" si="70">+Z17+Z38</f>
        <v>20438</v>
      </c>
      <c r="AA58" s="55">
        <f t="shared" si="70"/>
        <v>2052</v>
      </c>
      <c r="AB58" s="55">
        <f t="shared" si="70"/>
        <v>0</v>
      </c>
      <c r="AC58" s="55">
        <f t="shared" si="70"/>
        <v>50642</v>
      </c>
      <c r="AD58" s="55">
        <f t="shared" si="70"/>
        <v>1299</v>
      </c>
      <c r="AE58" s="55">
        <f t="shared" si="70"/>
        <v>0</v>
      </c>
      <c r="AF58" s="55">
        <f t="shared" si="70"/>
        <v>1399</v>
      </c>
      <c r="AG58" s="55">
        <f t="shared" si="70"/>
        <v>5985</v>
      </c>
      <c r="AH58" s="55">
        <f t="shared" si="70"/>
        <v>0</v>
      </c>
      <c r="AI58" s="55">
        <f t="shared" si="50"/>
        <v>81815</v>
      </c>
    </row>
    <row r="59" spans="1:35" ht="13.5" x14ac:dyDescent="0.35">
      <c r="A59" s="70">
        <f>+'SuppSch TME0312 by Plan'!A59</f>
        <v>40999</v>
      </c>
      <c r="B59" s="49">
        <f>+'SuppSch TME0312 by Plan'!B59</f>
        <v>67797903</v>
      </c>
      <c r="C59" s="49">
        <f>+'SuppSch TME0312 by Plan'!C59</f>
        <v>75992954</v>
      </c>
      <c r="D59" s="89">
        <f>+'SuppSch TME0312 by Plan'!D59</f>
        <v>0.89216038371136352</v>
      </c>
      <c r="M59" s="70"/>
      <c r="N59" s="44"/>
      <c r="O59" s="44"/>
      <c r="P59" s="44"/>
      <c r="Q59" s="44"/>
      <c r="R59" s="44"/>
      <c r="S59" s="44"/>
      <c r="T59" s="44"/>
      <c r="U59" s="44"/>
      <c r="V59" s="44"/>
      <c r="W59" s="44"/>
      <c r="Y59" s="70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:35" ht="12" thickBot="1" x14ac:dyDescent="0.25">
      <c r="A60" s="38"/>
      <c r="M60" s="71" t="str">
        <f>+M19</f>
        <v>Totals</v>
      </c>
      <c r="N60" s="72">
        <f>SUM(N47:N59)</f>
        <v>2543162</v>
      </c>
      <c r="O60" s="72">
        <f t="shared" ref="O60" si="71">SUM(O47:O59)</f>
        <v>94134</v>
      </c>
      <c r="P60" s="72">
        <f t="shared" ref="P60" si="72">SUM(P47:P59)</f>
        <v>516537</v>
      </c>
      <c r="Q60" s="72">
        <f t="shared" ref="Q60" si="73">SUM(Q47:Q59)</f>
        <v>675474</v>
      </c>
      <c r="R60" s="72">
        <f t="shared" ref="R60" si="74">SUM(R47:R59)</f>
        <v>132602</v>
      </c>
      <c r="S60" s="72">
        <f t="shared" ref="S60" si="75">SUM(S47:S59)</f>
        <v>-174324</v>
      </c>
      <c r="T60" s="72">
        <f t="shared" ref="T60" si="76">SUM(T47:T59)</f>
        <v>0</v>
      </c>
      <c r="U60" s="72">
        <f t="shared" ref="U60" si="77">SUM(U47:U59)</f>
        <v>0</v>
      </c>
      <c r="V60" s="72">
        <f t="shared" ref="V60" si="78">SUM(V47:V59)</f>
        <v>0</v>
      </c>
      <c r="W60" s="72">
        <f t="shared" ref="W60" si="79">SUM(W47:W59)</f>
        <v>3787585</v>
      </c>
      <c r="Y60" s="71" t="str">
        <f>+Y19</f>
        <v>Totals</v>
      </c>
      <c r="Z60" s="72">
        <f>SUM(Z47:Z59)</f>
        <v>71533</v>
      </c>
      <c r="AA60" s="72">
        <f t="shared" ref="AA60" si="80">SUM(AA47:AA59)</f>
        <v>15057.470000000001</v>
      </c>
      <c r="AB60" s="72">
        <f t="shared" ref="AB60" si="81">SUM(AB47:AB59)</f>
        <v>0</v>
      </c>
      <c r="AC60" s="72">
        <f t="shared" ref="AC60" si="82">SUM(AC47:AC59)</f>
        <v>541952.33000000007</v>
      </c>
      <c r="AD60" s="72">
        <f t="shared" ref="AD60" si="83">SUM(AD47:AD59)</f>
        <v>9656.64</v>
      </c>
      <c r="AE60" s="72">
        <f t="shared" ref="AE60" si="84">SUM(AE47:AE59)</f>
        <v>0</v>
      </c>
      <c r="AF60" s="72">
        <f t="shared" ref="AF60" si="85">SUM(AF47:AF59)</f>
        <v>65356</v>
      </c>
      <c r="AG60" s="72">
        <f t="shared" ref="AG60" si="86">SUM(AG47:AG59)</f>
        <v>5985</v>
      </c>
      <c r="AH60" s="72">
        <f t="shared" ref="AH60" si="87">SUM(AH47:AH59)</f>
        <v>92712.56</v>
      </c>
      <c r="AI60" s="72">
        <f t="shared" ref="AI60" si="88">SUM(AI47:AI59)</f>
        <v>802253</v>
      </c>
    </row>
    <row r="61" spans="1:35" ht="12.75" thickTop="1" thickBot="1" x14ac:dyDescent="0.25">
      <c r="A61" s="90" t="s">
        <v>34</v>
      </c>
      <c r="B61" s="91">
        <f>SUM(B48:B60)</f>
        <v>900465528</v>
      </c>
      <c r="C61" s="91">
        <f t="shared" ref="C61" si="89">SUM(C48:C60)</f>
        <v>1026015599</v>
      </c>
      <c r="D61" s="60">
        <f>B61/C61</f>
        <v>0.87763337017257181</v>
      </c>
      <c r="M61" s="38"/>
      <c r="Y61" s="38"/>
    </row>
    <row r="62" spans="1:35" ht="12" thickTop="1" x14ac:dyDescent="0.2"/>
    <row r="64" spans="1:35" x14ac:dyDescent="0.2">
      <c r="W64" s="73">
        <f>+W60-C40</f>
        <v>4011506</v>
      </c>
      <c r="AI64" s="73">
        <f>+AI60-B40</f>
        <v>801360</v>
      </c>
    </row>
    <row r="66" spans="35:35" x14ac:dyDescent="0.2">
      <c r="AI66" s="73">
        <f>+AI60+W60-D40</f>
        <v>4812866</v>
      </c>
    </row>
    <row r="67" spans="35:35" x14ac:dyDescent="0.2">
      <c r="AI67" s="73"/>
    </row>
  </sheetData>
  <mergeCells count="7">
    <mergeCell ref="D4:F4"/>
    <mergeCell ref="P4:R4"/>
    <mergeCell ref="P25:R25"/>
    <mergeCell ref="P45:R45"/>
    <mergeCell ref="AB4:AD4"/>
    <mergeCell ref="AB25:AD25"/>
    <mergeCell ref="AB45:AD45"/>
  </mergeCells>
  <pageMargins left="0.7" right="0.7" top="1" bottom="0.75" header="0.55000000000000004" footer="0.3"/>
  <pageSetup scale="83" orientation="portrait" r:id="rId1"/>
  <headerFooter>
    <oddHeader>&amp;R&amp;"Times New Roman,Bold"&amp;12Conroy Exhibit P4
Page &amp;P of &amp;N</oddHeader>
  </headerFooter>
  <colBreaks count="2" manualBreakCount="2">
    <brk id="12" max="60" man="1"/>
    <brk id="24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1"/>
  <sheetViews>
    <sheetView zoomScale="80" zoomScaleNormal="80" zoomScaleSheetLayoutView="80" workbookViewId="0">
      <selection activeCell="F22" sqref="F22"/>
    </sheetView>
  </sheetViews>
  <sheetFormatPr defaultRowHeight="11.25" x14ac:dyDescent="0.2"/>
  <cols>
    <col min="1" max="1" width="13.83203125" style="5" customWidth="1"/>
    <col min="2" max="2" width="14.6640625" style="5" customWidth="1"/>
    <col min="3" max="3" width="16.33203125" style="5" customWidth="1"/>
    <col min="4" max="4" width="13.5" style="5" customWidth="1"/>
    <col min="5" max="6" width="12.33203125" style="5" customWidth="1"/>
    <col min="7" max="7" width="14.1640625" style="5" customWidth="1"/>
    <col min="8" max="9" width="14" style="5" customWidth="1"/>
    <col min="10" max="10" width="1.6640625" style="5" customWidth="1"/>
    <col min="11" max="11" width="14.6640625" style="5" customWidth="1"/>
    <col min="12" max="12" width="16.33203125" style="5" customWidth="1"/>
    <col min="13" max="13" width="13.5" style="5" customWidth="1"/>
    <col min="14" max="15" width="12.33203125" style="5" customWidth="1"/>
    <col min="16" max="16" width="14" style="5" customWidth="1"/>
    <col min="17" max="18" width="11.83203125" style="5" customWidth="1"/>
    <col min="19" max="19" width="14" style="5" customWidth="1"/>
    <col min="20" max="20" width="2.33203125" style="5" customWidth="1"/>
    <col min="21" max="21" width="14.6640625" style="5" customWidth="1"/>
    <col min="22" max="22" width="16.33203125" style="5" customWidth="1"/>
    <col min="23" max="23" width="13.5" style="5" customWidth="1"/>
    <col min="24" max="25" width="12.33203125" style="5" customWidth="1"/>
    <col min="26" max="26" width="14" style="5" customWidth="1"/>
    <col min="27" max="28" width="11.83203125" style="5" customWidth="1"/>
    <col min="29" max="29" width="14" style="5" customWidth="1"/>
    <col min="30" max="30" width="2.33203125" style="5" customWidth="1"/>
    <col min="31" max="31" width="13.5" style="5" customWidth="1"/>
    <col min="32" max="32" width="12.33203125" style="5" customWidth="1"/>
    <col min="33" max="33" width="11.5" style="5" customWidth="1"/>
    <col min="34" max="34" width="9.83203125" style="5" customWidth="1"/>
    <col min="35" max="35" width="11" style="5" customWidth="1"/>
    <col min="36" max="36" width="10" style="5" customWidth="1"/>
    <col min="37" max="37" width="9.5" style="5" customWidth="1"/>
    <col min="38" max="38" width="10.6640625" style="5" customWidth="1"/>
    <col min="39" max="39" width="11.33203125" style="5" customWidth="1"/>
    <col min="40" max="40" width="4.6640625" style="5" customWidth="1"/>
    <col min="41" max="41" width="3.1640625" style="5" customWidth="1"/>
    <col min="42" max="42" width="13.5" style="5" customWidth="1"/>
    <col min="43" max="43" width="13" style="5" customWidth="1"/>
    <col min="44" max="44" width="13" style="5" bestFit="1" customWidth="1"/>
    <col min="45" max="45" width="9.33203125" style="5"/>
    <col min="46" max="47" width="10.5" style="5" bestFit="1" customWidth="1"/>
    <col min="48" max="48" width="7.33203125" style="5" customWidth="1"/>
    <col min="49" max="49" width="10.5" style="5" bestFit="1" customWidth="1"/>
    <col min="50" max="16384" width="9.33203125" style="5"/>
  </cols>
  <sheetData>
    <row r="1" spans="1:44" ht="12" x14ac:dyDescent="0.2">
      <c r="A1" s="129" t="s">
        <v>23</v>
      </c>
      <c r="T1" s="129"/>
      <c r="AD1" s="129"/>
    </row>
    <row r="2" spans="1:44" ht="12" x14ac:dyDescent="0.2">
      <c r="A2" s="5" t="s">
        <v>24</v>
      </c>
      <c r="N2" s="33" t="s">
        <v>99</v>
      </c>
      <c r="T2" s="129"/>
      <c r="AD2" s="129"/>
      <c r="AH2" s="33" t="s">
        <v>99</v>
      </c>
      <c r="AI2" s="33"/>
    </row>
    <row r="4" spans="1:44" ht="33.75" customHeight="1" x14ac:dyDescent="0.2">
      <c r="A4" s="23" t="s">
        <v>48</v>
      </c>
      <c r="B4" s="130" t="s">
        <v>25</v>
      </c>
      <c r="C4" s="130" t="s">
        <v>26</v>
      </c>
      <c r="D4" s="131" t="s">
        <v>27</v>
      </c>
      <c r="E4" s="131"/>
      <c r="F4" s="131"/>
      <c r="G4" s="9" t="s">
        <v>73</v>
      </c>
      <c r="H4" s="9" t="s">
        <v>70</v>
      </c>
      <c r="I4" s="130" t="s">
        <v>28</v>
      </c>
      <c r="J4" s="130"/>
      <c r="K4" s="23" t="s">
        <v>49</v>
      </c>
      <c r="L4" s="130" t="s">
        <v>25</v>
      </c>
      <c r="M4" s="130" t="s">
        <v>26</v>
      </c>
      <c r="N4" s="131" t="s">
        <v>27</v>
      </c>
      <c r="O4" s="131"/>
      <c r="P4" s="131"/>
      <c r="Q4" s="9" t="s">
        <v>73</v>
      </c>
      <c r="R4" s="9" t="s">
        <v>70</v>
      </c>
      <c r="S4" s="130" t="s">
        <v>28</v>
      </c>
      <c r="U4" s="23" t="s">
        <v>64</v>
      </c>
      <c r="V4" s="130" t="s">
        <v>25</v>
      </c>
      <c r="W4" s="130" t="s">
        <v>26</v>
      </c>
      <c r="X4" s="131" t="s">
        <v>27</v>
      </c>
      <c r="Y4" s="131"/>
      <c r="Z4" s="131"/>
      <c r="AA4" s="9" t="s">
        <v>73</v>
      </c>
      <c r="AB4" s="32" t="s">
        <v>85</v>
      </c>
      <c r="AC4" s="130" t="s">
        <v>28</v>
      </c>
      <c r="AE4" s="23" t="s">
        <v>65</v>
      </c>
      <c r="AF4" s="130" t="s">
        <v>25</v>
      </c>
      <c r="AG4" s="130" t="s">
        <v>26</v>
      </c>
      <c r="AH4" s="131" t="s">
        <v>27</v>
      </c>
      <c r="AI4" s="131"/>
      <c r="AJ4" s="131"/>
      <c r="AK4" s="9" t="s">
        <v>73</v>
      </c>
      <c r="AL4" s="9" t="s">
        <v>72</v>
      </c>
      <c r="AM4" s="130" t="s">
        <v>28</v>
      </c>
      <c r="AP4" s="132" t="s">
        <v>28</v>
      </c>
      <c r="AQ4" s="9" t="s">
        <v>71</v>
      </c>
      <c r="AR4" s="132" t="s">
        <v>50</v>
      </c>
    </row>
    <row r="5" spans="1:44" x14ac:dyDescent="0.2">
      <c r="B5" s="130" t="s">
        <v>29</v>
      </c>
      <c r="C5" s="133"/>
      <c r="D5" s="133" t="s">
        <v>30</v>
      </c>
      <c r="E5" s="133" t="s">
        <v>31</v>
      </c>
      <c r="F5" s="130" t="s">
        <v>32</v>
      </c>
      <c r="G5" s="31" t="s">
        <v>83</v>
      </c>
      <c r="H5" s="130"/>
      <c r="I5" s="130"/>
      <c r="J5" s="130"/>
      <c r="L5" s="130" t="s">
        <v>29</v>
      </c>
      <c r="M5" s="133"/>
      <c r="N5" s="133" t="s">
        <v>30</v>
      </c>
      <c r="O5" s="133" t="s">
        <v>31</v>
      </c>
      <c r="P5" s="130" t="s">
        <v>32</v>
      </c>
      <c r="Q5" s="31" t="s">
        <v>83</v>
      </c>
      <c r="R5" s="130"/>
      <c r="S5" s="130"/>
      <c r="V5" s="130" t="s">
        <v>29</v>
      </c>
      <c r="W5" s="133"/>
      <c r="X5" s="133" t="s">
        <v>30</v>
      </c>
      <c r="Y5" s="133" t="s">
        <v>31</v>
      </c>
      <c r="Z5" s="130" t="s">
        <v>32</v>
      </c>
      <c r="AA5" s="31" t="s">
        <v>83</v>
      </c>
      <c r="AB5" s="32" t="s">
        <v>86</v>
      </c>
      <c r="AC5" s="130"/>
      <c r="AF5" s="130" t="s">
        <v>29</v>
      </c>
      <c r="AG5" s="133"/>
      <c r="AH5" s="133" t="s">
        <v>30</v>
      </c>
      <c r="AI5" s="133" t="s">
        <v>31</v>
      </c>
      <c r="AJ5" s="130" t="s">
        <v>32</v>
      </c>
      <c r="AK5" s="31" t="s">
        <v>83</v>
      </c>
      <c r="AL5" s="130"/>
      <c r="AM5" s="130"/>
    </row>
    <row r="6" spans="1:44" x14ac:dyDescent="0.2">
      <c r="A6" s="1">
        <v>40663</v>
      </c>
      <c r="B6" s="4">
        <v>40616</v>
      </c>
      <c r="C6" s="4">
        <v>2166</v>
      </c>
      <c r="D6" s="4">
        <v>35899</v>
      </c>
      <c r="E6" s="4">
        <v>0</v>
      </c>
      <c r="F6" s="4">
        <v>0</v>
      </c>
      <c r="G6" s="4">
        <v>0</v>
      </c>
      <c r="H6" s="4">
        <v>0</v>
      </c>
      <c r="I6" s="4">
        <f t="shared" ref="I6:I17" si="0">SUM(B6:H6)</f>
        <v>78681</v>
      </c>
      <c r="J6" s="4"/>
      <c r="K6" s="1">
        <f>+A6</f>
        <v>40663</v>
      </c>
      <c r="L6" s="4">
        <v>170857</v>
      </c>
      <c r="M6" s="4">
        <v>6144</v>
      </c>
      <c r="N6" s="4">
        <v>0</v>
      </c>
      <c r="O6" s="4">
        <v>2012</v>
      </c>
      <c r="P6" s="4">
        <v>8188</v>
      </c>
      <c r="Q6" s="4">
        <v>0</v>
      </c>
      <c r="R6" s="4">
        <v>-14527</v>
      </c>
      <c r="S6" s="4">
        <f>SUM(L6:R6)</f>
        <v>172674</v>
      </c>
      <c r="U6" s="1">
        <f>+A6</f>
        <v>40663</v>
      </c>
      <c r="V6" s="4">
        <v>0</v>
      </c>
      <c r="W6" s="4">
        <f>989-0.02</f>
        <v>988.98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f>SUM(V6:AB6)</f>
        <v>988.98</v>
      </c>
      <c r="AE6" s="1">
        <f>+A6</f>
        <v>40663</v>
      </c>
      <c r="AF6" s="4">
        <v>0</v>
      </c>
      <c r="AG6" s="4">
        <v>0</v>
      </c>
      <c r="AH6" s="4">
        <v>0</v>
      </c>
      <c r="AI6" s="4">
        <f>51313-0.49</f>
        <v>51312.51</v>
      </c>
      <c r="AJ6" s="4">
        <f>4610-0.49</f>
        <v>4609.51</v>
      </c>
      <c r="AK6" s="4">
        <v>0</v>
      </c>
      <c r="AL6" s="4">
        <v>0</v>
      </c>
      <c r="AM6" s="4">
        <f>SUM(AF6:AL6)</f>
        <v>55922.020000000004</v>
      </c>
      <c r="AP6" s="15">
        <f t="shared" ref="AP6:AP17" si="1">+I6+S6+AC6+AM6</f>
        <v>308266</v>
      </c>
      <c r="AQ6" s="36">
        <v>308266</v>
      </c>
      <c r="AR6" s="15">
        <f>+AP6-AQ6</f>
        <v>0</v>
      </c>
    </row>
    <row r="7" spans="1:44" x14ac:dyDescent="0.2">
      <c r="A7" s="1">
        <f>EOMONTH(A6,1)</f>
        <v>40694</v>
      </c>
      <c r="B7" s="4">
        <v>42571</v>
      </c>
      <c r="C7" s="4">
        <v>2166</v>
      </c>
      <c r="D7" s="4">
        <v>16976</v>
      </c>
      <c r="E7" s="4">
        <v>0</v>
      </c>
      <c r="F7" s="4">
        <v>0</v>
      </c>
      <c r="G7" s="4">
        <v>0</v>
      </c>
      <c r="H7" s="4">
        <v>0</v>
      </c>
      <c r="I7" s="4">
        <f t="shared" si="0"/>
        <v>61713</v>
      </c>
      <c r="J7" s="4"/>
      <c r="K7" s="1">
        <f>EOMONTH(K6,1)</f>
        <v>40694</v>
      </c>
      <c r="L7" s="4">
        <v>170857</v>
      </c>
      <c r="M7" s="4">
        <v>6144</v>
      </c>
      <c r="N7" s="4">
        <v>20602</v>
      </c>
      <c r="O7" s="4">
        <v>51717</v>
      </c>
      <c r="P7" s="4">
        <v>7735</v>
      </c>
      <c r="Q7" s="4">
        <v>0</v>
      </c>
      <c r="R7" s="4">
        <v>-14527</v>
      </c>
      <c r="S7" s="4">
        <f t="shared" ref="S7:S17" si="2">SUM(L7:R7)</f>
        <v>242528</v>
      </c>
      <c r="U7" s="1">
        <f>EOMONTH(U6,1)</f>
        <v>40694</v>
      </c>
      <c r="V7" s="4">
        <v>0</v>
      </c>
      <c r="W7" s="4">
        <v>989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f t="shared" ref="AC7:AC17" si="3">SUM(V7:AB7)</f>
        <v>989</v>
      </c>
      <c r="AE7" s="1">
        <f>EOMONTH(AE6,1)</f>
        <v>40694</v>
      </c>
      <c r="AF7" s="4">
        <v>0</v>
      </c>
      <c r="AG7" s="4">
        <v>0</v>
      </c>
      <c r="AH7" s="4">
        <v>0</v>
      </c>
      <c r="AI7" s="4">
        <f>43026.61+7310.97+0.04</f>
        <v>50337.62</v>
      </c>
      <c r="AJ7" s="4">
        <v>711.38</v>
      </c>
      <c r="AK7" s="4">
        <v>0</v>
      </c>
      <c r="AL7" s="4">
        <v>0</v>
      </c>
      <c r="AM7" s="4">
        <f t="shared" ref="AM7:AM17" si="4">SUM(AF7:AL7)</f>
        <v>51049</v>
      </c>
      <c r="AP7" s="15">
        <f t="shared" si="1"/>
        <v>356279</v>
      </c>
      <c r="AQ7" s="36">
        <v>356279</v>
      </c>
      <c r="AR7" s="15">
        <f t="shared" ref="AR7:AR13" si="5">+AP7-AQ7</f>
        <v>0</v>
      </c>
    </row>
    <row r="8" spans="1:44" x14ac:dyDescent="0.2">
      <c r="A8" s="1">
        <f>EOMONTH(A7,1)</f>
        <v>40724</v>
      </c>
      <c r="B8" s="4">
        <v>39127</v>
      </c>
      <c r="C8" s="4">
        <v>519</v>
      </c>
      <c r="D8" s="4">
        <v>20219</v>
      </c>
      <c r="E8" s="4">
        <v>0</v>
      </c>
      <c r="F8" s="4">
        <v>0</v>
      </c>
      <c r="G8" s="4">
        <v>0</v>
      </c>
      <c r="H8" s="4">
        <v>0</v>
      </c>
      <c r="I8" s="4">
        <f t="shared" si="0"/>
        <v>59865</v>
      </c>
      <c r="J8" s="4"/>
      <c r="K8" s="1">
        <f>EOMONTH(K7,1)</f>
        <v>40724</v>
      </c>
      <c r="L8" s="4">
        <v>171707</v>
      </c>
      <c r="M8" s="4">
        <v>6144</v>
      </c>
      <c r="N8" s="4">
        <v>19586</v>
      </c>
      <c r="O8" s="4">
        <v>13302</v>
      </c>
      <c r="P8" s="4">
        <v>8786</v>
      </c>
      <c r="Q8" s="4">
        <v>0</v>
      </c>
      <c r="R8" s="4">
        <v>-14527</v>
      </c>
      <c r="S8" s="4">
        <f t="shared" si="2"/>
        <v>204998</v>
      </c>
      <c r="U8" s="1">
        <f>EOMONTH(U7,1)</f>
        <v>40724</v>
      </c>
      <c r="V8" s="4">
        <v>0</v>
      </c>
      <c r="W8" s="4">
        <f>989+0.49</f>
        <v>989.49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f t="shared" si="3"/>
        <v>989.49</v>
      </c>
      <c r="AE8" s="1">
        <f>EOMONTH(AE7,1)</f>
        <v>40724</v>
      </c>
      <c r="AF8" s="4">
        <v>0</v>
      </c>
      <c r="AG8" s="4">
        <v>0</v>
      </c>
      <c r="AH8" s="4">
        <v>0</v>
      </c>
      <c r="AI8" s="4">
        <v>44102.76</v>
      </c>
      <c r="AJ8" s="4">
        <v>258.75</v>
      </c>
      <c r="AK8" s="4">
        <v>0</v>
      </c>
      <c r="AL8" s="4">
        <v>0</v>
      </c>
      <c r="AM8" s="4">
        <f t="shared" si="4"/>
        <v>44361.51</v>
      </c>
      <c r="AP8" s="15">
        <f t="shared" si="1"/>
        <v>310214</v>
      </c>
      <c r="AQ8" s="36">
        <v>310214</v>
      </c>
      <c r="AR8" s="15">
        <f t="shared" si="5"/>
        <v>0</v>
      </c>
    </row>
    <row r="9" spans="1:44" x14ac:dyDescent="0.2">
      <c r="A9" s="1">
        <f>EOMONTH(A8,1)</f>
        <v>40755</v>
      </c>
      <c r="B9" s="4">
        <v>39127</v>
      </c>
      <c r="C9" s="4">
        <v>1767</v>
      </c>
      <c r="D9" s="4">
        <v>79604</v>
      </c>
      <c r="E9" s="4">
        <v>0</v>
      </c>
      <c r="F9" s="4">
        <v>0</v>
      </c>
      <c r="G9" s="4">
        <v>0</v>
      </c>
      <c r="H9" s="4">
        <v>0</v>
      </c>
      <c r="I9" s="4">
        <f t="shared" si="0"/>
        <v>120498</v>
      </c>
      <c r="J9" s="4"/>
      <c r="K9" s="1">
        <f>EOMONTH(K8,1)</f>
        <v>40755</v>
      </c>
      <c r="L9" s="4">
        <v>172558</v>
      </c>
      <c r="M9" s="4">
        <v>6144</v>
      </c>
      <c r="N9" s="4">
        <v>-4642</v>
      </c>
      <c r="O9" s="4">
        <v>38282</v>
      </c>
      <c r="P9" s="4">
        <v>7599</v>
      </c>
      <c r="Q9" s="4">
        <v>0</v>
      </c>
      <c r="R9" s="4">
        <v>-14527</v>
      </c>
      <c r="S9" s="4">
        <f t="shared" si="2"/>
        <v>205414</v>
      </c>
      <c r="U9" s="1">
        <f>EOMONTH(U8,1)</f>
        <v>40755</v>
      </c>
      <c r="V9" s="4">
        <v>0</v>
      </c>
      <c r="W9" s="4">
        <v>989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f t="shared" si="3"/>
        <v>989</v>
      </c>
      <c r="AE9" s="1">
        <f>EOMONTH(AE8,1)</f>
        <v>40755</v>
      </c>
      <c r="AF9" s="4">
        <v>0</v>
      </c>
      <c r="AG9" s="4">
        <v>0</v>
      </c>
      <c r="AH9" s="4">
        <v>0</v>
      </c>
      <c r="AI9" s="4">
        <f>49908-1</f>
        <v>49907</v>
      </c>
      <c r="AJ9" s="4">
        <v>-462</v>
      </c>
      <c r="AK9" s="4">
        <v>0</v>
      </c>
      <c r="AL9" s="4">
        <v>0</v>
      </c>
      <c r="AM9" s="4">
        <f t="shared" si="4"/>
        <v>49445</v>
      </c>
      <c r="AP9" s="15">
        <f t="shared" si="1"/>
        <v>376346</v>
      </c>
      <c r="AQ9" s="36">
        <v>376346</v>
      </c>
      <c r="AR9" s="15">
        <f t="shared" si="5"/>
        <v>0</v>
      </c>
    </row>
    <row r="10" spans="1:44" x14ac:dyDescent="0.2">
      <c r="A10" s="3">
        <f t="shared" ref="A10:A17" si="6">EOMONTH(A9,1)</f>
        <v>40786</v>
      </c>
      <c r="B10" s="4">
        <v>39127</v>
      </c>
      <c r="C10" s="4">
        <v>1767</v>
      </c>
      <c r="D10" s="16">
        <v>52402</v>
      </c>
      <c r="E10" s="4">
        <v>0</v>
      </c>
      <c r="F10" s="16">
        <v>0</v>
      </c>
      <c r="G10" s="16">
        <v>0</v>
      </c>
      <c r="H10" s="16">
        <v>0</v>
      </c>
      <c r="I10" s="4">
        <f t="shared" si="0"/>
        <v>93296</v>
      </c>
      <c r="J10" s="16"/>
      <c r="K10" s="3">
        <f t="shared" ref="K10:K17" si="7">EOMONTH(K9,1)</f>
        <v>40786</v>
      </c>
      <c r="L10" s="4">
        <v>172558</v>
      </c>
      <c r="M10" s="4">
        <v>6144</v>
      </c>
      <c r="N10" s="4">
        <v>13597</v>
      </c>
      <c r="O10" s="4">
        <v>138130</v>
      </c>
      <c r="P10" s="4">
        <v>11666</v>
      </c>
      <c r="Q10" s="16">
        <v>0</v>
      </c>
      <c r="R10" s="4">
        <v>-14527</v>
      </c>
      <c r="S10" s="4">
        <f t="shared" si="2"/>
        <v>327568</v>
      </c>
      <c r="U10" s="3">
        <f t="shared" ref="U10:U17" si="8">EOMONTH(U9,1)</f>
        <v>40786</v>
      </c>
      <c r="V10" s="16">
        <v>0</v>
      </c>
      <c r="W10" s="4">
        <v>989</v>
      </c>
      <c r="X10" s="4">
        <v>0</v>
      </c>
      <c r="Y10" s="4">
        <v>0</v>
      </c>
      <c r="Z10" s="4">
        <v>0</v>
      </c>
      <c r="AA10" s="16">
        <v>0</v>
      </c>
      <c r="AB10" s="16">
        <v>0</v>
      </c>
      <c r="AC10" s="4">
        <f t="shared" si="3"/>
        <v>989</v>
      </c>
      <c r="AE10" s="3">
        <f t="shared" ref="AE10:AE17" si="9">EOMONTH(AE9,1)</f>
        <v>40786</v>
      </c>
      <c r="AF10" s="16">
        <v>0</v>
      </c>
      <c r="AG10" s="4">
        <v>0</v>
      </c>
      <c r="AH10" s="4">
        <v>0</v>
      </c>
      <c r="AI10" s="16">
        <v>54223</v>
      </c>
      <c r="AJ10" s="16">
        <v>106</v>
      </c>
      <c r="AK10" s="16">
        <v>0</v>
      </c>
      <c r="AL10" s="16">
        <v>0</v>
      </c>
      <c r="AM10" s="4">
        <f t="shared" si="4"/>
        <v>54329</v>
      </c>
      <c r="AP10" s="15">
        <f t="shared" si="1"/>
        <v>476182</v>
      </c>
      <c r="AQ10" s="36">
        <v>476182</v>
      </c>
      <c r="AR10" s="15">
        <f t="shared" si="5"/>
        <v>0</v>
      </c>
    </row>
    <row r="11" spans="1:44" x14ac:dyDescent="0.2">
      <c r="A11" s="3">
        <f t="shared" si="6"/>
        <v>40816</v>
      </c>
      <c r="B11" s="4">
        <v>39127</v>
      </c>
      <c r="C11" s="4">
        <v>1767</v>
      </c>
      <c r="D11" s="16">
        <v>51109</v>
      </c>
      <c r="E11" s="4">
        <v>0</v>
      </c>
      <c r="F11" s="16">
        <v>0</v>
      </c>
      <c r="G11" s="16">
        <v>0</v>
      </c>
      <c r="H11" s="16">
        <v>0</v>
      </c>
      <c r="I11" s="4">
        <f t="shared" si="0"/>
        <v>92003</v>
      </c>
      <c r="J11" s="16"/>
      <c r="K11" s="3">
        <f t="shared" si="7"/>
        <v>40816</v>
      </c>
      <c r="L11" s="4">
        <v>172558</v>
      </c>
      <c r="M11" s="4">
        <v>6144</v>
      </c>
      <c r="N11" s="4">
        <v>7351</v>
      </c>
      <c r="O11" s="4">
        <v>37489</v>
      </c>
      <c r="P11" s="4">
        <v>14261</v>
      </c>
      <c r="Q11" s="16">
        <v>0</v>
      </c>
      <c r="R11" s="4">
        <v>-14527</v>
      </c>
      <c r="S11" s="4">
        <f t="shared" si="2"/>
        <v>223276</v>
      </c>
      <c r="U11" s="3">
        <f t="shared" si="8"/>
        <v>40816</v>
      </c>
      <c r="V11" s="16">
        <v>0</v>
      </c>
      <c r="W11" s="16">
        <v>989</v>
      </c>
      <c r="X11" s="4">
        <v>0</v>
      </c>
      <c r="Y11" s="4">
        <v>0</v>
      </c>
      <c r="Z11" s="4">
        <v>0</v>
      </c>
      <c r="AA11" s="16">
        <v>0</v>
      </c>
      <c r="AB11" s="16">
        <v>0</v>
      </c>
      <c r="AC11" s="4">
        <f t="shared" si="3"/>
        <v>989</v>
      </c>
      <c r="AE11" s="3">
        <f t="shared" si="9"/>
        <v>40816</v>
      </c>
      <c r="AF11" s="16">
        <v>0</v>
      </c>
      <c r="AG11" s="4">
        <v>0</v>
      </c>
      <c r="AH11" s="4">
        <v>0</v>
      </c>
      <c r="AI11" s="16">
        <f>64009-1.3</f>
        <v>64007.7</v>
      </c>
      <c r="AJ11" s="16">
        <v>326</v>
      </c>
      <c r="AK11" s="16">
        <v>0</v>
      </c>
      <c r="AL11" s="16">
        <v>14565.3</v>
      </c>
      <c r="AM11" s="4">
        <f t="shared" si="4"/>
        <v>78899</v>
      </c>
      <c r="AP11" s="15">
        <f t="shared" si="1"/>
        <v>395167</v>
      </c>
      <c r="AQ11" s="36">
        <v>395167</v>
      </c>
      <c r="AR11" s="15">
        <f t="shared" si="5"/>
        <v>0</v>
      </c>
    </row>
    <row r="12" spans="1:44" x14ac:dyDescent="0.2">
      <c r="A12" s="3">
        <f t="shared" si="6"/>
        <v>40847</v>
      </c>
      <c r="B12" s="4">
        <v>39127</v>
      </c>
      <c r="C12" s="4">
        <v>1767</v>
      </c>
      <c r="D12" s="16">
        <v>-36303</v>
      </c>
      <c r="E12" s="4">
        <v>0</v>
      </c>
      <c r="F12" s="16">
        <v>0</v>
      </c>
      <c r="G12" s="16">
        <v>0</v>
      </c>
      <c r="H12" s="16">
        <v>0</v>
      </c>
      <c r="I12" s="4">
        <f t="shared" si="0"/>
        <v>4591</v>
      </c>
      <c r="J12" s="16"/>
      <c r="K12" s="3">
        <f t="shared" si="7"/>
        <v>40847</v>
      </c>
      <c r="L12" s="4">
        <v>172558</v>
      </c>
      <c r="M12" s="4">
        <v>6144</v>
      </c>
      <c r="N12" s="4">
        <v>22169</v>
      </c>
      <c r="O12" s="4">
        <v>53647</v>
      </c>
      <c r="P12" s="4">
        <v>10779</v>
      </c>
      <c r="Q12" s="16">
        <v>0</v>
      </c>
      <c r="R12" s="4">
        <v>-14527</v>
      </c>
      <c r="S12" s="4">
        <f t="shared" si="2"/>
        <v>250770</v>
      </c>
      <c r="U12" s="3">
        <f t="shared" si="8"/>
        <v>40847</v>
      </c>
      <c r="V12" s="16">
        <v>0</v>
      </c>
      <c r="W12" s="16">
        <v>989</v>
      </c>
      <c r="X12" s="4">
        <v>0</v>
      </c>
      <c r="Y12" s="4">
        <v>0</v>
      </c>
      <c r="Z12" s="4">
        <v>0</v>
      </c>
      <c r="AA12" s="16">
        <v>0</v>
      </c>
      <c r="AB12" s="16">
        <v>0</v>
      </c>
      <c r="AC12" s="4">
        <f t="shared" si="3"/>
        <v>989</v>
      </c>
      <c r="AE12" s="3">
        <f t="shared" si="9"/>
        <v>40847</v>
      </c>
      <c r="AF12" s="16">
        <v>0</v>
      </c>
      <c r="AG12" s="16">
        <v>0</v>
      </c>
      <c r="AH12" s="4">
        <v>0</v>
      </c>
      <c r="AI12" s="16">
        <f>11277-1.51</f>
        <v>11275.49</v>
      </c>
      <c r="AJ12" s="16">
        <v>0</v>
      </c>
      <c r="AK12" s="16">
        <v>0</v>
      </c>
      <c r="AL12" s="16">
        <v>54442.51</v>
      </c>
      <c r="AM12" s="4">
        <f t="shared" si="4"/>
        <v>65718</v>
      </c>
      <c r="AP12" s="15">
        <f t="shared" si="1"/>
        <v>322068</v>
      </c>
      <c r="AQ12" s="36">
        <v>322068</v>
      </c>
      <c r="AR12" s="15">
        <f t="shared" si="5"/>
        <v>0</v>
      </c>
    </row>
    <row r="13" spans="1:44" x14ac:dyDescent="0.2">
      <c r="A13" s="3">
        <f t="shared" si="6"/>
        <v>40877</v>
      </c>
      <c r="B13" s="4">
        <v>39127</v>
      </c>
      <c r="C13" s="4">
        <v>1767</v>
      </c>
      <c r="D13" s="16">
        <v>-37080</v>
      </c>
      <c r="E13" s="4">
        <v>0</v>
      </c>
      <c r="F13" s="16">
        <v>0</v>
      </c>
      <c r="G13" s="16">
        <v>0</v>
      </c>
      <c r="H13" s="16">
        <v>0</v>
      </c>
      <c r="I13" s="4">
        <f t="shared" si="0"/>
        <v>3814</v>
      </c>
      <c r="J13" s="16"/>
      <c r="K13" s="3">
        <f t="shared" si="7"/>
        <v>40877</v>
      </c>
      <c r="L13" s="4">
        <v>172558</v>
      </c>
      <c r="M13" s="4">
        <v>6144</v>
      </c>
      <c r="N13" s="4">
        <v>19406</v>
      </c>
      <c r="O13" s="4">
        <v>85467</v>
      </c>
      <c r="P13" s="4">
        <v>16834</v>
      </c>
      <c r="Q13" s="16">
        <v>0</v>
      </c>
      <c r="R13" s="4">
        <v>-14527</v>
      </c>
      <c r="S13" s="4">
        <f t="shared" si="2"/>
        <v>285882</v>
      </c>
      <c r="U13" s="3">
        <f t="shared" si="8"/>
        <v>40877</v>
      </c>
      <c r="V13" s="16">
        <v>0</v>
      </c>
      <c r="W13" s="16">
        <v>989</v>
      </c>
      <c r="X13" s="4">
        <v>0</v>
      </c>
      <c r="Y13" s="4">
        <v>0</v>
      </c>
      <c r="Z13" s="4">
        <v>0</v>
      </c>
      <c r="AA13" s="16">
        <v>32919</v>
      </c>
      <c r="AB13" s="16">
        <v>0</v>
      </c>
      <c r="AC13" s="4">
        <f t="shared" si="3"/>
        <v>33908</v>
      </c>
      <c r="AE13" s="3">
        <f t="shared" si="9"/>
        <v>40877</v>
      </c>
      <c r="AF13" s="16">
        <v>0</v>
      </c>
      <c r="AG13" s="16">
        <v>0</v>
      </c>
      <c r="AH13" s="4">
        <v>0</v>
      </c>
      <c r="AI13" s="16">
        <f>18572-2</f>
        <v>18570</v>
      </c>
      <c r="AJ13" s="16">
        <v>1076</v>
      </c>
      <c r="AK13" s="16">
        <v>0</v>
      </c>
      <c r="AL13" s="16">
        <v>7520</v>
      </c>
      <c r="AM13" s="4">
        <f t="shared" si="4"/>
        <v>27166</v>
      </c>
      <c r="AP13" s="15">
        <f t="shared" si="1"/>
        <v>350770</v>
      </c>
      <c r="AQ13" s="36">
        <v>350770</v>
      </c>
      <c r="AR13" s="15">
        <f t="shared" si="5"/>
        <v>0</v>
      </c>
    </row>
    <row r="14" spans="1:44" x14ac:dyDescent="0.2">
      <c r="A14" s="3">
        <f t="shared" si="6"/>
        <v>40908</v>
      </c>
      <c r="B14" s="4">
        <v>39127</v>
      </c>
      <c r="C14" s="4">
        <v>1767</v>
      </c>
      <c r="D14" s="16">
        <v>33300</v>
      </c>
      <c r="E14" s="4">
        <v>0</v>
      </c>
      <c r="F14" s="16">
        <v>0</v>
      </c>
      <c r="G14" s="16">
        <v>0</v>
      </c>
      <c r="H14" s="16">
        <v>0</v>
      </c>
      <c r="I14" s="4">
        <f t="shared" si="0"/>
        <v>74194</v>
      </c>
      <c r="J14" s="16"/>
      <c r="K14" s="3">
        <f t="shared" si="7"/>
        <v>40908</v>
      </c>
      <c r="L14" s="4">
        <v>172558</v>
      </c>
      <c r="M14" s="4">
        <v>6144</v>
      </c>
      <c r="N14" s="4">
        <v>18376</v>
      </c>
      <c r="O14" s="4">
        <v>66578</v>
      </c>
      <c r="P14" s="4">
        <v>12216</v>
      </c>
      <c r="Q14" s="16">
        <v>0</v>
      </c>
      <c r="R14" s="4">
        <v>-14527</v>
      </c>
      <c r="S14" s="4">
        <f t="shared" si="2"/>
        <v>261345</v>
      </c>
      <c r="U14" s="3">
        <f t="shared" si="8"/>
        <v>40908</v>
      </c>
      <c r="V14" s="16">
        <v>10219</v>
      </c>
      <c r="W14" s="16">
        <v>989</v>
      </c>
      <c r="X14" s="4">
        <v>0</v>
      </c>
      <c r="Y14" s="4">
        <v>0</v>
      </c>
      <c r="Z14" s="4">
        <v>0</v>
      </c>
      <c r="AA14" s="16">
        <v>28072</v>
      </c>
      <c r="AB14" s="16">
        <v>0</v>
      </c>
      <c r="AC14" s="4">
        <f t="shared" si="3"/>
        <v>39280</v>
      </c>
      <c r="AE14" s="3">
        <f t="shared" si="9"/>
        <v>40908</v>
      </c>
      <c r="AF14" s="16">
        <v>0</v>
      </c>
      <c r="AG14" s="16">
        <v>0</v>
      </c>
      <c r="AH14" s="4">
        <v>0</v>
      </c>
      <c r="AI14" s="16">
        <f>51747+1.45</f>
        <v>51748.45</v>
      </c>
      <c r="AJ14" s="16">
        <v>793</v>
      </c>
      <c r="AK14" s="16">
        <v>0</v>
      </c>
      <c r="AL14" s="16">
        <v>14417.55</v>
      </c>
      <c r="AM14" s="4">
        <f t="shared" si="4"/>
        <v>66959</v>
      </c>
      <c r="AP14" s="15">
        <f t="shared" si="1"/>
        <v>441778</v>
      </c>
      <c r="AQ14" s="36">
        <f>374820+66958</f>
        <v>441778</v>
      </c>
      <c r="AR14" s="15">
        <f>+AP14-AQ14</f>
        <v>0</v>
      </c>
    </row>
    <row r="15" spans="1:44" x14ac:dyDescent="0.2">
      <c r="A15" s="3">
        <f t="shared" si="6"/>
        <v>40939</v>
      </c>
      <c r="B15" s="4">
        <v>39127</v>
      </c>
      <c r="C15" s="16">
        <v>1848</v>
      </c>
      <c r="D15" s="16">
        <v>48774</v>
      </c>
      <c r="E15" s="4">
        <v>0</v>
      </c>
      <c r="F15" s="16">
        <v>0</v>
      </c>
      <c r="G15" s="16">
        <v>0</v>
      </c>
      <c r="H15" s="16">
        <v>0</v>
      </c>
      <c r="I15" s="4">
        <f t="shared" si="0"/>
        <v>89749</v>
      </c>
      <c r="J15" s="16"/>
      <c r="K15" s="3">
        <f t="shared" si="7"/>
        <v>40939</v>
      </c>
      <c r="L15" s="16">
        <v>172558</v>
      </c>
      <c r="M15" s="16">
        <v>5947</v>
      </c>
      <c r="N15" s="4">
        <v>16541</v>
      </c>
      <c r="O15" s="4">
        <v>62748</v>
      </c>
      <c r="P15" s="4">
        <v>9538</v>
      </c>
      <c r="Q15" s="16">
        <v>0</v>
      </c>
      <c r="R15" s="4">
        <v>-14527</v>
      </c>
      <c r="S15" s="4">
        <f t="shared" si="2"/>
        <v>252805</v>
      </c>
      <c r="U15" s="3">
        <f t="shared" si="8"/>
        <v>40939</v>
      </c>
      <c r="V15" s="16">
        <v>20438</v>
      </c>
      <c r="W15" s="16">
        <v>1917</v>
      </c>
      <c r="X15" s="4">
        <v>0</v>
      </c>
      <c r="Y15" s="4">
        <v>0</v>
      </c>
      <c r="Z15" s="4">
        <v>0</v>
      </c>
      <c r="AA15" s="16">
        <v>1760</v>
      </c>
      <c r="AB15" s="16">
        <v>0</v>
      </c>
      <c r="AC15" s="4">
        <f t="shared" si="3"/>
        <v>24115</v>
      </c>
      <c r="AE15" s="3">
        <f t="shared" si="9"/>
        <v>40939</v>
      </c>
      <c r="AF15" s="16">
        <v>0</v>
      </c>
      <c r="AG15" s="16">
        <v>135</v>
      </c>
      <c r="AH15" s="4">
        <v>0</v>
      </c>
      <c r="AI15" s="16">
        <f>53777-1.2</f>
        <v>53775.8</v>
      </c>
      <c r="AJ15" s="16">
        <v>231</v>
      </c>
      <c r="AK15" s="16">
        <v>0</v>
      </c>
      <c r="AL15" s="16">
        <v>1767.2</v>
      </c>
      <c r="AM15" s="4">
        <f t="shared" si="4"/>
        <v>55909</v>
      </c>
      <c r="AP15" s="15">
        <f t="shared" si="1"/>
        <v>422578</v>
      </c>
      <c r="AQ15" s="36">
        <f>366668+55910</f>
        <v>422578</v>
      </c>
      <c r="AR15" s="15">
        <f>+AP15-AQ15</f>
        <v>0</v>
      </c>
    </row>
    <row r="16" spans="1:44" x14ac:dyDescent="0.2">
      <c r="A16" s="3">
        <f t="shared" si="6"/>
        <v>40968</v>
      </c>
      <c r="B16" s="4">
        <v>39127</v>
      </c>
      <c r="C16" s="16">
        <v>1848</v>
      </c>
      <c r="D16" s="16">
        <v>51259</v>
      </c>
      <c r="E16" s="4">
        <v>0</v>
      </c>
      <c r="F16" s="16">
        <v>0</v>
      </c>
      <c r="G16" s="16">
        <v>0</v>
      </c>
      <c r="H16" s="16">
        <v>0</v>
      </c>
      <c r="I16" s="4">
        <f t="shared" si="0"/>
        <v>92234</v>
      </c>
      <c r="J16" s="16"/>
      <c r="K16" s="3">
        <f t="shared" si="7"/>
        <v>40968</v>
      </c>
      <c r="L16" s="16">
        <v>172558</v>
      </c>
      <c r="M16" s="16">
        <v>5947</v>
      </c>
      <c r="N16" s="4">
        <v>22626</v>
      </c>
      <c r="O16" s="4">
        <v>68857</v>
      </c>
      <c r="P16" s="4">
        <v>18265</v>
      </c>
      <c r="Q16" s="16">
        <v>0</v>
      </c>
      <c r="R16" s="4">
        <v>-14527</v>
      </c>
      <c r="S16" s="4">
        <f t="shared" si="2"/>
        <v>273726</v>
      </c>
      <c r="U16" s="3">
        <f t="shared" si="8"/>
        <v>40968</v>
      </c>
      <c r="V16" s="16">
        <v>20438</v>
      </c>
      <c r="W16" s="16">
        <v>1917</v>
      </c>
      <c r="X16" s="4">
        <v>0</v>
      </c>
      <c r="Y16" s="4">
        <v>0</v>
      </c>
      <c r="Z16" s="4">
        <v>0</v>
      </c>
      <c r="AA16" s="16">
        <v>1206</v>
      </c>
      <c r="AB16" s="16">
        <v>0</v>
      </c>
      <c r="AC16" s="4">
        <f t="shared" si="3"/>
        <v>23561</v>
      </c>
      <c r="AE16" s="3">
        <f t="shared" si="9"/>
        <v>40968</v>
      </c>
      <c r="AF16" s="16">
        <v>0</v>
      </c>
      <c r="AG16" s="16">
        <v>135</v>
      </c>
      <c r="AH16" s="4">
        <v>0</v>
      </c>
      <c r="AI16" s="16">
        <v>42050</v>
      </c>
      <c r="AJ16" s="16">
        <v>708</v>
      </c>
      <c r="AK16" s="16">
        <v>0</v>
      </c>
      <c r="AL16" s="16">
        <v>0</v>
      </c>
      <c r="AM16" s="4">
        <f t="shared" si="4"/>
        <v>42893</v>
      </c>
      <c r="AP16" s="15">
        <f t="shared" si="1"/>
        <v>432414</v>
      </c>
      <c r="AQ16" s="36">
        <f>389521+42893</f>
        <v>432414</v>
      </c>
      <c r="AR16" s="15">
        <f>+AP16-AQ16</f>
        <v>0</v>
      </c>
    </row>
    <row r="17" spans="1:49" ht="13.5" x14ac:dyDescent="0.35">
      <c r="A17" s="3">
        <f t="shared" si="6"/>
        <v>40999</v>
      </c>
      <c r="B17" s="7">
        <v>40079</v>
      </c>
      <c r="C17" s="6">
        <v>1848</v>
      </c>
      <c r="D17" s="6">
        <v>34406</v>
      </c>
      <c r="E17" s="6">
        <v>0</v>
      </c>
      <c r="F17" s="6">
        <v>0</v>
      </c>
      <c r="G17" s="6">
        <v>0</v>
      </c>
      <c r="H17" s="6">
        <v>0</v>
      </c>
      <c r="I17" s="6">
        <f t="shared" si="0"/>
        <v>76333</v>
      </c>
      <c r="J17" s="7"/>
      <c r="K17" s="3">
        <f t="shared" si="7"/>
        <v>40999</v>
      </c>
      <c r="L17" s="6">
        <v>173868</v>
      </c>
      <c r="M17" s="6">
        <v>5947</v>
      </c>
      <c r="N17" s="6">
        <v>10360</v>
      </c>
      <c r="O17" s="6">
        <v>57245</v>
      </c>
      <c r="P17" s="6">
        <v>6735</v>
      </c>
      <c r="Q17" s="6">
        <v>0</v>
      </c>
      <c r="R17" s="6">
        <v>-14527</v>
      </c>
      <c r="S17" s="6">
        <f t="shared" si="2"/>
        <v>239628</v>
      </c>
      <c r="U17" s="3">
        <f t="shared" si="8"/>
        <v>40999</v>
      </c>
      <c r="V17" s="6">
        <v>20438</v>
      </c>
      <c r="W17" s="6">
        <v>1917</v>
      </c>
      <c r="X17" s="6">
        <v>0</v>
      </c>
      <c r="Y17" s="6">
        <v>0</v>
      </c>
      <c r="Z17" s="6">
        <v>0</v>
      </c>
      <c r="AA17" s="6">
        <v>1399</v>
      </c>
      <c r="AB17" s="6">
        <v>5985</v>
      </c>
      <c r="AC17" s="6">
        <f t="shared" si="3"/>
        <v>29739</v>
      </c>
      <c r="AE17" s="3">
        <f t="shared" si="9"/>
        <v>40999</v>
      </c>
      <c r="AF17" s="6">
        <v>0</v>
      </c>
      <c r="AG17" s="6">
        <v>135</v>
      </c>
      <c r="AH17" s="6">
        <v>0</v>
      </c>
      <c r="AI17" s="6">
        <f>50644-2</f>
        <v>50642</v>
      </c>
      <c r="AJ17" s="6">
        <v>1299</v>
      </c>
      <c r="AK17" s="6">
        <v>0</v>
      </c>
      <c r="AL17" s="6">
        <v>0</v>
      </c>
      <c r="AM17" s="6">
        <f t="shared" si="4"/>
        <v>52076</v>
      </c>
      <c r="AP17" s="8">
        <f t="shared" si="1"/>
        <v>397776</v>
      </c>
      <c r="AQ17" s="8">
        <f>339714+52077+5985</f>
        <v>397776</v>
      </c>
      <c r="AR17" s="8">
        <f>+AP17-AQ17</f>
        <v>0</v>
      </c>
    </row>
    <row r="18" spans="1:49" x14ac:dyDescent="0.2">
      <c r="A18" s="17" t="s">
        <v>33</v>
      </c>
      <c r="B18" s="16"/>
      <c r="C18" s="16"/>
      <c r="D18" s="16"/>
      <c r="E18" s="16"/>
      <c r="F18" s="16"/>
      <c r="G18" s="16">
        <v>0</v>
      </c>
      <c r="H18" s="16">
        <v>0</v>
      </c>
      <c r="I18" s="16">
        <f>SUM(B18:H18)</f>
        <v>0</v>
      </c>
      <c r="J18" s="16"/>
      <c r="K18" s="17" t="s">
        <v>33</v>
      </c>
      <c r="L18" s="16"/>
      <c r="M18" s="16"/>
      <c r="N18" s="16"/>
      <c r="O18" s="16"/>
      <c r="P18" s="16"/>
      <c r="Q18" s="16">
        <v>0</v>
      </c>
      <c r="R18" s="16">
        <v>0</v>
      </c>
      <c r="S18" s="16">
        <f>SUM(L18:R18)</f>
        <v>0</v>
      </c>
      <c r="U18" s="17" t="s">
        <v>33</v>
      </c>
      <c r="V18" s="16">
        <v>0</v>
      </c>
      <c r="W18" s="16"/>
      <c r="X18" s="16"/>
      <c r="Y18" s="16"/>
      <c r="Z18" s="16"/>
      <c r="AA18" s="16">
        <v>0</v>
      </c>
      <c r="AB18" s="16">
        <v>0</v>
      </c>
      <c r="AC18" s="16">
        <f>SUM(V18:AB18)</f>
        <v>0</v>
      </c>
      <c r="AE18" s="17" t="s">
        <v>33</v>
      </c>
      <c r="AF18" s="16">
        <v>0</v>
      </c>
      <c r="AG18" s="16"/>
      <c r="AH18" s="16"/>
      <c r="AI18" s="16"/>
      <c r="AJ18" s="16"/>
      <c r="AK18" s="16">
        <v>0</v>
      </c>
      <c r="AL18" s="16">
        <v>0</v>
      </c>
      <c r="AM18" s="16">
        <f>SUM(AF18:AL18)</f>
        <v>0</v>
      </c>
      <c r="AQ18" s="10"/>
      <c r="AR18" s="15"/>
    </row>
    <row r="19" spans="1:49" ht="12" thickBot="1" x14ac:dyDescent="0.25">
      <c r="A19" s="18" t="s">
        <v>34</v>
      </c>
      <c r="B19" s="19">
        <f t="shared" ref="B19:G19" si="10">SUM(B6:B18)</f>
        <v>475409</v>
      </c>
      <c r="C19" s="19">
        <f t="shared" si="10"/>
        <v>20997</v>
      </c>
      <c r="D19" s="19">
        <f t="shared" si="10"/>
        <v>350565</v>
      </c>
      <c r="E19" s="19">
        <f t="shared" si="10"/>
        <v>0</v>
      </c>
      <c r="F19" s="19">
        <f t="shared" si="10"/>
        <v>0</v>
      </c>
      <c r="G19" s="19">
        <f t="shared" si="10"/>
        <v>0</v>
      </c>
      <c r="H19" s="19">
        <f t="shared" ref="H19" si="11">SUM(H6:H18)</f>
        <v>0</v>
      </c>
      <c r="I19" s="19">
        <f>SUM(B19:H19)</f>
        <v>846971</v>
      </c>
      <c r="J19" s="19"/>
      <c r="K19" s="18" t="s">
        <v>34</v>
      </c>
      <c r="L19" s="19">
        <f t="shared" ref="L19:R19" si="12">SUM(L6:L18)</f>
        <v>2067753</v>
      </c>
      <c r="M19" s="19">
        <f t="shared" si="12"/>
        <v>73137</v>
      </c>
      <c r="N19" s="19">
        <f t="shared" si="12"/>
        <v>165972</v>
      </c>
      <c r="O19" s="19">
        <f t="shared" si="12"/>
        <v>675474</v>
      </c>
      <c r="P19" s="19">
        <f t="shared" si="12"/>
        <v>132602</v>
      </c>
      <c r="Q19" s="19">
        <f t="shared" si="12"/>
        <v>0</v>
      </c>
      <c r="R19" s="19">
        <f t="shared" si="12"/>
        <v>-174324</v>
      </c>
      <c r="S19" s="19">
        <f>SUM(L19:R19)</f>
        <v>2940614</v>
      </c>
      <c r="U19" s="18" t="s">
        <v>34</v>
      </c>
      <c r="V19" s="19">
        <f t="shared" ref="V19:AB19" si="13">SUM(V6:V18)</f>
        <v>71533</v>
      </c>
      <c r="W19" s="19">
        <f t="shared" si="13"/>
        <v>14652.470000000001</v>
      </c>
      <c r="X19" s="19">
        <f t="shared" si="13"/>
        <v>0</v>
      </c>
      <c r="Y19" s="19">
        <f t="shared" si="13"/>
        <v>0</v>
      </c>
      <c r="Z19" s="19">
        <f t="shared" si="13"/>
        <v>0</v>
      </c>
      <c r="AA19" s="19">
        <f t="shared" si="13"/>
        <v>65356</v>
      </c>
      <c r="AB19" s="19">
        <f t="shared" si="13"/>
        <v>5985</v>
      </c>
      <c r="AC19" s="19">
        <f>SUM(V19:AB19)</f>
        <v>157526.47</v>
      </c>
      <c r="AE19" s="18" t="s">
        <v>34</v>
      </c>
      <c r="AF19" s="19">
        <f t="shared" ref="AF19:AK19" si="14">SUM(AF6:AF18)</f>
        <v>0</v>
      </c>
      <c r="AG19" s="19">
        <f t="shared" si="14"/>
        <v>405</v>
      </c>
      <c r="AH19" s="19">
        <f t="shared" si="14"/>
        <v>0</v>
      </c>
      <c r="AI19" s="19">
        <f t="shared" si="14"/>
        <v>541952.33000000007</v>
      </c>
      <c r="AJ19" s="19">
        <f t="shared" si="14"/>
        <v>9656.64</v>
      </c>
      <c r="AK19" s="19">
        <f t="shared" si="14"/>
        <v>0</v>
      </c>
      <c r="AL19" s="19">
        <f t="shared" ref="AL19" si="15">SUM(AL6:AL18)</f>
        <v>92712.56</v>
      </c>
      <c r="AM19" s="19">
        <f>SUM(AF19:AL19)</f>
        <v>644726.53</v>
      </c>
      <c r="AP19" s="20">
        <f>SUM(AP6:AP18)</f>
        <v>4589838</v>
      </c>
      <c r="AQ19" s="20">
        <f>SUM(AQ6:AQ18)</f>
        <v>4589838</v>
      </c>
      <c r="AR19" s="21">
        <f>SUM(AR6:AR18)</f>
        <v>0</v>
      </c>
    </row>
    <row r="20" spans="1:49" ht="12" thickTop="1" x14ac:dyDescent="0.2">
      <c r="A20" s="22" t="s">
        <v>47</v>
      </c>
      <c r="B20" s="2">
        <f>B19*$D$63</f>
        <v>417234.80288037221</v>
      </c>
      <c r="C20" s="2">
        <f t="shared" ref="C20:I20" si="16">C19*$D$63</f>
        <v>18427.667873513492</v>
      </c>
      <c r="D20" s="2">
        <f t="shared" si="16"/>
        <v>307667.54241454764</v>
      </c>
      <c r="E20" s="2">
        <f t="shared" si="16"/>
        <v>0</v>
      </c>
      <c r="F20" s="2">
        <f t="shared" si="16"/>
        <v>0</v>
      </c>
      <c r="G20" s="2">
        <f t="shared" si="16"/>
        <v>0</v>
      </c>
      <c r="H20" s="2">
        <f t="shared" si="16"/>
        <v>0</v>
      </c>
      <c r="I20" s="2">
        <f t="shared" si="16"/>
        <v>743330.01316843333</v>
      </c>
      <c r="J20" s="2"/>
      <c r="K20" s="22" t="s">
        <v>47</v>
      </c>
      <c r="L20" s="2">
        <f t="shared" ref="L20" si="17">L19*$D$63</f>
        <v>1814729.034074446</v>
      </c>
      <c r="M20" s="2">
        <f t="shared" ref="M20" si="18">M19*$D$63</f>
        <v>64187.471794311386</v>
      </c>
      <c r="N20" s="2">
        <f t="shared" ref="N20" si="19">N19*$D$63</f>
        <v>145662.5657142821</v>
      </c>
      <c r="O20" s="2">
        <f t="shared" ref="O20" si="20">O19*$D$63</f>
        <v>592818.52308394772</v>
      </c>
      <c r="P20" s="2">
        <f t="shared" ref="P20" si="21">P19*$D$63</f>
        <v>116375.94015162336</v>
      </c>
      <c r="Q20" s="2">
        <f t="shared" ref="Q20" si="22">Q19*$D$63</f>
        <v>0</v>
      </c>
      <c r="R20" s="2">
        <f t="shared" ref="R20" si="23">R19*$D$63</f>
        <v>-152992.55962196342</v>
      </c>
      <c r="S20" s="2">
        <f t="shared" ref="S20" si="24">S19*$D$63</f>
        <v>2580780.975196647</v>
      </c>
      <c r="U20" s="22" t="s">
        <v>47</v>
      </c>
      <c r="V20" s="2">
        <f t="shared" ref="V20" si="25">V19*$D$63</f>
        <v>62779.747868554579</v>
      </c>
      <c r="W20" s="2">
        <f t="shared" ref="W20" si="26">W19*$D$63</f>
        <v>12859.496627452505</v>
      </c>
      <c r="X20" s="2">
        <f t="shared" ref="X20" si="27">X19*$D$63</f>
        <v>0</v>
      </c>
      <c r="Y20" s="2">
        <f t="shared" ref="Y20" si="28">Y19*$D$63</f>
        <v>0</v>
      </c>
      <c r="Z20" s="2">
        <f t="shared" ref="Z20" si="29">Z19*$D$63</f>
        <v>0</v>
      </c>
      <c r="AA20" s="2">
        <f t="shared" ref="AA20" si="30">AA19*$D$63</f>
        <v>57358.606540998604</v>
      </c>
      <c r="AB20" s="2">
        <f t="shared" ref="AB20" si="31">AB19*$D$63</f>
        <v>5252.6357204828419</v>
      </c>
      <c r="AC20" s="2">
        <f t="shared" ref="AC20" si="32">AC19*$D$63</f>
        <v>138250.48675748854</v>
      </c>
      <c r="AE20" s="22" t="s">
        <v>47</v>
      </c>
      <c r="AF20" s="2">
        <f t="shared" ref="AF20" si="33">AF19*$D$63</f>
        <v>0</v>
      </c>
      <c r="AG20" s="2">
        <f t="shared" ref="AG20" si="34">AG19*$D$63</f>
        <v>355.44151491989157</v>
      </c>
      <c r="AH20" s="2">
        <f t="shared" ref="AH20" si="35">AH19*$D$63</f>
        <v>0</v>
      </c>
      <c r="AI20" s="2">
        <f t="shared" ref="AI20" si="36">AI19*$D$63</f>
        <v>475635.44985077786</v>
      </c>
      <c r="AJ20" s="2">
        <f t="shared" ref="AJ20" si="37">AJ19*$D$63</f>
        <v>8474.9895077432629</v>
      </c>
      <c r="AK20" s="2">
        <f t="shared" ref="AK20" si="38">AK19*$D$63</f>
        <v>0</v>
      </c>
      <c r="AL20" s="2">
        <f t="shared" ref="AL20" si="39">AL19*$D$63</f>
        <v>81367.636490126766</v>
      </c>
      <c r="AM20" s="2">
        <f t="shared" ref="AM20" si="40">AM19*$D$63</f>
        <v>565833.51736356772</v>
      </c>
      <c r="AP20" s="13"/>
      <c r="AR20" s="13"/>
    </row>
    <row r="21" spans="1:49" x14ac:dyDescent="0.2">
      <c r="A21" s="17"/>
      <c r="K21" s="17"/>
      <c r="U21" s="17"/>
      <c r="AE21" s="17"/>
    </row>
    <row r="22" spans="1:49" ht="12" x14ac:dyDescent="0.2">
      <c r="A22" s="134" t="s">
        <v>35</v>
      </c>
      <c r="B22" s="11"/>
      <c r="C22" s="11"/>
      <c r="D22" s="11"/>
      <c r="E22" s="11"/>
      <c r="F22" s="11"/>
      <c r="K22" s="11"/>
      <c r="L22" s="11"/>
      <c r="M22" s="11"/>
      <c r="N22" s="11"/>
      <c r="O22" s="11"/>
      <c r="T22" s="134"/>
      <c r="U22" s="11"/>
      <c r="V22" s="11"/>
      <c r="W22" s="11"/>
      <c r="X22" s="11"/>
      <c r="Y22" s="11"/>
      <c r="AD22" s="134"/>
      <c r="AE22" s="11"/>
      <c r="AF22" s="11"/>
      <c r="AG22" s="11"/>
      <c r="AH22" s="11"/>
      <c r="AI22" s="11"/>
    </row>
    <row r="23" spans="1:49" x14ac:dyDescent="0.2">
      <c r="A23" s="11" t="s">
        <v>36</v>
      </c>
      <c r="B23" s="11"/>
      <c r="C23" s="11"/>
      <c r="D23" s="11"/>
      <c r="E23" s="11"/>
      <c r="F23" s="11"/>
      <c r="K23" s="11"/>
      <c r="L23" s="11"/>
      <c r="M23" s="11"/>
      <c r="N23" s="11"/>
      <c r="O23" s="11"/>
      <c r="T23" s="11"/>
      <c r="U23" s="11"/>
      <c r="V23" s="11"/>
      <c r="W23" s="11"/>
      <c r="X23" s="11"/>
      <c r="Y23" s="11"/>
      <c r="AD23" s="11"/>
      <c r="AE23" s="11"/>
      <c r="AF23" s="11"/>
      <c r="AG23" s="11"/>
      <c r="AH23" s="11"/>
      <c r="AI23" s="11"/>
      <c r="AP23" s="33"/>
      <c r="AQ23" s="33"/>
      <c r="AR23" s="33"/>
      <c r="AS23" s="33"/>
    </row>
    <row r="24" spans="1:49" x14ac:dyDescent="0.2">
      <c r="A24" s="11"/>
      <c r="B24" s="11"/>
      <c r="C24" s="135"/>
      <c r="D24" s="2"/>
      <c r="E24" s="2"/>
      <c r="F24" s="2"/>
      <c r="K24" s="11"/>
      <c r="L24" s="135"/>
      <c r="M24" s="2"/>
      <c r="N24" s="2"/>
      <c r="O24" s="2"/>
      <c r="T24" s="136"/>
      <c r="U24" s="136"/>
      <c r="V24" s="137"/>
      <c r="W24" s="138"/>
      <c r="X24" s="138"/>
      <c r="Y24" s="138"/>
      <c r="Z24" s="136"/>
      <c r="AA24" s="136"/>
      <c r="AB24" s="136"/>
      <c r="AD24" s="136"/>
      <c r="AE24" s="136"/>
      <c r="AF24" s="137"/>
      <c r="AG24" s="138"/>
      <c r="AH24" s="138"/>
      <c r="AI24" s="138"/>
      <c r="AJ24" s="136"/>
      <c r="AQ24" s="11"/>
    </row>
    <row r="25" spans="1:49" ht="33.75" x14ac:dyDescent="0.2">
      <c r="A25" s="11"/>
      <c r="B25" s="139" t="s">
        <v>37</v>
      </c>
      <c r="C25" s="139" t="s">
        <v>38</v>
      </c>
      <c r="D25" s="140" t="s">
        <v>39</v>
      </c>
      <c r="E25" s="2"/>
      <c r="K25" s="23" t="s">
        <v>57</v>
      </c>
      <c r="Q25" s="11"/>
      <c r="R25" s="11"/>
      <c r="T25" s="141"/>
      <c r="U25" s="142"/>
      <c r="V25" s="142"/>
      <c r="W25" s="143"/>
      <c r="X25" s="143"/>
      <c r="Y25" s="143"/>
      <c r="Z25" s="142"/>
      <c r="AA25" s="142"/>
      <c r="AB25" s="142"/>
      <c r="AD25" s="141"/>
      <c r="AE25" s="142"/>
      <c r="AF25" s="142"/>
      <c r="AG25" s="143"/>
      <c r="AH25" s="143"/>
      <c r="AI25" s="143"/>
      <c r="AJ25" s="142"/>
      <c r="AK25" s="142"/>
      <c r="AL25" s="142"/>
      <c r="AN25" s="141"/>
      <c r="AP25" s="35" t="s">
        <v>48</v>
      </c>
      <c r="AQ25" s="35" t="s">
        <v>49</v>
      </c>
      <c r="AR25" s="35" t="s">
        <v>64</v>
      </c>
      <c r="AS25" s="35" t="s">
        <v>65</v>
      </c>
      <c r="AT25" s="144" t="s">
        <v>28</v>
      </c>
      <c r="AU25" s="145" t="s">
        <v>90</v>
      </c>
      <c r="AW25" s="33" t="s">
        <v>137</v>
      </c>
    </row>
    <row r="26" spans="1:49" x14ac:dyDescent="0.2">
      <c r="A26" s="11"/>
      <c r="B26" s="146" t="s">
        <v>40</v>
      </c>
      <c r="C26" s="146" t="s">
        <v>40</v>
      </c>
      <c r="D26" s="2"/>
      <c r="E26" s="2"/>
      <c r="Q26" s="11"/>
      <c r="R26" s="11"/>
      <c r="T26" s="141"/>
      <c r="U26" s="142"/>
      <c r="V26" s="147"/>
      <c r="W26" s="147"/>
      <c r="X26" s="147"/>
      <c r="Y26" s="142"/>
      <c r="Z26" s="142"/>
      <c r="AA26" s="142"/>
      <c r="AB26" s="142"/>
      <c r="AD26" s="141"/>
      <c r="AE26" s="142"/>
      <c r="AF26" s="147"/>
      <c r="AG26" s="147"/>
      <c r="AH26" s="147"/>
      <c r="AI26" s="142"/>
      <c r="AJ26" s="142"/>
      <c r="AK26" s="142"/>
      <c r="AL26" s="142"/>
      <c r="AN26" s="141"/>
      <c r="AP26" s="10">
        <f>+I6</f>
        <v>78681</v>
      </c>
      <c r="AQ26" s="34">
        <f>+S6</f>
        <v>172674</v>
      </c>
      <c r="AR26" s="10">
        <f>+AC6-B27</f>
        <v>988.98</v>
      </c>
      <c r="AS26" s="10">
        <f>+AM6</f>
        <v>55922.020000000004</v>
      </c>
      <c r="AT26" s="10">
        <f>SUM(AP26:AS26)</f>
        <v>308266</v>
      </c>
      <c r="AU26" s="148">
        <v>308266</v>
      </c>
      <c r="AV26" s="149">
        <f>+AT26-AU26</f>
        <v>0</v>
      </c>
      <c r="AW26" s="148">
        <v>308266</v>
      </c>
    </row>
    <row r="27" spans="1:49" x14ac:dyDescent="0.2">
      <c r="A27" s="1">
        <f t="shared" ref="A27:A38" si="41">A6</f>
        <v>40663</v>
      </c>
      <c r="B27" s="2">
        <v>0</v>
      </c>
      <c r="C27" s="2">
        <v>0</v>
      </c>
      <c r="D27" s="2">
        <f t="shared" ref="D27:D38" si="42">B27+C27</f>
        <v>0</v>
      </c>
      <c r="E27" s="2">
        <f>D27*$D$63</f>
        <v>0</v>
      </c>
      <c r="K27" s="23"/>
      <c r="L27" s="24" t="s">
        <v>48</v>
      </c>
      <c r="M27" s="24" t="s">
        <v>49</v>
      </c>
      <c r="N27" s="24" t="s">
        <v>64</v>
      </c>
      <c r="O27" s="24" t="s">
        <v>65</v>
      </c>
      <c r="P27" s="24" t="s">
        <v>28</v>
      </c>
      <c r="Q27" s="11"/>
      <c r="R27" s="11"/>
      <c r="T27" s="141"/>
      <c r="U27" s="142"/>
      <c r="V27" s="13"/>
      <c r="W27" s="13"/>
      <c r="X27" s="13"/>
      <c r="Y27" s="13"/>
      <c r="Z27" s="13"/>
      <c r="AA27" s="13"/>
      <c r="AB27" s="13"/>
      <c r="AD27" s="29"/>
      <c r="AE27" s="13"/>
      <c r="AF27" s="13"/>
      <c r="AG27" s="13"/>
      <c r="AH27" s="13"/>
      <c r="AI27" s="13"/>
      <c r="AJ27" s="13"/>
      <c r="AK27" s="13"/>
      <c r="AL27" s="13"/>
      <c r="AN27" s="141"/>
      <c r="AP27" s="10">
        <f t="shared" ref="AP27:AP36" si="43">+I7</f>
        <v>61713</v>
      </c>
      <c r="AQ27" s="34">
        <f t="shared" ref="AQ27:AQ37" si="44">+S7</f>
        <v>242528</v>
      </c>
      <c r="AR27" s="10">
        <f t="shared" ref="AR27:AR37" si="45">+AC7-B28</f>
        <v>960</v>
      </c>
      <c r="AS27" s="10">
        <f t="shared" ref="AS27:AS37" si="46">+AM7</f>
        <v>51049</v>
      </c>
      <c r="AT27" s="10">
        <f t="shared" ref="AT27:AT37" si="47">SUM(AP27:AS27)</f>
        <v>356250</v>
      </c>
      <c r="AU27" s="148">
        <f>356279-29</f>
        <v>356250</v>
      </c>
      <c r="AV27" s="149">
        <f t="shared" ref="AV27:AV37" si="48">+AT27-AU27</f>
        <v>0</v>
      </c>
      <c r="AW27" s="148">
        <v>356250</v>
      </c>
    </row>
    <row r="28" spans="1:49" x14ac:dyDescent="0.2">
      <c r="A28" s="1">
        <f t="shared" si="41"/>
        <v>40694</v>
      </c>
      <c r="B28" s="2">
        <v>29</v>
      </c>
      <c r="C28" s="2">
        <v>0</v>
      </c>
      <c r="D28" s="2">
        <f t="shared" si="42"/>
        <v>29</v>
      </c>
      <c r="E28" s="2"/>
      <c r="Q28" s="11"/>
      <c r="R28" s="11"/>
      <c r="T28" s="141"/>
      <c r="U28" s="142"/>
      <c r="V28" s="13"/>
      <c r="W28" s="13"/>
      <c r="X28" s="13"/>
      <c r="Y28" s="13"/>
      <c r="Z28" s="13"/>
      <c r="AA28" s="13"/>
      <c r="AB28" s="13"/>
      <c r="AD28" s="29"/>
      <c r="AE28" s="13"/>
      <c r="AF28" s="13"/>
      <c r="AG28" s="13"/>
      <c r="AH28" s="13"/>
      <c r="AI28" s="13"/>
      <c r="AJ28" s="13"/>
      <c r="AK28" s="13"/>
      <c r="AL28" s="13"/>
      <c r="AN28" s="141"/>
      <c r="AP28" s="10">
        <f t="shared" si="43"/>
        <v>59865</v>
      </c>
      <c r="AQ28" s="34">
        <f t="shared" si="44"/>
        <v>204998</v>
      </c>
      <c r="AR28" s="10">
        <f t="shared" si="45"/>
        <v>952.49</v>
      </c>
      <c r="AS28" s="10">
        <f t="shared" si="46"/>
        <v>44361.51</v>
      </c>
      <c r="AT28" s="10">
        <f t="shared" si="47"/>
        <v>310177</v>
      </c>
      <c r="AU28" s="148">
        <v>310177</v>
      </c>
      <c r="AV28" s="149">
        <f t="shared" si="48"/>
        <v>0</v>
      </c>
      <c r="AW28" s="148">
        <f>310214-37</f>
        <v>310177</v>
      </c>
    </row>
    <row r="29" spans="1:49" x14ac:dyDescent="0.2">
      <c r="A29" s="1">
        <f t="shared" si="41"/>
        <v>40724</v>
      </c>
      <c r="B29" s="2">
        <v>37</v>
      </c>
      <c r="C29" s="2">
        <v>0</v>
      </c>
      <c r="D29" s="2">
        <f t="shared" si="42"/>
        <v>37</v>
      </c>
      <c r="E29" s="2"/>
      <c r="K29" s="5" t="s">
        <v>58</v>
      </c>
      <c r="L29" s="10">
        <f>SUM(D19:F19)</f>
        <v>350565</v>
      </c>
      <c r="M29" s="10">
        <f>SUM(N19:P19)</f>
        <v>974048</v>
      </c>
      <c r="N29" s="10">
        <f>SUM(X19:Z19)</f>
        <v>0</v>
      </c>
      <c r="O29" s="10">
        <f>SUM(AH19:AJ19)</f>
        <v>551608.97000000009</v>
      </c>
      <c r="P29" s="10">
        <f>SUM(L29:O29)</f>
        <v>1876221.9700000002</v>
      </c>
      <c r="Q29" s="11"/>
      <c r="R29" s="11"/>
      <c r="T29" s="141"/>
      <c r="U29" s="142"/>
      <c r="V29" s="13"/>
      <c r="W29" s="13"/>
      <c r="X29" s="13"/>
      <c r="Y29" s="13"/>
      <c r="Z29" s="13"/>
      <c r="AA29" s="13"/>
      <c r="AB29" s="13"/>
      <c r="AD29" s="29"/>
      <c r="AE29" s="13"/>
      <c r="AF29" s="13"/>
      <c r="AG29" s="13"/>
      <c r="AH29" s="13"/>
      <c r="AI29" s="13"/>
      <c r="AJ29" s="13"/>
      <c r="AK29" s="13"/>
      <c r="AL29" s="13"/>
      <c r="AN29" s="141"/>
      <c r="AP29" s="10">
        <f t="shared" si="43"/>
        <v>120498</v>
      </c>
      <c r="AQ29" s="34">
        <f t="shared" si="44"/>
        <v>205414</v>
      </c>
      <c r="AR29" s="10">
        <f t="shared" si="45"/>
        <v>937</v>
      </c>
      <c r="AS29" s="10">
        <f t="shared" si="46"/>
        <v>49445</v>
      </c>
      <c r="AT29" s="10">
        <f t="shared" si="47"/>
        <v>376294</v>
      </c>
      <c r="AU29" s="148">
        <v>376294</v>
      </c>
      <c r="AV29" s="149">
        <f t="shared" si="48"/>
        <v>0</v>
      </c>
      <c r="AW29" s="148">
        <f>376346-52</f>
        <v>376294</v>
      </c>
    </row>
    <row r="30" spans="1:49" x14ac:dyDescent="0.2">
      <c r="A30" s="1">
        <f t="shared" si="41"/>
        <v>40755</v>
      </c>
      <c r="B30" s="2">
        <v>52</v>
      </c>
      <c r="C30" s="2">
        <v>0</v>
      </c>
      <c r="D30" s="2">
        <f t="shared" si="42"/>
        <v>52</v>
      </c>
      <c r="E30" s="2"/>
      <c r="K30" s="25"/>
      <c r="Q30" s="150"/>
      <c r="R30" s="11"/>
      <c r="T30" s="141"/>
      <c r="U30" s="142"/>
      <c r="V30" s="13"/>
      <c r="W30" s="13"/>
      <c r="X30" s="13"/>
      <c r="Y30" s="13"/>
      <c r="Z30" s="13"/>
      <c r="AA30" s="13"/>
      <c r="AB30" s="13"/>
      <c r="AD30" s="29"/>
      <c r="AE30" s="13"/>
      <c r="AF30" s="13"/>
      <c r="AG30" s="13"/>
      <c r="AH30" s="13"/>
      <c r="AI30" s="13"/>
      <c r="AJ30" s="13"/>
      <c r="AK30" s="13"/>
      <c r="AL30" s="13"/>
      <c r="AN30" s="141"/>
      <c r="AP30" s="10">
        <f t="shared" si="43"/>
        <v>93296</v>
      </c>
      <c r="AQ30" s="34">
        <f t="shared" si="44"/>
        <v>327568</v>
      </c>
      <c r="AR30" s="10">
        <f t="shared" si="45"/>
        <v>952</v>
      </c>
      <c r="AS30" s="10">
        <f t="shared" si="46"/>
        <v>54329</v>
      </c>
      <c r="AT30" s="10">
        <f t="shared" si="47"/>
        <v>476145</v>
      </c>
      <c r="AU30" s="148">
        <v>476145</v>
      </c>
      <c r="AV30" s="149">
        <f t="shared" si="48"/>
        <v>0</v>
      </c>
      <c r="AW30" s="148">
        <f>476182-37</f>
        <v>476145</v>
      </c>
    </row>
    <row r="31" spans="1:49" x14ac:dyDescent="0.2">
      <c r="A31" s="1">
        <f t="shared" si="41"/>
        <v>40786</v>
      </c>
      <c r="B31" s="2">
        <v>37</v>
      </c>
      <c r="C31" s="2">
        <v>0</v>
      </c>
      <c r="D31" s="2">
        <f t="shared" si="42"/>
        <v>37</v>
      </c>
      <c r="E31" s="2"/>
      <c r="K31" s="25" t="s">
        <v>59</v>
      </c>
      <c r="L31" s="26"/>
      <c r="M31" s="26"/>
      <c r="N31" s="26"/>
      <c r="O31" s="26"/>
      <c r="P31" s="26"/>
      <c r="Q31" s="11"/>
      <c r="R31" s="11"/>
      <c r="T31" s="141"/>
      <c r="U31" s="142"/>
      <c r="V31" s="13"/>
      <c r="W31" s="13"/>
      <c r="X31" s="13"/>
      <c r="Y31" s="13"/>
      <c r="Z31" s="13"/>
      <c r="AA31" s="13"/>
      <c r="AB31" s="13"/>
      <c r="AD31" s="29"/>
      <c r="AE31" s="13"/>
      <c r="AF31" s="13"/>
      <c r="AG31" s="13"/>
      <c r="AH31" s="13"/>
      <c r="AI31" s="13"/>
      <c r="AJ31" s="13"/>
      <c r="AK31" s="13"/>
      <c r="AL31" s="13"/>
      <c r="AN31" s="141"/>
      <c r="AP31" s="10">
        <f t="shared" si="43"/>
        <v>92003</v>
      </c>
      <c r="AQ31" s="34">
        <f t="shared" si="44"/>
        <v>223276</v>
      </c>
      <c r="AR31" s="10">
        <f t="shared" si="45"/>
        <v>952</v>
      </c>
      <c r="AS31" s="10">
        <f t="shared" si="46"/>
        <v>78899</v>
      </c>
      <c r="AT31" s="10">
        <f t="shared" si="47"/>
        <v>395130</v>
      </c>
      <c r="AU31" s="148">
        <v>395130</v>
      </c>
      <c r="AV31" s="149">
        <f t="shared" si="48"/>
        <v>0</v>
      </c>
      <c r="AW31" s="148">
        <f>395167-37</f>
        <v>395130</v>
      </c>
    </row>
    <row r="32" spans="1:49" x14ac:dyDescent="0.2">
      <c r="A32" s="1">
        <f t="shared" si="41"/>
        <v>40816</v>
      </c>
      <c r="B32" s="2">
        <v>37</v>
      </c>
      <c r="C32" s="2">
        <v>0</v>
      </c>
      <c r="D32" s="2">
        <f t="shared" si="42"/>
        <v>37</v>
      </c>
      <c r="E32" s="2"/>
      <c r="K32" s="5" t="s">
        <v>60</v>
      </c>
      <c r="L32" s="27" t="s">
        <v>61</v>
      </c>
      <c r="M32" s="27" t="s">
        <v>61</v>
      </c>
      <c r="N32" s="27" t="s">
        <v>61</v>
      </c>
      <c r="O32" s="27" t="s">
        <v>61</v>
      </c>
      <c r="P32" s="27" t="s">
        <v>61</v>
      </c>
      <c r="Q32" s="11"/>
      <c r="R32" s="11"/>
      <c r="T32" s="141"/>
      <c r="U32" s="142"/>
      <c r="V32" s="13"/>
      <c r="W32" s="13"/>
      <c r="X32" s="13"/>
      <c r="Y32" s="13"/>
      <c r="Z32" s="13"/>
      <c r="AA32" s="13"/>
      <c r="AB32" s="13"/>
      <c r="AD32" s="29"/>
      <c r="AE32" s="13"/>
      <c r="AF32" s="13"/>
      <c r="AG32" s="13"/>
      <c r="AH32" s="13"/>
      <c r="AI32" s="13"/>
      <c r="AJ32" s="13"/>
      <c r="AK32" s="13"/>
      <c r="AL32" s="13"/>
      <c r="AN32" s="141"/>
      <c r="AP32" s="10">
        <f t="shared" si="43"/>
        <v>4591</v>
      </c>
      <c r="AQ32" s="34">
        <f t="shared" si="44"/>
        <v>250770</v>
      </c>
      <c r="AR32" s="10">
        <f t="shared" si="45"/>
        <v>982</v>
      </c>
      <c r="AS32" s="10">
        <f t="shared" si="46"/>
        <v>65718</v>
      </c>
      <c r="AT32" s="10">
        <f t="shared" si="47"/>
        <v>322061</v>
      </c>
      <c r="AU32" s="148">
        <v>322061</v>
      </c>
      <c r="AV32" s="149">
        <f t="shared" si="48"/>
        <v>0</v>
      </c>
      <c r="AW32" s="148">
        <f>322068-7</f>
        <v>322061</v>
      </c>
    </row>
    <row r="33" spans="1:49" x14ac:dyDescent="0.2">
      <c r="A33" s="1">
        <f t="shared" si="41"/>
        <v>40847</v>
      </c>
      <c r="B33" s="2">
        <v>7</v>
      </c>
      <c r="C33" s="2">
        <v>0</v>
      </c>
      <c r="D33" s="2">
        <f t="shared" si="42"/>
        <v>7</v>
      </c>
      <c r="E33" s="151"/>
      <c r="Q33" s="11"/>
      <c r="R33" s="11"/>
      <c r="T33" s="141"/>
      <c r="U33" s="142"/>
      <c r="V33" s="13"/>
      <c r="W33" s="13"/>
      <c r="X33" s="13"/>
      <c r="Y33" s="13"/>
      <c r="Z33" s="13"/>
      <c r="AA33" s="13"/>
      <c r="AB33" s="13"/>
      <c r="AD33" s="29"/>
      <c r="AE33" s="13"/>
      <c r="AF33" s="13"/>
      <c r="AG33" s="13"/>
      <c r="AH33" s="13"/>
      <c r="AI33" s="13"/>
      <c r="AJ33" s="13"/>
      <c r="AK33" s="13"/>
      <c r="AL33" s="13"/>
      <c r="AN33" s="141"/>
      <c r="AP33" s="10">
        <f t="shared" si="43"/>
        <v>3814</v>
      </c>
      <c r="AQ33" s="34">
        <f t="shared" si="44"/>
        <v>285882</v>
      </c>
      <c r="AR33" s="10">
        <f t="shared" si="45"/>
        <v>33908</v>
      </c>
      <c r="AS33" s="10">
        <f t="shared" si="46"/>
        <v>27166</v>
      </c>
      <c r="AT33" s="10">
        <f t="shared" si="47"/>
        <v>350770</v>
      </c>
      <c r="AU33" s="148">
        <v>350770</v>
      </c>
      <c r="AV33" s="149">
        <f t="shared" si="48"/>
        <v>0</v>
      </c>
      <c r="AW33" s="148">
        <v>350770</v>
      </c>
    </row>
    <row r="34" spans="1:49" x14ac:dyDescent="0.2">
      <c r="A34" s="1">
        <f t="shared" si="41"/>
        <v>40877</v>
      </c>
      <c r="B34" s="2">
        <v>0</v>
      </c>
      <c r="C34" s="2">
        <v>0</v>
      </c>
      <c r="D34" s="2">
        <f t="shared" si="42"/>
        <v>0</v>
      </c>
      <c r="E34" s="2"/>
      <c r="K34" s="5" t="s">
        <v>62</v>
      </c>
      <c r="Q34" s="11"/>
      <c r="R34" s="11"/>
      <c r="T34" s="141"/>
      <c r="U34" s="142"/>
      <c r="V34" s="13"/>
      <c r="W34" s="13"/>
      <c r="X34" s="13"/>
      <c r="Y34" s="13"/>
      <c r="Z34" s="13"/>
      <c r="AA34" s="13"/>
      <c r="AB34" s="13"/>
      <c r="AD34" s="29"/>
      <c r="AE34" s="13"/>
      <c r="AF34" s="13"/>
      <c r="AG34" s="13"/>
      <c r="AH34" s="13"/>
      <c r="AI34" s="13"/>
      <c r="AJ34" s="13"/>
      <c r="AK34" s="13"/>
      <c r="AL34" s="13"/>
      <c r="AN34" s="141"/>
      <c r="AP34" s="10">
        <f t="shared" si="43"/>
        <v>74194</v>
      </c>
      <c r="AQ34" s="34">
        <f t="shared" si="44"/>
        <v>261345</v>
      </c>
      <c r="AR34" s="10">
        <f t="shared" si="45"/>
        <v>39280</v>
      </c>
      <c r="AS34" s="10">
        <f t="shared" si="46"/>
        <v>66959</v>
      </c>
      <c r="AT34" s="10">
        <f t="shared" si="47"/>
        <v>441778</v>
      </c>
      <c r="AU34" s="148">
        <v>441778</v>
      </c>
      <c r="AV34" s="149">
        <f t="shared" si="48"/>
        <v>0</v>
      </c>
      <c r="AW34" s="148">
        <f>374820+66958</f>
        <v>441778</v>
      </c>
    </row>
    <row r="35" spans="1:49" ht="12" thickBot="1" x14ac:dyDescent="0.25">
      <c r="A35" s="1">
        <f t="shared" si="41"/>
        <v>40908</v>
      </c>
      <c r="B35" s="2">
        <v>0</v>
      </c>
      <c r="C35" s="2">
        <v>0</v>
      </c>
      <c r="D35" s="2">
        <f t="shared" si="42"/>
        <v>0</v>
      </c>
      <c r="E35" s="152"/>
      <c r="K35" s="5" t="s">
        <v>63</v>
      </c>
      <c r="L35" s="28">
        <f>ROUND(L29/8,0)</f>
        <v>43821</v>
      </c>
      <c r="M35" s="28">
        <f>ROUND(M29/8,0)</f>
        <v>121756</v>
      </c>
      <c r="N35" s="28">
        <f>ROUND(N29/8,0)</f>
        <v>0</v>
      </c>
      <c r="O35" s="28">
        <f>ROUND(O29/8,0)</f>
        <v>68951</v>
      </c>
      <c r="P35" s="28">
        <f>ROUND(P29/8,0)</f>
        <v>234528</v>
      </c>
      <c r="Q35" s="11"/>
      <c r="R35" s="11"/>
      <c r="T35" s="141"/>
      <c r="U35" s="142"/>
      <c r="V35" s="13"/>
      <c r="W35" s="13"/>
      <c r="X35" s="13"/>
      <c r="Y35" s="13"/>
      <c r="Z35" s="13"/>
      <c r="AA35" s="13"/>
      <c r="AB35" s="13"/>
      <c r="AD35" s="29"/>
      <c r="AE35" s="13"/>
      <c r="AF35" s="13"/>
      <c r="AG35" s="13"/>
      <c r="AH35" s="13"/>
      <c r="AI35" s="13"/>
      <c r="AJ35" s="13"/>
      <c r="AK35" s="13"/>
      <c r="AL35" s="13"/>
      <c r="AN35" s="141"/>
      <c r="AP35" s="10">
        <f t="shared" si="43"/>
        <v>89749</v>
      </c>
      <c r="AQ35" s="34">
        <f t="shared" si="44"/>
        <v>252805</v>
      </c>
      <c r="AR35" s="10">
        <f t="shared" si="45"/>
        <v>24115</v>
      </c>
      <c r="AS35" s="10">
        <f t="shared" si="46"/>
        <v>55909</v>
      </c>
      <c r="AT35" s="10">
        <f t="shared" si="47"/>
        <v>422578</v>
      </c>
      <c r="AU35" s="148">
        <v>422578</v>
      </c>
      <c r="AV35" s="149">
        <f t="shared" si="48"/>
        <v>0</v>
      </c>
      <c r="AW35" s="148">
        <f>366668+55910</f>
        <v>422578</v>
      </c>
    </row>
    <row r="36" spans="1:49" ht="12" thickTop="1" x14ac:dyDescent="0.2">
      <c r="A36" s="1">
        <f t="shared" si="41"/>
        <v>40939</v>
      </c>
      <c r="B36" s="2">
        <v>0</v>
      </c>
      <c r="C36" s="2">
        <v>0</v>
      </c>
      <c r="D36" s="2">
        <f t="shared" si="42"/>
        <v>0</v>
      </c>
      <c r="E36" s="153"/>
      <c r="K36" s="2"/>
      <c r="L36" s="2"/>
      <c r="M36" s="2"/>
      <c r="N36" s="153"/>
      <c r="O36" s="11"/>
      <c r="P36" s="11"/>
      <c r="Q36" s="11"/>
      <c r="R36" s="11"/>
      <c r="T36" s="141"/>
      <c r="U36" s="142"/>
      <c r="V36" s="13"/>
      <c r="W36" s="13"/>
      <c r="X36" s="13"/>
      <c r="Y36" s="13"/>
      <c r="Z36" s="13"/>
      <c r="AA36" s="13"/>
      <c r="AB36" s="13"/>
      <c r="AD36" s="29"/>
      <c r="AE36" s="13"/>
      <c r="AF36" s="13"/>
      <c r="AG36" s="13"/>
      <c r="AH36" s="13"/>
      <c r="AI36" s="13"/>
      <c r="AJ36" s="13"/>
      <c r="AK36" s="13"/>
      <c r="AL36" s="13"/>
      <c r="AN36" s="141"/>
      <c r="AP36" s="10">
        <f t="shared" si="43"/>
        <v>92234</v>
      </c>
      <c r="AQ36" s="34">
        <f t="shared" si="44"/>
        <v>273726</v>
      </c>
      <c r="AR36" s="10">
        <f t="shared" si="45"/>
        <v>23561</v>
      </c>
      <c r="AS36" s="10">
        <f t="shared" si="46"/>
        <v>42893</v>
      </c>
      <c r="AT36" s="10">
        <f t="shared" si="47"/>
        <v>432414</v>
      </c>
      <c r="AU36" s="148">
        <v>432414</v>
      </c>
      <c r="AV36" s="149">
        <f t="shared" si="48"/>
        <v>0</v>
      </c>
      <c r="AW36" s="148">
        <f>389521+42893</f>
        <v>432414</v>
      </c>
    </row>
    <row r="37" spans="1:49" x14ac:dyDescent="0.2">
      <c r="A37" s="1">
        <f t="shared" si="41"/>
        <v>40968</v>
      </c>
      <c r="B37" s="2">
        <v>0</v>
      </c>
      <c r="C37" s="2">
        <v>0</v>
      </c>
      <c r="D37" s="2">
        <f t="shared" si="42"/>
        <v>0</v>
      </c>
      <c r="E37" s="154"/>
      <c r="F37" s="154" t="s">
        <v>87</v>
      </c>
      <c r="K37" s="2"/>
      <c r="L37" s="2"/>
      <c r="M37" s="2"/>
      <c r="N37" s="2"/>
      <c r="O37" s="11"/>
      <c r="P37" s="11"/>
      <c r="Q37" s="11"/>
      <c r="R37" s="11"/>
      <c r="T37" s="141"/>
      <c r="U37" s="142"/>
      <c r="V37" s="13"/>
      <c r="W37" s="13"/>
      <c r="X37" s="13"/>
      <c r="Y37" s="13"/>
      <c r="Z37" s="13"/>
      <c r="AA37" s="13"/>
      <c r="AB37" s="13"/>
      <c r="AD37" s="29"/>
      <c r="AE37" s="13"/>
      <c r="AF37" s="13"/>
      <c r="AG37" s="13"/>
      <c r="AH37" s="13"/>
      <c r="AI37" s="13"/>
      <c r="AJ37" s="13"/>
      <c r="AK37" s="13"/>
      <c r="AL37" s="13"/>
      <c r="AN37" s="141"/>
      <c r="AP37" s="10">
        <f>+I17-C38</f>
        <v>300254</v>
      </c>
      <c r="AQ37" s="34">
        <f t="shared" si="44"/>
        <v>239628</v>
      </c>
      <c r="AR37" s="10">
        <f t="shared" si="45"/>
        <v>29045</v>
      </c>
      <c r="AS37" s="10">
        <f t="shared" si="46"/>
        <v>52076</v>
      </c>
      <c r="AT37" s="10">
        <f t="shared" si="47"/>
        <v>621003</v>
      </c>
      <c r="AU37" s="148">
        <v>621003</v>
      </c>
      <c r="AV37" s="149">
        <f t="shared" si="48"/>
        <v>0</v>
      </c>
      <c r="AW37" s="148">
        <f>339714+52077+5985--223227</f>
        <v>621003</v>
      </c>
    </row>
    <row r="38" spans="1:49" x14ac:dyDescent="0.2">
      <c r="A38" s="1">
        <f t="shared" si="41"/>
        <v>40999</v>
      </c>
      <c r="B38" s="30">
        <v>694</v>
      </c>
      <c r="C38" s="30">
        <v>-223921</v>
      </c>
      <c r="D38" s="30">
        <f t="shared" si="42"/>
        <v>-223227</v>
      </c>
      <c r="E38" s="154">
        <v>-223921</v>
      </c>
      <c r="F38" s="154" t="s">
        <v>88</v>
      </c>
      <c r="K38" s="2"/>
      <c r="L38" s="2"/>
      <c r="M38" s="2"/>
      <c r="N38" s="2"/>
      <c r="O38" s="11"/>
      <c r="P38" s="11"/>
      <c r="Q38" s="11"/>
      <c r="R38" s="11"/>
      <c r="T38" s="141"/>
      <c r="U38" s="142"/>
      <c r="V38" s="13"/>
      <c r="W38" s="13"/>
      <c r="X38" s="13"/>
      <c r="Y38" s="13"/>
      <c r="Z38" s="13"/>
      <c r="AA38" s="13"/>
      <c r="AB38" s="13"/>
      <c r="AD38" s="29"/>
      <c r="AE38" s="13"/>
      <c r="AF38" s="13"/>
      <c r="AG38" s="13"/>
      <c r="AH38" s="13"/>
      <c r="AI38" s="13"/>
      <c r="AJ38" s="13"/>
      <c r="AK38" s="13"/>
      <c r="AL38" s="13"/>
      <c r="AN38" s="141"/>
      <c r="AP38" s="10">
        <f>SUM(AP26:AP37)</f>
        <v>1070892</v>
      </c>
      <c r="AQ38" s="10">
        <f t="shared" ref="AQ38:AS38" si="49">SUM(AQ26:AQ37)</f>
        <v>2940614</v>
      </c>
      <c r="AR38" s="10">
        <f t="shared" si="49"/>
        <v>156633.47</v>
      </c>
      <c r="AS38" s="10">
        <f t="shared" si="49"/>
        <v>644726.53</v>
      </c>
      <c r="AT38" s="10">
        <f>SUM(AT26:AT37)</f>
        <v>4812866</v>
      </c>
      <c r="AU38" s="10">
        <f>SUM(AU26:AU37)</f>
        <v>4812866</v>
      </c>
      <c r="AV38" s="149">
        <f>SUM(AV26:AV37)</f>
        <v>0</v>
      </c>
      <c r="AW38" s="10">
        <f>SUM(AW26:AW37)</f>
        <v>4812866</v>
      </c>
    </row>
    <row r="39" spans="1:49" x14ac:dyDescent="0.2">
      <c r="A39" s="11"/>
      <c r="B39" s="11"/>
      <c r="C39" s="11"/>
      <c r="D39" s="11"/>
      <c r="E39" s="11"/>
      <c r="K39" s="11"/>
      <c r="L39" s="11"/>
      <c r="M39" s="11"/>
      <c r="N39" s="11"/>
      <c r="O39" s="11"/>
      <c r="P39" s="11"/>
      <c r="Q39" s="11"/>
      <c r="R39" s="11"/>
      <c r="S39" s="10"/>
      <c r="T39" s="155"/>
      <c r="U39" s="13"/>
      <c r="V39" s="13"/>
      <c r="W39" s="13"/>
      <c r="X39" s="13"/>
      <c r="Y39" s="13"/>
      <c r="Z39" s="13"/>
      <c r="AA39" s="13"/>
      <c r="AB39" s="13"/>
      <c r="AD39" s="155"/>
      <c r="AE39" s="13"/>
      <c r="AF39" s="13"/>
      <c r="AG39" s="13"/>
      <c r="AH39" s="13"/>
      <c r="AI39" s="13"/>
      <c r="AJ39" s="13"/>
      <c r="AK39" s="13"/>
      <c r="AL39" s="13"/>
      <c r="AN39" s="141"/>
      <c r="AQ39" s="13"/>
      <c r="AU39" s="156"/>
    </row>
    <row r="40" spans="1:49" ht="12" thickBot="1" x14ac:dyDescent="0.25">
      <c r="A40" s="18" t="s">
        <v>34</v>
      </c>
      <c r="B40" s="19">
        <f>SUM(B27:B39)</f>
        <v>893</v>
      </c>
      <c r="C40" s="19">
        <f>SUM(C27:C39)</f>
        <v>-223921</v>
      </c>
      <c r="D40" s="19">
        <f>SUM(D27:D39)</f>
        <v>-223028</v>
      </c>
      <c r="E40" s="2">
        <f>D40*$D$63</f>
        <v>-195736.81528284834</v>
      </c>
      <c r="K40" s="2"/>
      <c r="L40" s="2"/>
      <c r="M40" s="2"/>
      <c r="N40" s="2"/>
      <c r="O40" s="11"/>
      <c r="P40" s="11"/>
      <c r="Q40" s="11"/>
      <c r="R40" s="11"/>
      <c r="T40" s="157"/>
      <c r="U40" s="13"/>
      <c r="V40" s="13"/>
      <c r="W40" s="13"/>
      <c r="X40" s="13"/>
      <c r="Y40" s="13"/>
      <c r="Z40" s="13"/>
      <c r="AA40" s="13"/>
      <c r="AB40" s="13"/>
      <c r="AD40" s="157"/>
      <c r="AE40" s="13"/>
      <c r="AF40" s="13"/>
      <c r="AG40" s="13"/>
      <c r="AH40" s="13"/>
      <c r="AI40" s="13"/>
      <c r="AJ40" s="13"/>
      <c r="AK40" s="13"/>
      <c r="AL40" s="13"/>
      <c r="AN40" s="141"/>
      <c r="AQ40" s="13"/>
    </row>
    <row r="41" spans="1:49" ht="12" thickTop="1" x14ac:dyDescent="0.2">
      <c r="A41" s="11"/>
      <c r="B41" s="11"/>
      <c r="C41" s="11"/>
      <c r="D41" s="2"/>
      <c r="E41" s="2"/>
      <c r="K41" s="11"/>
      <c r="L41" s="11"/>
      <c r="M41" s="2"/>
      <c r="N41" s="2"/>
      <c r="O41" s="11"/>
      <c r="P41" s="11"/>
      <c r="Q41" s="11"/>
      <c r="R41" s="11"/>
      <c r="T41" s="141"/>
      <c r="U41" s="141"/>
      <c r="V41" s="141"/>
      <c r="W41" s="13"/>
      <c r="X41" s="13"/>
      <c r="Y41" s="141"/>
      <c r="Z41" s="141"/>
      <c r="AA41" s="141"/>
      <c r="AB41" s="141"/>
      <c r="AD41" s="141"/>
      <c r="AE41" s="141"/>
      <c r="AF41" s="141"/>
      <c r="AG41" s="13"/>
      <c r="AH41" s="13"/>
      <c r="AI41" s="141"/>
      <c r="AJ41" s="141"/>
      <c r="AK41" s="141"/>
      <c r="AL41" s="141"/>
      <c r="AN41" s="141"/>
      <c r="AQ41" s="13"/>
    </row>
    <row r="42" spans="1:49" ht="12" x14ac:dyDescent="0.2">
      <c r="A42" s="158" t="s">
        <v>41</v>
      </c>
      <c r="B42" s="11"/>
      <c r="C42" s="11"/>
      <c r="D42" s="2"/>
      <c r="E42" s="2"/>
      <c r="F42" s="2"/>
      <c r="K42" s="11"/>
      <c r="L42" s="11"/>
      <c r="M42" s="2"/>
      <c r="N42" s="2"/>
      <c r="O42" s="2"/>
      <c r="P42" s="11"/>
      <c r="Q42" s="11"/>
      <c r="R42" s="11"/>
      <c r="T42" s="158"/>
      <c r="U42" s="141"/>
      <c r="V42" s="141"/>
      <c r="W42" s="13"/>
      <c r="X42" s="13"/>
      <c r="Y42" s="13"/>
      <c r="Z42" s="141"/>
      <c r="AA42" s="141"/>
      <c r="AB42" s="141"/>
      <c r="AD42" s="158"/>
      <c r="AE42" s="141"/>
      <c r="AF42" s="141"/>
      <c r="AG42" s="13"/>
      <c r="AH42" s="13"/>
      <c r="AI42" s="13"/>
      <c r="AJ42" s="141"/>
      <c r="AK42" s="141"/>
      <c r="AL42" s="141"/>
      <c r="AN42" s="141"/>
      <c r="AQ42" s="11"/>
    </row>
    <row r="43" spans="1:49" x14ac:dyDescent="0.2">
      <c r="A43" s="11" t="s">
        <v>42</v>
      </c>
      <c r="B43" s="11"/>
      <c r="C43" s="135"/>
      <c r="D43" s="2"/>
      <c r="E43" s="2"/>
      <c r="F43" s="2"/>
      <c r="K43" s="11"/>
      <c r="L43" s="135"/>
      <c r="M43" s="2"/>
      <c r="N43" s="2"/>
      <c r="O43" s="2"/>
      <c r="P43" s="11"/>
      <c r="Q43" s="11"/>
      <c r="R43" s="11"/>
      <c r="T43" s="141"/>
      <c r="U43" s="141"/>
      <c r="V43" s="159"/>
      <c r="W43" s="13"/>
      <c r="X43" s="13"/>
      <c r="Y43" s="13"/>
      <c r="Z43" s="141"/>
      <c r="AA43" s="141"/>
      <c r="AB43" s="141"/>
      <c r="AD43" s="141"/>
      <c r="AE43" s="141"/>
      <c r="AF43" s="159"/>
      <c r="AG43" s="13"/>
      <c r="AH43" s="13"/>
      <c r="AI43" s="13"/>
      <c r="AJ43" s="141"/>
      <c r="AK43" s="141"/>
      <c r="AL43" s="141"/>
      <c r="AN43" s="141"/>
      <c r="AQ43" s="11"/>
    </row>
    <row r="44" spans="1:49" x14ac:dyDescent="0.2">
      <c r="A44" s="11"/>
      <c r="B44" s="11"/>
      <c r="C44" s="11"/>
      <c r="D44" s="2"/>
      <c r="E44" s="2"/>
      <c r="F44" s="2"/>
      <c r="K44" s="11"/>
      <c r="L44" s="11"/>
      <c r="M44" s="2"/>
      <c r="N44" s="2"/>
      <c r="O44" s="2"/>
      <c r="P44" s="11"/>
      <c r="Q44" s="11"/>
      <c r="R44" s="11"/>
      <c r="T44" s="141"/>
      <c r="U44" s="141"/>
      <c r="V44" s="141"/>
      <c r="W44" s="13"/>
      <c r="X44" s="13"/>
      <c r="Y44" s="13"/>
      <c r="Z44" s="141"/>
      <c r="AA44" s="141"/>
      <c r="AB44" s="141"/>
      <c r="AD44" s="141"/>
      <c r="AE44" s="141"/>
      <c r="AF44" s="141"/>
      <c r="AG44" s="13"/>
      <c r="AH44" s="13"/>
      <c r="AI44" s="13"/>
      <c r="AJ44" s="141"/>
      <c r="AK44" s="141"/>
      <c r="AL44" s="141"/>
      <c r="AN44" s="141"/>
      <c r="AQ44" s="11"/>
    </row>
    <row r="45" spans="1:49" ht="52.5" customHeight="1" x14ac:dyDescent="0.2">
      <c r="A45" s="11"/>
      <c r="B45" s="139" t="s">
        <v>43</v>
      </c>
      <c r="C45" s="139" t="s">
        <v>44</v>
      </c>
      <c r="D45" s="160" t="s">
        <v>45</v>
      </c>
      <c r="E45" s="2"/>
      <c r="F45" s="2"/>
      <c r="G45" s="130"/>
      <c r="K45" s="139"/>
      <c r="L45" s="139"/>
      <c r="M45" s="160"/>
      <c r="N45" s="2"/>
      <c r="O45" s="2"/>
      <c r="P45" s="139"/>
      <c r="Q45" s="11"/>
      <c r="R45" s="11"/>
      <c r="T45" s="141"/>
      <c r="U45" s="142"/>
      <c r="V45" s="142"/>
      <c r="W45" s="161"/>
      <c r="X45" s="13"/>
      <c r="Y45" s="13"/>
      <c r="Z45" s="142"/>
      <c r="AA45" s="141"/>
      <c r="AB45" s="141"/>
      <c r="AD45" s="141"/>
      <c r="AE45" s="142"/>
      <c r="AF45" s="142"/>
      <c r="AG45" s="143"/>
      <c r="AH45" s="143"/>
      <c r="AI45" s="143"/>
      <c r="AJ45" s="142"/>
      <c r="AK45" s="142"/>
      <c r="AL45" s="142"/>
      <c r="AN45" s="141"/>
      <c r="AQ45" s="11"/>
    </row>
    <row r="46" spans="1:49" ht="26.25" customHeight="1" x14ac:dyDescent="0.2">
      <c r="A46" s="11"/>
      <c r="B46" s="162" t="s">
        <v>74</v>
      </c>
      <c r="C46" s="162" t="s">
        <v>74</v>
      </c>
      <c r="D46" s="160" t="s">
        <v>46</v>
      </c>
      <c r="E46" s="2"/>
      <c r="F46" s="2"/>
      <c r="K46" s="146"/>
      <c r="L46" s="146"/>
      <c r="M46" s="160"/>
      <c r="N46" s="2"/>
      <c r="O46" s="2"/>
      <c r="P46" s="11"/>
      <c r="Q46" s="11"/>
      <c r="R46" s="11"/>
      <c r="T46" s="141"/>
      <c r="U46" s="162"/>
      <c r="V46" s="162"/>
      <c r="W46" s="161"/>
      <c r="X46" s="13"/>
      <c r="Y46" s="13"/>
      <c r="Z46" s="141"/>
      <c r="AA46" s="141"/>
      <c r="AB46" s="141"/>
      <c r="AD46" s="141"/>
      <c r="AE46" s="142"/>
      <c r="AF46" s="147"/>
      <c r="AG46" s="147"/>
      <c r="AH46" s="147"/>
      <c r="AI46" s="142"/>
      <c r="AJ46" s="142"/>
      <c r="AK46" s="142"/>
      <c r="AL46" s="142"/>
      <c r="AN46" s="141"/>
      <c r="AQ46" s="11"/>
    </row>
    <row r="47" spans="1:49" x14ac:dyDescent="0.2">
      <c r="A47" s="11"/>
      <c r="B47" s="11"/>
      <c r="C47" s="11"/>
      <c r="D47" s="2"/>
      <c r="E47" s="2"/>
      <c r="H47" s="11"/>
      <c r="I47" s="11"/>
      <c r="N47" s="10">
        <f>ROUND(N6,0)</f>
        <v>0</v>
      </c>
      <c r="O47" s="10">
        <f t="shared" ref="O47:P47" si="50">ROUND(O6,0)</f>
        <v>2012</v>
      </c>
      <c r="P47" s="10">
        <f t="shared" si="50"/>
        <v>8188</v>
      </c>
      <c r="S47" s="11"/>
      <c r="T47" s="141"/>
      <c r="U47" s="141"/>
      <c r="V47" s="141"/>
      <c r="W47" s="13"/>
      <c r="X47" s="13"/>
      <c r="Y47" s="141"/>
      <c r="Z47" s="141"/>
      <c r="AA47" s="141"/>
      <c r="AB47" s="141"/>
      <c r="AC47" s="11"/>
      <c r="AD47" s="141"/>
      <c r="AE47" s="13"/>
      <c r="AF47" s="13"/>
      <c r="AG47" s="13"/>
      <c r="AH47" s="13"/>
      <c r="AI47" s="13"/>
      <c r="AJ47" s="13"/>
      <c r="AK47" s="13"/>
      <c r="AL47" s="13"/>
      <c r="AM47" s="11"/>
      <c r="AN47" s="141"/>
      <c r="AQ47" s="14"/>
    </row>
    <row r="48" spans="1:49" x14ac:dyDescent="0.2">
      <c r="A48" s="1">
        <f t="shared" ref="A48:A59" si="51">A27</f>
        <v>40663</v>
      </c>
      <c r="B48" s="163">
        <v>62399735</v>
      </c>
      <c r="C48" s="164">
        <v>72141917</v>
      </c>
      <c r="D48" s="165">
        <f t="shared" ref="D48:D59" si="52">B48/C48</f>
        <v>0.86495809364200849</v>
      </c>
      <c r="E48" s="152"/>
      <c r="F48" s="1"/>
      <c r="G48" s="16"/>
      <c r="H48" s="150"/>
      <c r="I48" s="150"/>
      <c r="K48" s="166"/>
      <c r="L48" s="166"/>
      <c r="M48" s="166"/>
      <c r="N48" s="10">
        <f t="shared" ref="N48:P48" si="53">ROUND(N7,0)</f>
        <v>20602</v>
      </c>
      <c r="O48" s="10">
        <f t="shared" si="53"/>
        <v>51717</v>
      </c>
      <c r="P48" s="10">
        <f t="shared" si="53"/>
        <v>7735</v>
      </c>
      <c r="Q48" s="10"/>
      <c r="R48" s="10"/>
      <c r="S48" s="150"/>
      <c r="T48" s="167"/>
      <c r="U48" s="168"/>
      <c r="V48" s="168"/>
      <c r="W48" s="169"/>
      <c r="X48" s="13"/>
      <c r="Y48" s="167"/>
      <c r="Z48" s="13"/>
      <c r="AA48" s="141"/>
      <c r="AB48" s="141"/>
      <c r="AC48" s="150"/>
      <c r="AD48" s="167"/>
      <c r="AE48" s="13"/>
      <c r="AF48" s="13"/>
      <c r="AG48" s="13"/>
      <c r="AH48" s="13"/>
      <c r="AI48" s="13"/>
      <c r="AJ48" s="13"/>
      <c r="AK48" s="13"/>
      <c r="AL48" s="13"/>
      <c r="AM48" s="150"/>
      <c r="AN48" s="141"/>
      <c r="AQ48" s="14"/>
    </row>
    <row r="49" spans="1:43" x14ac:dyDescent="0.2">
      <c r="A49" s="1">
        <f t="shared" si="51"/>
        <v>40694</v>
      </c>
      <c r="B49" s="16">
        <v>65590042</v>
      </c>
      <c r="C49" s="2">
        <v>75542976</v>
      </c>
      <c r="D49" s="165">
        <f t="shared" si="52"/>
        <v>0.86824805525268156</v>
      </c>
      <c r="E49" s="152"/>
      <c r="F49" s="1"/>
      <c r="G49" s="16"/>
      <c r="H49" s="150"/>
      <c r="I49" s="150"/>
      <c r="K49" s="166"/>
      <c r="L49" s="166"/>
      <c r="M49" s="166"/>
      <c r="N49" s="10">
        <f t="shared" ref="N49:P49" si="54">ROUND(N8,0)</f>
        <v>19586</v>
      </c>
      <c r="O49" s="10">
        <f t="shared" si="54"/>
        <v>13302</v>
      </c>
      <c r="P49" s="10">
        <f t="shared" si="54"/>
        <v>8786</v>
      </c>
      <c r="Q49" s="10"/>
      <c r="R49" s="10"/>
      <c r="S49" s="150"/>
      <c r="T49" s="167"/>
      <c r="U49" s="13"/>
      <c r="V49" s="13"/>
      <c r="W49" s="169"/>
      <c r="X49" s="13"/>
      <c r="Y49" s="167"/>
      <c r="Z49" s="13"/>
      <c r="AA49" s="141"/>
      <c r="AB49" s="141"/>
      <c r="AC49" s="150"/>
      <c r="AD49" s="167"/>
      <c r="AE49" s="13"/>
      <c r="AF49" s="13"/>
      <c r="AG49" s="13"/>
      <c r="AH49" s="13"/>
      <c r="AI49" s="13"/>
      <c r="AJ49" s="13"/>
      <c r="AK49" s="13"/>
      <c r="AL49" s="13"/>
      <c r="AM49" s="150"/>
      <c r="AN49" s="141"/>
      <c r="AQ49" s="14"/>
    </row>
    <row r="50" spans="1:43" x14ac:dyDescent="0.2">
      <c r="A50" s="1">
        <f t="shared" si="51"/>
        <v>40724</v>
      </c>
      <c r="B50" s="16">
        <v>85552331</v>
      </c>
      <c r="C50" s="2">
        <v>92722749</v>
      </c>
      <c r="D50" s="165">
        <f t="shared" si="52"/>
        <v>0.92266819009000689</v>
      </c>
      <c r="E50" s="152"/>
      <c r="F50" s="1"/>
      <c r="G50" s="16"/>
      <c r="H50" s="150"/>
      <c r="I50" s="150"/>
      <c r="K50" s="166"/>
      <c r="L50" s="166"/>
      <c r="M50" s="166"/>
      <c r="N50" s="10">
        <f t="shared" ref="N50:P50" si="55">ROUND(N9,0)</f>
        <v>-4642</v>
      </c>
      <c r="O50" s="10">
        <f t="shared" si="55"/>
        <v>38282</v>
      </c>
      <c r="P50" s="10">
        <f t="shared" si="55"/>
        <v>7599</v>
      </c>
      <c r="Q50" s="10"/>
      <c r="R50" s="10"/>
      <c r="S50" s="150"/>
      <c r="T50" s="167"/>
      <c r="U50" s="13"/>
      <c r="V50" s="13"/>
      <c r="W50" s="169"/>
      <c r="X50" s="13"/>
      <c r="Y50" s="167"/>
      <c r="Z50" s="13"/>
      <c r="AA50" s="141"/>
      <c r="AB50" s="141"/>
      <c r="AC50" s="150"/>
      <c r="AD50" s="167"/>
      <c r="AE50" s="13"/>
      <c r="AF50" s="13"/>
      <c r="AG50" s="13"/>
      <c r="AH50" s="13"/>
      <c r="AI50" s="13"/>
      <c r="AJ50" s="13"/>
      <c r="AK50" s="13"/>
      <c r="AL50" s="13"/>
      <c r="AM50" s="150"/>
      <c r="AN50" s="141"/>
      <c r="AQ50" s="14"/>
    </row>
    <row r="51" spans="1:43" x14ac:dyDescent="0.2">
      <c r="A51" s="1">
        <f t="shared" si="51"/>
        <v>40755</v>
      </c>
      <c r="B51" s="16">
        <v>92680126</v>
      </c>
      <c r="C51" s="2">
        <v>100956855</v>
      </c>
      <c r="D51" s="165">
        <f t="shared" si="52"/>
        <v>0.91801716683824985</v>
      </c>
      <c r="E51" s="152"/>
      <c r="F51" s="1"/>
      <c r="G51" s="16"/>
      <c r="H51" s="150"/>
      <c r="I51" s="150"/>
      <c r="K51" s="166"/>
      <c r="L51" s="166"/>
      <c r="M51" s="166"/>
      <c r="N51" s="10">
        <f t="shared" ref="N51:P51" si="56">ROUND(N10,0)</f>
        <v>13597</v>
      </c>
      <c r="O51" s="10">
        <f t="shared" si="56"/>
        <v>138130</v>
      </c>
      <c r="P51" s="10">
        <f t="shared" si="56"/>
        <v>11666</v>
      </c>
      <c r="Q51" s="10"/>
      <c r="R51" s="10"/>
      <c r="S51" s="150"/>
      <c r="T51" s="167"/>
      <c r="U51" s="13"/>
      <c r="V51" s="13"/>
      <c r="W51" s="169"/>
      <c r="X51" s="13"/>
      <c r="Y51" s="167"/>
      <c r="Z51" s="13"/>
      <c r="AA51" s="141"/>
      <c r="AB51" s="141"/>
      <c r="AC51" s="150"/>
      <c r="AD51" s="167"/>
      <c r="AE51" s="13"/>
      <c r="AF51" s="13"/>
      <c r="AG51" s="13"/>
      <c r="AH51" s="13"/>
      <c r="AI51" s="13"/>
      <c r="AJ51" s="13"/>
      <c r="AK51" s="13"/>
      <c r="AL51" s="13"/>
      <c r="AM51" s="150"/>
      <c r="AN51" s="141"/>
      <c r="AQ51" s="14"/>
    </row>
    <row r="52" spans="1:43" x14ac:dyDescent="0.2">
      <c r="A52" s="1">
        <f t="shared" si="51"/>
        <v>40786</v>
      </c>
      <c r="B52" s="16">
        <v>105502255</v>
      </c>
      <c r="C52" s="2">
        <v>112725200</v>
      </c>
      <c r="D52" s="165">
        <f t="shared" si="52"/>
        <v>0.93592430973730811</v>
      </c>
      <c r="E52" s="152"/>
      <c r="F52" s="1"/>
      <c r="G52" s="16"/>
      <c r="H52" s="150"/>
      <c r="I52" s="150"/>
      <c r="K52" s="166"/>
      <c r="L52" s="166"/>
      <c r="M52" s="166"/>
      <c r="N52" s="10">
        <f t="shared" ref="N52:P52" si="57">ROUND(N11,0)</f>
        <v>7351</v>
      </c>
      <c r="O52" s="10">
        <f t="shared" si="57"/>
        <v>37489</v>
      </c>
      <c r="P52" s="10">
        <f t="shared" si="57"/>
        <v>14261</v>
      </c>
      <c r="Q52" s="10"/>
      <c r="R52" s="10"/>
      <c r="S52" s="150"/>
      <c r="T52" s="167"/>
      <c r="U52" s="13"/>
      <c r="V52" s="13"/>
      <c r="W52" s="169"/>
      <c r="X52" s="13"/>
      <c r="Y52" s="167"/>
      <c r="Z52" s="13"/>
      <c r="AA52" s="141"/>
      <c r="AB52" s="141"/>
      <c r="AC52" s="150"/>
      <c r="AD52" s="167"/>
      <c r="AE52" s="13"/>
      <c r="AF52" s="13"/>
      <c r="AG52" s="13"/>
      <c r="AH52" s="13"/>
      <c r="AI52" s="13"/>
      <c r="AJ52" s="13"/>
      <c r="AK52" s="13"/>
      <c r="AL52" s="13"/>
      <c r="AM52" s="150"/>
      <c r="AN52" s="141"/>
      <c r="AQ52" s="14"/>
    </row>
    <row r="53" spans="1:43" x14ac:dyDescent="0.2">
      <c r="A53" s="1">
        <f t="shared" si="51"/>
        <v>40816</v>
      </c>
      <c r="B53" s="16">
        <v>87284465</v>
      </c>
      <c r="C53" s="2">
        <v>99697403</v>
      </c>
      <c r="D53" s="165">
        <f t="shared" si="52"/>
        <v>0.87549386818029751</v>
      </c>
      <c r="E53" s="152"/>
      <c r="F53" s="1"/>
      <c r="G53" s="16"/>
      <c r="H53" s="150"/>
      <c r="I53" s="150"/>
      <c r="K53" s="166"/>
      <c r="L53" s="166"/>
      <c r="M53" s="166"/>
      <c r="N53" s="10">
        <f t="shared" ref="N53:P53" si="58">ROUND(N12,0)</f>
        <v>22169</v>
      </c>
      <c r="O53" s="10">
        <f t="shared" si="58"/>
        <v>53647</v>
      </c>
      <c r="P53" s="10">
        <f t="shared" si="58"/>
        <v>10779</v>
      </c>
      <c r="Q53" s="10"/>
      <c r="R53" s="10"/>
      <c r="S53" s="150"/>
      <c r="T53" s="167"/>
      <c r="U53" s="13"/>
      <c r="V53" s="13"/>
      <c r="W53" s="169"/>
      <c r="X53" s="13"/>
      <c r="Y53" s="167"/>
      <c r="Z53" s="13"/>
      <c r="AA53" s="141"/>
      <c r="AB53" s="141"/>
      <c r="AC53" s="150"/>
      <c r="AD53" s="167"/>
      <c r="AE53" s="13"/>
      <c r="AF53" s="13"/>
      <c r="AG53" s="13"/>
      <c r="AH53" s="13"/>
      <c r="AI53" s="13"/>
      <c r="AJ53" s="13"/>
      <c r="AK53" s="13"/>
      <c r="AL53" s="13"/>
      <c r="AM53" s="150"/>
      <c r="AN53" s="141"/>
      <c r="AQ53" s="14"/>
    </row>
    <row r="54" spans="1:43" x14ac:dyDescent="0.2">
      <c r="A54" s="1">
        <f t="shared" si="51"/>
        <v>40847</v>
      </c>
      <c r="B54" s="16">
        <v>67100418</v>
      </c>
      <c r="C54" s="2">
        <v>81152067</v>
      </c>
      <c r="D54" s="165">
        <f t="shared" si="52"/>
        <v>0.82684792243184635</v>
      </c>
      <c r="E54" s="152"/>
      <c r="F54" s="1"/>
      <c r="G54" s="16"/>
      <c r="H54" s="150"/>
      <c r="I54" s="150"/>
      <c r="K54" s="166"/>
      <c r="L54" s="166"/>
      <c r="M54" s="166"/>
      <c r="N54" s="10">
        <f t="shared" ref="N54:P54" si="59">ROUND(N13,0)</f>
        <v>19406</v>
      </c>
      <c r="O54" s="10">
        <f t="shared" si="59"/>
        <v>85467</v>
      </c>
      <c r="P54" s="10">
        <f t="shared" si="59"/>
        <v>16834</v>
      </c>
      <c r="Q54" s="10"/>
      <c r="R54" s="10"/>
      <c r="S54" s="150"/>
      <c r="T54" s="167"/>
      <c r="U54" s="13"/>
      <c r="V54" s="13"/>
      <c r="W54" s="169"/>
      <c r="X54" s="13"/>
      <c r="Y54" s="167"/>
      <c r="Z54" s="13"/>
      <c r="AA54" s="141"/>
      <c r="AB54" s="141"/>
      <c r="AC54" s="150"/>
      <c r="AD54" s="167"/>
      <c r="AE54" s="13"/>
      <c r="AF54" s="13"/>
      <c r="AG54" s="13"/>
      <c r="AH54" s="13"/>
      <c r="AI54" s="13"/>
      <c r="AJ54" s="13"/>
      <c r="AK54" s="13"/>
      <c r="AL54" s="13"/>
      <c r="AM54" s="150"/>
      <c r="AN54" s="141"/>
      <c r="AQ54" s="14"/>
    </row>
    <row r="55" spans="1:43" x14ac:dyDescent="0.2">
      <c r="A55" s="1">
        <f t="shared" si="51"/>
        <v>40877</v>
      </c>
      <c r="B55" s="16">
        <v>59812659</v>
      </c>
      <c r="C55" s="2">
        <v>72986687</v>
      </c>
      <c r="D55" s="165">
        <f t="shared" si="52"/>
        <v>0.81950094542584184</v>
      </c>
      <c r="E55" s="152"/>
      <c r="F55" s="1"/>
      <c r="G55" s="16"/>
      <c r="H55" s="150"/>
      <c r="I55" s="150"/>
      <c r="K55" s="166"/>
      <c r="L55" s="166"/>
      <c r="M55" s="166"/>
      <c r="N55" s="10">
        <f t="shared" ref="N55:P55" si="60">ROUND(N14,0)</f>
        <v>18376</v>
      </c>
      <c r="O55" s="10">
        <f t="shared" si="60"/>
        <v>66578</v>
      </c>
      <c r="P55" s="10">
        <f t="shared" si="60"/>
        <v>12216</v>
      </c>
      <c r="Q55" s="10"/>
      <c r="R55" s="10"/>
      <c r="S55" s="150"/>
      <c r="T55" s="167"/>
      <c r="U55" s="13"/>
      <c r="V55" s="13"/>
      <c r="W55" s="169"/>
      <c r="X55" s="13"/>
      <c r="Y55" s="167"/>
      <c r="Z55" s="13"/>
      <c r="AA55" s="141"/>
      <c r="AB55" s="141"/>
      <c r="AC55" s="150"/>
      <c r="AD55" s="167"/>
      <c r="AE55" s="13"/>
      <c r="AF55" s="13"/>
      <c r="AG55" s="13"/>
      <c r="AH55" s="13"/>
      <c r="AI55" s="13"/>
      <c r="AJ55" s="13"/>
      <c r="AK55" s="13"/>
      <c r="AL55" s="13"/>
      <c r="AM55" s="150"/>
      <c r="AN55" s="141"/>
      <c r="AQ55" s="14"/>
    </row>
    <row r="56" spans="1:43" x14ac:dyDescent="0.2">
      <c r="A56" s="1">
        <f t="shared" si="51"/>
        <v>40908</v>
      </c>
      <c r="B56" s="16">
        <v>65648206</v>
      </c>
      <c r="C56" s="2">
        <v>80899824</v>
      </c>
      <c r="D56" s="165">
        <f t="shared" si="52"/>
        <v>0.81147526353085764</v>
      </c>
      <c r="E56" s="152"/>
      <c r="F56" s="1"/>
      <c r="G56" s="16"/>
      <c r="H56" s="150"/>
      <c r="I56" s="150"/>
      <c r="K56" s="166"/>
      <c r="L56" s="166"/>
      <c r="M56" s="166"/>
      <c r="N56" s="10">
        <f t="shared" ref="N56:P56" si="61">ROUND(N15,0)</f>
        <v>16541</v>
      </c>
      <c r="O56" s="10">
        <f t="shared" si="61"/>
        <v>62748</v>
      </c>
      <c r="P56" s="10">
        <f t="shared" si="61"/>
        <v>9538</v>
      </c>
      <c r="Q56" s="10"/>
      <c r="R56" s="10"/>
      <c r="S56" s="150"/>
      <c r="T56" s="167"/>
      <c r="U56" s="13"/>
      <c r="V56" s="13"/>
      <c r="W56" s="169"/>
      <c r="X56" s="169"/>
      <c r="Y56" s="167"/>
      <c r="Z56" s="13"/>
      <c r="AA56" s="141"/>
      <c r="AB56" s="141"/>
      <c r="AC56" s="150"/>
      <c r="AD56" s="167"/>
      <c r="AE56" s="13"/>
      <c r="AF56" s="13"/>
      <c r="AG56" s="13"/>
      <c r="AH56" s="13"/>
      <c r="AI56" s="13"/>
      <c r="AJ56" s="13"/>
      <c r="AK56" s="13"/>
      <c r="AL56" s="13"/>
      <c r="AM56" s="150"/>
      <c r="AN56" s="141"/>
      <c r="AQ56" s="14"/>
    </row>
    <row r="57" spans="1:43" x14ac:dyDescent="0.2">
      <c r="A57" s="1">
        <f t="shared" si="51"/>
        <v>40939</v>
      </c>
      <c r="B57" s="16">
        <v>74605985</v>
      </c>
      <c r="C57" s="2">
        <v>87729220</v>
      </c>
      <c r="D57" s="165">
        <f t="shared" si="52"/>
        <v>0.85041204059491238</v>
      </c>
      <c r="E57" s="152"/>
      <c r="F57" s="1"/>
      <c r="G57" s="16"/>
      <c r="H57" s="150"/>
      <c r="I57" s="150"/>
      <c r="K57" s="166"/>
      <c r="L57" s="166"/>
      <c r="M57" s="166"/>
      <c r="N57" s="10">
        <f t="shared" ref="N57:P57" si="62">ROUND(N16,0)</f>
        <v>22626</v>
      </c>
      <c r="O57" s="10">
        <f t="shared" si="62"/>
        <v>68857</v>
      </c>
      <c r="P57" s="10">
        <f t="shared" si="62"/>
        <v>18265</v>
      </c>
      <c r="Q57" s="10"/>
      <c r="R57" s="10"/>
      <c r="S57" s="150"/>
      <c r="T57" s="167"/>
      <c r="U57" s="13"/>
      <c r="V57" s="13"/>
      <c r="W57" s="169"/>
      <c r="X57" s="13"/>
      <c r="Y57" s="167"/>
      <c r="Z57" s="13"/>
      <c r="AA57" s="141"/>
      <c r="AB57" s="141"/>
      <c r="AC57" s="150"/>
      <c r="AD57" s="167"/>
      <c r="AE57" s="13"/>
      <c r="AF57" s="13"/>
      <c r="AG57" s="13"/>
      <c r="AH57" s="13"/>
      <c r="AI57" s="13"/>
      <c r="AJ57" s="13"/>
      <c r="AK57" s="13"/>
      <c r="AL57" s="13"/>
      <c r="AM57" s="150"/>
      <c r="AN57" s="141"/>
      <c r="AQ57" s="14"/>
    </row>
    <row r="58" spans="1:43" x14ac:dyDescent="0.2">
      <c r="A58" s="1">
        <f t="shared" si="51"/>
        <v>40968</v>
      </c>
      <c r="B58" s="16">
        <v>66491403</v>
      </c>
      <c r="C58" s="2">
        <v>73467747</v>
      </c>
      <c r="D58" s="165">
        <f t="shared" si="52"/>
        <v>0.90504208601905267</v>
      </c>
      <c r="E58" s="152"/>
      <c r="F58" s="1"/>
      <c r="G58" s="16"/>
      <c r="H58" s="150"/>
      <c r="I58" s="150"/>
      <c r="K58" s="166"/>
      <c r="L58" s="166"/>
      <c r="M58" s="166"/>
      <c r="N58" s="10">
        <f t="shared" ref="N58:P58" si="63">ROUND(N17,0)</f>
        <v>10360</v>
      </c>
      <c r="O58" s="10">
        <f t="shared" si="63"/>
        <v>57245</v>
      </c>
      <c r="P58" s="10">
        <f t="shared" si="63"/>
        <v>6735</v>
      </c>
      <c r="Q58" s="10"/>
      <c r="R58" s="10"/>
      <c r="S58" s="150"/>
      <c r="T58" s="167"/>
      <c r="U58" s="13"/>
      <c r="V58" s="13"/>
      <c r="W58" s="169"/>
      <c r="X58" s="13"/>
      <c r="Y58" s="167"/>
      <c r="Z58" s="13"/>
      <c r="AA58" s="141"/>
      <c r="AB58" s="141"/>
      <c r="AC58" s="150"/>
      <c r="AD58" s="167"/>
      <c r="AE58" s="13"/>
      <c r="AF58" s="13"/>
      <c r="AG58" s="13"/>
      <c r="AH58" s="13"/>
      <c r="AI58" s="13"/>
      <c r="AJ58" s="13"/>
      <c r="AK58" s="13"/>
      <c r="AL58" s="13"/>
      <c r="AM58" s="150"/>
      <c r="AN58" s="141"/>
      <c r="AQ58" s="14"/>
    </row>
    <row r="59" spans="1:43" ht="13.5" x14ac:dyDescent="0.35">
      <c r="A59" s="1">
        <f t="shared" si="51"/>
        <v>40999</v>
      </c>
      <c r="B59" s="7">
        <v>67797903</v>
      </c>
      <c r="C59" s="7">
        <v>75992954</v>
      </c>
      <c r="D59" s="170">
        <f t="shared" si="52"/>
        <v>0.89216038371136352</v>
      </c>
      <c r="E59" s="153"/>
      <c r="F59" s="1"/>
      <c r="G59" s="7"/>
      <c r="H59" s="150"/>
      <c r="I59" s="150"/>
      <c r="K59" s="166"/>
      <c r="L59" s="166"/>
      <c r="M59" s="166"/>
      <c r="N59" s="166"/>
      <c r="O59" s="10"/>
      <c r="Q59" s="10"/>
      <c r="R59" s="10"/>
      <c r="S59" s="150"/>
      <c r="T59" s="167"/>
      <c r="U59" s="13"/>
      <c r="V59" s="13"/>
      <c r="W59" s="169"/>
      <c r="X59" s="13"/>
      <c r="Y59" s="167"/>
      <c r="Z59" s="13"/>
      <c r="AA59" s="141"/>
      <c r="AB59" s="141"/>
      <c r="AC59" s="150"/>
      <c r="AD59" s="167"/>
      <c r="AE59" s="13"/>
      <c r="AF59" s="13"/>
      <c r="AG59" s="13"/>
      <c r="AH59" s="13"/>
      <c r="AI59" s="13"/>
      <c r="AJ59" s="13"/>
      <c r="AK59" s="13"/>
      <c r="AL59" s="13"/>
      <c r="AM59" s="150"/>
      <c r="AN59" s="141"/>
      <c r="AQ59" s="7"/>
    </row>
    <row r="60" spans="1:43" x14ac:dyDescent="0.2">
      <c r="A60" s="1"/>
      <c r="B60" s="2"/>
      <c r="C60" s="2"/>
      <c r="D60" s="165"/>
      <c r="E60" s="2"/>
      <c r="F60" s="11"/>
      <c r="G60" s="16"/>
      <c r="H60" s="11"/>
      <c r="I60" s="11"/>
      <c r="S60" s="11"/>
      <c r="T60" s="167"/>
      <c r="U60" s="13"/>
      <c r="V60" s="13"/>
      <c r="W60" s="169"/>
      <c r="X60" s="13"/>
      <c r="Y60" s="141"/>
      <c r="Z60" s="13"/>
      <c r="AA60" s="141"/>
      <c r="AB60" s="141"/>
      <c r="AC60" s="11"/>
      <c r="AD60" s="167"/>
      <c r="AE60" s="13"/>
      <c r="AF60" s="13"/>
      <c r="AG60" s="13"/>
      <c r="AH60" s="13"/>
      <c r="AI60" s="13"/>
      <c r="AJ60" s="13"/>
      <c r="AK60" s="13"/>
      <c r="AL60" s="13"/>
      <c r="AM60" s="11"/>
      <c r="AN60" s="141"/>
      <c r="AQ60" s="14"/>
    </row>
    <row r="61" spans="1:43" x14ac:dyDescent="0.2">
      <c r="A61" s="1"/>
      <c r="B61" s="2"/>
      <c r="C61" s="2"/>
      <c r="D61" s="165"/>
      <c r="E61" s="2"/>
      <c r="F61" s="2"/>
      <c r="H61" s="11"/>
      <c r="I61" s="11"/>
      <c r="K61" s="166"/>
      <c r="L61" s="166"/>
      <c r="M61" s="166"/>
      <c r="N61" s="166"/>
      <c r="O61" s="10"/>
      <c r="S61" s="11"/>
      <c r="T61" s="167"/>
      <c r="U61" s="13"/>
      <c r="V61" s="13"/>
      <c r="W61" s="169"/>
      <c r="X61" s="13"/>
      <c r="Y61" s="13"/>
      <c r="Z61" s="141"/>
      <c r="AA61" s="141"/>
      <c r="AB61" s="141"/>
      <c r="AC61" s="11"/>
      <c r="AD61" s="167"/>
      <c r="AE61" s="13"/>
      <c r="AF61" s="13"/>
      <c r="AG61" s="169"/>
      <c r="AH61" s="13"/>
      <c r="AI61" s="13"/>
      <c r="AJ61" s="141"/>
      <c r="AK61" s="141"/>
      <c r="AL61" s="141"/>
      <c r="AM61" s="11"/>
      <c r="AN61" s="141"/>
      <c r="AQ61" s="12"/>
    </row>
    <row r="62" spans="1:43" x14ac:dyDescent="0.2">
      <c r="A62" s="11"/>
      <c r="B62" s="11"/>
      <c r="C62" s="11"/>
      <c r="D62" s="11"/>
      <c r="E62" s="2"/>
      <c r="F62" s="2"/>
      <c r="H62" s="11"/>
      <c r="I62" s="11"/>
      <c r="K62" s="11"/>
      <c r="L62" s="11"/>
      <c r="M62" s="11"/>
      <c r="N62" s="2"/>
      <c r="O62" s="2"/>
      <c r="P62" s="11"/>
      <c r="Q62" s="11"/>
      <c r="R62" s="11"/>
      <c r="S62" s="11"/>
      <c r="T62" s="141"/>
      <c r="U62" s="141"/>
      <c r="V62" s="141"/>
      <c r="W62" s="141"/>
      <c r="X62" s="13"/>
      <c r="Y62" s="13"/>
      <c r="Z62" s="141"/>
      <c r="AA62" s="141"/>
      <c r="AB62" s="141"/>
      <c r="AC62" s="11"/>
      <c r="AD62" s="141"/>
      <c r="AE62" s="141"/>
      <c r="AF62" s="141"/>
      <c r="AG62" s="141"/>
      <c r="AH62" s="13"/>
      <c r="AI62" s="13"/>
      <c r="AJ62" s="141"/>
      <c r="AK62" s="141"/>
      <c r="AL62" s="141"/>
      <c r="AM62" s="11"/>
      <c r="AN62" s="141"/>
      <c r="AQ62" s="11"/>
    </row>
    <row r="63" spans="1:43" ht="12" thickBot="1" x14ac:dyDescent="0.25">
      <c r="A63" s="18" t="s">
        <v>34</v>
      </c>
      <c r="B63" s="171">
        <f>SUM(B48:B62)</f>
        <v>900465528</v>
      </c>
      <c r="C63" s="171">
        <f>SUM(C48:C62)</f>
        <v>1026015599</v>
      </c>
      <c r="D63" s="172">
        <f>B63/C63</f>
        <v>0.87763337017257181</v>
      </c>
      <c r="E63" s="2"/>
      <c r="F63" s="2"/>
      <c r="H63" s="2"/>
      <c r="I63" s="2"/>
      <c r="K63" s="164"/>
      <c r="L63" s="164"/>
      <c r="M63" s="165"/>
      <c r="N63" s="2"/>
      <c r="O63" s="2"/>
      <c r="P63" s="2"/>
      <c r="Q63" s="11"/>
      <c r="R63" s="11"/>
      <c r="S63" s="2"/>
      <c r="T63" s="173"/>
      <c r="U63" s="164"/>
      <c r="V63" s="164"/>
      <c r="W63" s="165"/>
      <c r="X63" s="2"/>
      <c r="Y63" s="2"/>
      <c r="Z63" s="2"/>
      <c r="AA63" s="11"/>
      <c r="AB63" s="11"/>
      <c r="AC63" s="2"/>
      <c r="AD63" s="173"/>
      <c r="AE63" s="164"/>
      <c r="AF63" s="164"/>
      <c r="AG63" s="165"/>
      <c r="AH63" s="2"/>
      <c r="AI63" s="2"/>
      <c r="AJ63" s="2"/>
      <c r="AK63" s="11"/>
      <c r="AL63" s="11"/>
      <c r="AM63" s="2"/>
      <c r="AQ63" s="11"/>
    </row>
    <row r="64" spans="1:43" ht="12" thickTop="1" x14ac:dyDescent="0.2">
      <c r="A64" s="11"/>
      <c r="B64" s="11"/>
      <c r="C64" s="11"/>
      <c r="D64" s="2"/>
      <c r="E64" s="2"/>
      <c r="F64" s="2"/>
      <c r="H64" s="11"/>
      <c r="I64" s="11"/>
      <c r="K64" s="11"/>
      <c r="L64" s="11"/>
      <c r="M64" s="2"/>
      <c r="N64" s="2"/>
      <c r="O64" s="2"/>
      <c r="P64" s="11"/>
      <c r="Q64" s="11"/>
      <c r="R64" s="11"/>
      <c r="S64" s="11"/>
      <c r="T64" s="11"/>
      <c r="U64" s="11"/>
      <c r="V64" s="11"/>
      <c r="W64" s="2"/>
      <c r="X64" s="2"/>
      <c r="Y64" s="2"/>
      <c r="Z64" s="11"/>
      <c r="AA64" s="11"/>
      <c r="AB64" s="11"/>
      <c r="AC64" s="11"/>
      <c r="AD64" s="11"/>
      <c r="AE64" s="11"/>
      <c r="AF64" s="11"/>
      <c r="AG64" s="2"/>
      <c r="AH64" s="2"/>
      <c r="AI64" s="2"/>
      <c r="AJ64" s="11"/>
      <c r="AK64" s="11"/>
      <c r="AL64" s="11"/>
      <c r="AM64" s="11"/>
      <c r="AQ64" s="11"/>
    </row>
    <row r="65" spans="1:43" x14ac:dyDescent="0.2">
      <c r="A65" s="11"/>
      <c r="B65" s="11"/>
      <c r="C65" s="11"/>
      <c r="D65" s="2"/>
      <c r="E65" s="2"/>
      <c r="F65" s="2"/>
      <c r="H65" s="11"/>
      <c r="I65" s="11"/>
      <c r="K65" s="11"/>
      <c r="L65" s="11"/>
      <c r="M65" s="2"/>
      <c r="N65" s="2"/>
      <c r="O65" s="2"/>
      <c r="P65" s="11"/>
      <c r="Q65" s="11"/>
      <c r="R65" s="11"/>
      <c r="S65" s="11"/>
      <c r="T65" s="11"/>
      <c r="U65" s="11"/>
      <c r="V65" s="11"/>
      <c r="W65" s="2"/>
      <c r="X65" s="2"/>
      <c r="Y65" s="2"/>
      <c r="Z65" s="11"/>
      <c r="AA65" s="11"/>
      <c r="AB65" s="11"/>
      <c r="AC65" s="11"/>
      <c r="AD65" s="11"/>
      <c r="AE65" s="11"/>
      <c r="AF65" s="11"/>
      <c r="AG65" s="2"/>
      <c r="AH65" s="2"/>
      <c r="AI65" s="2"/>
      <c r="AJ65" s="11"/>
      <c r="AK65" s="11"/>
      <c r="AL65" s="11"/>
      <c r="AM65" s="11"/>
      <c r="AQ65" s="11"/>
    </row>
    <row r="66" spans="1:43" x14ac:dyDescent="0.2">
      <c r="A66" s="11"/>
      <c r="B66" s="174"/>
      <c r="C66" s="11"/>
      <c r="D66" s="165"/>
      <c r="E66" s="165"/>
      <c r="F66" s="165"/>
      <c r="K66" s="174"/>
      <c r="L66" s="11"/>
      <c r="M66" s="165"/>
      <c r="N66" s="165"/>
      <c r="O66" s="165"/>
      <c r="P66" s="11"/>
      <c r="Q66" s="11"/>
      <c r="R66" s="11"/>
      <c r="T66" s="11"/>
      <c r="U66" s="174"/>
      <c r="V66" s="11"/>
      <c r="W66" s="165"/>
      <c r="X66" s="165"/>
      <c r="Y66" s="165"/>
      <c r="Z66" s="11"/>
      <c r="AA66" s="11"/>
      <c r="AB66" s="11"/>
      <c r="AD66" s="11"/>
      <c r="AE66" s="174"/>
      <c r="AF66" s="11"/>
      <c r="AG66" s="165"/>
      <c r="AH66" s="165"/>
      <c r="AI66" s="165"/>
      <c r="AJ66" s="11"/>
      <c r="AK66" s="11"/>
      <c r="AL66" s="11"/>
    </row>
    <row r="67" spans="1:43" x14ac:dyDescent="0.2">
      <c r="A67" s="11"/>
      <c r="B67" s="11"/>
      <c r="C67" s="11"/>
      <c r="D67" s="2"/>
      <c r="E67" s="2"/>
      <c r="F67" s="2"/>
      <c r="K67" s="11"/>
      <c r="L67" s="11"/>
      <c r="M67" s="2"/>
      <c r="N67" s="2"/>
      <c r="O67" s="2"/>
      <c r="P67" s="11"/>
      <c r="Q67" s="11"/>
      <c r="R67" s="11"/>
      <c r="T67" s="11"/>
      <c r="U67" s="11"/>
      <c r="V67" s="11"/>
      <c r="W67" s="2"/>
      <c r="X67" s="2"/>
      <c r="Y67" s="2"/>
      <c r="Z67" s="11"/>
      <c r="AA67" s="11"/>
      <c r="AB67" s="11"/>
      <c r="AD67" s="11"/>
      <c r="AE67" s="11"/>
      <c r="AF67" s="11"/>
      <c r="AG67" s="2"/>
      <c r="AH67" s="2"/>
      <c r="AI67" s="2"/>
      <c r="AJ67" s="11"/>
      <c r="AK67" s="11"/>
      <c r="AL67" s="11"/>
    </row>
    <row r="68" spans="1:43" x14ac:dyDescent="0.2">
      <c r="A68" s="11"/>
      <c r="B68" s="11"/>
      <c r="C68" s="11"/>
      <c r="D68" s="2"/>
      <c r="E68" s="2"/>
      <c r="F68" s="2"/>
      <c r="K68" s="11"/>
      <c r="L68" s="11"/>
      <c r="M68" s="2"/>
      <c r="N68" s="2"/>
      <c r="O68" s="2"/>
      <c r="P68" s="11"/>
      <c r="Q68" s="11"/>
      <c r="R68" s="11"/>
      <c r="T68" s="11"/>
      <c r="U68" s="11"/>
      <c r="V68" s="11"/>
      <c r="W68" s="2"/>
      <c r="X68" s="2"/>
      <c r="Y68" s="2"/>
      <c r="Z68" s="11"/>
      <c r="AA68" s="11"/>
      <c r="AB68" s="11"/>
      <c r="AD68" s="11"/>
      <c r="AE68" s="11"/>
      <c r="AF68" s="11"/>
      <c r="AG68" s="2"/>
      <c r="AH68" s="2"/>
      <c r="AI68" s="2"/>
      <c r="AJ68" s="11"/>
      <c r="AK68" s="11"/>
      <c r="AL68" s="11"/>
    </row>
    <row r="69" spans="1:43" x14ac:dyDescent="0.2">
      <c r="A69" s="11"/>
      <c r="B69" s="11"/>
      <c r="C69" s="11"/>
      <c r="D69" s="2"/>
      <c r="E69" s="2"/>
      <c r="F69" s="2"/>
      <c r="K69" s="11"/>
      <c r="L69" s="11"/>
      <c r="M69" s="2"/>
      <c r="N69" s="2"/>
      <c r="O69" s="2"/>
      <c r="P69" s="11"/>
      <c r="Q69" s="11"/>
      <c r="R69" s="11"/>
      <c r="T69" s="11"/>
      <c r="U69" s="11"/>
      <c r="V69" s="11"/>
      <c r="W69" s="2"/>
      <c r="X69" s="2"/>
      <c r="Y69" s="2"/>
      <c r="Z69" s="11"/>
      <c r="AA69" s="11"/>
      <c r="AB69" s="11"/>
      <c r="AD69" s="11"/>
      <c r="AE69" s="11"/>
      <c r="AF69" s="11"/>
      <c r="AG69" s="2"/>
      <c r="AH69" s="2"/>
      <c r="AI69" s="2"/>
      <c r="AJ69" s="11"/>
      <c r="AK69" s="11"/>
      <c r="AL69" s="11"/>
    </row>
    <row r="70" spans="1:43" x14ac:dyDescent="0.2">
      <c r="A70" s="11"/>
      <c r="B70" s="11"/>
      <c r="C70" s="11"/>
      <c r="D70" s="2"/>
      <c r="E70" s="2"/>
      <c r="F70" s="2"/>
      <c r="K70" s="11"/>
      <c r="L70" s="11"/>
      <c r="M70" s="2"/>
      <c r="N70" s="2"/>
      <c r="O70" s="2"/>
      <c r="P70" s="11"/>
      <c r="Q70" s="11"/>
      <c r="R70" s="11"/>
      <c r="T70" s="11"/>
      <c r="U70" s="11"/>
      <c r="V70" s="11"/>
      <c r="W70" s="2"/>
      <c r="X70" s="2"/>
      <c r="Y70" s="2"/>
      <c r="Z70" s="11"/>
      <c r="AA70" s="11"/>
      <c r="AB70" s="11"/>
      <c r="AD70" s="11"/>
      <c r="AE70" s="11"/>
      <c r="AF70" s="11"/>
      <c r="AG70" s="2"/>
      <c r="AH70" s="2"/>
      <c r="AI70" s="2"/>
      <c r="AJ70" s="11"/>
      <c r="AK70" s="11"/>
      <c r="AL70" s="11"/>
    </row>
    <row r="71" spans="1:43" x14ac:dyDescent="0.2">
      <c r="A71" s="11"/>
      <c r="B71" s="11"/>
      <c r="C71" s="11"/>
      <c r="D71" s="11"/>
      <c r="E71" s="11"/>
      <c r="F71" s="11"/>
      <c r="K71" s="11"/>
      <c r="L71" s="11"/>
      <c r="M71" s="11"/>
      <c r="N71" s="11"/>
      <c r="O71" s="11"/>
      <c r="P71" s="11"/>
      <c r="Q71" s="11"/>
      <c r="R71" s="11"/>
      <c r="T71" s="11"/>
      <c r="U71" s="11"/>
      <c r="V71" s="11"/>
      <c r="W71" s="11"/>
      <c r="X71" s="11"/>
      <c r="Y71" s="11"/>
      <c r="Z71" s="11"/>
      <c r="AA71" s="11"/>
      <c r="AB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43" x14ac:dyDescent="0.2">
      <c r="A72" s="11"/>
      <c r="B72" s="11"/>
      <c r="C72" s="11"/>
      <c r="D72" s="152"/>
      <c r="E72" s="152"/>
      <c r="F72" s="152"/>
      <c r="K72" s="11"/>
      <c r="L72" s="11"/>
      <c r="M72" s="152"/>
      <c r="N72" s="152"/>
      <c r="O72" s="152"/>
      <c r="P72" s="11"/>
      <c r="Q72" s="11"/>
      <c r="R72" s="11"/>
      <c r="T72" s="11"/>
      <c r="U72" s="11"/>
      <c r="V72" s="11"/>
      <c r="W72" s="152"/>
      <c r="X72" s="152"/>
      <c r="Y72" s="152"/>
      <c r="Z72" s="11"/>
      <c r="AA72" s="11"/>
      <c r="AB72" s="11"/>
      <c r="AD72" s="11"/>
      <c r="AE72" s="11"/>
      <c r="AF72" s="11"/>
      <c r="AG72" s="152"/>
      <c r="AH72" s="152"/>
      <c r="AI72" s="152"/>
      <c r="AJ72" s="11"/>
      <c r="AK72" s="11"/>
      <c r="AL72" s="11"/>
    </row>
    <row r="73" spans="1:43" x14ac:dyDescent="0.2">
      <c r="A73" s="11"/>
      <c r="B73" s="11"/>
      <c r="C73" s="11"/>
      <c r="D73" s="11"/>
      <c r="E73" s="11"/>
      <c r="F73" s="11"/>
      <c r="K73" s="11"/>
      <c r="L73" s="11"/>
      <c r="M73" s="11"/>
      <c r="N73" s="11"/>
      <c r="O73" s="11"/>
      <c r="P73" s="11"/>
      <c r="Q73" s="11"/>
      <c r="R73" s="11"/>
      <c r="T73" s="11"/>
      <c r="U73" s="11"/>
      <c r="V73" s="11"/>
      <c r="W73" s="11"/>
      <c r="X73" s="11"/>
      <c r="Y73" s="11"/>
      <c r="Z73" s="11"/>
      <c r="AA73" s="11"/>
      <c r="AB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43" x14ac:dyDescent="0.2">
      <c r="A74" s="11"/>
      <c r="B74" s="11"/>
      <c r="C74" s="11"/>
      <c r="D74" s="11"/>
      <c r="E74" s="11"/>
      <c r="F74" s="11"/>
      <c r="K74" s="11"/>
      <c r="L74" s="11"/>
      <c r="M74" s="11"/>
      <c r="N74" s="11"/>
      <c r="O74" s="11"/>
      <c r="P74" s="11"/>
      <c r="Q74" s="11"/>
      <c r="R74" s="11"/>
      <c r="T74" s="11"/>
      <c r="U74" s="11"/>
      <c r="V74" s="11"/>
      <c r="W74" s="11"/>
      <c r="X74" s="11"/>
      <c r="Y74" s="11"/>
      <c r="Z74" s="11"/>
      <c r="AA74" s="11"/>
      <c r="AB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43" x14ac:dyDescent="0.2">
      <c r="A75" s="11"/>
      <c r="B75" s="11"/>
      <c r="C75" s="11"/>
      <c r="D75" s="11"/>
      <c r="E75" s="11"/>
      <c r="F75" s="11"/>
      <c r="K75" s="11"/>
      <c r="L75" s="11"/>
      <c r="M75" s="11"/>
      <c r="N75" s="11"/>
      <c r="O75" s="11"/>
      <c r="P75" s="11"/>
      <c r="Q75" s="11"/>
      <c r="R75" s="11"/>
      <c r="T75" s="11"/>
      <c r="U75" s="11"/>
      <c r="V75" s="11"/>
      <c r="W75" s="11"/>
      <c r="X75" s="11"/>
      <c r="Y75" s="11"/>
      <c r="Z75" s="11"/>
      <c r="AA75" s="11"/>
      <c r="AB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43" x14ac:dyDescent="0.2">
      <c r="A76" s="11"/>
      <c r="B76" s="11"/>
      <c r="C76" s="11"/>
      <c r="D76" s="11"/>
      <c r="E76" s="11"/>
      <c r="F76" s="11"/>
      <c r="K76" s="11"/>
      <c r="L76" s="11"/>
      <c r="M76" s="11"/>
      <c r="N76" s="11"/>
      <c r="O76" s="11"/>
      <c r="P76" s="11"/>
      <c r="Q76" s="11"/>
      <c r="R76" s="11"/>
      <c r="T76" s="11"/>
      <c r="U76" s="11"/>
      <c r="V76" s="11"/>
      <c r="W76" s="11"/>
      <c r="X76" s="11"/>
      <c r="Y76" s="11"/>
      <c r="Z76" s="11"/>
      <c r="AA76" s="11"/>
      <c r="AB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43" x14ac:dyDescent="0.2">
      <c r="A77" s="11"/>
      <c r="B77" s="11"/>
      <c r="C77" s="11"/>
      <c r="D77" s="11"/>
      <c r="E77" s="11"/>
      <c r="F77" s="11"/>
      <c r="K77" s="11"/>
      <c r="L77" s="11"/>
      <c r="M77" s="11"/>
      <c r="N77" s="11"/>
      <c r="O77" s="11"/>
      <c r="P77" s="11"/>
      <c r="Q77" s="11"/>
      <c r="R77" s="11"/>
      <c r="T77" s="11"/>
      <c r="U77" s="11"/>
      <c r="V77" s="11"/>
      <c r="W77" s="11"/>
      <c r="X77" s="11"/>
      <c r="Y77" s="11"/>
      <c r="Z77" s="11"/>
      <c r="AA77" s="11"/>
      <c r="AB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43" x14ac:dyDescent="0.2">
      <c r="A78" s="11"/>
      <c r="B78" s="11"/>
      <c r="C78" s="11"/>
      <c r="D78" s="11"/>
      <c r="E78" s="11"/>
      <c r="F78" s="11"/>
      <c r="K78" s="11"/>
      <c r="L78" s="11"/>
      <c r="M78" s="11"/>
      <c r="N78" s="11"/>
      <c r="O78" s="11"/>
      <c r="P78" s="11"/>
      <c r="Q78" s="11"/>
      <c r="R78" s="11"/>
      <c r="T78" s="11"/>
      <c r="U78" s="11"/>
      <c r="V78" s="11"/>
      <c r="W78" s="11"/>
      <c r="X78" s="11"/>
      <c r="Y78" s="11"/>
      <c r="Z78" s="11"/>
      <c r="AA78" s="11"/>
      <c r="AB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43" x14ac:dyDescent="0.2">
      <c r="A79" s="11"/>
      <c r="B79" s="11"/>
      <c r="C79" s="11"/>
      <c r="D79" s="11"/>
      <c r="E79" s="11"/>
      <c r="F79" s="11"/>
      <c r="K79" s="11"/>
      <c r="L79" s="11"/>
      <c r="M79" s="11"/>
      <c r="N79" s="11"/>
      <c r="O79" s="11"/>
      <c r="P79" s="11"/>
      <c r="Q79" s="11"/>
      <c r="R79" s="11"/>
      <c r="T79" s="11"/>
      <c r="U79" s="11"/>
      <c r="V79" s="11"/>
      <c r="W79" s="11"/>
      <c r="X79" s="11"/>
      <c r="Y79" s="11"/>
      <c r="Z79" s="11"/>
      <c r="AA79" s="11"/>
      <c r="AB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43" x14ac:dyDescent="0.2">
      <c r="A80" s="11"/>
      <c r="B80" s="11"/>
      <c r="C80" s="11"/>
      <c r="D80" s="11"/>
      <c r="E80" s="11"/>
      <c r="F80" s="11"/>
      <c r="K80" s="11"/>
      <c r="L80" s="11"/>
      <c r="M80" s="11"/>
      <c r="N80" s="11"/>
      <c r="O80" s="11"/>
      <c r="P80" s="11"/>
      <c r="Q80" s="11"/>
      <c r="R80" s="11"/>
      <c r="T80" s="11"/>
      <c r="U80" s="11"/>
      <c r="V80" s="11"/>
      <c r="W80" s="11"/>
      <c r="X80" s="11"/>
      <c r="Y80" s="11"/>
      <c r="Z80" s="11"/>
      <c r="AA80" s="11"/>
      <c r="AB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">
      <c r="A81" s="11"/>
      <c r="B81" s="11"/>
      <c r="C81" s="11"/>
      <c r="D81" s="11"/>
      <c r="E81" s="11"/>
      <c r="F81" s="11"/>
      <c r="K81" s="11"/>
      <c r="L81" s="11"/>
      <c r="M81" s="11"/>
      <c r="N81" s="11"/>
      <c r="O81" s="11"/>
      <c r="P81" s="11"/>
      <c r="Q81" s="11"/>
      <c r="R81" s="11"/>
      <c r="T81" s="11"/>
      <c r="U81" s="11"/>
      <c r="V81" s="11"/>
      <c r="W81" s="11"/>
      <c r="X81" s="11"/>
      <c r="Y81" s="11"/>
      <c r="Z81" s="11"/>
      <c r="AA81" s="11"/>
      <c r="AB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">
      <c r="A82" s="11"/>
      <c r="B82" s="11"/>
      <c r="C82" s="11"/>
      <c r="D82" s="11"/>
      <c r="E82" s="11"/>
      <c r="F82" s="11"/>
      <c r="K82" s="11"/>
      <c r="L82" s="11"/>
      <c r="M82" s="11"/>
      <c r="N82" s="11"/>
      <c r="O82" s="11"/>
      <c r="P82" s="11"/>
      <c r="Q82" s="11"/>
      <c r="R82" s="11"/>
      <c r="T82" s="11"/>
      <c r="U82" s="11"/>
      <c r="V82" s="11"/>
      <c r="W82" s="11"/>
      <c r="X82" s="11"/>
      <c r="Y82" s="11"/>
      <c r="Z82" s="11"/>
      <c r="AA82" s="11"/>
      <c r="AB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">
      <c r="A83" s="11"/>
      <c r="B83" s="11"/>
      <c r="C83" s="11"/>
      <c r="D83" s="11"/>
      <c r="E83" s="11"/>
      <c r="F83" s="11"/>
      <c r="K83" s="11"/>
      <c r="L83" s="11"/>
      <c r="M83" s="11"/>
      <c r="N83" s="11"/>
      <c r="O83" s="11"/>
      <c r="P83" s="11"/>
      <c r="Q83" s="11"/>
      <c r="R83" s="11"/>
      <c r="T83" s="11"/>
      <c r="U83" s="11"/>
      <c r="V83" s="11"/>
      <c r="W83" s="11"/>
      <c r="X83" s="11"/>
      <c r="Y83" s="11"/>
      <c r="Z83" s="11"/>
      <c r="AA83" s="11"/>
      <c r="AB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">
      <c r="A84" s="11"/>
      <c r="B84" s="11"/>
      <c r="C84" s="11"/>
      <c r="D84" s="11"/>
      <c r="E84" s="11"/>
      <c r="F84" s="11"/>
      <c r="K84" s="11"/>
      <c r="L84" s="11"/>
      <c r="M84" s="11"/>
      <c r="N84" s="11"/>
      <c r="O84" s="11"/>
      <c r="P84" s="11"/>
      <c r="Q84" s="11"/>
      <c r="R84" s="11"/>
      <c r="T84" s="11"/>
      <c r="U84" s="11"/>
      <c r="V84" s="11"/>
      <c r="W84" s="11"/>
      <c r="X84" s="11"/>
      <c r="Y84" s="11"/>
      <c r="Z84" s="11"/>
      <c r="AA84" s="11"/>
      <c r="AB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">
      <c r="A85" s="11"/>
      <c r="B85" s="11"/>
      <c r="C85" s="11"/>
      <c r="D85" s="11"/>
      <c r="E85" s="11"/>
      <c r="F85" s="11"/>
      <c r="K85" s="11"/>
      <c r="L85" s="11"/>
      <c r="M85" s="11"/>
      <c r="N85" s="11"/>
      <c r="O85" s="11"/>
      <c r="P85" s="11"/>
      <c r="Q85" s="11"/>
      <c r="R85" s="11"/>
      <c r="T85" s="11"/>
      <c r="U85" s="11"/>
      <c r="V85" s="11"/>
      <c r="W85" s="11"/>
      <c r="X85" s="11"/>
      <c r="Y85" s="11"/>
      <c r="Z85" s="11"/>
      <c r="AA85" s="11"/>
      <c r="AB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">
      <c r="A86" s="11"/>
      <c r="B86" s="11"/>
      <c r="C86" s="11"/>
      <c r="D86" s="11"/>
      <c r="E86" s="11"/>
      <c r="F86" s="11"/>
      <c r="K86" s="11"/>
      <c r="L86" s="11"/>
      <c r="M86" s="11"/>
      <c r="N86" s="11"/>
      <c r="O86" s="11"/>
      <c r="P86" s="11"/>
      <c r="Q86" s="11"/>
      <c r="R86" s="11"/>
      <c r="T86" s="11"/>
      <c r="U86" s="11"/>
      <c r="V86" s="11"/>
      <c r="W86" s="11"/>
      <c r="X86" s="11"/>
      <c r="Y86" s="11"/>
      <c r="Z86" s="11"/>
      <c r="AA86" s="11"/>
      <c r="AB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">
      <c r="A87" s="11"/>
      <c r="B87" s="11"/>
      <c r="C87" s="11"/>
      <c r="D87" s="11"/>
      <c r="E87" s="11"/>
      <c r="F87" s="11"/>
      <c r="K87" s="11"/>
      <c r="L87" s="11"/>
      <c r="M87" s="11"/>
      <c r="N87" s="11"/>
      <c r="O87" s="11"/>
      <c r="P87" s="11"/>
      <c r="Q87" s="11"/>
      <c r="R87" s="11"/>
      <c r="T87" s="11"/>
      <c r="U87" s="11"/>
      <c r="V87" s="11"/>
      <c r="W87" s="11"/>
      <c r="X87" s="11"/>
      <c r="Y87" s="11"/>
      <c r="Z87" s="11"/>
      <c r="AA87" s="11"/>
      <c r="AB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">
      <c r="A88" s="11"/>
      <c r="B88" s="11"/>
      <c r="C88" s="11"/>
      <c r="D88" s="11"/>
      <c r="E88" s="11"/>
      <c r="F88" s="11"/>
      <c r="K88" s="11"/>
      <c r="L88" s="11"/>
      <c r="M88" s="11"/>
      <c r="N88" s="11"/>
      <c r="O88" s="11"/>
      <c r="P88" s="11"/>
      <c r="Q88" s="11"/>
      <c r="R88" s="11"/>
      <c r="T88" s="11"/>
      <c r="U88" s="11"/>
      <c r="V88" s="11"/>
      <c r="W88" s="11"/>
      <c r="X88" s="11"/>
      <c r="Y88" s="11"/>
      <c r="Z88" s="11"/>
      <c r="AA88" s="11"/>
      <c r="AB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2">
      <c r="A89" s="11"/>
      <c r="B89" s="11"/>
      <c r="C89" s="11"/>
      <c r="D89" s="11"/>
      <c r="E89" s="11"/>
      <c r="F89" s="11"/>
      <c r="K89" s="11"/>
      <c r="L89" s="11"/>
      <c r="M89" s="11"/>
      <c r="N89" s="11"/>
      <c r="O89" s="11"/>
      <c r="P89" s="11"/>
      <c r="Q89" s="11"/>
      <c r="R89" s="11"/>
      <c r="T89" s="11"/>
      <c r="U89" s="11"/>
      <c r="V89" s="11"/>
      <c r="W89" s="11"/>
      <c r="X89" s="11"/>
      <c r="Y89" s="11"/>
      <c r="Z89" s="11"/>
      <c r="AA89" s="11"/>
      <c r="AB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x14ac:dyDescent="0.2">
      <c r="A90" s="11"/>
      <c r="B90" s="11"/>
      <c r="C90" s="11"/>
      <c r="D90" s="11"/>
      <c r="E90" s="11"/>
      <c r="F90" s="11"/>
      <c r="K90" s="11"/>
      <c r="L90" s="11"/>
      <c r="M90" s="11"/>
      <c r="N90" s="11"/>
      <c r="O90" s="11"/>
      <c r="P90" s="11"/>
      <c r="Q90" s="11"/>
      <c r="R90" s="11"/>
      <c r="T90" s="11"/>
      <c r="U90" s="11"/>
      <c r="V90" s="11"/>
      <c r="W90" s="11"/>
      <c r="X90" s="11"/>
      <c r="Y90" s="11"/>
      <c r="Z90" s="11"/>
      <c r="AA90" s="11"/>
      <c r="AB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x14ac:dyDescent="0.2">
      <c r="A91" s="11"/>
      <c r="B91" s="11"/>
      <c r="C91" s="11"/>
      <c r="D91" s="11"/>
      <c r="E91" s="11"/>
      <c r="F91" s="11"/>
      <c r="K91" s="11"/>
      <c r="L91" s="11"/>
      <c r="M91" s="11"/>
      <c r="N91" s="11"/>
      <c r="O91" s="11"/>
      <c r="P91" s="11"/>
      <c r="Q91" s="11"/>
      <c r="R91" s="11"/>
      <c r="T91" s="11"/>
      <c r="U91" s="11"/>
      <c r="V91" s="11"/>
      <c r="W91" s="11"/>
      <c r="X91" s="11"/>
      <c r="Y91" s="11"/>
      <c r="Z91" s="11"/>
      <c r="AA91" s="11"/>
      <c r="AB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x14ac:dyDescent="0.2">
      <c r="A92" s="11"/>
      <c r="B92" s="11"/>
      <c r="C92" s="11"/>
      <c r="D92" s="11"/>
      <c r="E92" s="11"/>
      <c r="F92" s="11"/>
      <c r="K92" s="11"/>
      <c r="L92" s="11"/>
      <c r="M92" s="11"/>
      <c r="N92" s="11"/>
      <c r="O92" s="11"/>
      <c r="P92" s="11"/>
      <c r="Q92" s="11"/>
      <c r="R92" s="11"/>
      <c r="T92" s="11"/>
      <c r="U92" s="11"/>
      <c r="V92" s="11"/>
      <c r="W92" s="11"/>
      <c r="X92" s="11"/>
      <c r="Y92" s="11"/>
      <c r="Z92" s="11"/>
      <c r="AA92" s="11"/>
      <c r="AB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">
      <c r="A93" s="11"/>
      <c r="B93" s="11"/>
      <c r="C93" s="11"/>
      <c r="D93" s="11"/>
      <c r="E93" s="11"/>
      <c r="F93" s="11"/>
      <c r="K93" s="11"/>
      <c r="L93" s="11"/>
      <c r="M93" s="11"/>
      <c r="N93" s="11"/>
      <c r="O93" s="11"/>
      <c r="P93" s="11"/>
      <c r="Q93" s="11"/>
      <c r="R93" s="11"/>
      <c r="T93" s="11"/>
      <c r="U93" s="11"/>
      <c r="V93" s="11"/>
      <c r="W93" s="11"/>
      <c r="X93" s="11"/>
      <c r="Y93" s="11"/>
      <c r="Z93" s="11"/>
      <c r="AA93" s="11"/>
      <c r="AB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x14ac:dyDescent="0.2">
      <c r="A94" s="11"/>
      <c r="B94" s="11"/>
      <c r="C94" s="11"/>
      <c r="D94" s="11"/>
      <c r="E94" s="11"/>
      <c r="F94" s="11"/>
      <c r="K94" s="11"/>
      <c r="L94" s="11"/>
      <c r="M94" s="11"/>
      <c r="N94" s="11"/>
      <c r="O94" s="11"/>
      <c r="P94" s="11"/>
      <c r="Q94" s="11"/>
      <c r="R94" s="11"/>
      <c r="T94" s="11"/>
      <c r="U94" s="11"/>
      <c r="V94" s="11"/>
      <c r="W94" s="11"/>
      <c r="X94" s="11"/>
      <c r="Y94" s="11"/>
      <c r="Z94" s="11"/>
      <c r="AA94" s="11"/>
      <c r="AB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 x14ac:dyDescent="0.2">
      <c r="A95" s="11"/>
      <c r="B95" s="11"/>
      <c r="C95" s="11"/>
      <c r="D95" s="11"/>
      <c r="E95" s="11"/>
      <c r="F95" s="11"/>
      <c r="K95" s="11"/>
      <c r="L95" s="11"/>
      <c r="M95" s="11"/>
      <c r="N95" s="11"/>
      <c r="O95" s="11"/>
      <c r="P95" s="11"/>
      <c r="Q95" s="11"/>
      <c r="R95" s="11"/>
      <c r="T95" s="11"/>
      <c r="U95" s="11"/>
      <c r="V95" s="11"/>
      <c r="W95" s="11"/>
      <c r="X95" s="11"/>
      <c r="Y95" s="11"/>
      <c r="Z95" s="11"/>
      <c r="AA95" s="11"/>
      <c r="AB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 x14ac:dyDescent="0.2">
      <c r="A96" s="11"/>
      <c r="B96" s="11"/>
      <c r="C96" s="11"/>
      <c r="D96" s="11"/>
      <c r="E96" s="11"/>
      <c r="F96" s="11"/>
      <c r="K96" s="11"/>
      <c r="L96" s="11"/>
      <c r="M96" s="11"/>
      <c r="N96" s="11"/>
      <c r="O96" s="11"/>
      <c r="P96" s="11"/>
      <c r="Q96" s="11"/>
      <c r="R96" s="11"/>
      <c r="T96" s="11"/>
      <c r="U96" s="11"/>
      <c r="V96" s="11"/>
      <c r="W96" s="11"/>
      <c r="X96" s="11"/>
      <c r="Y96" s="11"/>
      <c r="Z96" s="11"/>
      <c r="AA96" s="11"/>
      <c r="AB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x14ac:dyDescent="0.2">
      <c r="A97" s="11"/>
      <c r="B97" s="11"/>
      <c r="C97" s="11"/>
      <c r="D97" s="11"/>
      <c r="E97" s="11"/>
      <c r="F97" s="11"/>
      <c r="K97" s="11"/>
      <c r="L97" s="11"/>
      <c r="M97" s="11"/>
      <c r="N97" s="11"/>
      <c r="O97" s="11"/>
      <c r="P97" s="11"/>
      <c r="Q97" s="11"/>
      <c r="R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x14ac:dyDescent="0.2">
      <c r="A98" s="11"/>
      <c r="B98" s="11"/>
      <c r="C98" s="11"/>
      <c r="D98" s="11"/>
      <c r="E98" s="11"/>
      <c r="F98" s="11"/>
      <c r="K98" s="11"/>
      <c r="L98" s="11"/>
      <c r="M98" s="11"/>
      <c r="N98" s="11"/>
      <c r="O98" s="11"/>
      <c r="P98" s="11"/>
      <c r="Q98" s="11"/>
      <c r="R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x14ac:dyDescent="0.2">
      <c r="K99" s="11"/>
      <c r="L99" s="11"/>
      <c r="M99" s="11"/>
      <c r="N99" s="11"/>
      <c r="O99" s="11"/>
      <c r="P99" s="11"/>
      <c r="Q99" s="11"/>
      <c r="R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x14ac:dyDescent="0.2">
      <c r="K100" s="11"/>
      <c r="L100" s="11"/>
      <c r="M100" s="11"/>
      <c r="N100" s="11"/>
      <c r="O100" s="11"/>
      <c r="P100" s="11"/>
      <c r="Q100" s="11"/>
      <c r="R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x14ac:dyDescent="0.2">
      <c r="K101" s="11"/>
      <c r="L101" s="11"/>
      <c r="M101" s="11"/>
      <c r="N101" s="11"/>
      <c r="O101" s="11"/>
      <c r="P101" s="11"/>
      <c r="Q101" s="11"/>
      <c r="R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x14ac:dyDescent="0.2">
      <c r="K102" s="11"/>
      <c r="L102" s="11"/>
      <c r="M102" s="11"/>
      <c r="N102" s="11"/>
      <c r="O102" s="11"/>
      <c r="P102" s="11"/>
      <c r="Q102" s="11"/>
      <c r="R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x14ac:dyDescent="0.2">
      <c r="K103" s="11"/>
      <c r="L103" s="11"/>
      <c r="M103" s="11"/>
      <c r="N103" s="11"/>
      <c r="O103" s="11"/>
      <c r="P103" s="11"/>
      <c r="Q103" s="11"/>
      <c r="R103" s="11"/>
      <c r="T103" s="11"/>
      <c r="U103" s="11"/>
      <c r="V103" s="11"/>
      <c r="W103" s="11"/>
      <c r="X103" s="11"/>
      <c r="Y103" s="11"/>
      <c r="Z103" s="11"/>
      <c r="AA103" s="11"/>
      <c r="AB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x14ac:dyDescent="0.2">
      <c r="K104" s="11"/>
      <c r="L104" s="11"/>
      <c r="M104" s="11"/>
      <c r="N104" s="11"/>
      <c r="O104" s="11"/>
      <c r="P104" s="11"/>
      <c r="Q104" s="11"/>
      <c r="R104" s="11"/>
      <c r="T104" s="11"/>
      <c r="U104" s="11"/>
      <c r="V104" s="11"/>
      <c r="W104" s="11"/>
      <c r="X104" s="11"/>
      <c r="Y104" s="11"/>
      <c r="Z104" s="11"/>
      <c r="AA104" s="11"/>
      <c r="AB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1:38" x14ac:dyDescent="0.2">
      <c r="K105" s="11"/>
      <c r="L105" s="11"/>
      <c r="M105" s="11"/>
      <c r="N105" s="11"/>
      <c r="O105" s="11"/>
      <c r="P105" s="11"/>
      <c r="Q105" s="11"/>
      <c r="R105" s="11"/>
      <c r="T105" s="11"/>
      <c r="U105" s="11"/>
      <c r="V105" s="11"/>
      <c r="W105" s="11"/>
      <c r="X105" s="11"/>
      <c r="Y105" s="11"/>
      <c r="Z105" s="11"/>
      <c r="AA105" s="11"/>
      <c r="AB105" s="11"/>
      <c r="AD105" s="11"/>
      <c r="AE105" s="11"/>
      <c r="AF105" s="11"/>
      <c r="AG105" s="11"/>
      <c r="AH105" s="11"/>
      <c r="AI105" s="11"/>
      <c r="AJ105" s="11"/>
      <c r="AK105" s="11"/>
      <c r="AL105" s="11"/>
    </row>
    <row r="106" spans="1:38" x14ac:dyDescent="0.2">
      <c r="K106" s="11"/>
      <c r="L106" s="11"/>
      <c r="M106" s="11"/>
      <c r="N106" s="11"/>
      <c r="O106" s="11"/>
      <c r="P106" s="11"/>
      <c r="Q106" s="11"/>
      <c r="R106" s="11"/>
      <c r="T106" s="11"/>
      <c r="U106" s="11"/>
      <c r="V106" s="11"/>
      <c r="W106" s="11"/>
      <c r="X106" s="11"/>
      <c r="Y106" s="11"/>
      <c r="Z106" s="11"/>
      <c r="AA106" s="11"/>
      <c r="AB106" s="11"/>
      <c r="AD106" s="11"/>
      <c r="AE106" s="11"/>
      <c r="AF106" s="11"/>
      <c r="AG106" s="11"/>
      <c r="AH106" s="11"/>
      <c r="AI106" s="11"/>
      <c r="AJ106" s="11"/>
      <c r="AK106" s="11"/>
      <c r="AL106" s="11"/>
    </row>
    <row r="107" spans="1:38" x14ac:dyDescent="0.2">
      <c r="K107" s="11"/>
      <c r="L107" s="11"/>
      <c r="M107" s="11"/>
      <c r="N107" s="11"/>
      <c r="O107" s="11"/>
      <c r="P107" s="11"/>
      <c r="Q107" s="11"/>
      <c r="R107" s="11"/>
      <c r="T107" s="11"/>
      <c r="U107" s="11"/>
      <c r="V107" s="11"/>
      <c r="W107" s="11"/>
      <c r="X107" s="11"/>
      <c r="Y107" s="11"/>
      <c r="Z107" s="11"/>
      <c r="AA107" s="11"/>
      <c r="AB107" s="11"/>
      <c r="AD107" s="11"/>
      <c r="AE107" s="11"/>
      <c r="AF107" s="11"/>
      <c r="AG107" s="11"/>
      <c r="AH107" s="11"/>
      <c r="AI107" s="11"/>
      <c r="AJ107" s="11"/>
      <c r="AK107" s="11"/>
      <c r="AL107" s="11"/>
    </row>
    <row r="108" spans="1:38" x14ac:dyDescent="0.2">
      <c r="K108" s="11"/>
      <c r="L108" s="11"/>
      <c r="M108" s="11"/>
      <c r="N108" s="11"/>
      <c r="O108" s="11"/>
      <c r="P108" s="11"/>
      <c r="Q108" s="11"/>
      <c r="R108" s="11"/>
      <c r="T108" s="11"/>
      <c r="U108" s="11"/>
      <c r="V108" s="11"/>
      <c r="W108" s="11"/>
      <c r="X108" s="11"/>
      <c r="Y108" s="11"/>
      <c r="Z108" s="11"/>
      <c r="AA108" s="11"/>
      <c r="AB108" s="11"/>
      <c r="AD108" s="11"/>
      <c r="AE108" s="11"/>
      <c r="AF108" s="11"/>
      <c r="AG108" s="11"/>
      <c r="AH108" s="11"/>
      <c r="AI108" s="11"/>
      <c r="AJ108" s="11"/>
      <c r="AK108" s="11"/>
      <c r="AL108" s="11"/>
    </row>
    <row r="109" spans="1:38" x14ac:dyDescent="0.2">
      <c r="K109" s="11"/>
      <c r="L109" s="11"/>
      <c r="M109" s="11"/>
      <c r="N109" s="11"/>
      <c r="O109" s="11"/>
      <c r="P109" s="11"/>
      <c r="Q109" s="11"/>
      <c r="R109" s="11"/>
      <c r="T109" s="11"/>
      <c r="U109" s="11"/>
      <c r="V109" s="11"/>
      <c r="W109" s="11"/>
      <c r="X109" s="11"/>
      <c r="Y109" s="11"/>
      <c r="Z109" s="11"/>
      <c r="AA109" s="11"/>
      <c r="AB109" s="11"/>
      <c r="AD109" s="11"/>
      <c r="AE109" s="11"/>
      <c r="AF109" s="11"/>
      <c r="AG109" s="11"/>
      <c r="AH109" s="11"/>
      <c r="AI109" s="11"/>
      <c r="AJ109" s="11"/>
      <c r="AK109" s="11"/>
      <c r="AL109" s="11"/>
    </row>
    <row r="110" spans="1:38" x14ac:dyDescent="0.2">
      <c r="K110" s="11"/>
      <c r="L110" s="11"/>
      <c r="M110" s="11"/>
      <c r="N110" s="11"/>
      <c r="O110" s="11"/>
      <c r="P110" s="11"/>
      <c r="Q110" s="11"/>
      <c r="R110" s="11"/>
      <c r="T110" s="11"/>
      <c r="U110" s="11"/>
      <c r="V110" s="11"/>
      <c r="W110" s="11"/>
      <c r="X110" s="11"/>
      <c r="Y110" s="11"/>
      <c r="Z110" s="11"/>
      <c r="AA110" s="11"/>
      <c r="AB110" s="11"/>
      <c r="AD110" s="11"/>
      <c r="AE110" s="11"/>
      <c r="AF110" s="11"/>
      <c r="AG110" s="11"/>
      <c r="AH110" s="11"/>
      <c r="AI110" s="11"/>
      <c r="AJ110" s="11"/>
      <c r="AK110" s="11"/>
      <c r="AL110" s="11"/>
    </row>
    <row r="111" spans="1:38" x14ac:dyDescent="0.2">
      <c r="K111" s="11"/>
      <c r="L111" s="11"/>
      <c r="M111" s="11"/>
      <c r="N111" s="11"/>
      <c r="O111" s="11"/>
      <c r="P111" s="11"/>
      <c r="Q111" s="11"/>
      <c r="R111" s="11"/>
      <c r="T111" s="11"/>
      <c r="U111" s="11"/>
      <c r="V111" s="11"/>
      <c r="W111" s="11"/>
      <c r="X111" s="11"/>
      <c r="Y111" s="11"/>
      <c r="Z111" s="11"/>
      <c r="AA111" s="11"/>
      <c r="AB111" s="11"/>
      <c r="AD111" s="11"/>
      <c r="AE111" s="11"/>
      <c r="AF111" s="11"/>
      <c r="AG111" s="11"/>
      <c r="AH111" s="11"/>
      <c r="AI111" s="11"/>
      <c r="AJ111" s="11"/>
      <c r="AK111" s="11"/>
      <c r="AL111" s="11"/>
    </row>
    <row r="112" spans="1:38" x14ac:dyDescent="0.2">
      <c r="K112" s="11"/>
      <c r="L112" s="11"/>
      <c r="M112" s="11"/>
      <c r="N112" s="11"/>
      <c r="O112" s="11"/>
      <c r="P112" s="11"/>
      <c r="Q112" s="11"/>
      <c r="R112" s="11"/>
      <c r="T112" s="11"/>
      <c r="U112" s="11"/>
      <c r="V112" s="11"/>
      <c r="W112" s="11"/>
      <c r="X112" s="11"/>
      <c r="Y112" s="11"/>
      <c r="Z112" s="11"/>
      <c r="AA112" s="11"/>
      <c r="AB112" s="11"/>
      <c r="AD112" s="11"/>
      <c r="AE112" s="11"/>
      <c r="AF112" s="11"/>
      <c r="AG112" s="11"/>
      <c r="AH112" s="11"/>
      <c r="AI112" s="11"/>
      <c r="AJ112" s="11"/>
      <c r="AK112" s="11"/>
      <c r="AL112" s="11"/>
    </row>
    <row r="113" spans="11:38" x14ac:dyDescent="0.2">
      <c r="K113" s="11"/>
      <c r="L113" s="11"/>
      <c r="M113" s="11"/>
      <c r="N113" s="11"/>
      <c r="O113" s="11"/>
      <c r="P113" s="11"/>
      <c r="Q113" s="11"/>
      <c r="R113" s="11"/>
      <c r="T113" s="11"/>
      <c r="U113" s="11"/>
      <c r="V113" s="11"/>
      <c r="W113" s="11"/>
      <c r="X113" s="11"/>
      <c r="Y113" s="11"/>
      <c r="Z113" s="11"/>
      <c r="AA113" s="11"/>
      <c r="AB113" s="11"/>
      <c r="AD113" s="11"/>
      <c r="AE113" s="11"/>
      <c r="AF113" s="11"/>
      <c r="AG113" s="11"/>
      <c r="AH113" s="11"/>
      <c r="AI113" s="11"/>
      <c r="AJ113" s="11"/>
      <c r="AK113" s="11"/>
      <c r="AL113" s="11"/>
    </row>
    <row r="114" spans="11:38" x14ac:dyDescent="0.2">
      <c r="K114" s="11"/>
      <c r="L114" s="11"/>
      <c r="M114" s="11"/>
      <c r="N114" s="11"/>
      <c r="O114" s="11"/>
      <c r="P114" s="11"/>
      <c r="Q114" s="11"/>
      <c r="R114" s="11"/>
      <c r="T114" s="11"/>
      <c r="U114" s="11"/>
      <c r="V114" s="11"/>
      <c r="W114" s="11"/>
      <c r="X114" s="11"/>
      <c r="Y114" s="11"/>
      <c r="Z114" s="11"/>
      <c r="AA114" s="11"/>
      <c r="AB114" s="11"/>
      <c r="AD114" s="11"/>
      <c r="AE114" s="11"/>
      <c r="AF114" s="11"/>
      <c r="AG114" s="11"/>
      <c r="AH114" s="11"/>
      <c r="AI114" s="11"/>
      <c r="AJ114" s="11"/>
      <c r="AK114" s="11"/>
      <c r="AL114" s="11"/>
    </row>
    <row r="115" spans="11:38" x14ac:dyDescent="0.2">
      <c r="K115" s="11"/>
      <c r="L115" s="11"/>
      <c r="M115" s="11"/>
      <c r="N115" s="11"/>
      <c r="O115" s="11"/>
      <c r="P115" s="11"/>
      <c r="Q115" s="11"/>
      <c r="R115" s="11"/>
      <c r="T115" s="11"/>
      <c r="U115" s="11"/>
      <c r="V115" s="11"/>
      <c r="W115" s="11"/>
      <c r="X115" s="11"/>
      <c r="Y115" s="11"/>
      <c r="Z115" s="11"/>
      <c r="AA115" s="11"/>
      <c r="AB115" s="11"/>
      <c r="AD115" s="11"/>
      <c r="AE115" s="11"/>
      <c r="AF115" s="11"/>
      <c r="AG115" s="11"/>
      <c r="AH115" s="11"/>
      <c r="AI115" s="11"/>
      <c r="AJ115" s="11"/>
      <c r="AK115" s="11"/>
      <c r="AL115" s="11"/>
    </row>
    <row r="116" spans="11:38" x14ac:dyDescent="0.2">
      <c r="K116" s="11"/>
      <c r="L116" s="11"/>
      <c r="M116" s="11"/>
      <c r="N116" s="11"/>
      <c r="O116" s="11"/>
      <c r="P116" s="11"/>
      <c r="Q116" s="11"/>
      <c r="R116" s="11"/>
      <c r="T116" s="11"/>
      <c r="U116" s="11"/>
      <c r="V116" s="11"/>
      <c r="W116" s="11"/>
      <c r="X116" s="11"/>
      <c r="Y116" s="11"/>
      <c r="Z116" s="11"/>
      <c r="AA116" s="11"/>
      <c r="AB116" s="11"/>
      <c r="AD116" s="11"/>
      <c r="AE116" s="11"/>
      <c r="AF116" s="11"/>
      <c r="AG116" s="11"/>
      <c r="AH116" s="11"/>
      <c r="AI116" s="11"/>
      <c r="AJ116" s="11"/>
      <c r="AK116" s="11"/>
      <c r="AL116" s="11"/>
    </row>
    <row r="117" spans="11:38" x14ac:dyDescent="0.2">
      <c r="K117" s="11"/>
      <c r="L117" s="11"/>
      <c r="M117" s="11"/>
      <c r="N117" s="11"/>
      <c r="O117" s="11"/>
      <c r="P117" s="11"/>
      <c r="Q117" s="11"/>
      <c r="R117" s="11"/>
      <c r="T117" s="11"/>
      <c r="U117" s="11"/>
      <c r="V117" s="11"/>
      <c r="W117" s="11"/>
      <c r="X117" s="11"/>
      <c r="Y117" s="11"/>
      <c r="Z117" s="11"/>
      <c r="AA117" s="11"/>
      <c r="AB117" s="11"/>
      <c r="AD117" s="11"/>
      <c r="AE117" s="11"/>
      <c r="AF117" s="11"/>
      <c r="AG117" s="11"/>
      <c r="AH117" s="11"/>
      <c r="AI117" s="11"/>
      <c r="AJ117" s="11"/>
      <c r="AK117" s="11"/>
      <c r="AL117" s="11"/>
    </row>
    <row r="118" spans="11:38" x14ac:dyDescent="0.2">
      <c r="K118" s="11"/>
      <c r="L118" s="11"/>
      <c r="M118" s="11"/>
      <c r="N118" s="11"/>
      <c r="O118" s="11"/>
      <c r="P118" s="11"/>
      <c r="Q118" s="11"/>
      <c r="R118" s="11"/>
      <c r="T118" s="11"/>
      <c r="U118" s="11"/>
      <c r="V118" s="11"/>
      <c r="W118" s="11"/>
      <c r="X118" s="11"/>
      <c r="Y118" s="11"/>
      <c r="Z118" s="11"/>
      <c r="AA118" s="11"/>
      <c r="AB118" s="11"/>
      <c r="AD118" s="11"/>
      <c r="AE118" s="11"/>
      <c r="AF118" s="11"/>
      <c r="AG118" s="11"/>
      <c r="AH118" s="11"/>
      <c r="AI118" s="11"/>
      <c r="AJ118" s="11"/>
      <c r="AK118" s="11"/>
      <c r="AL118" s="11"/>
    </row>
    <row r="119" spans="11:38" x14ac:dyDescent="0.2">
      <c r="K119" s="11"/>
      <c r="L119" s="11"/>
      <c r="M119" s="11"/>
      <c r="N119" s="11"/>
      <c r="O119" s="11"/>
      <c r="P119" s="11"/>
      <c r="Q119" s="11"/>
      <c r="R119" s="11"/>
      <c r="T119" s="11"/>
      <c r="U119" s="11"/>
      <c r="V119" s="11"/>
      <c r="W119" s="11"/>
      <c r="X119" s="11"/>
      <c r="Y119" s="11"/>
      <c r="Z119" s="11"/>
      <c r="AA119" s="11"/>
      <c r="AB119" s="11"/>
      <c r="AD119" s="11"/>
      <c r="AE119" s="11"/>
      <c r="AF119" s="11"/>
      <c r="AG119" s="11"/>
      <c r="AH119" s="11"/>
      <c r="AI119" s="11"/>
      <c r="AJ119" s="11"/>
      <c r="AK119" s="11"/>
      <c r="AL119" s="11"/>
    </row>
    <row r="120" spans="11:38" x14ac:dyDescent="0.2">
      <c r="K120" s="11"/>
      <c r="L120" s="11"/>
      <c r="M120" s="11"/>
      <c r="N120" s="11"/>
      <c r="O120" s="11"/>
      <c r="P120" s="11"/>
      <c r="Q120" s="11"/>
      <c r="R120" s="11"/>
      <c r="T120" s="11"/>
      <c r="U120" s="11"/>
      <c r="V120" s="11"/>
      <c r="W120" s="11"/>
      <c r="X120" s="11"/>
      <c r="Y120" s="11"/>
      <c r="Z120" s="11"/>
      <c r="AA120" s="11"/>
      <c r="AB120" s="11"/>
      <c r="AD120" s="11"/>
      <c r="AE120" s="11"/>
      <c r="AF120" s="11"/>
      <c r="AG120" s="11"/>
      <c r="AH120" s="11"/>
      <c r="AI120" s="11"/>
      <c r="AJ120" s="11"/>
      <c r="AK120" s="11"/>
      <c r="AL120" s="11"/>
    </row>
    <row r="121" spans="11:38" x14ac:dyDescent="0.2">
      <c r="K121" s="11"/>
      <c r="L121" s="11"/>
      <c r="M121" s="11"/>
      <c r="N121" s="11"/>
      <c r="O121" s="11"/>
      <c r="P121" s="11"/>
      <c r="Q121" s="11"/>
      <c r="R121" s="11"/>
      <c r="T121" s="11"/>
      <c r="U121" s="11"/>
      <c r="V121" s="11"/>
      <c r="W121" s="11"/>
      <c r="X121" s="11"/>
      <c r="Y121" s="11"/>
      <c r="Z121" s="11"/>
      <c r="AA121" s="11"/>
      <c r="AB121" s="11"/>
      <c r="AD121" s="11"/>
      <c r="AE121" s="11"/>
      <c r="AF121" s="11"/>
      <c r="AG121" s="11"/>
      <c r="AH121" s="11"/>
      <c r="AI121" s="11"/>
      <c r="AJ121" s="11"/>
      <c r="AK121" s="11"/>
      <c r="AL121" s="11"/>
    </row>
    <row r="122" spans="11:38" x14ac:dyDescent="0.2">
      <c r="K122" s="11"/>
      <c r="L122" s="11"/>
      <c r="M122" s="11"/>
      <c r="N122" s="11"/>
      <c r="O122" s="11"/>
      <c r="P122" s="11"/>
      <c r="Q122" s="11"/>
      <c r="R122" s="11"/>
      <c r="T122" s="11"/>
      <c r="U122" s="11"/>
      <c r="V122" s="11"/>
      <c r="W122" s="11"/>
      <c r="X122" s="11"/>
      <c r="Y122" s="11"/>
      <c r="Z122" s="11"/>
      <c r="AA122" s="11"/>
      <c r="AB122" s="11"/>
      <c r="AD122" s="11"/>
      <c r="AE122" s="11"/>
      <c r="AF122" s="11"/>
      <c r="AG122" s="11"/>
      <c r="AH122" s="11"/>
      <c r="AI122" s="11"/>
      <c r="AJ122" s="11"/>
      <c r="AK122" s="11"/>
      <c r="AL122" s="11"/>
    </row>
    <row r="123" spans="11:38" x14ac:dyDescent="0.2">
      <c r="K123" s="11"/>
      <c r="L123" s="11"/>
      <c r="M123" s="11"/>
      <c r="N123" s="11"/>
      <c r="O123" s="11"/>
      <c r="P123" s="11"/>
      <c r="Q123" s="11"/>
      <c r="R123" s="11"/>
      <c r="T123" s="11"/>
      <c r="U123" s="11"/>
      <c r="V123" s="11"/>
      <c r="W123" s="11"/>
      <c r="X123" s="11"/>
      <c r="Y123" s="11"/>
      <c r="Z123" s="11"/>
      <c r="AA123" s="11"/>
      <c r="AB123" s="11"/>
      <c r="AD123" s="11"/>
      <c r="AE123" s="11"/>
      <c r="AF123" s="11"/>
      <c r="AG123" s="11"/>
      <c r="AH123" s="11"/>
      <c r="AI123" s="11"/>
      <c r="AJ123" s="11"/>
      <c r="AK123" s="11"/>
      <c r="AL123" s="11"/>
    </row>
    <row r="124" spans="11:38" x14ac:dyDescent="0.2">
      <c r="K124" s="11"/>
      <c r="L124" s="11"/>
      <c r="M124" s="11"/>
      <c r="N124" s="11"/>
      <c r="O124" s="11"/>
      <c r="P124" s="11"/>
      <c r="Q124" s="11"/>
      <c r="R124" s="11"/>
      <c r="T124" s="11"/>
      <c r="U124" s="11"/>
      <c r="V124" s="11"/>
      <c r="W124" s="11"/>
      <c r="X124" s="11"/>
      <c r="Y124" s="11"/>
      <c r="Z124" s="11"/>
      <c r="AA124" s="11"/>
      <c r="AB124" s="11"/>
      <c r="AD124" s="11"/>
      <c r="AE124" s="11"/>
      <c r="AF124" s="11"/>
      <c r="AG124" s="11"/>
      <c r="AH124" s="11"/>
      <c r="AI124" s="11"/>
      <c r="AJ124" s="11"/>
      <c r="AK124" s="11"/>
      <c r="AL124" s="11"/>
    </row>
    <row r="125" spans="11:38" x14ac:dyDescent="0.2">
      <c r="K125" s="11"/>
      <c r="L125" s="11"/>
      <c r="M125" s="11"/>
      <c r="N125" s="11"/>
      <c r="O125" s="11"/>
      <c r="P125" s="11"/>
      <c r="Q125" s="11"/>
      <c r="R125" s="11"/>
      <c r="T125" s="11"/>
      <c r="U125" s="11"/>
      <c r="V125" s="11"/>
      <c r="W125" s="11"/>
      <c r="X125" s="11"/>
      <c r="Y125" s="11"/>
      <c r="Z125" s="11"/>
      <c r="AA125" s="11"/>
      <c r="AB125" s="11"/>
      <c r="AD125" s="11"/>
      <c r="AE125" s="11"/>
      <c r="AF125" s="11"/>
      <c r="AG125" s="11"/>
      <c r="AH125" s="11"/>
      <c r="AI125" s="11"/>
      <c r="AJ125" s="11"/>
      <c r="AK125" s="11"/>
      <c r="AL125" s="11"/>
    </row>
    <row r="126" spans="11:38" x14ac:dyDescent="0.2">
      <c r="K126" s="11"/>
      <c r="L126" s="11"/>
      <c r="M126" s="11"/>
      <c r="N126" s="11"/>
      <c r="O126" s="11"/>
      <c r="P126" s="11"/>
      <c r="Q126" s="11"/>
      <c r="R126" s="11"/>
      <c r="T126" s="11"/>
      <c r="U126" s="11"/>
      <c r="V126" s="11"/>
      <c r="W126" s="11"/>
      <c r="X126" s="11"/>
      <c r="Y126" s="11"/>
      <c r="Z126" s="11"/>
      <c r="AA126" s="11"/>
      <c r="AB126" s="11"/>
      <c r="AD126" s="11"/>
      <c r="AE126" s="11"/>
      <c r="AF126" s="11"/>
      <c r="AG126" s="11"/>
      <c r="AH126" s="11"/>
      <c r="AI126" s="11"/>
      <c r="AJ126" s="11"/>
      <c r="AK126" s="11"/>
      <c r="AL126" s="11"/>
    </row>
    <row r="127" spans="11:38" x14ac:dyDescent="0.2">
      <c r="K127" s="11"/>
      <c r="L127" s="11"/>
      <c r="M127" s="11"/>
      <c r="N127" s="11"/>
      <c r="O127" s="11"/>
      <c r="P127" s="11"/>
      <c r="Q127" s="11"/>
      <c r="R127" s="11"/>
      <c r="T127" s="11"/>
      <c r="U127" s="11"/>
      <c r="V127" s="11"/>
      <c r="W127" s="11"/>
      <c r="X127" s="11"/>
      <c r="Y127" s="11"/>
      <c r="Z127" s="11"/>
      <c r="AA127" s="11"/>
      <c r="AB127" s="11"/>
      <c r="AD127" s="11"/>
      <c r="AE127" s="11"/>
      <c r="AF127" s="11"/>
      <c r="AG127" s="11"/>
      <c r="AH127" s="11"/>
      <c r="AI127" s="11"/>
      <c r="AJ127" s="11"/>
      <c r="AK127" s="11"/>
      <c r="AL127" s="11"/>
    </row>
    <row r="128" spans="11:38" x14ac:dyDescent="0.2">
      <c r="K128" s="11"/>
      <c r="L128" s="11"/>
      <c r="M128" s="11"/>
      <c r="N128" s="11"/>
      <c r="O128" s="11"/>
      <c r="P128" s="11"/>
      <c r="Q128" s="11"/>
      <c r="R128" s="11"/>
      <c r="T128" s="11"/>
      <c r="U128" s="11"/>
      <c r="V128" s="11"/>
      <c r="W128" s="11"/>
      <c r="X128" s="11"/>
      <c r="Y128" s="11"/>
      <c r="Z128" s="11"/>
      <c r="AA128" s="11"/>
      <c r="AB128" s="11"/>
      <c r="AD128" s="11"/>
      <c r="AE128" s="11"/>
      <c r="AF128" s="11"/>
      <c r="AG128" s="11"/>
      <c r="AH128" s="11"/>
      <c r="AI128" s="11"/>
      <c r="AJ128" s="11"/>
      <c r="AK128" s="11"/>
      <c r="AL128" s="11"/>
    </row>
    <row r="129" spans="11:38" x14ac:dyDescent="0.2">
      <c r="K129" s="11"/>
      <c r="L129" s="11"/>
      <c r="M129" s="11"/>
      <c r="N129" s="11"/>
      <c r="O129" s="11"/>
      <c r="P129" s="11"/>
      <c r="Q129" s="11"/>
      <c r="R129" s="11"/>
      <c r="T129" s="11"/>
      <c r="U129" s="11"/>
      <c r="V129" s="11"/>
      <c r="W129" s="11"/>
      <c r="X129" s="11"/>
      <c r="Y129" s="11"/>
      <c r="Z129" s="11"/>
      <c r="AA129" s="11"/>
      <c r="AB129" s="11"/>
      <c r="AD129" s="11"/>
      <c r="AE129" s="11"/>
      <c r="AF129" s="11"/>
      <c r="AG129" s="11"/>
      <c r="AH129" s="11"/>
      <c r="AI129" s="11"/>
      <c r="AJ129" s="11"/>
      <c r="AK129" s="11"/>
      <c r="AL129" s="11"/>
    </row>
    <row r="130" spans="11:38" x14ac:dyDescent="0.2">
      <c r="K130" s="11"/>
      <c r="L130" s="11"/>
      <c r="M130" s="11"/>
      <c r="N130" s="11"/>
      <c r="O130" s="11"/>
      <c r="P130" s="11"/>
      <c r="Q130" s="11"/>
      <c r="R130" s="11"/>
      <c r="T130" s="11"/>
      <c r="U130" s="11"/>
      <c r="V130" s="11"/>
      <c r="W130" s="11"/>
      <c r="X130" s="11"/>
      <c r="Y130" s="11"/>
      <c r="Z130" s="11"/>
      <c r="AA130" s="11"/>
      <c r="AB130" s="11"/>
      <c r="AD130" s="11"/>
      <c r="AE130" s="11"/>
      <c r="AF130" s="11"/>
      <c r="AG130" s="11"/>
      <c r="AH130" s="11"/>
      <c r="AI130" s="11"/>
      <c r="AJ130" s="11"/>
      <c r="AK130" s="11"/>
      <c r="AL130" s="11"/>
    </row>
    <row r="131" spans="11:38" x14ac:dyDescent="0.2">
      <c r="K131" s="11"/>
      <c r="L131" s="11"/>
      <c r="M131" s="11"/>
      <c r="N131" s="11"/>
      <c r="O131" s="11"/>
      <c r="P131" s="11"/>
      <c r="Q131" s="11"/>
      <c r="R131" s="11"/>
      <c r="T131" s="11"/>
      <c r="U131" s="11"/>
      <c r="V131" s="11"/>
      <c r="W131" s="11"/>
      <c r="X131" s="11"/>
      <c r="Y131" s="11"/>
      <c r="Z131" s="11"/>
      <c r="AA131" s="11"/>
      <c r="AB131" s="11"/>
      <c r="AD131" s="11"/>
      <c r="AE131" s="11"/>
      <c r="AF131" s="11"/>
      <c r="AG131" s="11"/>
      <c r="AH131" s="11"/>
      <c r="AI131" s="11"/>
      <c r="AJ131" s="11"/>
      <c r="AK131" s="11"/>
      <c r="AL131" s="11"/>
    </row>
    <row r="132" spans="11:38" x14ac:dyDescent="0.2">
      <c r="K132" s="11"/>
      <c r="L132" s="11"/>
      <c r="M132" s="11"/>
      <c r="N132" s="11"/>
      <c r="O132" s="11"/>
      <c r="P132" s="11"/>
      <c r="Q132" s="11"/>
      <c r="R132" s="11"/>
      <c r="T132" s="11"/>
      <c r="U132" s="11"/>
      <c r="V132" s="11"/>
      <c r="W132" s="11"/>
      <c r="X132" s="11"/>
      <c r="Y132" s="11"/>
      <c r="Z132" s="11"/>
      <c r="AA132" s="11"/>
      <c r="AB132" s="11"/>
      <c r="AD132" s="11"/>
      <c r="AE132" s="11"/>
      <c r="AF132" s="11"/>
      <c r="AG132" s="11"/>
      <c r="AH132" s="11"/>
      <c r="AI132" s="11"/>
      <c r="AJ132" s="11"/>
      <c r="AK132" s="11"/>
      <c r="AL132" s="11"/>
    </row>
    <row r="133" spans="11:38" x14ac:dyDescent="0.2">
      <c r="K133" s="11"/>
      <c r="L133" s="11"/>
      <c r="M133" s="11"/>
      <c r="N133" s="11"/>
      <c r="O133" s="11"/>
      <c r="P133" s="11"/>
      <c r="Q133" s="11"/>
      <c r="R133" s="11"/>
      <c r="T133" s="11"/>
      <c r="U133" s="11"/>
      <c r="V133" s="11"/>
      <c r="W133" s="11"/>
      <c r="X133" s="11"/>
      <c r="Y133" s="11"/>
      <c r="Z133" s="11"/>
      <c r="AA133" s="11"/>
      <c r="AB133" s="11"/>
      <c r="AD133" s="11"/>
      <c r="AE133" s="11"/>
      <c r="AF133" s="11"/>
      <c r="AG133" s="11"/>
      <c r="AH133" s="11"/>
      <c r="AI133" s="11"/>
      <c r="AJ133" s="11"/>
      <c r="AK133" s="11"/>
      <c r="AL133" s="11"/>
    </row>
    <row r="134" spans="11:38" x14ac:dyDescent="0.2">
      <c r="K134" s="11"/>
      <c r="L134" s="11"/>
      <c r="M134" s="11"/>
      <c r="N134" s="11"/>
      <c r="O134" s="11"/>
      <c r="P134" s="11"/>
      <c r="Q134" s="11"/>
      <c r="R134" s="11"/>
      <c r="T134" s="11"/>
      <c r="U134" s="11"/>
      <c r="V134" s="11"/>
      <c r="W134" s="11"/>
      <c r="X134" s="11"/>
      <c r="Y134" s="11"/>
      <c r="Z134" s="11"/>
      <c r="AA134" s="11"/>
      <c r="AB134" s="11"/>
      <c r="AD134" s="11"/>
      <c r="AE134" s="11"/>
      <c r="AF134" s="11"/>
      <c r="AG134" s="11"/>
      <c r="AH134" s="11"/>
      <c r="AI134" s="11"/>
      <c r="AJ134" s="11"/>
      <c r="AK134" s="11"/>
      <c r="AL134" s="11"/>
    </row>
    <row r="135" spans="11:38" x14ac:dyDescent="0.2">
      <c r="K135" s="11"/>
      <c r="L135" s="11"/>
      <c r="M135" s="11"/>
      <c r="N135" s="11"/>
      <c r="O135" s="11"/>
      <c r="P135" s="11"/>
      <c r="Q135" s="11"/>
      <c r="R135" s="11"/>
      <c r="T135" s="11"/>
      <c r="U135" s="11"/>
      <c r="V135" s="11"/>
      <c r="W135" s="11"/>
      <c r="X135" s="11"/>
      <c r="Y135" s="11"/>
      <c r="Z135" s="11"/>
      <c r="AA135" s="11"/>
      <c r="AB135" s="11"/>
      <c r="AD135" s="11"/>
      <c r="AE135" s="11"/>
      <c r="AF135" s="11"/>
      <c r="AG135" s="11"/>
      <c r="AH135" s="11"/>
      <c r="AI135" s="11"/>
      <c r="AJ135" s="11"/>
      <c r="AK135" s="11"/>
      <c r="AL135" s="11"/>
    </row>
    <row r="136" spans="11:38" x14ac:dyDescent="0.2">
      <c r="K136" s="11"/>
      <c r="L136" s="11"/>
      <c r="M136" s="11"/>
      <c r="N136" s="11"/>
      <c r="O136" s="11"/>
      <c r="P136" s="11"/>
      <c r="Q136" s="11"/>
      <c r="R136" s="11"/>
      <c r="T136" s="11"/>
      <c r="U136" s="11"/>
      <c r="V136" s="11"/>
      <c r="W136" s="11"/>
      <c r="X136" s="11"/>
      <c r="Y136" s="11"/>
      <c r="Z136" s="11"/>
      <c r="AA136" s="11"/>
      <c r="AB136" s="11"/>
      <c r="AD136" s="11"/>
      <c r="AE136" s="11"/>
      <c r="AF136" s="11"/>
      <c r="AG136" s="11"/>
      <c r="AH136" s="11"/>
      <c r="AI136" s="11"/>
      <c r="AJ136" s="11"/>
      <c r="AK136" s="11"/>
      <c r="AL136" s="11"/>
    </row>
    <row r="137" spans="11:38" x14ac:dyDescent="0.2">
      <c r="K137" s="11"/>
      <c r="L137" s="11"/>
      <c r="M137" s="11"/>
      <c r="N137" s="11"/>
      <c r="O137" s="11"/>
      <c r="P137" s="11"/>
      <c r="Q137" s="11"/>
      <c r="R137" s="11"/>
      <c r="T137" s="11"/>
      <c r="U137" s="11"/>
      <c r="V137" s="11"/>
      <c r="W137" s="11"/>
      <c r="X137" s="11"/>
      <c r="Y137" s="11"/>
      <c r="Z137" s="11"/>
      <c r="AA137" s="11"/>
      <c r="AB137" s="11"/>
      <c r="AD137" s="11"/>
      <c r="AE137" s="11"/>
      <c r="AF137" s="11"/>
      <c r="AG137" s="11"/>
      <c r="AH137" s="11"/>
      <c r="AI137" s="11"/>
      <c r="AJ137" s="11"/>
      <c r="AK137" s="11"/>
      <c r="AL137" s="11"/>
    </row>
    <row r="138" spans="11:38" x14ac:dyDescent="0.2">
      <c r="K138" s="11"/>
      <c r="L138" s="11"/>
      <c r="M138" s="11"/>
      <c r="N138" s="11"/>
      <c r="O138" s="11"/>
      <c r="P138" s="11"/>
      <c r="Q138" s="11"/>
      <c r="R138" s="11"/>
      <c r="T138" s="11"/>
      <c r="U138" s="11"/>
      <c r="V138" s="11"/>
      <c r="W138" s="11"/>
      <c r="X138" s="11"/>
      <c r="Y138" s="11"/>
      <c r="Z138" s="11"/>
      <c r="AA138" s="11"/>
      <c r="AB138" s="11"/>
      <c r="AD138" s="11"/>
      <c r="AE138" s="11"/>
      <c r="AF138" s="11"/>
      <c r="AG138" s="11"/>
      <c r="AH138" s="11"/>
      <c r="AI138" s="11"/>
      <c r="AJ138" s="11"/>
      <c r="AK138" s="11"/>
      <c r="AL138" s="11"/>
    </row>
    <row r="139" spans="11:38" x14ac:dyDescent="0.2">
      <c r="K139" s="11"/>
      <c r="L139" s="11"/>
      <c r="M139" s="11"/>
      <c r="N139" s="11"/>
      <c r="O139" s="11"/>
      <c r="P139" s="11"/>
      <c r="Q139" s="11"/>
      <c r="R139" s="11"/>
      <c r="T139" s="11"/>
      <c r="U139" s="11"/>
      <c r="V139" s="11"/>
      <c r="W139" s="11"/>
      <c r="X139" s="11"/>
      <c r="Y139" s="11"/>
      <c r="Z139" s="11"/>
      <c r="AA139" s="11"/>
      <c r="AB139" s="11"/>
      <c r="AD139" s="11"/>
      <c r="AE139" s="11"/>
      <c r="AF139" s="11"/>
      <c r="AG139" s="11"/>
      <c r="AH139" s="11"/>
      <c r="AI139" s="11"/>
      <c r="AJ139" s="11"/>
      <c r="AK139" s="11"/>
      <c r="AL139" s="11"/>
    </row>
    <row r="140" spans="11:38" x14ac:dyDescent="0.2">
      <c r="K140" s="11"/>
      <c r="L140" s="11"/>
      <c r="M140" s="11"/>
      <c r="N140" s="11"/>
      <c r="O140" s="11"/>
      <c r="P140" s="11"/>
      <c r="Q140" s="11"/>
      <c r="R140" s="11"/>
      <c r="T140" s="11"/>
      <c r="U140" s="11"/>
      <c r="V140" s="11"/>
      <c r="W140" s="11"/>
      <c r="X140" s="11"/>
      <c r="Y140" s="11"/>
      <c r="Z140" s="11"/>
      <c r="AA140" s="11"/>
      <c r="AB140" s="11"/>
      <c r="AD140" s="11"/>
      <c r="AE140" s="11"/>
      <c r="AF140" s="11"/>
      <c r="AG140" s="11"/>
      <c r="AH140" s="11"/>
      <c r="AI140" s="11"/>
      <c r="AJ140" s="11"/>
      <c r="AK140" s="11"/>
      <c r="AL140" s="11"/>
    </row>
    <row r="141" spans="11:38" x14ac:dyDescent="0.2">
      <c r="K141" s="11"/>
      <c r="L141" s="11"/>
      <c r="M141" s="11"/>
      <c r="N141" s="11"/>
      <c r="O141" s="11"/>
      <c r="P141" s="11"/>
      <c r="Q141" s="11"/>
      <c r="R141" s="11"/>
      <c r="T141" s="11"/>
      <c r="U141" s="11"/>
      <c r="V141" s="11"/>
      <c r="W141" s="11"/>
      <c r="X141" s="11"/>
      <c r="Y141" s="11"/>
      <c r="Z141" s="11"/>
      <c r="AA141" s="11"/>
      <c r="AB141" s="11"/>
      <c r="AD141" s="11"/>
      <c r="AE141" s="11"/>
      <c r="AF141" s="11"/>
      <c r="AG141" s="11"/>
      <c r="AH141" s="11"/>
      <c r="AI141" s="11"/>
      <c r="AJ141" s="11"/>
      <c r="AK141" s="11"/>
      <c r="AL141" s="11"/>
    </row>
    <row r="142" spans="11:38" x14ac:dyDescent="0.2">
      <c r="K142" s="11"/>
      <c r="L142" s="11"/>
      <c r="M142" s="11"/>
      <c r="N142" s="11"/>
      <c r="O142" s="11"/>
      <c r="P142" s="11"/>
      <c r="Q142" s="11"/>
      <c r="R142" s="11"/>
      <c r="T142" s="11"/>
      <c r="U142" s="11"/>
      <c r="V142" s="11"/>
      <c r="W142" s="11"/>
      <c r="X142" s="11"/>
      <c r="Y142" s="11"/>
      <c r="Z142" s="11"/>
      <c r="AA142" s="11"/>
      <c r="AB142" s="11"/>
      <c r="AD142" s="11"/>
      <c r="AE142" s="11"/>
      <c r="AF142" s="11"/>
      <c r="AG142" s="11"/>
      <c r="AH142" s="11"/>
      <c r="AI142" s="11"/>
      <c r="AJ142" s="11"/>
      <c r="AK142" s="11"/>
      <c r="AL142" s="11"/>
    </row>
    <row r="143" spans="11:38" x14ac:dyDescent="0.2">
      <c r="K143" s="11"/>
      <c r="L143" s="11"/>
      <c r="M143" s="11"/>
      <c r="N143" s="11"/>
      <c r="O143" s="11"/>
      <c r="P143" s="11"/>
      <c r="Q143" s="11"/>
      <c r="R143" s="11"/>
      <c r="T143" s="11"/>
      <c r="U143" s="11"/>
      <c r="V143" s="11"/>
      <c r="W143" s="11"/>
      <c r="X143" s="11"/>
      <c r="Y143" s="11"/>
      <c r="Z143" s="11"/>
      <c r="AA143" s="11"/>
      <c r="AB143" s="11"/>
      <c r="AD143" s="11"/>
      <c r="AE143" s="11"/>
      <c r="AF143" s="11"/>
      <c r="AG143" s="11"/>
      <c r="AH143" s="11"/>
      <c r="AI143" s="11"/>
      <c r="AJ143" s="11"/>
      <c r="AK143" s="11"/>
      <c r="AL143" s="11"/>
    </row>
    <row r="144" spans="11:38" x14ac:dyDescent="0.2">
      <c r="K144" s="11"/>
      <c r="L144" s="11"/>
      <c r="M144" s="11"/>
      <c r="N144" s="11"/>
      <c r="O144" s="11"/>
      <c r="P144" s="11"/>
      <c r="Q144" s="11"/>
      <c r="R144" s="11"/>
      <c r="T144" s="11"/>
      <c r="U144" s="11"/>
      <c r="V144" s="11"/>
      <c r="W144" s="11"/>
      <c r="X144" s="11"/>
      <c r="Y144" s="11"/>
      <c r="Z144" s="11"/>
      <c r="AA144" s="11"/>
      <c r="AB144" s="11"/>
      <c r="AD144" s="11"/>
      <c r="AE144" s="11"/>
      <c r="AF144" s="11"/>
      <c r="AG144" s="11"/>
      <c r="AH144" s="11"/>
      <c r="AI144" s="11"/>
      <c r="AJ144" s="11"/>
      <c r="AK144" s="11"/>
      <c r="AL144" s="11"/>
    </row>
    <row r="145" spans="11:38" x14ac:dyDescent="0.2">
      <c r="K145" s="11"/>
      <c r="L145" s="11"/>
      <c r="M145" s="11"/>
      <c r="N145" s="11"/>
      <c r="O145" s="11"/>
      <c r="P145" s="11"/>
      <c r="Q145" s="11"/>
      <c r="R145" s="11"/>
      <c r="T145" s="11"/>
      <c r="U145" s="11"/>
      <c r="V145" s="11"/>
      <c r="W145" s="11"/>
      <c r="X145" s="11"/>
      <c r="Y145" s="11"/>
      <c r="Z145" s="11"/>
      <c r="AA145" s="11"/>
      <c r="AB145" s="11"/>
      <c r="AD145" s="11"/>
      <c r="AE145" s="11"/>
      <c r="AF145" s="11"/>
      <c r="AG145" s="11"/>
      <c r="AH145" s="11"/>
      <c r="AI145" s="11"/>
      <c r="AJ145" s="11"/>
      <c r="AK145" s="11"/>
      <c r="AL145" s="11"/>
    </row>
    <row r="146" spans="11:38" x14ac:dyDescent="0.2">
      <c r="K146" s="11"/>
      <c r="L146" s="11"/>
      <c r="M146" s="11"/>
      <c r="N146" s="11"/>
      <c r="O146" s="11"/>
      <c r="P146" s="11"/>
      <c r="Q146" s="11"/>
      <c r="R146" s="11"/>
      <c r="T146" s="11"/>
      <c r="U146" s="11"/>
      <c r="V146" s="11"/>
      <c r="W146" s="11"/>
      <c r="X146" s="11"/>
      <c r="Y146" s="11"/>
      <c r="Z146" s="11"/>
      <c r="AA146" s="11"/>
      <c r="AB146" s="11"/>
      <c r="AD146" s="11"/>
      <c r="AE146" s="11"/>
      <c r="AF146" s="11"/>
      <c r="AG146" s="11"/>
      <c r="AH146" s="11"/>
      <c r="AI146" s="11"/>
      <c r="AJ146" s="11"/>
      <c r="AK146" s="11"/>
      <c r="AL146" s="11"/>
    </row>
    <row r="147" spans="11:38" x14ac:dyDescent="0.2">
      <c r="K147" s="11"/>
      <c r="L147" s="11"/>
      <c r="M147" s="11"/>
      <c r="N147" s="11"/>
      <c r="O147" s="11"/>
      <c r="P147" s="11"/>
      <c r="Q147" s="11"/>
      <c r="R147" s="11"/>
      <c r="T147" s="11"/>
      <c r="U147" s="11"/>
      <c r="V147" s="11"/>
      <c r="W147" s="11"/>
      <c r="X147" s="11"/>
      <c r="Y147" s="11"/>
      <c r="Z147" s="11"/>
      <c r="AA147" s="11"/>
      <c r="AB147" s="11"/>
      <c r="AD147" s="11"/>
      <c r="AE147" s="11"/>
      <c r="AF147" s="11"/>
      <c r="AG147" s="11"/>
      <c r="AH147" s="11"/>
      <c r="AI147" s="11"/>
      <c r="AJ147" s="11"/>
      <c r="AK147" s="11"/>
      <c r="AL147" s="11"/>
    </row>
    <row r="148" spans="11:38" x14ac:dyDescent="0.2">
      <c r="K148" s="11"/>
      <c r="L148" s="11"/>
      <c r="M148" s="11"/>
      <c r="N148" s="11"/>
      <c r="O148" s="11"/>
      <c r="P148" s="11"/>
      <c r="Q148" s="11"/>
      <c r="R148" s="11"/>
      <c r="T148" s="11"/>
      <c r="U148" s="11"/>
      <c r="V148" s="11"/>
      <c r="W148" s="11"/>
      <c r="X148" s="11"/>
      <c r="Y148" s="11"/>
      <c r="Z148" s="11"/>
      <c r="AA148" s="11"/>
      <c r="AB148" s="11"/>
      <c r="AD148" s="11"/>
      <c r="AE148" s="11"/>
      <c r="AF148" s="11"/>
      <c r="AG148" s="11"/>
      <c r="AH148" s="11"/>
      <c r="AI148" s="11"/>
      <c r="AJ148" s="11"/>
      <c r="AK148" s="11"/>
      <c r="AL148" s="11"/>
    </row>
    <row r="149" spans="11:38" x14ac:dyDescent="0.2">
      <c r="K149" s="11"/>
      <c r="L149" s="11"/>
      <c r="M149" s="11"/>
      <c r="N149" s="11"/>
      <c r="O149" s="11"/>
      <c r="P149" s="11"/>
      <c r="Q149" s="11"/>
      <c r="R149" s="11"/>
      <c r="T149" s="11"/>
      <c r="U149" s="11"/>
      <c r="V149" s="11"/>
      <c r="W149" s="11"/>
      <c r="X149" s="11"/>
      <c r="Y149" s="11"/>
      <c r="Z149" s="11"/>
      <c r="AA149" s="11"/>
      <c r="AB149" s="11"/>
      <c r="AD149" s="11"/>
      <c r="AE149" s="11"/>
      <c r="AF149" s="11"/>
      <c r="AG149" s="11"/>
      <c r="AH149" s="11"/>
      <c r="AI149" s="11"/>
      <c r="AJ149" s="11"/>
      <c r="AK149" s="11"/>
      <c r="AL149" s="11"/>
    </row>
    <row r="150" spans="11:38" x14ac:dyDescent="0.2">
      <c r="K150" s="11"/>
      <c r="L150" s="11"/>
      <c r="M150" s="11"/>
      <c r="N150" s="11"/>
      <c r="O150" s="11"/>
      <c r="P150" s="11"/>
      <c r="Q150" s="11"/>
      <c r="R150" s="11"/>
      <c r="T150" s="11"/>
      <c r="U150" s="11"/>
      <c r="V150" s="11"/>
      <c r="W150" s="11"/>
      <c r="X150" s="11"/>
      <c r="Y150" s="11"/>
      <c r="Z150" s="11"/>
      <c r="AA150" s="11"/>
      <c r="AB150" s="11"/>
      <c r="AD150" s="11"/>
      <c r="AE150" s="11"/>
      <c r="AF150" s="11"/>
      <c r="AG150" s="11"/>
      <c r="AH150" s="11"/>
      <c r="AI150" s="11"/>
      <c r="AJ150" s="11"/>
      <c r="AK150" s="11"/>
      <c r="AL150" s="11"/>
    </row>
    <row r="151" spans="11:38" x14ac:dyDescent="0.2">
      <c r="K151" s="11"/>
      <c r="L151" s="11"/>
      <c r="M151" s="11"/>
      <c r="N151" s="11"/>
      <c r="O151" s="11"/>
      <c r="P151" s="11"/>
      <c r="Q151" s="11"/>
      <c r="R151" s="11"/>
      <c r="T151" s="11"/>
      <c r="U151" s="11"/>
      <c r="V151" s="11"/>
      <c r="W151" s="11"/>
      <c r="X151" s="11"/>
      <c r="Y151" s="11"/>
      <c r="Z151" s="11"/>
      <c r="AA151" s="11"/>
      <c r="AB151" s="11"/>
      <c r="AD151" s="11"/>
      <c r="AE151" s="11"/>
      <c r="AF151" s="11"/>
      <c r="AG151" s="11"/>
      <c r="AH151" s="11"/>
      <c r="AI151" s="11"/>
      <c r="AJ151" s="11"/>
      <c r="AK151" s="11"/>
      <c r="AL151" s="11"/>
    </row>
  </sheetData>
  <mergeCells count="7">
    <mergeCell ref="AG45:AI45"/>
    <mergeCell ref="W25:Y25"/>
    <mergeCell ref="D4:F4"/>
    <mergeCell ref="N4:P4"/>
    <mergeCell ref="X4:Z4"/>
    <mergeCell ref="AH4:AJ4"/>
    <mergeCell ref="AG25:AI25"/>
  </mergeCells>
  <phoneticPr fontId="0" type="noConversion"/>
  <printOptions horizontalCentered="1"/>
  <pageMargins left="0.75" right="0.75" top="1.54" bottom="0.42" header="0.5" footer="0.21"/>
  <pageSetup scale="75" orientation="portrait" r:id="rId1"/>
  <headerFooter alignWithMargins="0">
    <oddHeader>&amp;C&amp;"Times New Roman,Bold"&amp;12
Louisville Gas And Electric Company
Calculation of ECR Roll-in At March 31, 2012</oddHeader>
    <oddFooter>&amp;R&amp;"Arial,Bold"&amp;12Page &amp;P of &amp;N</oddFooter>
  </headerFooter>
  <colBreaks count="3" manualBreakCount="3">
    <brk id="9" max="1048575" man="1"/>
    <brk id="19" max="62" man="1"/>
    <brk id="29" max="62" man="1"/>
  </colBreaks>
  <ignoredErrors>
    <ignoredError sqref="I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Req Req TME0312 by Plan</vt:lpstr>
      <vt:lpstr>SuppSch RB TME0312</vt:lpstr>
      <vt:lpstr>SuppSch TME0312</vt:lpstr>
      <vt:lpstr>Not filed==&gt;</vt:lpstr>
      <vt:lpstr>SuppSch TME0312 by Plan</vt:lpstr>
      <vt:lpstr>'Req Req TME0312 by Plan'!Print_Area</vt:lpstr>
      <vt:lpstr>'SuppSch RB TME0312'!Print_Area</vt:lpstr>
      <vt:lpstr>'SuppSch TME0312'!Print_Area</vt:lpstr>
      <vt:lpstr>'SuppSch TME0312 by Plan'!Print_Area</vt:lpstr>
      <vt:lpstr>'Req Req TME0312 by Plan'!Print_Titles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2012-08-14T02:40:33Z</dcterms:created>
  <dcterms:modified xsi:type="dcterms:W3CDTF">2012-08-14T02:40:40Z</dcterms:modified>
</cp:coreProperties>
</file>