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450" windowWidth="19995" windowHeight="10185" activeTab="2"/>
  </bookViews>
  <sheets>
    <sheet name="Exhibit M4pp1-2" sheetId="1" r:id="rId1"/>
    <sheet name="WACOC-Tax Table pg3" sheetId="2" r:id="rId2"/>
    <sheet name="NPV pp4-5" sheetId="3" r:id="rId3"/>
  </sheets>
  <externalReferences>
    <externalReference r:id="rId6"/>
  </externalReferences>
  <definedNames>
    <definedName name="_xlnm.Print_Area" localSheetId="2">'NPV pp4-5'!$A$1:$Q$72</definedName>
    <definedName name="_xlnm.Print_Titles" localSheetId="2">'NPV pp4-5'!$A:$A</definedName>
  </definedNames>
  <calcPr fullCalcOnLoad="1"/>
</workbook>
</file>

<file path=xl/sharedStrings.xml><?xml version="1.0" encoding="utf-8"?>
<sst xmlns="http://schemas.openxmlformats.org/spreadsheetml/2006/main" count="143" uniqueCount="90">
  <si>
    <t>Charge</t>
  </si>
  <si>
    <t>Present Value of Replacement Plant as a Percentage of Original Cost</t>
  </si>
  <si>
    <t>Cumulative</t>
  </si>
  <si>
    <t>Present</t>
  </si>
  <si>
    <t>5-Year R3</t>
  </si>
  <si>
    <t>Cost Escalation</t>
  </si>
  <si>
    <t>Present Value</t>
  </si>
  <si>
    <t>Value of</t>
  </si>
  <si>
    <t>Iowa Curve</t>
  </si>
  <si>
    <t>Annual</t>
  </si>
  <si>
    <t>Factor at a</t>
  </si>
  <si>
    <t>Nominal</t>
  </si>
  <si>
    <t xml:space="preserve">Percent </t>
  </si>
  <si>
    <t>Replacement</t>
  </si>
  <si>
    <t>Replaced</t>
  </si>
  <si>
    <t>Year</t>
  </si>
  <si>
    <t>Surviving</t>
  </si>
  <si>
    <t>Percentage</t>
  </si>
  <si>
    <t>Inflation Factor</t>
  </si>
  <si>
    <t>Cost</t>
  </si>
  <si>
    <t>Discount Rate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</si>
  <si>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</si>
  <si>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</si>
  <si>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</si>
  <si>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</si>
  <si>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</si>
  <si>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</si>
  <si>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</si>
  <si>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</si>
  <si>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</si>
  <si>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(3) x (5)</t>
  </si>
  <si>
    <t>(6) x (7)</t>
  </si>
  <si>
    <t>Original Cost Basis (100)</t>
  </si>
  <si>
    <t>Total Present Value of Original and Replacement Cost Value as a Percentage of Original Cost</t>
  </si>
  <si>
    <t>Monthly Carrying Charge Percentage (Levelized Carrying Charge Rate / 12 months)</t>
  </si>
  <si>
    <t>O&amp;M Percentage</t>
  </si>
  <si>
    <t>Total Monthly Revenue Requirement as Percentage of Original Cost</t>
  </si>
  <si>
    <t>Levelized Carrying Charge Analysis</t>
  </si>
  <si>
    <t>Capital Structure:</t>
  </si>
  <si>
    <t>Weighted</t>
  </si>
  <si>
    <t>Adjusted</t>
  </si>
  <si>
    <t>Percent</t>
  </si>
  <si>
    <t>Rate</t>
  </si>
  <si>
    <t>COC</t>
  </si>
  <si>
    <t>Tax Rate</t>
  </si>
  <si>
    <t>Common Equity</t>
  </si>
  <si>
    <t>Tax Depreciation Table (MACRS)</t>
  </si>
  <si>
    <t>Assumptions:</t>
  </si>
  <si>
    <t xml:space="preserve">   Investment</t>
  </si>
  <si>
    <t xml:space="preserve">   Book Life</t>
  </si>
  <si>
    <t xml:space="preserve">   Tax Life</t>
  </si>
  <si>
    <t xml:space="preserve">   Composite Tax Rate</t>
  </si>
  <si>
    <t xml:space="preserve">   Property Tax Rate</t>
  </si>
  <si>
    <t xml:space="preserve">   Levelized Revenue Requirement Years</t>
  </si>
  <si>
    <t xml:space="preserve">   O&amp;M as Percent of Investment</t>
  </si>
  <si>
    <t>Results:</t>
  </si>
  <si>
    <t xml:space="preserve">   Present Value Revenue Requirement</t>
  </si>
  <si>
    <t xml:space="preserve">   Levelized Revenue Requirement</t>
  </si>
  <si>
    <t xml:space="preserve">   Levelized Carrying Charge Rate</t>
  </si>
  <si>
    <t xml:space="preserve">   Level of Investment that can be Supported by Revenue</t>
  </si>
  <si>
    <t>Times Net Revenue</t>
  </si>
  <si>
    <t>Accumulated</t>
  </si>
  <si>
    <t>Value</t>
  </si>
  <si>
    <t>Carrying</t>
  </si>
  <si>
    <t>Book</t>
  </si>
  <si>
    <t>Residual</t>
  </si>
  <si>
    <t>Tax</t>
  </si>
  <si>
    <t xml:space="preserve">Deferred </t>
  </si>
  <si>
    <t xml:space="preserve">Property </t>
  </si>
  <si>
    <t>Income</t>
  </si>
  <si>
    <t>Revenue</t>
  </si>
  <si>
    <t>Interest</t>
  </si>
  <si>
    <t>Investment</t>
  </si>
  <si>
    <t>Depreciation</t>
  </si>
  <si>
    <t>Plant</t>
  </si>
  <si>
    <t>Income Tax</t>
  </si>
  <si>
    <t>Rate Base</t>
  </si>
  <si>
    <t>Equity</t>
  </si>
  <si>
    <t>O&amp;M</t>
  </si>
  <si>
    <t>Taxes</t>
  </si>
  <si>
    <t>Requirement</t>
  </si>
  <si>
    <t>Factor</t>
  </si>
  <si>
    <t>Distribution O&amp;M 12 Months Ended March 31, 2012</t>
  </si>
  <si>
    <t>Distribution Plant in Service as March 31, 2012</t>
  </si>
  <si>
    <t>Installed Cost of Telemetry Equipment</t>
  </si>
  <si>
    <t>Monthly Charge for Telemetry Equipment</t>
  </si>
  <si>
    <t>Gas Telemetry Equipment Charge</t>
  </si>
  <si>
    <t>Applicable Carrying Charge Charge Percentage (Lines 3 x 4)</t>
  </si>
  <si>
    <t>Long-Term Debt</t>
  </si>
  <si>
    <t>Short-Term Debt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</si>
</sst>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0"/>
    <numFmt numFmtId="166" formatCode="0_);\(0\)"/>
    <numFmt numFmtId="167" formatCode="#,##0.0000_);\(#,##0.0000\)"/>
    <numFmt numFmtId="168" formatCode="&quot;$&quot;#,##0.000_);\(&quot;$&quot;#,##0.000\)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%"/>
    <numFmt numFmtId="175" formatCode="0.0%"/>
    <numFmt numFmtId="176" formatCode="&quot;$&quot;#,##0.00"/>
    <numFmt numFmtId="177" formatCode="0.0"/>
    <numFmt numFmtId="178" formatCode="[$$-540A]#,##0_);\([$$-540A]#,##0\)"/>
    <numFmt numFmtId="179" formatCode="[$$-540A]#,##0.00_);\([$$-540A]#,##0.00\)"/>
    <numFmt numFmtId="180" formatCode="_(* #,##0.0000_);_(* \(#,##0.0000\);_(* &quot;-&quot;??_);_(@_)"/>
    <numFmt numFmtId="181" formatCode="_(* #,##0_);_(* \(#,##0\);_(* &quot;-&quot;??_);_(@_)"/>
    <numFmt numFmtId="182" formatCode="_(* #,##0.00000_);_(* \(#,##0.00000\);_(* &quot;-&quot;??_);_(@_)"/>
    <numFmt numFmtId="183" formatCode="_(&quot;$&quot;* #,##0_);_(&quot;$&quot;* \(#,##0\);_(&quot;$&quot;* &quot;-&quot;??_);_(@_)"/>
    <numFmt numFmtId="184" formatCode="0.0000%"/>
    <numFmt numFmtId="185" formatCode="_(* #,##0.000000_);_(* \(#,##0.000000\);_(* &quot;-&quot;??_);_(@_)"/>
    <numFmt numFmtId="186" formatCode="_(&quot;$&quot;* #,##0.0_);_(&quot;$&quot;* \(#,##0.0\);_(&quot;$&quot;* &quot;-&quot;??_);_(@_)"/>
    <numFmt numFmtId="187" formatCode="_(* #,##0.000_);_(* \(#,##0.000\);_(* &quot;-&quot;??_);_(@_)"/>
    <numFmt numFmtId="188" formatCode="_(* #,##0.0_);_(* \(#,##0.0\);_(* &quot;-&quot;??_);_(@_)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0.00000000%"/>
    <numFmt numFmtId="192" formatCode="0.0000000%"/>
    <numFmt numFmtId="193" formatCode="0.000000%"/>
    <numFmt numFmtId="194" formatCode="0.0000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right"/>
    </xf>
    <xf numFmtId="10" fontId="7" fillId="0" borderId="0" xfId="63" applyNumberFormat="1" applyFont="1" applyFill="1" applyAlignment="1">
      <alignment/>
    </xf>
    <xf numFmtId="174" fontId="7" fillId="0" borderId="0" xfId="63" applyNumberFormat="1" applyFont="1" applyFill="1" applyAlignment="1">
      <alignment/>
    </xf>
    <xf numFmtId="10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>
      <alignment/>
    </xf>
    <xf numFmtId="10" fontId="7" fillId="0" borderId="10" xfId="63" applyNumberFormat="1" applyFont="1" applyFill="1" applyBorder="1" applyAlignment="1">
      <alignment/>
    </xf>
    <xf numFmtId="10" fontId="7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74" fontId="7" fillId="0" borderId="0" xfId="63" applyNumberFormat="1" applyFont="1" applyAlignment="1">
      <alignment/>
    </xf>
    <xf numFmtId="10" fontId="7" fillId="0" borderId="0" xfId="63" applyNumberFormat="1" applyFont="1" applyAlignment="1">
      <alignment/>
    </xf>
    <xf numFmtId="174" fontId="7" fillId="0" borderId="0" xfId="64" applyNumberFormat="1" applyFont="1" applyAlignment="1">
      <alignment/>
    </xf>
    <xf numFmtId="174" fontId="7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10" fontId="7" fillId="0" borderId="0" xfId="62" applyNumberFormat="1" applyFont="1" applyFill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0" xfId="0" applyFont="1" applyAlignment="1" quotePrefix="1">
      <alignment horizontal="center"/>
    </xf>
    <xf numFmtId="180" fontId="7" fillId="0" borderId="0" xfId="42" applyNumberFormat="1" applyFont="1" applyFill="1" applyAlignment="1">
      <alignment/>
    </xf>
    <xf numFmtId="180" fontId="7" fillId="0" borderId="0" xfId="0" applyNumberFormat="1" applyFont="1" applyAlignment="1">
      <alignment/>
    </xf>
    <xf numFmtId="180" fontId="7" fillId="0" borderId="0" xfId="42" applyNumberFormat="1" applyFont="1" applyAlignment="1">
      <alignment/>
    </xf>
    <xf numFmtId="180" fontId="7" fillId="0" borderId="11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1" fontId="7" fillId="0" borderId="0" xfId="42" applyNumberFormat="1" applyFont="1" applyAlignment="1">
      <alignment/>
    </xf>
    <xf numFmtId="181" fontId="7" fillId="0" borderId="0" xfId="42" applyNumberFormat="1" applyFont="1" applyBorder="1" applyAlignment="1">
      <alignment/>
    </xf>
    <xf numFmtId="43" fontId="7" fillId="0" borderId="0" xfId="0" applyNumberFormat="1" applyFont="1" applyAlignment="1">
      <alignment/>
    </xf>
    <xf numFmtId="182" fontId="44" fillId="0" borderId="0" xfId="0" applyNumberFormat="1" applyFont="1" applyAlignment="1">
      <alignment/>
    </xf>
    <xf numFmtId="182" fontId="44" fillId="0" borderId="0" xfId="42" applyNumberFormat="1" applyFont="1" applyBorder="1" applyAlignment="1">
      <alignment/>
    </xf>
    <xf numFmtId="10" fontId="7" fillId="0" borderId="0" xfId="62" applyNumberFormat="1" applyFont="1" applyAlignment="1">
      <alignment/>
    </xf>
    <xf numFmtId="10" fontId="7" fillId="0" borderId="0" xfId="62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0" fontId="44" fillId="0" borderId="0" xfId="0" applyFont="1" applyAlignment="1">
      <alignment/>
    </xf>
    <xf numFmtId="183" fontId="44" fillId="0" borderId="0" xfId="47" applyNumberFormat="1" applyFont="1" applyFill="1" applyAlignment="1">
      <alignment/>
    </xf>
    <xf numFmtId="183" fontId="44" fillId="0" borderId="0" xfId="0" applyNumberFormat="1" applyFont="1" applyFill="1" applyAlignment="1">
      <alignment/>
    </xf>
    <xf numFmtId="183" fontId="7" fillId="0" borderId="0" xfId="45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183" fontId="7" fillId="0" borderId="0" xfId="45" applyNumberFormat="1" applyFont="1" applyAlignment="1">
      <alignment/>
    </xf>
    <xf numFmtId="44" fontId="7" fillId="0" borderId="0" xfId="45" applyNumberFormat="1" applyFont="1" applyAlignment="1">
      <alignment/>
    </xf>
    <xf numFmtId="44" fontId="7" fillId="0" borderId="0" xfId="45" applyFont="1" applyAlignment="1">
      <alignment/>
    </xf>
    <xf numFmtId="44" fontId="7" fillId="0" borderId="0" xfId="45" applyFont="1" applyBorder="1" applyAlignment="1">
      <alignment/>
    </xf>
    <xf numFmtId="0" fontId="7" fillId="0" borderId="0" xfId="0" applyFont="1" applyAlignment="1" quotePrefix="1">
      <alignment/>
    </xf>
    <xf numFmtId="183" fontId="7" fillId="0" borderId="0" xfId="47" applyNumberFormat="1" applyFont="1" applyAlignment="1">
      <alignment/>
    </xf>
    <xf numFmtId="184" fontId="7" fillId="0" borderId="0" xfId="63" applyNumberFormat="1" applyFont="1" applyAlignment="1">
      <alignment/>
    </xf>
    <xf numFmtId="183" fontId="7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43" fontId="7" fillId="0" borderId="0" xfId="44" applyFont="1" applyAlignment="1">
      <alignment/>
    </xf>
    <xf numFmtId="0" fontId="9" fillId="0" borderId="0" xfId="0" applyFont="1" applyAlignment="1">
      <alignment horizontal="right"/>
    </xf>
    <xf numFmtId="44" fontId="7" fillId="0" borderId="0" xfId="47" applyFont="1" applyAlignment="1">
      <alignment/>
    </xf>
    <xf numFmtId="181" fontId="7" fillId="0" borderId="0" xfId="44" applyNumberFormat="1" applyFont="1" applyAlignment="1">
      <alignment/>
    </xf>
    <xf numFmtId="185" fontId="7" fillId="0" borderId="0" xfId="44" applyNumberFormat="1" applyFont="1" applyAlignment="1">
      <alignment/>
    </xf>
    <xf numFmtId="183" fontId="7" fillId="0" borderId="0" xfId="47" applyNumberFormat="1" applyFont="1" applyAlignment="1">
      <alignment/>
    </xf>
    <xf numFmtId="181" fontId="7" fillId="0" borderId="0" xfId="44" applyNumberFormat="1" applyFont="1" applyAlignment="1">
      <alignment/>
    </xf>
    <xf numFmtId="182" fontId="7" fillId="0" borderId="0" xfId="44" applyNumberFormat="1" applyFont="1" applyAlignment="1">
      <alignment/>
    </xf>
    <xf numFmtId="183" fontId="7" fillId="0" borderId="10" xfId="47" applyNumberFormat="1" applyFont="1" applyBorder="1" applyAlignment="1">
      <alignment/>
    </xf>
    <xf numFmtId="181" fontId="7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3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Case%202012\Meter%20Pulse%20Charge\Gas%20Meter%20Pulse%20Relaying%20Charge%20-%20Cost%20Sup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Year"/>
      <sheetName val="WACOC-Tax Table"/>
      <sheetName val="NPV"/>
    </sheetNames>
    <sheetDataSet>
      <sheetData sheetId="1">
        <row r="10">
          <cell r="E10">
            <v>0.021275150000000003</v>
          </cell>
        </row>
        <row r="13">
          <cell r="E13">
            <v>0.08320265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90" zoomScaleSheetLayoutView="90" zoomScalePageLayoutView="70" workbookViewId="0" topLeftCell="A1">
      <selection activeCell="D26" sqref="D26"/>
    </sheetView>
  </sheetViews>
  <sheetFormatPr defaultColWidth="9.140625" defaultRowHeight="12.75"/>
  <cols>
    <col min="1" max="1" width="8.57421875" style="2" customWidth="1"/>
    <col min="2" max="9" width="16.00390625" style="2" customWidth="1"/>
    <col min="10" max="16384" width="9.140625" style="2" customWidth="1"/>
  </cols>
  <sheetData>
    <row r="1" spans="1:9" ht="18.75">
      <c r="A1" s="1"/>
      <c r="I1" s="3"/>
    </row>
    <row r="2" spans="1:9" ht="12.75">
      <c r="A2" s="2" t="s">
        <v>86</v>
      </c>
      <c r="I2" s="5"/>
    </row>
    <row r="3" ht="12.75">
      <c r="I3" s="5"/>
    </row>
    <row r="4" ht="12.75">
      <c r="I4" s="5"/>
    </row>
    <row r="5" spans="1:8" ht="12.75">
      <c r="A5" s="16">
        <v>1</v>
      </c>
      <c r="B5" s="2" t="s">
        <v>1</v>
      </c>
      <c r="G5" s="29">
        <f>I46</f>
        <v>38.55311533966964</v>
      </c>
      <c r="H5" s="29"/>
    </row>
    <row r="6" spans="1:8" ht="12.75">
      <c r="A6" s="16"/>
      <c r="H6" s="30"/>
    </row>
    <row r="7" spans="1:8" ht="12.75">
      <c r="A7" s="16">
        <v>2</v>
      </c>
      <c r="B7" s="2" t="s">
        <v>32</v>
      </c>
      <c r="G7" s="31">
        <v>100</v>
      </c>
      <c r="H7" s="32"/>
    </row>
    <row r="8" spans="1:8" ht="12.75">
      <c r="A8" s="16"/>
      <c r="G8" s="33"/>
      <c r="H8" s="30"/>
    </row>
    <row r="9" spans="1:8" ht="12.75">
      <c r="A9" s="16">
        <v>3</v>
      </c>
      <c r="B9" s="2" t="s">
        <v>33</v>
      </c>
      <c r="G9" s="33">
        <f>G5+G7</f>
        <v>138.55311533966963</v>
      </c>
      <c r="H9" s="29"/>
    </row>
    <row r="10" spans="1:8" ht="12.75">
      <c r="A10" s="16"/>
      <c r="H10" s="30"/>
    </row>
    <row r="11" spans="1:8" ht="12.75">
      <c r="A11" s="16">
        <v>4</v>
      </c>
      <c r="B11" s="2" t="s">
        <v>34</v>
      </c>
      <c r="G11" s="34">
        <f>'NPV pp4-5'!F20/12</f>
        <v>0.02061486690601549</v>
      </c>
      <c r="H11" s="35"/>
    </row>
    <row r="12" spans="1:8" ht="12.75">
      <c r="A12" s="16"/>
      <c r="H12" s="30"/>
    </row>
    <row r="13" spans="1:8" ht="12.75">
      <c r="A13" s="16">
        <v>5</v>
      </c>
      <c r="B13" s="2" t="s">
        <v>87</v>
      </c>
      <c r="G13" s="36">
        <f>G11*G9/100</f>
        <v>0.028562540321411024</v>
      </c>
      <c r="H13" s="37"/>
    </row>
    <row r="14" spans="1:8" ht="12.75">
      <c r="A14" s="16"/>
      <c r="H14" s="30"/>
    </row>
    <row r="15" spans="1:8" ht="12.75">
      <c r="A15" s="16">
        <v>6</v>
      </c>
      <c r="B15" s="2" t="s">
        <v>35</v>
      </c>
      <c r="G15" s="36">
        <f>F17/F18/12</f>
        <v>0.002980912574125548</v>
      </c>
      <c r="H15" s="38"/>
    </row>
    <row r="16" spans="1:8" ht="12.75">
      <c r="A16" s="16"/>
      <c r="G16" s="39"/>
      <c r="H16" s="30"/>
    </row>
    <row r="17" spans="1:8" ht="12.75">
      <c r="A17" s="16">
        <v>7</v>
      </c>
      <c r="B17" s="40" t="s">
        <v>82</v>
      </c>
      <c r="C17" s="40"/>
      <c r="D17" s="40"/>
      <c r="E17" s="40"/>
      <c r="F17" s="41">
        <v>21304540.450000003</v>
      </c>
      <c r="H17" s="30"/>
    </row>
    <row r="18" spans="1:8" ht="12.75">
      <c r="A18" s="16">
        <v>8</v>
      </c>
      <c r="B18" s="40" t="s">
        <v>83</v>
      </c>
      <c r="C18" s="40"/>
      <c r="D18" s="40"/>
      <c r="E18" s="40"/>
      <c r="F18" s="42">
        <v>595582167.1000001</v>
      </c>
      <c r="H18" s="30"/>
    </row>
    <row r="19" spans="1:8" ht="12.75">
      <c r="A19" s="16"/>
      <c r="H19" s="30"/>
    </row>
    <row r="20" spans="1:8" ht="12.75">
      <c r="A20" s="16">
        <v>9</v>
      </c>
      <c r="B20" s="2" t="s">
        <v>36</v>
      </c>
      <c r="G20" s="39">
        <f>G15+G13</f>
        <v>0.031543452895536575</v>
      </c>
      <c r="H20" s="38"/>
    </row>
    <row r="22" spans="1:8" ht="12.75">
      <c r="A22" s="16">
        <v>10</v>
      </c>
      <c r="B22" s="2" t="s">
        <v>84</v>
      </c>
      <c r="G22" s="43">
        <v>9676</v>
      </c>
      <c r="H22" s="44"/>
    </row>
    <row r="23" spans="1:8" ht="12.75">
      <c r="A23" s="16"/>
      <c r="G23" s="45"/>
      <c r="H23" s="45"/>
    </row>
    <row r="24" spans="1:8" ht="12.75">
      <c r="A24" s="16">
        <v>11</v>
      </c>
      <c r="B24" s="2" t="s">
        <v>85</v>
      </c>
      <c r="G24" s="46">
        <f>G22*G20</f>
        <v>305.2144502172119</v>
      </c>
      <c r="H24" s="30"/>
    </row>
    <row r="25" spans="1:9" ht="18.75">
      <c r="A25" s="1"/>
      <c r="I25" s="3"/>
    </row>
    <row r="26" spans="1:9" ht="12.75">
      <c r="A26" s="8" t="s">
        <v>1</v>
      </c>
      <c r="B26" s="8"/>
      <c r="C26" s="8"/>
      <c r="D26" s="8"/>
      <c r="E26" s="8"/>
      <c r="I26" s="5"/>
    </row>
    <row r="27" ht="12.75">
      <c r="I27" s="5"/>
    </row>
    <row r="28" ht="12.75">
      <c r="I28" s="5"/>
    </row>
    <row r="30" ht="12.75">
      <c r="I30" s="16" t="s">
        <v>2</v>
      </c>
    </row>
    <row r="31" spans="4:9" ht="12.75">
      <c r="D31" s="16"/>
      <c r="E31" s="16"/>
      <c r="F31" s="16"/>
      <c r="G31" s="16"/>
      <c r="H31" s="16" t="s">
        <v>3</v>
      </c>
      <c r="I31" s="16" t="s">
        <v>3</v>
      </c>
    </row>
    <row r="32" spans="2:9" ht="12.75">
      <c r="B32" s="16" t="s">
        <v>4</v>
      </c>
      <c r="D32" s="16"/>
      <c r="E32" s="16" t="s">
        <v>5</v>
      </c>
      <c r="F32" s="16"/>
      <c r="G32" s="16" t="s">
        <v>6</v>
      </c>
      <c r="H32" s="16" t="s">
        <v>7</v>
      </c>
      <c r="I32" s="16" t="s">
        <v>7</v>
      </c>
    </row>
    <row r="33" spans="2:10" ht="12.75">
      <c r="B33" s="16" t="s">
        <v>8</v>
      </c>
      <c r="C33" s="16" t="s">
        <v>9</v>
      </c>
      <c r="D33" s="16" t="s">
        <v>2</v>
      </c>
      <c r="E33" s="16" t="s">
        <v>10</v>
      </c>
      <c r="F33" s="21" t="s">
        <v>11</v>
      </c>
      <c r="G33" s="16" t="s">
        <v>10</v>
      </c>
      <c r="H33" s="16" t="s">
        <v>9</v>
      </c>
      <c r="I33" s="16" t="s">
        <v>9</v>
      </c>
      <c r="J33" s="33"/>
    </row>
    <row r="34" spans="2:9" ht="12.75">
      <c r="B34" s="16" t="s">
        <v>12</v>
      </c>
      <c r="C34" s="16" t="s">
        <v>13</v>
      </c>
      <c r="D34" s="16" t="s">
        <v>13</v>
      </c>
      <c r="E34" s="22">
        <v>0.03</v>
      </c>
      <c r="F34" s="16" t="s">
        <v>13</v>
      </c>
      <c r="G34" s="22">
        <v>0.07</v>
      </c>
      <c r="H34" s="16" t="s">
        <v>13</v>
      </c>
      <c r="I34" s="16" t="s">
        <v>14</v>
      </c>
    </row>
    <row r="35" spans="1:9" ht="12.75">
      <c r="A35" s="16" t="s">
        <v>15</v>
      </c>
      <c r="B35" s="16" t="s">
        <v>16</v>
      </c>
      <c r="C35" s="16" t="s">
        <v>17</v>
      </c>
      <c r="D35" s="16" t="s">
        <v>17</v>
      </c>
      <c r="E35" s="16" t="s">
        <v>18</v>
      </c>
      <c r="F35" s="16" t="s">
        <v>19</v>
      </c>
      <c r="G35" s="16" t="s">
        <v>20</v>
      </c>
      <c r="H35" s="16" t="s">
        <v>19</v>
      </c>
      <c r="I35" s="16" t="s">
        <v>19</v>
      </c>
    </row>
    <row r="36" spans="1:9" ht="12.75">
      <c r="A36" s="23" t="s">
        <v>21</v>
      </c>
      <c r="B36" s="23" t="s">
        <v>22</v>
      </c>
      <c r="C36" s="23" t="s">
        <v>23</v>
      </c>
      <c r="D36" s="23" t="s">
        <v>24</v>
      </c>
      <c r="E36" s="23" t="s">
        <v>25</v>
      </c>
      <c r="F36" s="23" t="s">
        <v>26</v>
      </c>
      <c r="G36" s="23" t="s">
        <v>27</v>
      </c>
      <c r="H36" s="23" t="s">
        <v>28</v>
      </c>
      <c r="I36" s="23" t="s">
        <v>29</v>
      </c>
    </row>
    <row r="37" spans="1:8" ht="12.75">
      <c r="A37" s="24"/>
      <c r="B37" s="24"/>
      <c r="C37" s="24"/>
      <c r="D37" s="24"/>
      <c r="E37" s="24"/>
      <c r="F37" s="16" t="s">
        <v>30</v>
      </c>
      <c r="G37" s="24"/>
      <c r="H37" s="24" t="s">
        <v>31</v>
      </c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4">
        <v>0</v>
      </c>
      <c r="B39" s="25">
        <v>100</v>
      </c>
      <c r="C39" s="24"/>
      <c r="D39" s="24"/>
      <c r="E39" s="24"/>
      <c r="F39" s="24"/>
      <c r="G39" s="24"/>
      <c r="H39" s="24"/>
    </row>
    <row r="40" spans="1:9" ht="12.75">
      <c r="A40" s="16">
        <v>1</v>
      </c>
      <c r="B40" s="25">
        <v>99.29885475840226</v>
      </c>
      <c r="C40" s="26">
        <f>B39-B40</f>
        <v>0.701145241597743</v>
      </c>
      <c r="D40" s="26">
        <f>D39+C40</f>
        <v>0.701145241597743</v>
      </c>
      <c r="E40" s="26">
        <f>(1+$E$34)^A40</f>
        <v>1.03</v>
      </c>
      <c r="F40" s="26">
        <f>C40*E40</f>
        <v>0.7221795988456754</v>
      </c>
      <c r="G40" s="26">
        <f>1/(1+$G$34)^A40</f>
        <v>0.9345794392523364</v>
      </c>
      <c r="H40" s="27">
        <f>G40*F40</f>
        <v>0.6749342045286686</v>
      </c>
      <c r="I40" s="26">
        <f>I39+H40</f>
        <v>0.6749342045286686</v>
      </c>
    </row>
    <row r="41" spans="1:9" ht="12.75">
      <c r="A41" s="16">
        <v>2</v>
      </c>
      <c r="B41" s="25">
        <v>96.89534471468136</v>
      </c>
      <c r="C41" s="26">
        <f>B40-B41</f>
        <v>2.4035100437208996</v>
      </c>
      <c r="D41" s="26">
        <f>D40+C41</f>
        <v>3.1046552853186427</v>
      </c>
      <c r="E41" s="26">
        <f>(1+$E$34)^A41</f>
        <v>1.0609</v>
      </c>
      <c r="F41" s="26">
        <f>C41*E41</f>
        <v>2.5498838053835025</v>
      </c>
      <c r="G41" s="26">
        <f>1/(1+$G$34)^A41</f>
        <v>0.8734387282732116</v>
      </c>
      <c r="H41" s="27">
        <f>G41*F41</f>
        <v>2.227167268218624</v>
      </c>
      <c r="I41" s="26">
        <f>I40+H41</f>
        <v>2.9021014727472925</v>
      </c>
    </row>
    <row r="42" spans="1:9" ht="12.75">
      <c r="A42" s="16">
        <v>3</v>
      </c>
      <c r="B42" s="25">
        <v>90.79903324246092</v>
      </c>
      <c r="C42" s="26">
        <f>B41-B42</f>
        <v>6.096311472220435</v>
      </c>
      <c r="D42" s="26">
        <f>D41+C42</f>
        <v>9.200966757539078</v>
      </c>
      <c r="E42" s="26">
        <f>(1+$E$34)^A42</f>
        <v>1.092727</v>
      </c>
      <c r="F42" s="26">
        <f>C42*E42</f>
        <v>6.661604146105019</v>
      </c>
      <c r="G42" s="26">
        <f>1/(1+$G$34)^A42</f>
        <v>0.8162978768908519</v>
      </c>
      <c r="H42" s="27">
        <f>G42*F42</f>
        <v>5.437853321152823</v>
      </c>
      <c r="I42" s="26">
        <f>I41+H42</f>
        <v>8.339954793900116</v>
      </c>
    </row>
    <row r="43" spans="1:9" ht="12.75">
      <c r="A43" s="16">
        <v>4</v>
      </c>
      <c r="B43" s="25">
        <v>78.02727451859303</v>
      </c>
      <c r="C43" s="26">
        <f>B42-B43</f>
        <v>12.77175872386789</v>
      </c>
      <c r="D43" s="26">
        <f>D42+C43</f>
        <v>21.972725481406968</v>
      </c>
      <c r="E43" s="26">
        <f>(1+$E$34)^A43</f>
        <v>1.12550881</v>
      </c>
      <c r="F43" s="26">
        <f>C43*E43</f>
        <v>14.374726962907667</v>
      </c>
      <c r="G43" s="26">
        <f>1/(1+$G$34)^A43</f>
        <v>0.7628952120475252</v>
      </c>
      <c r="H43" s="27">
        <f>G43*F43</f>
        <v>10.966410374492723</v>
      </c>
      <c r="I43" s="26">
        <f>I42+H43</f>
        <v>19.306365168392837</v>
      </c>
    </row>
    <row r="44" spans="1:9" ht="12.75">
      <c r="A44" s="16">
        <v>5</v>
      </c>
      <c r="B44" s="25">
        <v>54.741527548555055</v>
      </c>
      <c r="C44" s="26">
        <f>B43-B44</f>
        <v>23.285746970037977</v>
      </c>
      <c r="D44" s="26">
        <f>D43+C44</f>
        <v>45.258472451444945</v>
      </c>
      <c r="E44" s="26">
        <f>(1+$E$34)^A44</f>
        <v>1.1592740742999998</v>
      </c>
      <c r="F44" s="26">
        <f>C44*E44</f>
        <v>26.9945627630748</v>
      </c>
      <c r="G44" s="26">
        <f>1/(1+$G$34)^A44</f>
        <v>0.7129861794836684</v>
      </c>
      <c r="H44" s="27">
        <f>G44*F44</f>
        <v>19.2467501712768</v>
      </c>
      <c r="I44" s="26">
        <f>I43+H44</f>
        <v>38.55311533966964</v>
      </c>
    </row>
    <row r="46" spans="4:9" ht="12.75">
      <c r="D46" s="2" t="s">
        <v>1</v>
      </c>
      <c r="I46" s="28">
        <f>I44</f>
        <v>38.55311533966964</v>
      </c>
    </row>
    <row r="47" spans="7:8" ht="12.75">
      <c r="G47" s="47"/>
      <c r="H47" s="48"/>
    </row>
    <row r="48" ht="12.75">
      <c r="A48" s="16"/>
    </row>
  </sheetData>
  <sheetProtection/>
  <printOptions/>
  <pageMargins left="0.95" right="0.95" top="1.41" bottom="1" header="0.74" footer="0.55"/>
  <pageSetup horizontalDpi="600" verticalDpi="600" orientation="landscape" scale="75" r:id="rId1"/>
  <headerFooter scaleWithDoc="0" alignWithMargins="0">
    <oddHeader>&amp;C&amp;"Times New Roman,Bold"&amp;12Louisville Gas and Electric Company
Gas Telemetry Charge Cost Support</oddHeader>
    <oddFooter>&amp;R&amp;"Times New Roman,Bold"&amp;12Conroy Exhibit M4
Page &amp;P of &amp;N</oddFooter>
    <evenHeader>&amp;C&amp;"Times New Roman,Bold"&amp;12Louisville Gas and Electric Company
Gas Telemetry Charge Cost Support</evenHeader>
    <evenFooter>&amp;R&amp;"Times New Roman,Bold"&amp;12Conroy Exhibit M4
Page &amp;P of &amp;N</evenFooter>
    <firstHeader>&amp;C&amp;"Times New Roman,Bold"&amp;12Louisville Gas and Electric Company
Gas Telemetry Charge Cost Support</firstHeader>
    <firstFooter>&amp;R&amp;"Times New Roman,Bold"&amp;12Conroy Exhibit M4
Page &amp;P of &amp;N</first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SheetLayoutView="100" zoomScalePageLayoutView="70" workbookViewId="0" topLeftCell="A1">
      <selection activeCell="E21" sqref="E21"/>
    </sheetView>
  </sheetViews>
  <sheetFormatPr defaultColWidth="9.140625" defaultRowHeight="12.75"/>
  <cols>
    <col min="1" max="1" width="18.57421875" style="2" customWidth="1"/>
    <col min="2" max="2" width="13.140625" style="2" customWidth="1"/>
    <col min="3" max="4" width="9.140625" style="2" customWidth="1"/>
    <col min="5" max="5" width="12.57421875" style="2" customWidth="1"/>
    <col min="6" max="6" width="10.28125" style="2" customWidth="1"/>
    <col min="7" max="7" width="11.421875" style="2" bestFit="1" customWidth="1"/>
    <col min="8" max="16384" width="9.140625" style="2" customWidth="1"/>
  </cols>
  <sheetData>
    <row r="1" spans="1:7" ht="18.75">
      <c r="A1" s="1"/>
      <c r="G1" s="3"/>
    </row>
    <row r="2" spans="1:7" ht="12.75">
      <c r="A2" s="4" t="s">
        <v>37</v>
      </c>
      <c r="G2" s="5"/>
    </row>
    <row r="3" spans="1:7" ht="12.75">
      <c r="A3" s="4"/>
      <c r="G3" s="5"/>
    </row>
    <row r="4" ht="12.75">
      <c r="G4" s="5"/>
    </row>
    <row r="7" ht="12.75">
      <c r="A7" s="4" t="s">
        <v>38</v>
      </c>
    </row>
    <row r="8" spans="2:9" ht="12.75">
      <c r="B8" s="6"/>
      <c r="C8" s="6"/>
      <c r="D8" s="6"/>
      <c r="E8" s="7" t="s">
        <v>39</v>
      </c>
      <c r="F8" s="7" t="s">
        <v>40</v>
      </c>
      <c r="G8" s="8"/>
      <c r="H8" s="8"/>
      <c r="I8" s="8"/>
    </row>
    <row r="9" spans="2:9" ht="12.75">
      <c r="B9" s="9" t="s">
        <v>41</v>
      </c>
      <c r="C9" s="9" t="s">
        <v>42</v>
      </c>
      <c r="D9" s="9" t="s">
        <v>43</v>
      </c>
      <c r="E9" s="9" t="s">
        <v>44</v>
      </c>
      <c r="F9" s="9" t="s">
        <v>42</v>
      </c>
      <c r="G9" s="8"/>
      <c r="H9" s="8"/>
      <c r="I9" s="8"/>
    </row>
    <row r="10" spans="1:9" ht="12.75">
      <c r="A10" s="2" t="s">
        <v>89</v>
      </c>
      <c r="B10" s="10">
        <v>0</v>
      </c>
      <c r="C10" s="10">
        <v>0.0041</v>
      </c>
      <c r="D10" s="10">
        <f>B10*C10</f>
        <v>0</v>
      </c>
      <c r="E10" s="8"/>
      <c r="F10" s="13">
        <f>D10</f>
        <v>0</v>
      </c>
      <c r="G10" s="8"/>
      <c r="H10" s="8"/>
      <c r="I10" s="8"/>
    </row>
    <row r="11" spans="1:9" ht="12.75">
      <c r="A11" s="2" t="s">
        <v>88</v>
      </c>
      <c r="B11" s="10">
        <v>0.4436</v>
      </c>
      <c r="C11" s="10">
        <v>0.0378</v>
      </c>
      <c r="D11" s="10">
        <f>B11*C11</f>
        <v>0.01676808</v>
      </c>
      <c r="E11" s="12">
        <v>0.373674</v>
      </c>
      <c r="F11" s="10">
        <f>D11*(1-E11)</f>
        <v>0.01050228447408</v>
      </c>
      <c r="G11" s="13"/>
      <c r="H11" s="8"/>
      <c r="I11" s="8"/>
    </row>
    <row r="12" spans="1:9" ht="12.75">
      <c r="A12" s="2" t="s">
        <v>45</v>
      </c>
      <c r="B12" s="10">
        <v>0.5564</v>
      </c>
      <c r="C12" s="14">
        <v>0.11</v>
      </c>
      <c r="D12" s="14">
        <f>B12*C12</f>
        <v>0.061204</v>
      </c>
      <c r="E12" s="8"/>
      <c r="F12" s="15">
        <f>D12</f>
        <v>0.061204</v>
      </c>
      <c r="G12" s="8"/>
      <c r="H12" s="8"/>
      <c r="I12" s="8"/>
    </row>
    <row r="13" spans="2:9" ht="12.75">
      <c r="B13" s="13"/>
      <c r="C13" s="8"/>
      <c r="D13" s="13">
        <f>SUM(D11:D12)</f>
        <v>0.07797208</v>
      </c>
      <c r="E13" s="8"/>
      <c r="F13" s="13">
        <f>SUM(F11:F12)</f>
        <v>0.07170628447408</v>
      </c>
      <c r="G13" s="8"/>
      <c r="H13" s="8"/>
      <c r="I13" s="8"/>
    </row>
    <row r="14" spans="2:9" ht="12.75">
      <c r="B14" s="8"/>
      <c r="C14" s="8"/>
      <c r="D14" s="8"/>
      <c r="E14" s="8"/>
      <c r="F14" s="8"/>
      <c r="G14" s="8"/>
      <c r="H14" s="8"/>
      <c r="I14" s="8"/>
    </row>
    <row r="15" spans="2:5" ht="12.75">
      <c r="B15" s="64" t="s">
        <v>46</v>
      </c>
      <c r="C15" s="64"/>
      <c r="D15" s="64"/>
      <c r="E15" s="64"/>
    </row>
    <row r="17" spans="2:5" ht="12.75">
      <c r="B17" s="16">
        <v>5</v>
      </c>
      <c r="C17" s="16">
        <v>10</v>
      </c>
      <c r="D17" s="16">
        <v>15</v>
      </c>
      <c r="E17" s="16">
        <v>20</v>
      </c>
    </row>
    <row r="18" spans="1:6" ht="12.75">
      <c r="A18" s="2">
        <v>1</v>
      </c>
      <c r="B18" s="17">
        <v>0.2</v>
      </c>
      <c r="C18" s="17">
        <v>0.1</v>
      </c>
      <c r="D18" s="17">
        <v>0.05</v>
      </c>
      <c r="E18" s="17">
        <v>0.0375</v>
      </c>
      <c r="F18" s="18"/>
    </row>
    <row r="19" spans="1:6" ht="12.75">
      <c r="A19" s="2">
        <v>2</v>
      </c>
      <c r="B19" s="17">
        <v>0.32</v>
      </c>
      <c r="C19" s="17">
        <v>0.18</v>
      </c>
      <c r="D19" s="17">
        <v>0.095</v>
      </c>
      <c r="E19" s="17">
        <v>0.07219</v>
      </c>
      <c r="F19" s="18"/>
    </row>
    <row r="20" spans="1:6" ht="12.75">
      <c r="A20" s="2">
        <v>3</v>
      </c>
      <c r="B20" s="17">
        <v>0.192</v>
      </c>
      <c r="C20" s="17">
        <v>0.144</v>
      </c>
      <c r="D20" s="17">
        <v>0.0855</v>
      </c>
      <c r="E20" s="17">
        <v>0.06677</v>
      </c>
      <c r="F20" s="18"/>
    </row>
    <row r="21" spans="1:6" ht="12.75">
      <c r="A21" s="2">
        <v>4</v>
      </c>
      <c r="B21" s="17">
        <v>0.1152</v>
      </c>
      <c r="C21" s="17">
        <v>0.1152</v>
      </c>
      <c r="D21" s="17">
        <v>0.077</v>
      </c>
      <c r="E21" s="17">
        <v>0.06177</v>
      </c>
      <c r="F21" s="18"/>
    </row>
    <row r="22" spans="1:6" ht="12.75">
      <c r="A22" s="2">
        <v>5</v>
      </c>
      <c r="B22" s="17">
        <v>0.1152</v>
      </c>
      <c r="C22" s="17">
        <v>0.0922</v>
      </c>
      <c r="D22" s="17">
        <v>0.0693</v>
      </c>
      <c r="E22" s="17">
        <v>0.05713</v>
      </c>
      <c r="F22" s="18"/>
    </row>
    <row r="23" spans="1:6" ht="12.75">
      <c r="A23" s="2">
        <v>6</v>
      </c>
      <c r="B23" s="19">
        <v>0.05760000000000005</v>
      </c>
      <c r="C23" s="17">
        <v>0.0737</v>
      </c>
      <c r="D23" s="17">
        <v>0.0623</v>
      </c>
      <c r="E23" s="17">
        <v>0.05285</v>
      </c>
      <c r="F23" s="18"/>
    </row>
    <row r="24" spans="1:6" ht="12.75">
      <c r="A24" s="2">
        <v>7</v>
      </c>
      <c r="B24" s="17">
        <v>0</v>
      </c>
      <c r="C24" s="17">
        <v>0.0655</v>
      </c>
      <c r="D24" s="17">
        <v>0.059</v>
      </c>
      <c r="E24" s="17">
        <v>0.04888</v>
      </c>
      <c r="F24" s="18"/>
    </row>
    <row r="25" spans="2:6" ht="12.75">
      <c r="B25" s="17">
        <v>0</v>
      </c>
      <c r="C25" s="17">
        <v>0.0655</v>
      </c>
      <c r="D25" s="17">
        <v>0.059</v>
      </c>
      <c r="E25" s="17">
        <v>0.04522</v>
      </c>
      <c r="F25" s="18"/>
    </row>
    <row r="26" spans="1:6" ht="12.75">
      <c r="A26" s="2">
        <v>9</v>
      </c>
      <c r="B26" s="17">
        <v>0</v>
      </c>
      <c r="C26" s="17">
        <v>0.0656</v>
      </c>
      <c r="D26" s="17">
        <v>0.0591</v>
      </c>
      <c r="E26" s="17">
        <v>0.04462</v>
      </c>
      <c r="F26" s="18"/>
    </row>
    <row r="27" spans="1:6" ht="12.75">
      <c r="A27" s="2">
        <v>10</v>
      </c>
      <c r="B27" s="17">
        <v>0</v>
      </c>
      <c r="C27" s="17">
        <v>0.0655</v>
      </c>
      <c r="D27" s="17">
        <v>0.059</v>
      </c>
      <c r="E27" s="17">
        <v>0.04461</v>
      </c>
      <c r="F27" s="18"/>
    </row>
    <row r="28" spans="1:6" ht="12.75">
      <c r="A28" s="2">
        <v>11</v>
      </c>
      <c r="B28" s="17">
        <v>0</v>
      </c>
      <c r="C28" s="11">
        <v>0</v>
      </c>
      <c r="D28" s="17">
        <v>0.0591</v>
      </c>
      <c r="E28" s="17">
        <v>0.04462</v>
      </c>
      <c r="F28" s="18"/>
    </row>
    <row r="29" spans="1:6" ht="12.75">
      <c r="A29" s="2">
        <v>12</v>
      </c>
      <c r="B29" s="17">
        <v>0</v>
      </c>
      <c r="C29" s="17">
        <v>0</v>
      </c>
      <c r="D29" s="17">
        <v>0.059</v>
      </c>
      <c r="E29" s="17">
        <v>0.04461</v>
      </c>
      <c r="F29" s="18"/>
    </row>
    <row r="30" spans="1:6" ht="12.75">
      <c r="A30" s="2">
        <v>13</v>
      </c>
      <c r="B30" s="17">
        <v>0</v>
      </c>
      <c r="C30" s="17">
        <v>0</v>
      </c>
      <c r="D30" s="17">
        <v>0.0591</v>
      </c>
      <c r="E30" s="17">
        <v>0.04462</v>
      </c>
      <c r="F30" s="18"/>
    </row>
    <row r="31" spans="1:6" ht="12.75">
      <c r="A31" s="2">
        <v>14</v>
      </c>
      <c r="B31" s="17">
        <v>0</v>
      </c>
      <c r="C31" s="17">
        <v>0</v>
      </c>
      <c r="D31" s="17">
        <v>0.059</v>
      </c>
      <c r="E31" s="17">
        <v>0.04461</v>
      </c>
      <c r="F31" s="18"/>
    </row>
    <row r="32" spans="1:6" ht="12.75">
      <c r="A32" s="2">
        <v>15</v>
      </c>
      <c r="B32" s="17">
        <v>0</v>
      </c>
      <c r="C32" s="17">
        <v>0</v>
      </c>
      <c r="D32" s="17">
        <v>0.0591</v>
      </c>
      <c r="E32" s="17">
        <v>0.04462</v>
      </c>
      <c r="F32" s="18"/>
    </row>
    <row r="33" spans="1:6" ht="12.75">
      <c r="A33" s="2">
        <v>16</v>
      </c>
      <c r="B33" s="17">
        <v>0</v>
      </c>
      <c r="C33" s="17">
        <v>0</v>
      </c>
      <c r="D33" s="17">
        <v>0.0295</v>
      </c>
      <c r="E33" s="17">
        <v>0.04461</v>
      </c>
      <c r="F33" s="18"/>
    </row>
    <row r="34" spans="1:6" ht="12.75">
      <c r="A34" s="2">
        <v>17</v>
      </c>
      <c r="B34" s="17">
        <v>0</v>
      </c>
      <c r="C34" s="17">
        <v>0</v>
      </c>
      <c r="D34" s="17">
        <v>0</v>
      </c>
      <c r="E34" s="17">
        <v>0.04462</v>
      </c>
      <c r="F34" s="18"/>
    </row>
    <row r="35" spans="1:6" ht="12.75">
      <c r="A35" s="2">
        <v>18</v>
      </c>
      <c r="B35" s="17">
        <v>0</v>
      </c>
      <c r="C35" s="17">
        <v>0</v>
      </c>
      <c r="D35" s="17">
        <v>0</v>
      </c>
      <c r="E35" s="17">
        <v>0.04461</v>
      </c>
      <c r="F35" s="18"/>
    </row>
    <row r="36" spans="1:6" ht="12.75">
      <c r="A36" s="2">
        <v>19</v>
      </c>
      <c r="B36" s="17">
        <v>0</v>
      </c>
      <c r="C36" s="17">
        <v>0</v>
      </c>
      <c r="D36" s="17">
        <v>0</v>
      </c>
      <c r="E36" s="17">
        <v>0.04462</v>
      </c>
      <c r="F36" s="18"/>
    </row>
    <row r="37" spans="1:6" ht="12.75">
      <c r="A37" s="2">
        <v>20</v>
      </c>
      <c r="B37" s="17">
        <v>0</v>
      </c>
      <c r="C37" s="17">
        <v>0</v>
      </c>
      <c r="D37" s="17">
        <v>0</v>
      </c>
      <c r="E37" s="17">
        <v>0.04461</v>
      </c>
      <c r="F37" s="18"/>
    </row>
    <row r="38" spans="1:6" ht="12.75">
      <c r="A38" s="2">
        <v>21</v>
      </c>
      <c r="B38" s="17">
        <v>0</v>
      </c>
      <c r="C38" s="17">
        <v>0</v>
      </c>
      <c r="D38" s="17">
        <v>0</v>
      </c>
      <c r="E38" s="17">
        <v>0.02231</v>
      </c>
      <c r="F38" s="18"/>
    </row>
    <row r="39" spans="1:5" ht="12.75">
      <c r="A39" s="2">
        <v>22</v>
      </c>
      <c r="B39" s="17">
        <v>0</v>
      </c>
      <c r="C39" s="17">
        <v>0</v>
      </c>
      <c r="D39" s="17">
        <v>0</v>
      </c>
      <c r="E39" s="17">
        <v>0</v>
      </c>
    </row>
    <row r="40" spans="1:5" ht="12.75">
      <c r="A40" s="2">
        <v>23</v>
      </c>
      <c r="B40" s="17">
        <v>0</v>
      </c>
      <c r="C40" s="17">
        <v>0</v>
      </c>
      <c r="D40" s="17">
        <v>0</v>
      </c>
      <c r="E40" s="17">
        <v>0</v>
      </c>
    </row>
    <row r="41" spans="1:5" ht="12.75">
      <c r="A41" s="2">
        <v>24</v>
      </c>
      <c r="B41" s="17">
        <v>0</v>
      </c>
      <c r="C41" s="17">
        <v>0</v>
      </c>
      <c r="D41" s="17">
        <v>0</v>
      </c>
      <c r="E41" s="17">
        <v>0</v>
      </c>
    </row>
    <row r="42" spans="1:5" ht="12.75">
      <c r="A42" s="2">
        <v>25</v>
      </c>
      <c r="B42" s="17">
        <v>0</v>
      </c>
      <c r="C42" s="17">
        <v>0</v>
      </c>
      <c r="D42" s="17">
        <v>0</v>
      </c>
      <c r="E42" s="17">
        <v>0</v>
      </c>
    </row>
    <row r="43" spans="1:5" ht="12.75">
      <c r="A43" s="2">
        <v>26</v>
      </c>
      <c r="B43" s="17">
        <v>0</v>
      </c>
      <c r="C43" s="17">
        <v>0</v>
      </c>
      <c r="D43" s="17">
        <v>0</v>
      </c>
      <c r="E43" s="17">
        <v>0</v>
      </c>
    </row>
    <row r="44" spans="1:5" ht="12.75">
      <c r="A44" s="2">
        <v>27</v>
      </c>
      <c r="B44" s="17">
        <v>0</v>
      </c>
      <c r="C44" s="17">
        <v>0</v>
      </c>
      <c r="D44" s="17">
        <v>0</v>
      </c>
      <c r="E44" s="17">
        <v>0</v>
      </c>
    </row>
    <row r="45" spans="1:5" ht="12.75">
      <c r="A45" s="2">
        <v>28</v>
      </c>
      <c r="B45" s="17">
        <v>0</v>
      </c>
      <c r="C45" s="17">
        <v>0</v>
      </c>
      <c r="D45" s="17">
        <v>0</v>
      </c>
      <c r="E45" s="17">
        <v>0</v>
      </c>
    </row>
    <row r="46" spans="1:5" ht="12.75">
      <c r="A46" s="2">
        <v>29</v>
      </c>
      <c r="B46" s="17">
        <v>0</v>
      </c>
      <c r="C46" s="17">
        <v>0</v>
      </c>
      <c r="D46" s="17">
        <v>0</v>
      </c>
      <c r="E46" s="17">
        <v>0</v>
      </c>
    </row>
    <row r="47" spans="1:5" ht="12.75">
      <c r="A47" s="2">
        <v>30</v>
      </c>
      <c r="B47" s="17">
        <v>0</v>
      </c>
      <c r="C47" s="17">
        <v>0</v>
      </c>
      <c r="D47" s="17">
        <v>0</v>
      </c>
      <c r="E47" s="17">
        <v>0</v>
      </c>
    </row>
    <row r="48" spans="1:5" ht="12.75">
      <c r="A48" s="2">
        <v>31</v>
      </c>
      <c r="B48" s="17">
        <v>0</v>
      </c>
      <c r="C48" s="17">
        <v>0</v>
      </c>
      <c r="D48" s="17">
        <v>0</v>
      </c>
      <c r="E48" s="17">
        <v>0</v>
      </c>
    </row>
    <row r="49" spans="1:5" ht="12.75">
      <c r="A49" s="2">
        <v>31</v>
      </c>
      <c r="B49" s="17">
        <v>0</v>
      </c>
      <c r="C49" s="17">
        <v>0</v>
      </c>
      <c r="D49" s="17">
        <v>0</v>
      </c>
      <c r="E49" s="17">
        <v>0</v>
      </c>
    </row>
    <row r="51" ht="12.75">
      <c r="B51" s="20"/>
    </row>
    <row r="53" ht="12.75">
      <c r="B53" s="20"/>
    </row>
  </sheetData>
  <sheetProtection/>
  <mergeCells count="1">
    <mergeCell ref="B15:E15"/>
  </mergeCells>
  <printOptions/>
  <pageMargins left="0.95" right="0.95" top="1.75" bottom="1" header="0.74" footer="0.55"/>
  <pageSetup fitToHeight="1" fitToWidth="1" horizontalDpi="600" verticalDpi="600" orientation="portrait" scale="96" r:id="rId1"/>
  <headerFooter scaleWithDoc="0" alignWithMargins="0">
    <oddHeader>&amp;C&amp;"Times New Roman,Bold"&amp;14
Louisville Gas and Electric Company
Gas Telemetry Charge Cost Support&amp;R&amp;"Arial,Bold"&amp;12Conroy Exhibit M4
Page &amp;P of &amp;N</oddHeader>
    <evenHeader>&amp;C&amp;"Times New Roman,Bold"&amp;12Louisville Gas and Electric Company
Gas Telemetry Charge Cost Support</evenHeader>
    <evenFooter>&amp;R&amp;"Times New Roman,Bold"&amp;12Conroy Exhibit M4
Page &amp;P of &amp;N</evenFooter>
    <firstHeader>&amp;C&amp;"Times New Roman,Bold"&amp;12Louisville Gas and Electric Company
Gas Telemetry Charge Cost Support</firstHeader>
    <firstFooter>&amp;R&amp;"Times New Roman,Bold"&amp;12Conroy Exhibit M4
Page &amp;P of 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6"/>
  <sheetViews>
    <sheetView tabSelected="1" view="pageBreakPreview" zoomScaleSheetLayoutView="100" zoomScalePageLayoutView="70" workbookViewId="0" topLeftCell="A1">
      <selection activeCell="K21" sqref="K21"/>
    </sheetView>
  </sheetViews>
  <sheetFormatPr defaultColWidth="9.140625" defaultRowHeight="12.75"/>
  <cols>
    <col min="1" max="1" width="9.140625" style="2" customWidth="1"/>
    <col min="2" max="2" width="12.28125" style="2" customWidth="1"/>
    <col min="3" max="3" width="13.57421875" style="2" customWidth="1"/>
    <col min="4" max="4" width="12.57421875" style="2" customWidth="1"/>
    <col min="5" max="5" width="13.00390625" style="2" customWidth="1"/>
    <col min="6" max="7" width="12.8515625" style="2" customWidth="1"/>
    <col min="8" max="8" width="14.00390625" style="2" customWidth="1"/>
    <col min="9" max="9" width="13.140625" style="2" customWidth="1"/>
    <col min="10" max="10" width="12.8515625" style="2" customWidth="1"/>
    <col min="11" max="11" width="12.140625" style="2" customWidth="1"/>
    <col min="12" max="12" width="12.00390625" style="2" customWidth="1"/>
    <col min="13" max="13" width="11.00390625" style="2" customWidth="1"/>
    <col min="14" max="14" width="11.8515625" style="2" customWidth="1"/>
    <col min="15" max="15" width="14.28125" style="2" customWidth="1"/>
    <col min="16" max="16" width="12.28125" style="2" customWidth="1"/>
    <col min="17" max="17" width="13.8515625" style="2" customWidth="1"/>
    <col min="18" max="18" width="15.00390625" style="2" customWidth="1"/>
    <col min="19" max="16384" width="9.140625" style="2" customWidth="1"/>
  </cols>
  <sheetData>
    <row r="1" spans="2:17" ht="18.75">
      <c r="B1" s="1"/>
      <c r="H1" s="3"/>
      <c r="I1" s="1"/>
      <c r="Q1" s="3"/>
    </row>
    <row r="2" spans="2:17" ht="12.75">
      <c r="B2" s="4" t="s">
        <v>37</v>
      </c>
      <c r="H2" s="5"/>
      <c r="I2" s="4" t="s">
        <v>37</v>
      </c>
      <c r="Q2" s="5"/>
    </row>
    <row r="3" spans="2:17" ht="12.75">
      <c r="B3" s="4"/>
      <c r="H3" s="5"/>
      <c r="I3" s="4"/>
      <c r="Q3" s="5"/>
    </row>
    <row r="4" spans="2:17" ht="12.75">
      <c r="B4" s="4"/>
      <c r="H4" s="5"/>
      <c r="I4" s="4"/>
      <c r="Q4" s="5"/>
    </row>
    <row r="7" spans="2:9" ht="12.75">
      <c r="B7" s="4" t="s">
        <v>47</v>
      </c>
      <c r="I7" s="4" t="s">
        <v>47</v>
      </c>
    </row>
    <row r="8" spans="2:15" ht="12.75">
      <c r="B8" s="49" t="s">
        <v>48</v>
      </c>
      <c r="F8" s="50">
        <v>1000</v>
      </c>
      <c r="I8" s="49" t="s">
        <v>48</v>
      </c>
      <c r="L8" s="50">
        <v>1000</v>
      </c>
      <c r="O8" s="50">
        <f aca="true" t="shared" si="0" ref="O8:O14">F8</f>
        <v>1000</v>
      </c>
    </row>
    <row r="9" spans="2:15" ht="12.75">
      <c r="B9" s="49" t="s">
        <v>49</v>
      </c>
      <c r="F9" s="2">
        <v>5</v>
      </c>
      <c r="I9" s="49" t="s">
        <v>49</v>
      </c>
      <c r="L9" s="2">
        <v>30</v>
      </c>
      <c r="O9" s="2">
        <f t="shared" si="0"/>
        <v>5</v>
      </c>
    </row>
    <row r="10" spans="2:15" ht="12.75">
      <c r="B10" s="49" t="s">
        <v>50</v>
      </c>
      <c r="F10" s="2">
        <v>5</v>
      </c>
      <c r="I10" s="49" t="s">
        <v>50</v>
      </c>
      <c r="L10" s="2">
        <v>20</v>
      </c>
      <c r="O10" s="2">
        <f t="shared" si="0"/>
        <v>5</v>
      </c>
    </row>
    <row r="11" spans="2:15" ht="12.75">
      <c r="B11" s="49" t="s">
        <v>51</v>
      </c>
      <c r="F11" s="18">
        <f>'WACOC-Tax Table pg3'!E11</f>
        <v>0.373674</v>
      </c>
      <c r="I11" s="49" t="s">
        <v>51</v>
      </c>
      <c r="L11" s="51">
        <v>0.3760280836</v>
      </c>
      <c r="O11" s="18">
        <f t="shared" si="0"/>
        <v>0.373674</v>
      </c>
    </row>
    <row r="12" spans="2:15" ht="12.75">
      <c r="B12" s="49" t="s">
        <v>52</v>
      </c>
      <c r="F12" s="18">
        <v>0</v>
      </c>
      <c r="I12" s="49" t="s">
        <v>52</v>
      </c>
      <c r="L12" s="18">
        <v>0</v>
      </c>
      <c r="O12" s="18">
        <f t="shared" si="0"/>
        <v>0</v>
      </c>
    </row>
    <row r="13" spans="2:15" ht="12.75">
      <c r="B13" s="49" t="s">
        <v>53</v>
      </c>
      <c r="F13" s="2">
        <v>5</v>
      </c>
      <c r="I13" s="49" t="s">
        <v>53</v>
      </c>
      <c r="L13" s="2">
        <v>35</v>
      </c>
      <c r="O13" s="2">
        <f t="shared" si="0"/>
        <v>5</v>
      </c>
    </row>
    <row r="14" spans="2:15" ht="12.75">
      <c r="B14" s="49" t="s">
        <v>54</v>
      </c>
      <c r="F14" s="18">
        <v>0</v>
      </c>
      <c r="I14" s="49" t="s">
        <v>54</v>
      </c>
      <c r="L14" s="18">
        <v>0</v>
      </c>
      <c r="O14" s="18">
        <f t="shared" si="0"/>
        <v>0</v>
      </c>
    </row>
    <row r="15" spans="2:15" ht="12.75">
      <c r="B15" s="49"/>
      <c r="F15" s="18"/>
      <c r="I15" s="49"/>
      <c r="L15" s="18"/>
      <c r="O15" s="18"/>
    </row>
    <row r="17" spans="2:9" ht="12.75">
      <c r="B17" s="4" t="s">
        <v>55</v>
      </c>
      <c r="I17" s="4" t="s">
        <v>55</v>
      </c>
    </row>
    <row r="18" spans="2:15" ht="12.75">
      <c r="B18" s="49" t="s">
        <v>56</v>
      </c>
      <c r="F18" s="52">
        <f>Q71</f>
        <v>993.0119793065448</v>
      </c>
      <c r="I18" s="49" t="s">
        <v>56</v>
      </c>
      <c r="L18" s="52">
        <f>X71</f>
        <v>0</v>
      </c>
      <c r="O18" s="52">
        <f>F18</f>
        <v>993.0119793065448</v>
      </c>
    </row>
    <row r="19" spans="2:15" ht="12.75">
      <c r="B19" s="49" t="s">
        <v>57</v>
      </c>
      <c r="F19" s="53">
        <f>PMT('WACOC-Tax Table pg3'!D13,F13,Q71)*-1</f>
        <v>247.3784028721859</v>
      </c>
      <c r="I19" s="49" t="s">
        <v>57</v>
      </c>
      <c r="L19" s="53" t="e">
        <f>PMT('[1]WACOC-Tax Table'!L13,L13,X71)*-1</f>
        <v>#REF!</v>
      </c>
      <c r="O19" s="53">
        <f>F19</f>
        <v>247.3784028721859</v>
      </c>
    </row>
    <row r="20" spans="2:15" ht="12.75">
      <c r="B20" s="49" t="s">
        <v>58</v>
      </c>
      <c r="F20" s="18">
        <f>F19/F8</f>
        <v>0.24737840287218588</v>
      </c>
      <c r="I20" s="49" t="s">
        <v>58</v>
      </c>
      <c r="L20" s="18" t="e">
        <f>L19/L8</f>
        <v>#REF!</v>
      </c>
      <c r="O20" s="18">
        <f>F20</f>
        <v>0.24737840287218588</v>
      </c>
    </row>
    <row r="21" spans="2:16" ht="12.75">
      <c r="B21" s="49" t="s">
        <v>59</v>
      </c>
      <c r="F21" s="54">
        <f>1/F20</f>
        <v>4.042390072817612</v>
      </c>
      <c r="G21" s="2" t="s">
        <v>60</v>
      </c>
      <c r="I21" s="49" t="s">
        <v>59</v>
      </c>
      <c r="L21" s="54" t="e">
        <f>1/L20</f>
        <v>#REF!</v>
      </c>
      <c r="M21" s="2" t="s">
        <v>60</v>
      </c>
      <c r="O21" s="54">
        <f>F21</f>
        <v>4.042390072817612</v>
      </c>
      <c r="P21" s="2" t="s">
        <v>60</v>
      </c>
    </row>
    <row r="22" ht="12.75">
      <c r="C22" s="54"/>
    </row>
    <row r="23" ht="12.75">
      <c r="C23" s="54"/>
    </row>
    <row r="24" spans="1:19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5"/>
      <c r="Q24" s="5"/>
      <c r="R24" s="55" t="s">
        <v>2</v>
      </c>
      <c r="S24" s="5"/>
    </row>
    <row r="25" spans="1:19" ht="12.75">
      <c r="A25" s="5"/>
      <c r="B25" s="5"/>
      <c r="C25" s="5"/>
      <c r="D25" s="5"/>
      <c r="E25" s="5"/>
      <c r="F25" s="5"/>
      <c r="G25" s="5"/>
      <c r="H25" s="5"/>
      <c r="I25" s="55"/>
      <c r="J25" s="5"/>
      <c r="K25" s="5"/>
      <c r="L25" s="5"/>
      <c r="M25" s="5"/>
      <c r="N25" s="55"/>
      <c r="O25" s="55"/>
      <c r="P25" s="55" t="s">
        <v>3</v>
      </c>
      <c r="Q25" s="55" t="s">
        <v>3</v>
      </c>
      <c r="R25" s="55" t="s">
        <v>3</v>
      </c>
      <c r="S25" s="55" t="s">
        <v>9</v>
      </c>
    </row>
    <row r="26" spans="1:19" ht="12.75">
      <c r="A26" s="5"/>
      <c r="B26" s="5"/>
      <c r="C26" s="5"/>
      <c r="D26" s="5"/>
      <c r="E26" s="5"/>
      <c r="F26" s="5"/>
      <c r="G26" s="5"/>
      <c r="H26" s="55" t="s">
        <v>61</v>
      </c>
      <c r="I26" s="55"/>
      <c r="J26" s="5"/>
      <c r="K26" s="5"/>
      <c r="L26" s="5"/>
      <c r="M26" s="5"/>
      <c r="N26" s="55"/>
      <c r="O26" s="55" t="s">
        <v>9</v>
      </c>
      <c r="P26" s="55" t="s">
        <v>62</v>
      </c>
      <c r="Q26" s="55" t="s">
        <v>62</v>
      </c>
      <c r="R26" s="55" t="s">
        <v>62</v>
      </c>
      <c r="S26" s="55" t="s">
        <v>63</v>
      </c>
    </row>
    <row r="27" spans="1:19" ht="12.75">
      <c r="A27" s="5"/>
      <c r="B27" s="55"/>
      <c r="C27" s="55" t="s">
        <v>64</v>
      </c>
      <c r="D27" s="55" t="s">
        <v>65</v>
      </c>
      <c r="E27" s="55" t="s">
        <v>66</v>
      </c>
      <c r="F27" s="55" t="s">
        <v>65</v>
      </c>
      <c r="G27" s="55" t="s">
        <v>67</v>
      </c>
      <c r="H27" s="55" t="s">
        <v>67</v>
      </c>
      <c r="I27" s="55"/>
      <c r="J27" s="55"/>
      <c r="K27" s="55"/>
      <c r="L27" s="55"/>
      <c r="M27" s="55" t="s">
        <v>68</v>
      </c>
      <c r="N27" s="55" t="s">
        <v>69</v>
      </c>
      <c r="O27" s="55" t="s">
        <v>70</v>
      </c>
      <c r="P27" s="55" t="s">
        <v>71</v>
      </c>
      <c r="Q27" s="55" t="s">
        <v>70</v>
      </c>
      <c r="R27" s="55" t="s">
        <v>70</v>
      </c>
      <c r="S27" s="55" t="s">
        <v>0</v>
      </c>
    </row>
    <row r="28" spans="1:19" ht="12.75">
      <c r="A28" s="55" t="s">
        <v>15</v>
      </c>
      <c r="B28" s="55" t="s">
        <v>72</v>
      </c>
      <c r="C28" s="55" t="s">
        <v>73</v>
      </c>
      <c r="D28" s="55" t="s">
        <v>74</v>
      </c>
      <c r="E28" s="55" t="s">
        <v>73</v>
      </c>
      <c r="F28" s="55" t="s">
        <v>74</v>
      </c>
      <c r="G28" s="55" t="s">
        <v>75</v>
      </c>
      <c r="H28" s="55" t="s">
        <v>75</v>
      </c>
      <c r="I28" s="55" t="s">
        <v>76</v>
      </c>
      <c r="J28" s="55" t="s">
        <v>71</v>
      </c>
      <c r="K28" s="55" t="s">
        <v>77</v>
      </c>
      <c r="L28" s="55" t="s">
        <v>78</v>
      </c>
      <c r="M28" s="55" t="s">
        <v>79</v>
      </c>
      <c r="N28" s="55" t="s">
        <v>79</v>
      </c>
      <c r="O28" s="55" t="s">
        <v>80</v>
      </c>
      <c r="P28" s="55" t="s">
        <v>81</v>
      </c>
      <c r="Q28" s="55" t="s">
        <v>80</v>
      </c>
      <c r="R28" s="55" t="s">
        <v>80</v>
      </c>
      <c r="S28" s="55" t="s">
        <v>42</v>
      </c>
    </row>
    <row r="30" spans="1:18" ht="12.75">
      <c r="A30" s="2">
        <v>0</v>
      </c>
      <c r="B30" s="50">
        <f>F8</f>
        <v>1000</v>
      </c>
      <c r="C30" s="56"/>
      <c r="D30" s="56"/>
      <c r="E30" s="56"/>
      <c r="F30" s="56"/>
      <c r="G30" s="56"/>
      <c r="H30" s="56"/>
      <c r="I30" s="52">
        <v>0</v>
      </c>
      <c r="J30" s="33">
        <f>'WACOC-Tax Table pg3'!$D$11*I30</f>
        <v>0</v>
      </c>
      <c r="K30" s="50">
        <f>I30*('WACOC-Tax Table pg3'!$D$12)</f>
        <v>0</v>
      </c>
      <c r="M30" s="52">
        <f aca="true" t="shared" si="1" ref="M30:M70">$F$12*D30</f>
        <v>0</v>
      </c>
      <c r="N30" s="57">
        <f aca="true" t="shared" si="2" ref="N30:N70">($F$11/(1-$F$11))*K30</f>
        <v>0</v>
      </c>
      <c r="O30" s="50">
        <f aca="true" t="shared" si="3" ref="O30:O70">C30+J30+K30+L30+M30+N30</f>
        <v>0</v>
      </c>
      <c r="P30" s="58">
        <f>1/(1+'WACOC-Tax Table pg3'!$D$13)^A30</f>
        <v>1</v>
      </c>
      <c r="Q30" s="59">
        <f aca="true" t="shared" si="4" ref="Q30:Q70">O30*P30</f>
        <v>0</v>
      </c>
      <c r="R30" s="52">
        <f>Q30</f>
        <v>0</v>
      </c>
    </row>
    <row r="31" spans="1:20" ht="12.75">
      <c r="A31" s="2">
        <v>1</v>
      </c>
      <c r="C31" s="57">
        <f>(1/$F$9)*$B$30</f>
        <v>200</v>
      </c>
      <c r="D31" s="57">
        <f>$B$30-C31</f>
        <v>800</v>
      </c>
      <c r="E31" s="57">
        <f>HLOOKUP($F$10,'WACOC-Tax Table pg3'!$B$17:$E$58,A32)*$B$30</f>
        <v>200</v>
      </c>
      <c r="F31" s="57">
        <f>B30-E31</f>
        <v>800</v>
      </c>
      <c r="G31" s="57">
        <f aca="true" t="shared" si="5" ref="G31:G70">(E31-C31)*$F$11</f>
        <v>0</v>
      </c>
      <c r="H31" s="57">
        <f>G31</f>
        <v>0</v>
      </c>
      <c r="I31" s="57">
        <f aca="true" t="shared" si="6" ref="I31:I36">D31-H31</f>
        <v>800</v>
      </c>
      <c r="J31" s="57">
        <f>'WACOC-Tax Table pg3'!$D$11*I31</f>
        <v>13.414464</v>
      </c>
      <c r="K31" s="50">
        <f>I31*('WACOC-Tax Table pg3'!$D$12)</f>
        <v>48.9632</v>
      </c>
      <c r="L31" s="57">
        <f>$F$14*$F$8</f>
        <v>0</v>
      </c>
      <c r="M31" s="57">
        <f t="shared" si="1"/>
        <v>0</v>
      </c>
      <c r="N31" s="57">
        <f t="shared" si="2"/>
        <v>29.21206336125277</v>
      </c>
      <c r="O31" s="57">
        <f t="shared" si="3"/>
        <v>291.58972736125276</v>
      </c>
      <c r="P31" s="58">
        <f>1/(1+'WACOC-Tax Table pg3'!$D$13)^A31</f>
        <v>0.9276678112108433</v>
      </c>
      <c r="Q31" s="60">
        <f t="shared" si="4"/>
        <v>270.49840415277987</v>
      </c>
      <c r="R31" s="57">
        <f aca="true" t="shared" si="7" ref="R31:R69">R30+Q31</f>
        <v>270.49840415277987</v>
      </c>
      <c r="S31" s="18">
        <f aca="true" t="shared" si="8" ref="S31:S70">O31/$B$30</f>
        <v>0.29158972736125277</v>
      </c>
      <c r="T31" s="53"/>
    </row>
    <row r="32" spans="1:20" ht="12.75">
      <c r="A32" s="2">
        <v>2</v>
      </c>
      <c r="C32" s="57">
        <f aca="true" t="shared" si="9" ref="C32:C70">IF(D31&lt;=0.001,0,(1/$F$9)*$B$30)</f>
        <v>200</v>
      </c>
      <c r="D32" s="57">
        <f aca="true" t="shared" si="10" ref="D32:D69">D31-C32</f>
        <v>600</v>
      </c>
      <c r="E32" s="57">
        <f>HLOOKUP($F$10,'WACOC-Tax Table pg3'!$B$17:$E$58,A33)*$B$30</f>
        <v>320</v>
      </c>
      <c r="F32" s="57">
        <f aca="true" t="shared" si="11" ref="F32:F69">F31-E32</f>
        <v>480</v>
      </c>
      <c r="G32" s="57">
        <f t="shared" si="5"/>
        <v>44.84088</v>
      </c>
      <c r="H32" s="57">
        <f aca="true" t="shared" si="12" ref="H32:H69">H31+G32</f>
        <v>44.84088</v>
      </c>
      <c r="I32" s="57">
        <f t="shared" si="6"/>
        <v>555.15912</v>
      </c>
      <c r="J32" s="57">
        <f>'WACOC-Tax Table pg3'!$D$11*I32</f>
        <v>9.308952536889601</v>
      </c>
      <c r="K32" s="50">
        <f>I32*('WACOC-Tax Table pg3'!$D$12)</f>
        <v>33.97795878048</v>
      </c>
      <c r="L32" s="57">
        <f aca="true" t="shared" si="13" ref="L32:L65">$F$14*$F$8*(1+$F$15)^A31</f>
        <v>0</v>
      </c>
      <c r="M32" s="57">
        <f t="shared" si="1"/>
        <v>0</v>
      </c>
      <c r="N32" s="57">
        <f t="shared" si="2"/>
        <v>20.271679236271662</v>
      </c>
      <c r="O32" s="57">
        <f t="shared" si="3"/>
        <v>263.55859055364124</v>
      </c>
      <c r="P32" s="58">
        <f>1/(1+'WACOC-Tax Table pg3'!$D$13)^A32</f>
        <v>0.8605675679567169</v>
      </c>
      <c r="Q32" s="60">
        <f t="shared" si="4"/>
        <v>226.80997528684716</v>
      </c>
      <c r="R32" s="57">
        <f t="shared" si="7"/>
        <v>497.30837943962706</v>
      </c>
      <c r="S32" s="18">
        <f t="shared" si="8"/>
        <v>0.2635585905536412</v>
      </c>
      <c r="T32" s="53"/>
    </row>
    <row r="33" spans="1:20" ht="12.75">
      <c r="A33" s="2">
        <v>3</v>
      </c>
      <c r="C33" s="57">
        <f t="shared" si="9"/>
        <v>200</v>
      </c>
      <c r="D33" s="57">
        <f t="shared" si="10"/>
        <v>400</v>
      </c>
      <c r="E33" s="57">
        <f>HLOOKUP($F$10,'WACOC-Tax Table pg3'!$B$17:$E$58,A34)*$B$30</f>
        <v>192</v>
      </c>
      <c r="F33" s="57">
        <f t="shared" si="11"/>
        <v>288</v>
      </c>
      <c r="G33" s="57">
        <f t="shared" si="5"/>
        <v>-2.989392</v>
      </c>
      <c r="H33" s="57">
        <f t="shared" si="12"/>
        <v>41.851487999999996</v>
      </c>
      <c r="I33" s="57">
        <f t="shared" si="6"/>
        <v>358.148512</v>
      </c>
      <c r="J33" s="57">
        <f>'WACOC-Tax Table pg3'!$D$11*I33</f>
        <v>6.00546290109696</v>
      </c>
      <c r="K33" s="50">
        <f>I33*('WACOC-Tax Table pg3'!$D$12)</f>
        <v>21.920121528448</v>
      </c>
      <c r="L33" s="57">
        <f t="shared" si="13"/>
        <v>0</v>
      </c>
      <c r="M33" s="57">
        <f t="shared" si="1"/>
        <v>0</v>
      </c>
      <c r="N33" s="57">
        <f t="shared" si="2"/>
        <v>13.077821281602997</v>
      </c>
      <c r="O33" s="57">
        <f t="shared" si="3"/>
        <v>241.00340571114796</v>
      </c>
      <c r="P33" s="58">
        <f>1/(1+'WACOC-Tax Table pg3'!$D$13)^A33</f>
        <v>0.7983208321654462</v>
      </c>
      <c r="Q33" s="60">
        <f t="shared" si="4"/>
        <v>192.3980394020303</v>
      </c>
      <c r="R33" s="57">
        <f t="shared" si="7"/>
        <v>689.7064188416573</v>
      </c>
      <c r="S33" s="18">
        <f t="shared" si="8"/>
        <v>0.24100340571114795</v>
      </c>
      <c r="T33" s="53"/>
    </row>
    <row r="34" spans="1:20" ht="12.75">
      <c r="A34" s="2">
        <v>4</v>
      </c>
      <c r="C34" s="57">
        <f t="shared" si="9"/>
        <v>200</v>
      </c>
      <c r="D34" s="57">
        <f t="shared" si="10"/>
        <v>200</v>
      </c>
      <c r="E34" s="57">
        <f>HLOOKUP($F$10,'WACOC-Tax Table pg3'!$B$17:$E$58,A35)*$B$30</f>
        <v>115.2</v>
      </c>
      <c r="F34" s="57">
        <f t="shared" si="11"/>
        <v>172.8</v>
      </c>
      <c r="G34" s="57">
        <f t="shared" si="5"/>
        <v>-31.6875552</v>
      </c>
      <c r="H34" s="57">
        <f t="shared" si="12"/>
        <v>10.163932799999998</v>
      </c>
      <c r="I34" s="57">
        <f t="shared" si="6"/>
        <v>189.8360672</v>
      </c>
      <c r="J34" s="57">
        <f>'WACOC-Tax Table pg3'!$D$11*I34</f>
        <v>3.1831863616949763</v>
      </c>
      <c r="K34" s="50">
        <f>I34*('WACOC-Tax Table pg3'!$D$12)</f>
        <v>11.6187266569088</v>
      </c>
      <c r="L34" s="57">
        <f t="shared" si="13"/>
        <v>0</v>
      </c>
      <c r="M34" s="57">
        <f t="shared" si="1"/>
        <v>0</v>
      </c>
      <c r="N34" s="57">
        <f t="shared" si="2"/>
        <v>6.931879029121798</v>
      </c>
      <c r="O34" s="57">
        <f t="shared" si="3"/>
        <v>221.73379204772556</v>
      </c>
      <c r="P34" s="58">
        <f>1/(1+'WACOC-Tax Table pg3'!$D$13)^A34</f>
        <v>0.7405765390189384</v>
      </c>
      <c r="Q34" s="60">
        <f t="shared" si="4"/>
        <v>164.21084429824958</v>
      </c>
      <c r="R34" s="57">
        <f t="shared" si="7"/>
        <v>853.9172631399069</v>
      </c>
      <c r="S34" s="18">
        <f t="shared" si="8"/>
        <v>0.22173379204772556</v>
      </c>
      <c r="T34" s="53"/>
    </row>
    <row r="35" spans="1:20" ht="12.75">
      <c r="A35" s="2">
        <v>5</v>
      </c>
      <c r="C35" s="57">
        <f t="shared" si="9"/>
        <v>200</v>
      </c>
      <c r="D35" s="57">
        <f t="shared" si="10"/>
        <v>0</v>
      </c>
      <c r="E35" s="57">
        <f>HLOOKUP($F$10,'WACOC-Tax Table pg3'!$B$17:$E$58,A36)*$B$30</f>
        <v>115.2</v>
      </c>
      <c r="F35" s="57">
        <f t="shared" si="11"/>
        <v>57.60000000000001</v>
      </c>
      <c r="G35" s="57">
        <f t="shared" si="5"/>
        <v>-31.6875552</v>
      </c>
      <c r="H35" s="57">
        <f t="shared" si="12"/>
        <v>-21.5236224</v>
      </c>
      <c r="I35" s="57">
        <f t="shared" si="6"/>
        <v>21.5236224</v>
      </c>
      <c r="J35" s="57">
        <f>'WACOC-Tax Table pg3'!$D$11*I35</f>
        <v>0.360909822292992</v>
      </c>
      <c r="K35" s="50">
        <f>I35*('WACOC-Tax Table pg3'!$D$12)</f>
        <v>1.3173317853696</v>
      </c>
      <c r="L35" s="57">
        <f t="shared" si="13"/>
        <v>0</v>
      </c>
      <c r="M35" s="57">
        <f t="shared" si="1"/>
        <v>0</v>
      </c>
      <c r="N35" s="57">
        <f t="shared" si="2"/>
        <v>0.7859367766405992</v>
      </c>
      <c r="O35" s="57">
        <f t="shared" si="3"/>
        <v>202.46417838430318</v>
      </c>
      <c r="P35" s="58">
        <f>1/(1+'WACOC-Tax Table pg3'!$D$13)^A35</f>
        <v>0.6870090169858003</v>
      </c>
      <c r="Q35" s="60">
        <f t="shared" si="4"/>
        <v>139.09471616663785</v>
      </c>
      <c r="R35" s="57">
        <f t="shared" si="7"/>
        <v>993.0119793065448</v>
      </c>
      <c r="S35" s="18">
        <f t="shared" si="8"/>
        <v>0.2024641783843032</v>
      </c>
      <c r="T35" s="53"/>
    </row>
    <row r="36" spans="1:20" ht="12.75">
      <c r="A36" s="2">
        <v>6</v>
      </c>
      <c r="C36" s="57">
        <f t="shared" si="9"/>
        <v>0</v>
      </c>
      <c r="D36" s="57">
        <f t="shared" si="10"/>
        <v>0</v>
      </c>
      <c r="E36" s="57">
        <f>HLOOKUP($F$10,'WACOC-Tax Table pg3'!$B$17:$E$58,A37)*$B$30</f>
        <v>57.600000000000044</v>
      </c>
      <c r="F36" s="57">
        <f t="shared" si="11"/>
        <v>0</v>
      </c>
      <c r="G36" s="57">
        <f t="shared" si="5"/>
        <v>21.52362240000002</v>
      </c>
      <c r="H36" s="57">
        <f t="shared" si="12"/>
        <v>0</v>
      </c>
      <c r="I36" s="57">
        <f t="shared" si="6"/>
        <v>0</v>
      </c>
      <c r="J36" s="57">
        <f>'WACOC-Tax Table pg3'!$D$11*I36</f>
        <v>0</v>
      </c>
      <c r="K36" s="50">
        <f>I36*('WACOC-Tax Table pg3'!$D$12)</f>
        <v>0</v>
      </c>
      <c r="L36" s="57">
        <f t="shared" si="13"/>
        <v>0</v>
      </c>
      <c r="M36" s="57">
        <f t="shared" si="1"/>
        <v>0</v>
      </c>
      <c r="N36" s="57">
        <f t="shared" si="2"/>
        <v>0</v>
      </c>
      <c r="O36" s="57">
        <f t="shared" si="3"/>
        <v>0</v>
      </c>
      <c r="P36" s="58">
        <f>1/(1+'WACOC-Tax Table pg3'!$D$13)^A36</f>
        <v>0.6373161510693305</v>
      </c>
      <c r="Q36" s="60">
        <f t="shared" si="4"/>
        <v>0</v>
      </c>
      <c r="R36" s="57">
        <f t="shared" si="7"/>
        <v>993.0119793065448</v>
      </c>
      <c r="S36" s="18">
        <f t="shared" si="8"/>
        <v>0</v>
      </c>
      <c r="T36" s="53"/>
    </row>
    <row r="37" spans="1:20" ht="10.5" customHeight="1">
      <c r="A37" s="2">
        <v>7</v>
      </c>
      <c r="C37" s="57">
        <f t="shared" si="9"/>
        <v>0</v>
      </c>
      <c r="D37" s="57">
        <f t="shared" si="10"/>
        <v>0</v>
      </c>
      <c r="E37" s="57">
        <f>HLOOKUP($F$10,'WACOC-Tax Table pg3'!$B$17:$E$58,A38)*$B$30</f>
        <v>0</v>
      </c>
      <c r="F37" s="57">
        <f t="shared" si="11"/>
        <v>0</v>
      </c>
      <c r="G37" s="57">
        <f t="shared" si="5"/>
        <v>0</v>
      </c>
      <c r="H37" s="57">
        <f t="shared" si="12"/>
        <v>0</v>
      </c>
      <c r="I37" s="57">
        <f aca="true" t="shared" si="14" ref="I37:I70">D37</f>
        <v>0</v>
      </c>
      <c r="J37" s="57">
        <f>'[1]WACOC-Tax Table'!$E$10*I37</f>
        <v>0</v>
      </c>
      <c r="K37" s="50">
        <f>I37*('WACOC-Tax Table pg3'!$D$12)</f>
        <v>0</v>
      </c>
      <c r="L37" s="57">
        <f t="shared" si="13"/>
        <v>0</v>
      </c>
      <c r="M37" s="57">
        <f t="shared" si="1"/>
        <v>0</v>
      </c>
      <c r="N37" s="57">
        <f t="shared" si="2"/>
        <v>0</v>
      </c>
      <c r="O37" s="57">
        <f t="shared" si="3"/>
        <v>0</v>
      </c>
      <c r="P37" s="58">
        <f>1/(1+'[1]WACOC-Tax Table'!$E$13)^A37</f>
        <v>0.5715207506001427</v>
      </c>
      <c r="Q37" s="60">
        <f t="shared" si="4"/>
        <v>0</v>
      </c>
      <c r="R37" s="57">
        <f t="shared" si="7"/>
        <v>993.0119793065448</v>
      </c>
      <c r="S37" s="18">
        <f t="shared" si="8"/>
        <v>0</v>
      </c>
      <c r="T37" s="53"/>
    </row>
    <row r="38" spans="1:20" ht="12.75">
      <c r="A38" s="2">
        <v>8</v>
      </c>
      <c r="C38" s="57">
        <f t="shared" si="9"/>
        <v>0</v>
      </c>
      <c r="D38" s="57">
        <f t="shared" si="10"/>
        <v>0</v>
      </c>
      <c r="E38" s="57">
        <f>HLOOKUP($F$10,'WACOC-Tax Table pg3'!$B$17:$E$58,A39)*$B$30</f>
        <v>0</v>
      </c>
      <c r="F38" s="57">
        <f t="shared" si="11"/>
        <v>0</v>
      </c>
      <c r="G38" s="57">
        <f t="shared" si="5"/>
        <v>0</v>
      </c>
      <c r="H38" s="57">
        <f t="shared" si="12"/>
        <v>0</v>
      </c>
      <c r="I38" s="57">
        <f t="shared" si="14"/>
        <v>0</v>
      </c>
      <c r="J38" s="57">
        <f>'[1]WACOC-Tax Table'!$E$10*I38</f>
        <v>0</v>
      </c>
      <c r="K38" s="50">
        <f>I38*('WACOC-Tax Table pg3'!$D$12)</f>
        <v>0</v>
      </c>
      <c r="L38" s="57">
        <f t="shared" si="13"/>
        <v>0</v>
      </c>
      <c r="M38" s="57">
        <f t="shared" si="1"/>
        <v>0</v>
      </c>
      <c r="N38" s="57">
        <f t="shared" si="2"/>
        <v>0</v>
      </c>
      <c r="O38" s="57">
        <f t="shared" si="3"/>
        <v>0</v>
      </c>
      <c r="P38" s="58">
        <f>1/(1+'[1]WACOC-Tax Table'!$E$13)^A38</f>
        <v>0.5276212632974474</v>
      </c>
      <c r="Q38" s="60">
        <f t="shared" si="4"/>
        <v>0</v>
      </c>
      <c r="R38" s="57">
        <f t="shared" si="7"/>
        <v>993.0119793065448</v>
      </c>
      <c r="S38" s="18">
        <f t="shared" si="8"/>
        <v>0</v>
      </c>
      <c r="T38" s="53"/>
    </row>
    <row r="39" spans="1:20" ht="12.75">
      <c r="A39" s="2">
        <v>9</v>
      </c>
      <c r="C39" s="57">
        <f t="shared" si="9"/>
        <v>0</v>
      </c>
      <c r="D39" s="57">
        <f t="shared" si="10"/>
        <v>0</v>
      </c>
      <c r="E39" s="57">
        <f>HLOOKUP($F$10,'WACOC-Tax Table pg3'!$B$17:$E$58,A40)*$B$30</f>
        <v>0</v>
      </c>
      <c r="F39" s="57">
        <f t="shared" si="11"/>
        <v>0</v>
      </c>
      <c r="G39" s="57">
        <f t="shared" si="5"/>
        <v>0</v>
      </c>
      <c r="H39" s="57">
        <f t="shared" si="12"/>
        <v>0</v>
      </c>
      <c r="I39" s="57">
        <f t="shared" si="14"/>
        <v>0</v>
      </c>
      <c r="J39" s="57">
        <f>'[1]WACOC-Tax Table'!$E$10*I39</f>
        <v>0</v>
      </c>
      <c r="K39" s="50">
        <f>I39*('WACOC-Tax Table pg3'!$D$12)</f>
        <v>0</v>
      </c>
      <c r="L39" s="57">
        <f t="shared" si="13"/>
        <v>0</v>
      </c>
      <c r="M39" s="57">
        <f t="shared" si="1"/>
        <v>0</v>
      </c>
      <c r="N39" s="57">
        <f t="shared" si="2"/>
        <v>0</v>
      </c>
      <c r="O39" s="57">
        <f t="shared" si="3"/>
        <v>0</v>
      </c>
      <c r="P39" s="58">
        <f>1/(1+'[1]WACOC-Tax Table'!$E$13)^A39</f>
        <v>0.48709377077082233</v>
      </c>
      <c r="Q39" s="60">
        <f t="shared" si="4"/>
        <v>0</v>
      </c>
      <c r="R39" s="57">
        <f t="shared" si="7"/>
        <v>993.0119793065448</v>
      </c>
      <c r="S39" s="18">
        <f t="shared" si="8"/>
        <v>0</v>
      </c>
      <c r="T39" s="53"/>
    </row>
    <row r="40" spans="1:20" ht="12.75">
      <c r="A40" s="2">
        <v>10</v>
      </c>
      <c r="C40" s="57">
        <f t="shared" si="9"/>
        <v>0</v>
      </c>
      <c r="D40" s="57">
        <f t="shared" si="10"/>
        <v>0</v>
      </c>
      <c r="E40" s="57">
        <f>HLOOKUP($F$10,'WACOC-Tax Table pg3'!$B$17:$E$58,A41)*$B$30</f>
        <v>0</v>
      </c>
      <c r="F40" s="57">
        <f t="shared" si="11"/>
        <v>0</v>
      </c>
      <c r="G40" s="57">
        <f t="shared" si="5"/>
        <v>0</v>
      </c>
      <c r="H40" s="57">
        <f t="shared" si="12"/>
        <v>0</v>
      </c>
      <c r="I40" s="57">
        <f t="shared" si="14"/>
        <v>0</v>
      </c>
      <c r="J40" s="57">
        <f>'[1]WACOC-Tax Table'!$E$10*I40</f>
        <v>0</v>
      </c>
      <c r="K40" s="50">
        <f>I40*('WACOC-Tax Table pg3'!$D$12)</f>
        <v>0</v>
      </c>
      <c r="L40" s="57">
        <f t="shared" si="13"/>
        <v>0</v>
      </c>
      <c r="M40" s="57">
        <f t="shared" si="1"/>
        <v>0</v>
      </c>
      <c r="N40" s="57">
        <f t="shared" si="2"/>
        <v>0</v>
      </c>
      <c r="O40" s="57">
        <f t="shared" si="3"/>
        <v>0</v>
      </c>
      <c r="P40" s="58">
        <f>1/(1+'[1]WACOC-Tax Table'!$E$13)^A40</f>
        <v>0.4496792643286299</v>
      </c>
      <c r="Q40" s="60">
        <f t="shared" si="4"/>
        <v>0</v>
      </c>
      <c r="R40" s="57">
        <f t="shared" si="7"/>
        <v>993.0119793065448</v>
      </c>
      <c r="S40" s="18">
        <f t="shared" si="8"/>
        <v>0</v>
      </c>
      <c r="T40" s="53"/>
    </row>
    <row r="41" spans="1:20" ht="12.75">
      <c r="A41" s="2">
        <v>11</v>
      </c>
      <c r="C41" s="57">
        <f t="shared" si="9"/>
        <v>0</v>
      </c>
      <c r="D41" s="57">
        <f t="shared" si="10"/>
        <v>0</v>
      </c>
      <c r="E41" s="57">
        <f>HLOOKUP($F$10,'WACOC-Tax Table pg3'!$B$17:$E$58,A42)*$B$30</f>
        <v>0</v>
      </c>
      <c r="F41" s="57">
        <f t="shared" si="11"/>
        <v>0</v>
      </c>
      <c r="G41" s="57">
        <f t="shared" si="5"/>
        <v>0</v>
      </c>
      <c r="H41" s="57">
        <f t="shared" si="12"/>
        <v>0</v>
      </c>
      <c r="I41" s="57">
        <f t="shared" si="14"/>
        <v>0</v>
      </c>
      <c r="J41" s="57">
        <f>'[1]WACOC-Tax Table'!$E$10*I41</f>
        <v>0</v>
      </c>
      <c r="K41" s="50">
        <f>I41*('WACOC-Tax Table pg3'!$D$12)</f>
        <v>0</v>
      </c>
      <c r="L41" s="57">
        <f t="shared" si="13"/>
        <v>0</v>
      </c>
      <c r="M41" s="57">
        <f t="shared" si="1"/>
        <v>0</v>
      </c>
      <c r="N41" s="57">
        <f t="shared" si="2"/>
        <v>0</v>
      </c>
      <c r="O41" s="57">
        <f t="shared" si="3"/>
        <v>0</v>
      </c>
      <c r="P41" s="58">
        <f>1/(1+'[1]WACOC-Tax Table'!$E$13)^A41</f>
        <v>0.4151386301802621</v>
      </c>
      <c r="Q41" s="60">
        <f t="shared" si="4"/>
        <v>0</v>
      </c>
      <c r="R41" s="57">
        <f t="shared" si="7"/>
        <v>993.0119793065448</v>
      </c>
      <c r="S41" s="18">
        <f t="shared" si="8"/>
        <v>0</v>
      </c>
      <c r="T41" s="53"/>
    </row>
    <row r="42" spans="1:20" ht="12.75">
      <c r="A42" s="2">
        <v>12</v>
      </c>
      <c r="C42" s="57">
        <f t="shared" si="9"/>
        <v>0</v>
      </c>
      <c r="D42" s="57">
        <f t="shared" si="10"/>
        <v>0</v>
      </c>
      <c r="E42" s="57">
        <f>HLOOKUP($F$10,'WACOC-Tax Table pg3'!$B$17:$E$58,A43)*$B$30</f>
        <v>0</v>
      </c>
      <c r="F42" s="57">
        <f t="shared" si="11"/>
        <v>0</v>
      </c>
      <c r="G42" s="57">
        <f t="shared" si="5"/>
        <v>0</v>
      </c>
      <c r="H42" s="57">
        <f t="shared" si="12"/>
        <v>0</v>
      </c>
      <c r="I42" s="57">
        <f t="shared" si="14"/>
        <v>0</v>
      </c>
      <c r="J42" s="57">
        <f>'[1]WACOC-Tax Table'!$E$10*I42</f>
        <v>0</v>
      </c>
      <c r="K42" s="50">
        <f>I42*('WACOC-Tax Table pg3'!$D$12)</f>
        <v>0</v>
      </c>
      <c r="L42" s="57">
        <f t="shared" si="13"/>
        <v>0</v>
      </c>
      <c r="M42" s="57">
        <f t="shared" si="1"/>
        <v>0</v>
      </c>
      <c r="N42" s="57">
        <f t="shared" si="2"/>
        <v>0</v>
      </c>
      <c r="O42" s="57">
        <f t="shared" si="3"/>
        <v>0</v>
      </c>
      <c r="P42" s="58">
        <f>1/(1+'[1]WACOC-Tax Table'!$E$13)^A42</f>
        <v>0.383251121274733</v>
      </c>
      <c r="Q42" s="60">
        <f t="shared" si="4"/>
        <v>0</v>
      </c>
      <c r="R42" s="57">
        <f t="shared" si="7"/>
        <v>993.0119793065448</v>
      </c>
      <c r="S42" s="18">
        <f t="shared" si="8"/>
        <v>0</v>
      </c>
      <c r="T42" s="53"/>
    </row>
    <row r="43" spans="1:20" ht="12.75">
      <c r="A43" s="2">
        <v>13</v>
      </c>
      <c r="C43" s="57">
        <f t="shared" si="9"/>
        <v>0</v>
      </c>
      <c r="D43" s="57">
        <f t="shared" si="10"/>
        <v>0</v>
      </c>
      <c r="E43" s="57">
        <f>HLOOKUP($F$10,'WACOC-Tax Table pg3'!$B$17:$E$58,A44)*$B$30</f>
        <v>0</v>
      </c>
      <c r="F43" s="57">
        <f t="shared" si="11"/>
        <v>0</v>
      </c>
      <c r="G43" s="57">
        <f t="shared" si="5"/>
        <v>0</v>
      </c>
      <c r="H43" s="57">
        <f t="shared" si="12"/>
        <v>0</v>
      </c>
      <c r="I43" s="57">
        <f t="shared" si="14"/>
        <v>0</v>
      </c>
      <c r="J43" s="57">
        <f>'[1]WACOC-Tax Table'!$E$10*I43</f>
        <v>0</v>
      </c>
      <c r="K43" s="50">
        <f>I43*('WACOC-Tax Table pg3'!$D$12)</f>
        <v>0</v>
      </c>
      <c r="L43" s="57">
        <f t="shared" si="13"/>
        <v>0</v>
      </c>
      <c r="M43" s="57">
        <f t="shared" si="1"/>
        <v>0</v>
      </c>
      <c r="N43" s="57">
        <f t="shared" si="2"/>
        <v>0</v>
      </c>
      <c r="O43" s="57">
        <f t="shared" si="3"/>
        <v>0</v>
      </c>
      <c r="P43" s="58">
        <f>1/(1+'[1]WACOC-Tax Table'!$E$13)^A43</f>
        <v>0.35381294651996376</v>
      </c>
      <c r="Q43" s="60">
        <f t="shared" si="4"/>
        <v>0</v>
      </c>
      <c r="R43" s="57">
        <f t="shared" si="7"/>
        <v>993.0119793065448</v>
      </c>
      <c r="S43" s="18">
        <f t="shared" si="8"/>
        <v>0</v>
      </c>
      <c r="T43" s="53"/>
    </row>
    <row r="44" spans="1:20" ht="12.75">
      <c r="A44" s="2">
        <v>14</v>
      </c>
      <c r="C44" s="57">
        <f t="shared" si="9"/>
        <v>0</v>
      </c>
      <c r="D44" s="57">
        <f t="shared" si="10"/>
        <v>0</v>
      </c>
      <c r="E44" s="57">
        <f>HLOOKUP($F$10,'WACOC-Tax Table pg3'!$B$17:$E$58,A45)*$B$30</f>
        <v>0</v>
      </c>
      <c r="F44" s="57">
        <f t="shared" si="11"/>
        <v>0</v>
      </c>
      <c r="G44" s="57">
        <f t="shared" si="5"/>
        <v>0</v>
      </c>
      <c r="H44" s="57">
        <f t="shared" si="12"/>
        <v>0</v>
      </c>
      <c r="I44" s="57">
        <f t="shared" si="14"/>
        <v>0</v>
      </c>
      <c r="J44" s="57">
        <f>'[1]WACOC-Tax Table'!$E$10*I44</f>
        <v>0</v>
      </c>
      <c r="K44" s="50">
        <f>I44*('WACOC-Tax Table pg3'!$D$12)</f>
        <v>0</v>
      </c>
      <c r="L44" s="57">
        <f t="shared" si="13"/>
        <v>0</v>
      </c>
      <c r="M44" s="57">
        <f t="shared" si="1"/>
        <v>0</v>
      </c>
      <c r="N44" s="57">
        <f t="shared" si="2"/>
        <v>0</v>
      </c>
      <c r="O44" s="57">
        <f t="shared" si="3"/>
        <v>0</v>
      </c>
      <c r="P44" s="58">
        <f>1/(1+'[1]WACOC-Tax Table'!$E$13)^A44</f>
        <v>0.3266359683665505</v>
      </c>
      <c r="Q44" s="60">
        <f t="shared" si="4"/>
        <v>0</v>
      </c>
      <c r="R44" s="57">
        <f t="shared" si="7"/>
        <v>993.0119793065448</v>
      </c>
      <c r="S44" s="18">
        <f t="shared" si="8"/>
        <v>0</v>
      </c>
      <c r="T44" s="53"/>
    </row>
    <row r="45" spans="1:20" ht="12.75">
      <c r="A45" s="2">
        <v>15</v>
      </c>
      <c r="C45" s="57">
        <f t="shared" si="9"/>
        <v>0</v>
      </c>
      <c r="D45" s="57">
        <f t="shared" si="10"/>
        <v>0</v>
      </c>
      <c r="E45" s="57">
        <f>HLOOKUP($F$10,'WACOC-Tax Table pg3'!$B$17:$E$58,A46)*$B$30</f>
        <v>0</v>
      </c>
      <c r="F45" s="57">
        <f t="shared" si="11"/>
        <v>0</v>
      </c>
      <c r="G45" s="57">
        <f t="shared" si="5"/>
        <v>0</v>
      </c>
      <c r="H45" s="57">
        <f t="shared" si="12"/>
        <v>0</v>
      </c>
      <c r="I45" s="57">
        <f t="shared" si="14"/>
        <v>0</v>
      </c>
      <c r="J45" s="57">
        <f>'[1]WACOC-Tax Table'!$E$10*I45</f>
        <v>0</v>
      </c>
      <c r="K45" s="50">
        <f>I45*('WACOC-Tax Table pg3'!$D$12)</f>
        <v>0</v>
      </c>
      <c r="L45" s="57">
        <f t="shared" si="13"/>
        <v>0</v>
      </c>
      <c r="M45" s="57">
        <f t="shared" si="1"/>
        <v>0</v>
      </c>
      <c r="N45" s="57">
        <f t="shared" si="2"/>
        <v>0</v>
      </c>
      <c r="O45" s="57">
        <f t="shared" si="3"/>
        <v>0</v>
      </c>
      <c r="P45" s="58">
        <f>1/(1+'[1]WACOC-Tax Table'!$E$13)^A45</f>
        <v>0.30154650043235265</v>
      </c>
      <c r="Q45" s="60">
        <f t="shared" si="4"/>
        <v>0</v>
      </c>
      <c r="R45" s="57">
        <f t="shared" si="7"/>
        <v>993.0119793065448</v>
      </c>
      <c r="S45" s="18">
        <f t="shared" si="8"/>
        <v>0</v>
      </c>
      <c r="T45" s="53"/>
    </row>
    <row r="46" spans="1:20" ht="12.75">
      <c r="A46" s="2">
        <v>16</v>
      </c>
      <c r="C46" s="57">
        <f t="shared" si="9"/>
        <v>0</v>
      </c>
      <c r="D46" s="57">
        <f t="shared" si="10"/>
        <v>0</v>
      </c>
      <c r="E46" s="57">
        <f>HLOOKUP($F$10,'WACOC-Tax Table pg3'!$B$17:$E$58,A47)*$B$30</f>
        <v>0</v>
      </c>
      <c r="F46" s="57">
        <f t="shared" si="11"/>
        <v>0</v>
      </c>
      <c r="G46" s="57">
        <f t="shared" si="5"/>
        <v>0</v>
      </c>
      <c r="H46" s="57">
        <f t="shared" si="12"/>
        <v>0</v>
      </c>
      <c r="I46" s="57">
        <f t="shared" si="14"/>
        <v>0</v>
      </c>
      <c r="J46" s="57">
        <f>'[1]WACOC-Tax Table'!$E$10*I46</f>
        <v>0</v>
      </c>
      <c r="K46" s="50">
        <f>I46*('WACOC-Tax Table pg3'!$D$12)</f>
        <v>0</v>
      </c>
      <c r="L46" s="57">
        <f t="shared" si="13"/>
        <v>0</v>
      </c>
      <c r="M46" s="57">
        <f t="shared" si="1"/>
        <v>0</v>
      </c>
      <c r="N46" s="57">
        <f t="shared" si="2"/>
        <v>0</v>
      </c>
      <c r="O46" s="57">
        <f t="shared" si="3"/>
        <v>0</v>
      </c>
      <c r="P46" s="58">
        <f>1/(1+'[1]WACOC-Tax Table'!$E$13)^A46</f>
        <v>0.2783841974835943</v>
      </c>
      <c r="Q46" s="60">
        <f t="shared" si="4"/>
        <v>0</v>
      </c>
      <c r="R46" s="57">
        <f t="shared" si="7"/>
        <v>993.0119793065448</v>
      </c>
      <c r="S46" s="18">
        <f t="shared" si="8"/>
        <v>0</v>
      </c>
      <c r="T46" s="53"/>
    </row>
    <row r="47" spans="1:20" ht="12.75">
      <c r="A47" s="2">
        <v>17</v>
      </c>
      <c r="C47" s="57">
        <f t="shared" si="9"/>
        <v>0</v>
      </c>
      <c r="D47" s="57">
        <f t="shared" si="10"/>
        <v>0</v>
      </c>
      <c r="E47" s="57">
        <f>HLOOKUP($F$10,'WACOC-Tax Table pg3'!$B$17:$E$58,A48)*$B$30</f>
        <v>0</v>
      </c>
      <c r="F47" s="57">
        <f t="shared" si="11"/>
        <v>0</v>
      </c>
      <c r="G47" s="57">
        <f t="shared" si="5"/>
        <v>0</v>
      </c>
      <c r="H47" s="57">
        <f t="shared" si="12"/>
        <v>0</v>
      </c>
      <c r="I47" s="57">
        <f t="shared" si="14"/>
        <v>0</v>
      </c>
      <c r="J47" s="57">
        <f>'[1]WACOC-Tax Table'!$E$10*I47</f>
        <v>0</v>
      </c>
      <c r="K47" s="50">
        <f>I47*('WACOC-Tax Table pg3'!$D$12)</f>
        <v>0</v>
      </c>
      <c r="L47" s="57">
        <f t="shared" si="13"/>
        <v>0</v>
      </c>
      <c r="M47" s="57">
        <f t="shared" si="1"/>
        <v>0</v>
      </c>
      <c r="N47" s="57">
        <f t="shared" si="2"/>
        <v>0</v>
      </c>
      <c r="O47" s="57">
        <f t="shared" si="3"/>
        <v>0</v>
      </c>
      <c r="P47" s="58">
        <f>1/(1+'[1]WACOC-Tax Table'!$E$13)^A47</f>
        <v>0.25700103067841856</v>
      </c>
      <c r="Q47" s="60">
        <f t="shared" si="4"/>
        <v>0</v>
      </c>
      <c r="R47" s="57">
        <f t="shared" si="7"/>
        <v>993.0119793065448</v>
      </c>
      <c r="S47" s="18">
        <f t="shared" si="8"/>
        <v>0</v>
      </c>
      <c r="T47" s="53"/>
    </row>
    <row r="48" spans="1:20" ht="12.75">
      <c r="A48" s="2">
        <v>18</v>
      </c>
      <c r="C48" s="57">
        <f t="shared" si="9"/>
        <v>0</v>
      </c>
      <c r="D48" s="57">
        <f t="shared" si="10"/>
        <v>0</v>
      </c>
      <c r="E48" s="57">
        <f>HLOOKUP($F$10,'WACOC-Tax Table pg3'!$B$17:$E$58,A49)*$B$30</f>
        <v>0</v>
      </c>
      <c r="F48" s="57">
        <f t="shared" si="11"/>
        <v>0</v>
      </c>
      <c r="G48" s="57">
        <f t="shared" si="5"/>
        <v>0</v>
      </c>
      <c r="H48" s="57">
        <f t="shared" si="12"/>
        <v>0</v>
      </c>
      <c r="I48" s="57">
        <f t="shared" si="14"/>
        <v>0</v>
      </c>
      <c r="J48" s="57">
        <f>'[1]WACOC-Tax Table'!$E$10*I48</f>
        <v>0</v>
      </c>
      <c r="K48" s="50">
        <f>I48*('WACOC-Tax Table pg3'!$D$12)</f>
        <v>0</v>
      </c>
      <c r="L48" s="57">
        <f t="shared" si="13"/>
        <v>0</v>
      </c>
      <c r="M48" s="57">
        <f t="shared" si="1"/>
        <v>0</v>
      </c>
      <c r="N48" s="57">
        <f t="shared" si="2"/>
        <v>0</v>
      </c>
      <c r="O48" s="57">
        <f t="shared" si="3"/>
        <v>0</v>
      </c>
      <c r="P48" s="58">
        <f>1/(1+'[1]WACOC-Tax Table'!$E$13)^A48</f>
        <v>0.23726034152373848</v>
      </c>
      <c r="Q48" s="60">
        <f t="shared" si="4"/>
        <v>0</v>
      </c>
      <c r="R48" s="57">
        <f t="shared" si="7"/>
        <v>993.0119793065448</v>
      </c>
      <c r="S48" s="18">
        <f t="shared" si="8"/>
        <v>0</v>
      </c>
      <c r="T48" s="53"/>
    </row>
    <row r="49" spans="1:20" ht="12.75">
      <c r="A49" s="2">
        <v>19</v>
      </c>
      <c r="C49" s="57">
        <f t="shared" si="9"/>
        <v>0</v>
      </c>
      <c r="D49" s="57">
        <f t="shared" si="10"/>
        <v>0</v>
      </c>
      <c r="E49" s="57">
        <f>HLOOKUP($F$10,'WACOC-Tax Table pg3'!$B$17:$E$58,A50)*$B$30</f>
        <v>0</v>
      </c>
      <c r="F49" s="57">
        <f t="shared" si="11"/>
        <v>0</v>
      </c>
      <c r="G49" s="57">
        <f t="shared" si="5"/>
        <v>0</v>
      </c>
      <c r="H49" s="57">
        <f t="shared" si="12"/>
        <v>0</v>
      </c>
      <c r="I49" s="57">
        <f t="shared" si="14"/>
        <v>0</v>
      </c>
      <c r="J49" s="57">
        <f>'[1]WACOC-Tax Table'!$E$10*I49</f>
        <v>0</v>
      </c>
      <c r="K49" s="50">
        <f>I49*('WACOC-Tax Table pg3'!$D$12)</f>
        <v>0</v>
      </c>
      <c r="L49" s="57">
        <f t="shared" si="13"/>
        <v>0</v>
      </c>
      <c r="M49" s="57">
        <f t="shared" si="1"/>
        <v>0</v>
      </c>
      <c r="N49" s="57">
        <f t="shared" si="2"/>
        <v>0</v>
      </c>
      <c r="O49" s="57">
        <f t="shared" si="3"/>
        <v>0</v>
      </c>
      <c r="P49" s="58">
        <f>1/(1+'[1]WACOC-Tax Table'!$E$13)^A49</f>
        <v>0.2190359684992817</v>
      </c>
      <c r="Q49" s="60">
        <f t="shared" si="4"/>
        <v>0</v>
      </c>
      <c r="R49" s="57">
        <f t="shared" si="7"/>
        <v>993.0119793065448</v>
      </c>
      <c r="S49" s="18">
        <f t="shared" si="8"/>
        <v>0</v>
      </c>
      <c r="T49" s="53"/>
    </row>
    <row r="50" spans="1:20" ht="12.75">
      <c r="A50" s="2">
        <v>20</v>
      </c>
      <c r="C50" s="57">
        <f t="shared" si="9"/>
        <v>0</v>
      </c>
      <c r="D50" s="57">
        <f t="shared" si="10"/>
        <v>0</v>
      </c>
      <c r="E50" s="57">
        <f>HLOOKUP($F$10,'WACOC-Tax Table pg3'!$B$17:$E$58,A51)*$B$30</f>
        <v>0</v>
      </c>
      <c r="F50" s="57">
        <f t="shared" si="11"/>
        <v>0</v>
      </c>
      <c r="G50" s="57">
        <f t="shared" si="5"/>
        <v>0</v>
      </c>
      <c r="H50" s="57">
        <f t="shared" si="12"/>
        <v>0</v>
      </c>
      <c r="I50" s="57">
        <f t="shared" si="14"/>
        <v>0</v>
      </c>
      <c r="J50" s="57">
        <f>'[1]WACOC-Tax Table'!$E$10*I50</f>
        <v>0</v>
      </c>
      <c r="K50" s="50">
        <f>I50*('WACOC-Tax Table pg3'!$D$12)</f>
        <v>0</v>
      </c>
      <c r="L50" s="57">
        <f t="shared" si="13"/>
        <v>0</v>
      </c>
      <c r="M50" s="57">
        <f t="shared" si="1"/>
        <v>0</v>
      </c>
      <c r="N50" s="57">
        <f t="shared" si="2"/>
        <v>0</v>
      </c>
      <c r="O50" s="57">
        <f t="shared" si="3"/>
        <v>0</v>
      </c>
      <c r="P50" s="58">
        <f>1/(1+'[1]WACOC-Tax Table'!$E$13)^A50</f>
        <v>0.20221144076713782</v>
      </c>
      <c r="Q50" s="60">
        <f t="shared" si="4"/>
        <v>0</v>
      </c>
      <c r="R50" s="57">
        <f t="shared" si="7"/>
        <v>993.0119793065448</v>
      </c>
      <c r="S50" s="18">
        <f t="shared" si="8"/>
        <v>0</v>
      </c>
      <c r="T50" s="53"/>
    </row>
    <row r="51" spans="1:20" ht="12.75">
      <c r="A51" s="2">
        <v>21</v>
      </c>
      <c r="C51" s="57">
        <f t="shared" si="9"/>
        <v>0</v>
      </c>
      <c r="D51" s="57">
        <f t="shared" si="10"/>
        <v>0</v>
      </c>
      <c r="E51" s="57">
        <f>HLOOKUP($F$10,'WACOC-Tax Table pg3'!$B$17:$E$58,A52)*$B$30</f>
        <v>0</v>
      </c>
      <c r="F51" s="57">
        <f t="shared" si="11"/>
        <v>0</v>
      </c>
      <c r="G51" s="57">
        <f t="shared" si="5"/>
        <v>0</v>
      </c>
      <c r="H51" s="57">
        <f t="shared" si="12"/>
        <v>0</v>
      </c>
      <c r="I51" s="57">
        <f t="shared" si="14"/>
        <v>0</v>
      </c>
      <c r="J51" s="57">
        <f>'[1]WACOC-Tax Table'!$E$10*I51</f>
        <v>0</v>
      </c>
      <c r="K51" s="50">
        <f>I51*('WACOC-Tax Table pg3'!$D$12)</f>
        <v>0</v>
      </c>
      <c r="L51" s="57">
        <f t="shared" si="13"/>
        <v>0</v>
      </c>
      <c r="M51" s="57">
        <f t="shared" si="1"/>
        <v>0</v>
      </c>
      <c r="N51" s="57">
        <f t="shared" si="2"/>
        <v>0</v>
      </c>
      <c r="O51" s="57">
        <f t="shared" si="3"/>
        <v>0</v>
      </c>
      <c r="P51" s="58">
        <f>1/(1+'[1]WACOC-Tax Table'!$E$13)^A51</f>
        <v>0.18667923381385546</v>
      </c>
      <c r="Q51" s="60">
        <f t="shared" si="4"/>
        <v>0</v>
      </c>
      <c r="R51" s="57">
        <f t="shared" si="7"/>
        <v>993.0119793065448</v>
      </c>
      <c r="S51" s="18">
        <f t="shared" si="8"/>
        <v>0</v>
      </c>
      <c r="T51" s="53"/>
    </row>
    <row r="52" spans="1:20" ht="12.75">
      <c r="A52" s="2">
        <v>22</v>
      </c>
      <c r="C52" s="57">
        <f t="shared" si="9"/>
        <v>0</v>
      </c>
      <c r="D52" s="57">
        <f t="shared" si="10"/>
        <v>0</v>
      </c>
      <c r="E52" s="57">
        <f>HLOOKUP($F$10,'WACOC-Tax Table pg3'!$B$17:$E$58,A53)*$B$30</f>
        <v>0</v>
      </c>
      <c r="F52" s="57">
        <f t="shared" si="11"/>
        <v>0</v>
      </c>
      <c r="G52" s="57">
        <f t="shared" si="5"/>
        <v>0</v>
      </c>
      <c r="H52" s="57">
        <f t="shared" si="12"/>
        <v>0</v>
      </c>
      <c r="I52" s="57">
        <f t="shared" si="14"/>
        <v>0</v>
      </c>
      <c r="J52" s="57">
        <f>'[1]WACOC-Tax Table'!$E$10*I52</f>
        <v>0</v>
      </c>
      <c r="K52" s="50">
        <f>I52*('WACOC-Tax Table pg3'!$D$12)</f>
        <v>0</v>
      </c>
      <c r="L52" s="57">
        <f t="shared" si="13"/>
        <v>0</v>
      </c>
      <c r="M52" s="57">
        <f t="shared" si="1"/>
        <v>0</v>
      </c>
      <c r="N52" s="57">
        <f t="shared" si="2"/>
        <v>0</v>
      </c>
      <c r="O52" s="57">
        <f t="shared" si="3"/>
        <v>0</v>
      </c>
      <c r="P52" s="58">
        <f>1/(1+'[1]WACOC-Tax Table'!$E$13)^A52</f>
        <v>0.17234008226794445</v>
      </c>
      <c r="Q52" s="60">
        <f t="shared" si="4"/>
        <v>0</v>
      </c>
      <c r="R52" s="57">
        <f t="shared" si="7"/>
        <v>993.0119793065448</v>
      </c>
      <c r="S52" s="18">
        <f t="shared" si="8"/>
        <v>0</v>
      </c>
      <c r="T52" s="53"/>
    </row>
    <row r="53" spans="1:20" ht="12.75">
      <c r="A53" s="2">
        <v>23</v>
      </c>
      <c r="C53" s="57">
        <f t="shared" si="9"/>
        <v>0</v>
      </c>
      <c r="D53" s="57">
        <f t="shared" si="10"/>
        <v>0</v>
      </c>
      <c r="E53" s="57">
        <f>HLOOKUP($F$10,'WACOC-Tax Table pg3'!$B$17:$E$58,A54)*$B$30</f>
        <v>0</v>
      </c>
      <c r="F53" s="57">
        <f t="shared" si="11"/>
        <v>0</v>
      </c>
      <c r="G53" s="57">
        <f t="shared" si="5"/>
        <v>0</v>
      </c>
      <c r="H53" s="57">
        <f t="shared" si="12"/>
        <v>0</v>
      </c>
      <c r="I53" s="57">
        <f t="shared" si="14"/>
        <v>0</v>
      </c>
      <c r="J53" s="57">
        <f>'[1]WACOC-Tax Table'!$E$10*I53</f>
        <v>0</v>
      </c>
      <c r="K53" s="50">
        <f>I53*('WACOC-Tax Table pg3'!$D$12)</f>
        <v>0</v>
      </c>
      <c r="L53" s="57">
        <f t="shared" si="13"/>
        <v>0</v>
      </c>
      <c r="M53" s="57">
        <f t="shared" si="1"/>
        <v>0</v>
      </c>
      <c r="N53" s="57">
        <f t="shared" si="2"/>
        <v>0</v>
      </c>
      <c r="O53" s="57">
        <f t="shared" si="3"/>
        <v>0</v>
      </c>
      <c r="P53" s="58">
        <f>1/(1+'[1]WACOC-Tax Table'!$E$13)^A53</f>
        <v>0.15910234550104216</v>
      </c>
      <c r="Q53" s="60">
        <f t="shared" si="4"/>
        <v>0</v>
      </c>
      <c r="R53" s="57">
        <f t="shared" si="7"/>
        <v>993.0119793065448</v>
      </c>
      <c r="S53" s="18">
        <f t="shared" si="8"/>
        <v>0</v>
      </c>
      <c r="T53" s="53"/>
    </row>
    <row r="54" spans="1:20" ht="12.75">
      <c r="A54" s="2">
        <v>24</v>
      </c>
      <c r="C54" s="57">
        <f t="shared" si="9"/>
        <v>0</v>
      </c>
      <c r="D54" s="57">
        <f t="shared" si="10"/>
        <v>0</v>
      </c>
      <c r="E54" s="57">
        <f>HLOOKUP($F$10,'WACOC-Tax Table pg3'!$B$17:$E$58,A55)*$B$30</f>
        <v>0</v>
      </c>
      <c r="F54" s="57">
        <f t="shared" si="11"/>
        <v>0</v>
      </c>
      <c r="G54" s="57">
        <f t="shared" si="5"/>
        <v>0</v>
      </c>
      <c r="H54" s="57">
        <f t="shared" si="12"/>
        <v>0</v>
      </c>
      <c r="I54" s="57">
        <f t="shared" si="14"/>
        <v>0</v>
      </c>
      <c r="J54" s="57">
        <f>'[1]WACOC-Tax Table'!$E$10*I54</f>
        <v>0</v>
      </c>
      <c r="K54" s="50">
        <f>I54*('WACOC-Tax Table pg3'!$D$12)</f>
        <v>0</v>
      </c>
      <c r="L54" s="57">
        <f t="shared" si="13"/>
        <v>0</v>
      </c>
      <c r="M54" s="57">
        <f t="shared" si="1"/>
        <v>0</v>
      </c>
      <c r="N54" s="57">
        <f t="shared" si="2"/>
        <v>0</v>
      </c>
      <c r="O54" s="57">
        <f t="shared" si="3"/>
        <v>0</v>
      </c>
      <c r="P54" s="58">
        <f>1/(1+'[1]WACOC-Tax Table'!$E$13)^A54</f>
        <v>0.14688142195834009</v>
      </c>
      <c r="Q54" s="60">
        <f t="shared" si="4"/>
        <v>0</v>
      </c>
      <c r="R54" s="57">
        <f t="shared" si="7"/>
        <v>993.0119793065448</v>
      </c>
      <c r="S54" s="18">
        <f t="shared" si="8"/>
        <v>0</v>
      </c>
      <c r="T54" s="53"/>
    </row>
    <row r="55" spans="1:20" ht="12.75">
      <c r="A55" s="2">
        <v>25</v>
      </c>
      <c r="C55" s="57">
        <f t="shared" si="9"/>
        <v>0</v>
      </c>
      <c r="D55" s="57">
        <f t="shared" si="10"/>
        <v>0</v>
      </c>
      <c r="E55" s="57">
        <f>HLOOKUP($F$10,'WACOC-Tax Table pg3'!$B$17:$E$58,A56)*$B$30</f>
        <v>0</v>
      </c>
      <c r="F55" s="57">
        <f t="shared" si="11"/>
        <v>0</v>
      </c>
      <c r="G55" s="57">
        <f t="shared" si="5"/>
        <v>0</v>
      </c>
      <c r="H55" s="57">
        <f t="shared" si="12"/>
        <v>0</v>
      </c>
      <c r="I55" s="57">
        <f t="shared" si="14"/>
        <v>0</v>
      </c>
      <c r="J55" s="57">
        <f>'[1]WACOC-Tax Table'!$E$10*I55</f>
        <v>0</v>
      </c>
      <c r="K55" s="50">
        <f>I55*('WACOC-Tax Table pg3'!$D$12)</f>
        <v>0</v>
      </c>
      <c r="L55" s="57">
        <f t="shared" si="13"/>
        <v>0</v>
      </c>
      <c r="M55" s="57">
        <f t="shared" si="1"/>
        <v>0</v>
      </c>
      <c r="N55" s="57">
        <f t="shared" si="2"/>
        <v>0</v>
      </c>
      <c r="O55" s="57">
        <f t="shared" si="3"/>
        <v>0</v>
      </c>
      <c r="P55" s="58">
        <f>1/(1+'[1]WACOC-Tax Table'!$E$13)^A55</f>
        <v>0.13559920847529322</v>
      </c>
      <c r="Q55" s="60">
        <f t="shared" si="4"/>
        <v>0</v>
      </c>
      <c r="R55" s="57">
        <f t="shared" si="7"/>
        <v>993.0119793065448</v>
      </c>
      <c r="S55" s="18">
        <f t="shared" si="8"/>
        <v>0</v>
      </c>
      <c r="T55" s="53"/>
    </row>
    <row r="56" spans="1:20" ht="12.75">
      <c r="A56" s="2">
        <v>26</v>
      </c>
      <c r="C56" s="57">
        <f t="shared" si="9"/>
        <v>0</v>
      </c>
      <c r="D56" s="57">
        <f t="shared" si="10"/>
        <v>0</v>
      </c>
      <c r="E56" s="57">
        <f>HLOOKUP($F$10,'WACOC-Tax Table pg3'!$B$17:$E$58,A57)*$B$30</f>
        <v>0</v>
      </c>
      <c r="F56" s="57">
        <f t="shared" si="11"/>
        <v>0</v>
      </c>
      <c r="G56" s="57">
        <f t="shared" si="5"/>
        <v>0</v>
      </c>
      <c r="H56" s="57">
        <f t="shared" si="12"/>
        <v>0</v>
      </c>
      <c r="I56" s="57">
        <f t="shared" si="14"/>
        <v>0</v>
      </c>
      <c r="J56" s="57">
        <f>'[1]WACOC-Tax Table'!$E$10*I56</f>
        <v>0</v>
      </c>
      <c r="K56" s="50">
        <f>I56*('WACOC-Tax Table pg3'!$D$12)</f>
        <v>0</v>
      </c>
      <c r="L56" s="57">
        <f t="shared" si="13"/>
        <v>0</v>
      </c>
      <c r="M56" s="57">
        <f t="shared" si="1"/>
        <v>0</v>
      </c>
      <c r="N56" s="57">
        <f t="shared" si="2"/>
        <v>0</v>
      </c>
      <c r="O56" s="57">
        <f t="shared" si="3"/>
        <v>0</v>
      </c>
      <c r="P56" s="58">
        <f>1/(1+'[1]WACOC-Tax Table'!$E$13)^A56</f>
        <v>0.1251836011251387</v>
      </c>
      <c r="Q56" s="60">
        <f t="shared" si="4"/>
        <v>0</v>
      </c>
      <c r="R56" s="57">
        <f t="shared" si="7"/>
        <v>993.0119793065448</v>
      </c>
      <c r="S56" s="18">
        <f t="shared" si="8"/>
        <v>0</v>
      </c>
      <c r="T56" s="53"/>
    </row>
    <row r="57" spans="1:20" ht="12.75">
      <c r="A57" s="2">
        <v>27</v>
      </c>
      <c r="C57" s="57">
        <f t="shared" si="9"/>
        <v>0</v>
      </c>
      <c r="D57" s="57">
        <f t="shared" si="10"/>
        <v>0</v>
      </c>
      <c r="E57" s="57">
        <f>HLOOKUP($F$10,'WACOC-Tax Table pg3'!$B$17:$E$58,A58)*$B$30</f>
        <v>0</v>
      </c>
      <c r="F57" s="57">
        <f t="shared" si="11"/>
        <v>0</v>
      </c>
      <c r="G57" s="57">
        <f t="shared" si="5"/>
        <v>0</v>
      </c>
      <c r="H57" s="57">
        <f t="shared" si="12"/>
        <v>0</v>
      </c>
      <c r="I57" s="57">
        <f t="shared" si="14"/>
        <v>0</v>
      </c>
      <c r="J57" s="57">
        <f>'[1]WACOC-Tax Table'!$E$10*I57</f>
        <v>0</v>
      </c>
      <c r="K57" s="50">
        <f>I57*('WACOC-Tax Table pg3'!$D$12)</f>
        <v>0</v>
      </c>
      <c r="L57" s="57">
        <f t="shared" si="13"/>
        <v>0</v>
      </c>
      <c r="M57" s="57">
        <f t="shared" si="1"/>
        <v>0</v>
      </c>
      <c r="N57" s="57">
        <f t="shared" si="2"/>
        <v>0</v>
      </c>
      <c r="O57" s="57">
        <f t="shared" si="3"/>
        <v>0</v>
      </c>
      <c r="P57" s="58">
        <f>1/(1+'[1]WACOC-Tax Table'!$E$13)^A57</f>
        <v>0.11556803440717091</v>
      </c>
      <c r="Q57" s="60">
        <f t="shared" si="4"/>
        <v>0</v>
      </c>
      <c r="R57" s="57">
        <f t="shared" si="7"/>
        <v>993.0119793065448</v>
      </c>
      <c r="S57" s="18">
        <f t="shared" si="8"/>
        <v>0</v>
      </c>
      <c r="T57" s="53"/>
    </row>
    <row r="58" spans="1:20" ht="12.75">
      <c r="A58" s="2">
        <v>28</v>
      </c>
      <c r="C58" s="57">
        <f t="shared" si="9"/>
        <v>0</v>
      </c>
      <c r="D58" s="57">
        <f t="shared" si="10"/>
        <v>0</v>
      </c>
      <c r="E58" s="57">
        <f>HLOOKUP($F$10,'WACOC-Tax Table pg3'!$B$17:$E$58,A59)*$B$30</f>
        <v>0</v>
      </c>
      <c r="F58" s="57">
        <f t="shared" si="11"/>
        <v>0</v>
      </c>
      <c r="G58" s="57">
        <f t="shared" si="5"/>
        <v>0</v>
      </c>
      <c r="H58" s="57">
        <f t="shared" si="12"/>
        <v>0</v>
      </c>
      <c r="I58" s="57">
        <f t="shared" si="14"/>
        <v>0</v>
      </c>
      <c r="J58" s="57">
        <f>'[1]WACOC-Tax Table'!$E$10*I58</f>
        <v>0</v>
      </c>
      <c r="K58" s="50">
        <f>I58*('WACOC-Tax Table pg3'!$D$12)</f>
        <v>0</v>
      </c>
      <c r="L58" s="57">
        <f t="shared" si="13"/>
        <v>0</v>
      </c>
      <c r="M58" s="57">
        <f t="shared" si="1"/>
        <v>0</v>
      </c>
      <c r="N58" s="57">
        <f t="shared" si="2"/>
        <v>0</v>
      </c>
      <c r="O58" s="57">
        <f t="shared" si="3"/>
        <v>0</v>
      </c>
      <c r="P58" s="58">
        <f>1/(1+'[1]WACOC-Tax Table'!$E$13)^A58</f>
        <v>0.1066910558307542</v>
      </c>
      <c r="Q58" s="60">
        <f t="shared" si="4"/>
        <v>0</v>
      </c>
      <c r="R58" s="57">
        <f t="shared" si="7"/>
        <v>993.0119793065448</v>
      </c>
      <c r="S58" s="18">
        <f t="shared" si="8"/>
        <v>0</v>
      </c>
      <c r="T58" s="53"/>
    </row>
    <row r="59" spans="1:20" ht="12.75">
      <c r="A59" s="2">
        <v>29</v>
      </c>
      <c r="C59" s="57">
        <f t="shared" si="9"/>
        <v>0</v>
      </c>
      <c r="D59" s="57">
        <f t="shared" si="10"/>
        <v>0</v>
      </c>
      <c r="E59" s="57">
        <f>HLOOKUP($F$10,'WACOC-Tax Table pg3'!$B$17:$E$58,A60)*$B$30</f>
        <v>0</v>
      </c>
      <c r="F59" s="57">
        <f t="shared" si="11"/>
        <v>0</v>
      </c>
      <c r="G59" s="57">
        <f t="shared" si="5"/>
        <v>0</v>
      </c>
      <c r="H59" s="57">
        <f t="shared" si="12"/>
        <v>0</v>
      </c>
      <c r="I59" s="57">
        <f t="shared" si="14"/>
        <v>0</v>
      </c>
      <c r="J59" s="57">
        <f>'[1]WACOC-Tax Table'!$E$10*I59</f>
        <v>0</v>
      </c>
      <c r="K59" s="50">
        <f>I59*('WACOC-Tax Table pg3'!$D$12)</f>
        <v>0</v>
      </c>
      <c r="L59" s="57">
        <f t="shared" si="13"/>
        <v>0</v>
      </c>
      <c r="M59" s="57">
        <f t="shared" si="1"/>
        <v>0</v>
      </c>
      <c r="N59" s="57">
        <f t="shared" si="2"/>
        <v>0</v>
      </c>
      <c r="O59" s="57">
        <f t="shared" si="3"/>
        <v>0</v>
      </c>
      <c r="P59" s="58">
        <f>1/(1+'[1]WACOC-Tax Table'!$E$13)^A59</f>
        <v>0.09849593317626595</v>
      </c>
      <c r="Q59" s="60">
        <f t="shared" si="4"/>
        <v>0</v>
      </c>
      <c r="R59" s="57">
        <f t="shared" si="7"/>
        <v>993.0119793065448</v>
      </c>
      <c r="S59" s="18">
        <f t="shared" si="8"/>
        <v>0</v>
      </c>
      <c r="T59" s="53"/>
    </row>
    <row r="60" spans="1:20" ht="12.75">
      <c r="A60" s="2">
        <v>30</v>
      </c>
      <c r="C60" s="57">
        <f t="shared" si="9"/>
        <v>0</v>
      </c>
      <c r="D60" s="57">
        <f t="shared" si="10"/>
        <v>0</v>
      </c>
      <c r="E60" s="57">
        <f>HLOOKUP($F$10,'WACOC-Tax Table pg3'!$B$17:$E$58,A61)*$B$30</f>
        <v>0</v>
      </c>
      <c r="F60" s="57">
        <f t="shared" si="11"/>
        <v>0</v>
      </c>
      <c r="G60" s="57">
        <f t="shared" si="5"/>
        <v>0</v>
      </c>
      <c r="H60" s="57">
        <f t="shared" si="12"/>
        <v>0</v>
      </c>
      <c r="I60" s="57">
        <f t="shared" si="14"/>
        <v>0</v>
      </c>
      <c r="J60" s="57">
        <f>'[1]WACOC-Tax Table'!$E$10*I60</f>
        <v>0</v>
      </c>
      <c r="K60" s="50">
        <f>I60*('WACOC-Tax Table pg3'!$D$12)</f>
        <v>0</v>
      </c>
      <c r="L60" s="57">
        <f t="shared" si="13"/>
        <v>0</v>
      </c>
      <c r="M60" s="57">
        <f t="shared" si="1"/>
        <v>0</v>
      </c>
      <c r="N60" s="57">
        <f t="shared" si="2"/>
        <v>0</v>
      </c>
      <c r="O60" s="57">
        <f t="shared" si="3"/>
        <v>0</v>
      </c>
      <c r="P60" s="58">
        <f>1/(1+'[1]WACOC-Tax Table'!$E$13)^A60</f>
        <v>0.09093029192299885</v>
      </c>
      <c r="Q60" s="60">
        <f t="shared" si="4"/>
        <v>0</v>
      </c>
      <c r="R60" s="57">
        <f t="shared" si="7"/>
        <v>993.0119793065448</v>
      </c>
      <c r="S60" s="18">
        <f t="shared" si="8"/>
        <v>0</v>
      </c>
      <c r="T60" s="53"/>
    </row>
    <row r="61" spans="1:20" ht="12.75">
      <c r="A61" s="2">
        <v>31</v>
      </c>
      <c r="C61" s="57">
        <f t="shared" si="9"/>
        <v>0</v>
      </c>
      <c r="D61" s="57">
        <f>D60-C61</f>
        <v>0</v>
      </c>
      <c r="E61" s="57">
        <f>HLOOKUP($F$10,'WACOC-Tax Table pg3'!$B$17:$E$58,A62)*$B$30</f>
        <v>0</v>
      </c>
      <c r="F61" s="57">
        <f>F60-E61</f>
        <v>0</v>
      </c>
      <c r="G61" s="50">
        <f t="shared" si="5"/>
        <v>0</v>
      </c>
      <c r="H61" s="52">
        <f>H60+G61</f>
        <v>0</v>
      </c>
      <c r="I61" s="52">
        <f t="shared" si="14"/>
        <v>0</v>
      </c>
      <c r="J61" s="33">
        <f>'[1]WACOC-Tax Table'!$E$10*I61</f>
        <v>0</v>
      </c>
      <c r="K61" s="50">
        <f>I61*('WACOC-Tax Table pg3'!$D$12)</f>
        <v>0</v>
      </c>
      <c r="L61" s="50">
        <f t="shared" si="13"/>
        <v>0</v>
      </c>
      <c r="M61" s="52">
        <f t="shared" si="1"/>
        <v>0</v>
      </c>
      <c r="N61" s="57">
        <f t="shared" si="2"/>
        <v>0</v>
      </c>
      <c r="O61" s="50">
        <f t="shared" si="3"/>
        <v>0</v>
      </c>
      <c r="P61" s="61">
        <f>1/(1+'[1]WACOC-Tax Table'!$E$13)^A61</f>
        <v>0.0839457805268468</v>
      </c>
      <c r="Q61" s="59">
        <f t="shared" si="4"/>
        <v>0</v>
      </c>
      <c r="R61" s="52">
        <f>R60+Q61</f>
        <v>993.0119793065448</v>
      </c>
      <c r="S61" s="18">
        <f t="shared" si="8"/>
        <v>0</v>
      </c>
      <c r="T61" s="53"/>
    </row>
    <row r="62" spans="1:20" ht="12.75">
      <c r="A62" s="2">
        <v>32</v>
      </c>
      <c r="C62" s="57">
        <f t="shared" si="9"/>
        <v>0</v>
      </c>
      <c r="D62" s="57">
        <f t="shared" si="10"/>
        <v>0</v>
      </c>
      <c r="E62" s="57">
        <f>HLOOKUP($F$10,'WACOC-Tax Table pg3'!$B$17:$E$58,A63)*$B$30</f>
        <v>0</v>
      </c>
      <c r="F62" s="57">
        <f t="shared" si="11"/>
        <v>0</v>
      </c>
      <c r="G62" s="50">
        <f t="shared" si="5"/>
        <v>0</v>
      </c>
      <c r="H62" s="52">
        <f t="shared" si="12"/>
        <v>0</v>
      </c>
      <c r="I62" s="52">
        <f t="shared" si="14"/>
        <v>0</v>
      </c>
      <c r="J62" s="33">
        <f>'[1]WACOC-Tax Table'!$E$10*I62</f>
        <v>0</v>
      </c>
      <c r="K62" s="50">
        <f>I62*('WACOC-Tax Table pg3'!$D$12)</f>
        <v>0</v>
      </c>
      <c r="L62" s="50">
        <f t="shared" si="13"/>
        <v>0</v>
      </c>
      <c r="M62" s="52">
        <f t="shared" si="1"/>
        <v>0</v>
      </c>
      <c r="N62" s="57">
        <f t="shared" si="2"/>
        <v>0</v>
      </c>
      <c r="O62" s="50">
        <f t="shared" si="3"/>
        <v>0</v>
      </c>
      <c r="P62" s="61">
        <f>1/(1+'[1]WACOC-Tax Table'!$E$13)^A62</f>
        <v>0.07749776140858482</v>
      </c>
      <c r="Q62" s="59">
        <f t="shared" si="4"/>
        <v>0</v>
      </c>
      <c r="R62" s="52">
        <f t="shared" si="7"/>
        <v>993.0119793065448</v>
      </c>
      <c r="S62" s="18">
        <f t="shared" si="8"/>
        <v>0</v>
      </c>
      <c r="T62" s="53"/>
    </row>
    <row r="63" spans="1:20" ht="12.75">
      <c r="A63" s="2">
        <v>33</v>
      </c>
      <c r="C63" s="57">
        <f t="shared" si="9"/>
        <v>0</v>
      </c>
      <c r="D63" s="57">
        <f t="shared" si="10"/>
        <v>0</v>
      </c>
      <c r="E63" s="57">
        <f>HLOOKUP($F$10,'WACOC-Tax Table pg3'!$B$17:$E$58,A64)*$B$30</f>
        <v>0</v>
      </c>
      <c r="F63" s="57">
        <f t="shared" si="11"/>
        <v>0</v>
      </c>
      <c r="G63" s="50">
        <f t="shared" si="5"/>
        <v>0</v>
      </c>
      <c r="H63" s="52">
        <f t="shared" si="12"/>
        <v>0</v>
      </c>
      <c r="I63" s="52">
        <f t="shared" si="14"/>
        <v>0</v>
      </c>
      <c r="J63" s="33">
        <f>'[1]WACOC-Tax Table'!$E$10*I63</f>
        <v>0</v>
      </c>
      <c r="K63" s="50">
        <f>I63*('WACOC-Tax Table pg3'!$D$12)</f>
        <v>0</v>
      </c>
      <c r="L63" s="50">
        <f t="shared" si="13"/>
        <v>0</v>
      </c>
      <c r="M63" s="52">
        <f t="shared" si="1"/>
        <v>0</v>
      </c>
      <c r="N63" s="57">
        <f t="shared" si="2"/>
        <v>0</v>
      </c>
      <c r="O63" s="50">
        <f t="shared" si="3"/>
        <v>0</v>
      </c>
      <c r="P63" s="61">
        <f>1/(1+'[1]WACOC-Tax Table'!$E$13)^A63</f>
        <v>0.07154502567786813</v>
      </c>
      <c r="Q63" s="59">
        <f t="shared" si="4"/>
        <v>0</v>
      </c>
      <c r="R63" s="52">
        <f t="shared" si="7"/>
        <v>993.0119793065448</v>
      </c>
      <c r="S63" s="18">
        <f t="shared" si="8"/>
        <v>0</v>
      </c>
      <c r="T63" s="53"/>
    </row>
    <row r="64" spans="1:20" ht="12.75">
      <c r="A64" s="2">
        <v>34</v>
      </c>
      <c r="C64" s="57">
        <f t="shared" si="9"/>
        <v>0</v>
      </c>
      <c r="D64" s="57">
        <f t="shared" si="10"/>
        <v>0</v>
      </c>
      <c r="E64" s="57">
        <f>HLOOKUP($F$10,'WACOC-Tax Table pg3'!$B$17:$E$58,A65)*$B$30</f>
        <v>0</v>
      </c>
      <c r="F64" s="57">
        <f t="shared" si="11"/>
        <v>0</v>
      </c>
      <c r="G64" s="50">
        <f t="shared" si="5"/>
        <v>0</v>
      </c>
      <c r="H64" s="52">
        <f t="shared" si="12"/>
        <v>0</v>
      </c>
      <c r="I64" s="52">
        <f t="shared" si="14"/>
        <v>0</v>
      </c>
      <c r="J64" s="33">
        <f>'[1]WACOC-Tax Table'!$E$10*I64</f>
        <v>0</v>
      </c>
      <c r="K64" s="50">
        <f>I64*('WACOC-Tax Table pg3'!$D$12)</f>
        <v>0</v>
      </c>
      <c r="L64" s="50">
        <f t="shared" si="13"/>
        <v>0</v>
      </c>
      <c r="M64" s="52">
        <f t="shared" si="1"/>
        <v>0</v>
      </c>
      <c r="N64" s="57">
        <f t="shared" si="2"/>
        <v>0</v>
      </c>
      <c r="O64" s="50">
        <f t="shared" si="3"/>
        <v>0</v>
      </c>
      <c r="P64" s="61">
        <f>1/(1+'[1]WACOC-Tax Table'!$E$13)^A64</f>
        <v>0.06604952976976944</v>
      </c>
      <c r="Q64" s="59">
        <f t="shared" si="4"/>
        <v>0</v>
      </c>
      <c r="R64" s="52">
        <f t="shared" si="7"/>
        <v>993.0119793065448</v>
      </c>
      <c r="S64" s="18">
        <f t="shared" si="8"/>
        <v>0</v>
      </c>
      <c r="T64" s="53"/>
    </row>
    <row r="65" spans="1:20" ht="12.75">
      <c r="A65" s="2">
        <v>35</v>
      </c>
      <c r="C65" s="57">
        <f t="shared" si="9"/>
        <v>0</v>
      </c>
      <c r="D65" s="57">
        <f t="shared" si="10"/>
        <v>0</v>
      </c>
      <c r="E65" s="57">
        <f>HLOOKUP($F$10,'WACOC-Tax Table pg3'!$B$17:$E$58,A66)*$B$30</f>
        <v>0</v>
      </c>
      <c r="F65" s="57">
        <f t="shared" si="11"/>
        <v>0</v>
      </c>
      <c r="G65" s="50">
        <f t="shared" si="5"/>
        <v>0</v>
      </c>
      <c r="H65" s="52">
        <f t="shared" si="12"/>
        <v>0</v>
      </c>
      <c r="I65" s="52">
        <f t="shared" si="14"/>
        <v>0</v>
      </c>
      <c r="J65" s="33">
        <f>'[1]WACOC-Tax Table'!$E$10*I65</f>
        <v>0</v>
      </c>
      <c r="K65" s="50">
        <f>I65*('WACOC-Tax Table pg3'!$D$12)</f>
        <v>0</v>
      </c>
      <c r="L65" s="50">
        <f t="shared" si="13"/>
        <v>0</v>
      </c>
      <c r="M65" s="52">
        <f t="shared" si="1"/>
        <v>0</v>
      </c>
      <c r="N65" s="57">
        <f t="shared" si="2"/>
        <v>0</v>
      </c>
      <c r="O65" s="50">
        <f t="shared" si="3"/>
        <v>0</v>
      </c>
      <c r="P65" s="61">
        <f>1/(1+'[1]WACOC-Tax Table'!$E$13)^A65</f>
        <v>0.06097615231071438</v>
      </c>
      <c r="Q65" s="59">
        <f t="shared" si="4"/>
        <v>0</v>
      </c>
      <c r="R65" s="52">
        <f t="shared" si="7"/>
        <v>993.0119793065448</v>
      </c>
      <c r="S65" s="18">
        <f t="shared" si="8"/>
        <v>0</v>
      </c>
      <c r="T65" s="53"/>
    </row>
    <row r="66" spans="1:20" ht="12.75">
      <c r="A66" s="2">
        <v>36</v>
      </c>
      <c r="C66" s="57">
        <f t="shared" si="9"/>
        <v>0</v>
      </c>
      <c r="D66" s="57">
        <f t="shared" si="10"/>
        <v>0</v>
      </c>
      <c r="E66" s="57">
        <f>HLOOKUP($F$10,'WACOC-Tax Table pg3'!$B$17:$E$58,A67)*$B$30</f>
        <v>0</v>
      </c>
      <c r="F66" s="57">
        <f t="shared" si="11"/>
        <v>0</v>
      </c>
      <c r="G66" s="50">
        <f t="shared" si="5"/>
        <v>0</v>
      </c>
      <c r="H66" s="52">
        <f t="shared" si="12"/>
        <v>0</v>
      </c>
      <c r="I66" s="52">
        <f t="shared" si="14"/>
        <v>0</v>
      </c>
      <c r="J66" s="33">
        <f>'[1]WACOC-Tax Table'!$E$10*I66</f>
        <v>0</v>
      </c>
      <c r="K66" s="50">
        <f>I66*('WACOC-Tax Table pg3'!$D$12)</f>
        <v>0</v>
      </c>
      <c r="L66" s="57">
        <v>0</v>
      </c>
      <c r="M66" s="52">
        <f t="shared" si="1"/>
        <v>0</v>
      </c>
      <c r="N66" s="57">
        <f t="shared" si="2"/>
        <v>0</v>
      </c>
      <c r="O66" s="50">
        <f t="shared" si="3"/>
        <v>0</v>
      </c>
      <c r="P66" s="61">
        <f>1/(1+'[1]WACOC-Tax Table'!$E$13)^A66</f>
        <v>0.05629246965996103</v>
      </c>
      <c r="Q66" s="59">
        <f t="shared" si="4"/>
        <v>0</v>
      </c>
      <c r="R66" s="52">
        <f t="shared" si="7"/>
        <v>993.0119793065448</v>
      </c>
      <c r="S66" s="18">
        <f t="shared" si="8"/>
        <v>0</v>
      </c>
      <c r="T66" s="39"/>
    </row>
    <row r="67" spans="1:20" ht="12.75">
      <c r="A67" s="2">
        <v>37</v>
      </c>
      <c r="C67" s="57">
        <f t="shared" si="9"/>
        <v>0</v>
      </c>
      <c r="D67" s="57">
        <f t="shared" si="10"/>
        <v>0</v>
      </c>
      <c r="E67" s="57">
        <f>HLOOKUP($F$10,'WACOC-Tax Table pg3'!$B$17:$E$58,A68)*$B$30</f>
        <v>0</v>
      </c>
      <c r="F67" s="57">
        <f t="shared" si="11"/>
        <v>0</v>
      </c>
      <c r="G67" s="50">
        <f t="shared" si="5"/>
        <v>0</v>
      </c>
      <c r="H67" s="52">
        <f t="shared" si="12"/>
        <v>0</v>
      </c>
      <c r="I67" s="52">
        <f t="shared" si="14"/>
        <v>0</v>
      </c>
      <c r="J67" s="33">
        <f>'[1]WACOC-Tax Table'!$E$10*I67</f>
        <v>0</v>
      </c>
      <c r="K67" s="50">
        <f>I67*('WACOC-Tax Table pg3'!$D$12)</f>
        <v>0</v>
      </c>
      <c r="L67" s="57">
        <v>0</v>
      </c>
      <c r="M67" s="52">
        <f t="shared" si="1"/>
        <v>0</v>
      </c>
      <c r="N67" s="57">
        <f t="shared" si="2"/>
        <v>0</v>
      </c>
      <c r="O67" s="50">
        <f t="shared" si="3"/>
        <v>0</v>
      </c>
      <c r="P67" s="61">
        <f>1/(1+'[1]WACOC-Tax Table'!$E$13)^A67</f>
        <v>0.051968548692122404</v>
      </c>
      <c r="Q67" s="59">
        <f t="shared" si="4"/>
        <v>0</v>
      </c>
      <c r="R67" s="52">
        <f t="shared" si="7"/>
        <v>993.0119793065448</v>
      </c>
      <c r="S67" s="18">
        <f t="shared" si="8"/>
        <v>0</v>
      </c>
      <c r="T67" s="39"/>
    </row>
    <row r="68" spans="1:20" ht="12.75">
      <c r="A68" s="2">
        <v>38</v>
      </c>
      <c r="C68" s="57">
        <f t="shared" si="9"/>
        <v>0</v>
      </c>
      <c r="D68" s="57">
        <f t="shared" si="10"/>
        <v>0</v>
      </c>
      <c r="E68" s="57">
        <f>HLOOKUP($F$10,'WACOC-Tax Table pg3'!$B$17:$E$58,A69)*$B$30</f>
        <v>0</v>
      </c>
      <c r="F68" s="57">
        <f t="shared" si="11"/>
        <v>0</v>
      </c>
      <c r="G68" s="50">
        <f t="shared" si="5"/>
        <v>0</v>
      </c>
      <c r="H68" s="52">
        <f t="shared" si="12"/>
        <v>0</v>
      </c>
      <c r="I68" s="52">
        <f t="shared" si="14"/>
        <v>0</v>
      </c>
      <c r="J68" s="33">
        <f>'[1]WACOC-Tax Table'!$E$10*I68</f>
        <v>0</v>
      </c>
      <c r="K68" s="50">
        <f>I68*('WACOC-Tax Table pg3'!$D$12)</f>
        <v>0</v>
      </c>
      <c r="L68" s="57">
        <v>0</v>
      </c>
      <c r="M68" s="52">
        <f t="shared" si="1"/>
        <v>0</v>
      </c>
      <c r="N68" s="57">
        <f t="shared" si="2"/>
        <v>0</v>
      </c>
      <c r="O68" s="50">
        <f t="shared" si="3"/>
        <v>0</v>
      </c>
      <c r="P68" s="61">
        <f>1/(1+'[1]WACOC-Tax Table'!$E$13)^A68</f>
        <v>0.04797675549641833</v>
      </c>
      <c r="Q68" s="59">
        <f t="shared" si="4"/>
        <v>0</v>
      </c>
      <c r="R68" s="52">
        <f t="shared" si="7"/>
        <v>993.0119793065448</v>
      </c>
      <c r="S68" s="18">
        <f t="shared" si="8"/>
        <v>0</v>
      </c>
      <c r="T68" s="39"/>
    </row>
    <row r="69" spans="1:20" ht="12.75">
      <c r="A69" s="2">
        <v>39</v>
      </c>
      <c r="C69" s="57">
        <f t="shared" si="9"/>
        <v>0</v>
      </c>
      <c r="D69" s="57">
        <f t="shared" si="10"/>
        <v>0</v>
      </c>
      <c r="E69" s="57">
        <f>HLOOKUP($F$10,'WACOC-Tax Table pg3'!$B$17:$E$58,A70)*$B$30</f>
        <v>0</v>
      </c>
      <c r="F69" s="57">
        <f t="shared" si="11"/>
        <v>0</v>
      </c>
      <c r="G69" s="50">
        <f t="shared" si="5"/>
        <v>0</v>
      </c>
      <c r="H69" s="52">
        <f t="shared" si="12"/>
        <v>0</v>
      </c>
      <c r="I69" s="52">
        <f t="shared" si="14"/>
        <v>0</v>
      </c>
      <c r="J69" s="33">
        <f>'[1]WACOC-Tax Table'!$E$10*I69</f>
        <v>0</v>
      </c>
      <c r="K69" s="50">
        <f>I69*('WACOC-Tax Table pg3'!$D$12)</f>
        <v>0</v>
      </c>
      <c r="L69" s="57">
        <v>0</v>
      </c>
      <c r="M69" s="52">
        <f t="shared" si="1"/>
        <v>0</v>
      </c>
      <c r="N69" s="57">
        <f t="shared" si="2"/>
        <v>0</v>
      </c>
      <c r="O69" s="50">
        <f t="shared" si="3"/>
        <v>0</v>
      </c>
      <c r="P69" s="61">
        <f>1/(1+'[1]WACOC-Tax Table'!$E$13)^A69</f>
        <v>0.04429157877006517</v>
      </c>
      <c r="Q69" s="59">
        <f t="shared" si="4"/>
        <v>0</v>
      </c>
      <c r="R69" s="52">
        <f t="shared" si="7"/>
        <v>993.0119793065448</v>
      </c>
      <c r="S69" s="18">
        <f t="shared" si="8"/>
        <v>0</v>
      </c>
      <c r="T69" s="39"/>
    </row>
    <row r="70" spans="1:20" ht="12.75">
      <c r="A70" s="2">
        <v>40</v>
      </c>
      <c r="C70" s="57">
        <f t="shared" si="9"/>
        <v>0</v>
      </c>
      <c r="D70" s="57">
        <f>D69-C70</f>
        <v>0</v>
      </c>
      <c r="E70" s="57">
        <f>HLOOKUP($F$10,'WACOC-Tax Table pg3'!$B$17:$E$58,A71)*$B$30</f>
        <v>0</v>
      </c>
      <c r="F70" s="57">
        <f>F69-E70</f>
        <v>0</v>
      </c>
      <c r="G70" s="50">
        <f t="shared" si="5"/>
        <v>0</v>
      </c>
      <c r="H70" s="52">
        <f>H69+G70</f>
        <v>0</v>
      </c>
      <c r="I70" s="52">
        <f t="shared" si="14"/>
        <v>0</v>
      </c>
      <c r="J70" s="33">
        <f>'[1]WACOC-Tax Table'!$E$10*I70</f>
        <v>0</v>
      </c>
      <c r="K70" s="50">
        <f>I70*('WACOC-Tax Table pg3'!$D$12)</f>
        <v>0</v>
      </c>
      <c r="L70" s="57">
        <v>0</v>
      </c>
      <c r="M70" s="52">
        <f t="shared" si="1"/>
        <v>0</v>
      </c>
      <c r="N70" s="57">
        <f t="shared" si="2"/>
        <v>0</v>
      </c>
      <c r="O70" s="50">
        <f t="shared" si="3"/>
        <v>0</v>
      </c>
      <c r="P70" s="61">
        <f>1/(1+'[1]WACOC-Tax Table'!$E$13)^A70</f>
        <v>0.040889466777121686</v>
      </c>
      <c r="Q70" s="62">
        <f t="shared" si="4"/>
        <v>0</v>
      </c>
      <c r="R70" s="52">
        <f>R69+Q70</f>
        <v>993.0119793065448</v>
      </c>
      <c r="S70" s="18">
        <f t="shared" si="8"/>
        <v>0</v>
      </c>
      <c r="T70" s="39"/>
    </row>
    <row r="71" spans="1:17" ht="12.75">
      <c r="A71" s="2">
        <v>41</v>
      </c>
      <c r="Q71" s="52">
        <f>SUM(Q30:Q70)</f>
        <v>993.0119793065448</v>
      </c>
    </row>
    <row r="72" ht="12.75">
      <c r="Q72" s="52">
        <f>SUM(Q30:Q60)</f>
        <v>993.0119793065448</v>
      </c>
    </row>
    <row r="79" spans="11:17" ht="12.75">
      <c r="K79" s="26"/>
      <c r="O79" s="63"/>
      <c r="Q79" s="52"/>
    </row>
    <row r="80" spans="11:15" ht="12.75">
      <c r="K80" s="26"/>
      <c r="O80" s="63"/>
    </row>
    <row r="81" spans="11:15" ht="12.75">
      <c r="K81" s="26"/>
      <c r="O81" s="63"/>
    </row>
    <row r="82" spans="11:15" ht="12.75">
      <c r="K82" s="26"/>
      <c r="O82" s="63"/>
    </row>
    <row r="83" spans="11:15" ht="12.75">
      <c r="K83" s="26"/>
      <c r="O83" s="63"/>
    </row>
    <row r="84" spans="11:15" ht="12.75">
      <c r="K84" s="26"/>
      <c r="O84" s="63"/>
    </row>
    <row r="85" spans="11:15" ht="12.75">
      <c r="K85" s="26"/>
      <c r="O85" s="63"/>
    </row>
    <row r="86" spans="11:15" ht="12.75">
      <c r="K86" s="26"/>
      <c r="O86" s="63"/>
    </row>
  </sheetData>
  <sheetProtection/>
  <printOptions/>
  <pageMargins left="0.95" right="0.95" top="1.41" bottom="1" header="0.74" footer="0.55"/>
  <pageSetup fitToWidth="2" horizontalDpi="600" verticalDpi="600" orientation="landscape" scale="94" r:id="rId1"/>
  <headerFooter scaleWithDoc="0" alignWithMargins="0">
    <oddHeader>&amp;C&amp;"Times New Roman,Bold"&amp;12Louisville Gas and Electric Company
Gas Telemetry Charge Cost Support</oddHeader>
    <oddFooter>&amp;R&amp;"Times New Roman,Bold"&amp;12Conroy Exhibit M4
Page &amp;P of &amp;N</oddFooter>
    <evenHeader>&amp;C&amp;"Times New Roman,Bold"&amp;12Louisville Gas and Electric Company
Gas Telemetry Charge Cost Support</evenHeader>
    <evenFooter>&amp;R&amp;"Times New Roman,Bold"&amp;12Conroy Exhibit M4
Page &amp;P of &amp;N</evenFooter>
    <firstHeader>&amp;C&amp;"Times New Roman,Bold"&amp;12Louisville Gas and Electric Company
Gas Telemetry Charge Cost Support</firstHeader>
    <firstFooter>&amp;R&amp;"Times New Roman,Bold"&amp;12Conroy Exhibit M4
Page &amp;P of &amp;N</firstFooter>
  </headerFooter>
  <colBreaks count="1" manualBreakCount="1">
    <brk id="8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2012-08-07T00:38:29Z</dcterms:created>
  <dcterms:modified xsi:type="dcterms:W3CDTF">2012-08-10T21:57:59Z</dcterms:modified>
  <cp:category/>
  <cp:version/>
  <cp:contentType/>
  <cp:contentStatus/>
</cp:coreProperties>
</file>