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20115" windowHeight="10935" activeTab="0"/>
  </bookViews>
  <sheets>
    <sheet name="30-Year" sheetId="1" r:id="rId1"/>
    <sheet name="WACOC-Tax Table" sheetId="2" r:id="rId2"/>
    <sheet name="NPV" sheetId="3" r:id="rId3"/>
  </sheets>
  <definedNames>
    <definedName name="_xlnm.Print_Area" localSheetId="0">'30-Year'!$A$1:$I$79</definedName>
    <definedName name="_xlnm.Print_Area" localSheetId="2">'NPV'!$A$1:$Q$73</definedName>
    <definedName name="_xlnm.Print_Titles" localSheetId="2">'NPV'!$A:$A</definedName>
  </definedNames>
  <calcPr fullCalcOnLoad="1"/>
</workbook>
</file>

<file path=xl/sharedStrings.xml><?xml version="1.0" encoding="utf-8"?>
<sst xmlns="http://schemas.openxmlformats.org/spreadsheetml/2006/main" count="160" uniqueCount="96">
  <si>
    <t>Percentage</t>
  </si>
  <si>
    <t>Present Value</t>
  </si>
  <si>
    <t>Cumulative</t>
  </si>
  <si>
    <t>(1)</t>
  </si>
  <si>
    <t>Year</t>
  </si>
  <si>
    <t>(2)</t>
  </si>
  <si>
    <t>(3)</t>
  </si>
  <si>
    <t>(4)</t>
  </si>
  <si>
    <t>Present</t>
  </si>
  <si>
    <t>Replacement</t>
  </si>
  <si>
    <t>Value of</t>
  </si>
  <si>
    <t>Replaced</t>
  </si>
  <si>
    <t>(5)</t>
  </si>
  <si>
    <t>Annual</t>
  </si>
  <si>
    <t>(6)</t>
  </si>
  <si>
    <t>(7)</t>
  </si>
  <si>
    <t>(3) x (5)</t>
  </si>
  <si>
    <t>Iowa Curve</t>
  </si>
  <si>
    <t xml:space="preserve">Percent </t>
  </si>
  <si>
    <t>Surviving</t>
  </si>
  <si>
    <t>Cost Escalation</t>
  </si>
  <si>
    <t>Cost</t>
  </si>
  <si>
    <t>Factor at a</t>
  </si>
  <si>
    <t>Inflation Factor</t>
  </si>
  <si>
    <t>Nominal</t>
  </si>
  <si>
    <t>Discount Rate</t>
  </si>
  <si>
    <t>(6) x (7)</t>
  </si>
  <si>
    <t>(8)</t>
  </si>
  <si>
    <t>(9)</t>
  </si>
  <si>
    <t>30 Year R2</t>
  </si>
  <si>
    <t>Present Value of Replacement Plant as a Percentage of Original Cost</t>
  </si>
  <si>
    <t>Original Cost Value</t>
  </si>
  <si>
    <t>O&amp;M Percentage</t>
  </si>
  <si>
    <t>Total Excess Facilities Charge</t>
  </si>
  <si>
    <t>Assuming</t>
  </si>
  <si>
    <t>Customer Makes</t>
  </si>
  <si>
    <t>Customer Does</t>
  </si>
  <si>
    <t>Not Make</t>
  </si>
  <si>
    <t>Excess Facilities Charges</t>
  </si>
  <si>
    <t>Total Present Value of Original and Replacement Cost Value as a Percentage of Original Cost</t>
  </si>
  <si>
    <t>Tax Depreciation Table (MACRS)</t>
  </si>
  <si>
    <t>Common Equity</t>
  </si>
  <si>
    <t>Rate</t>
  </si>
  <si>
    <t>Tax Rate</t>
  </si>
  <si>
    <t>COC</t>
  </si>
  <si>
    <t>Percent</t>
  </si>
  <si>
    <t>Adjusted</t>
  </si>
  <si>
    <t>Weighted</t>
  </si>
  <si>
    <t>Capital Structure:</t>
  </si>
  <si>
    <t>Requirement</t>
  </si>
  <si>
    <t>Factor</t>
  </si>
  <si>
    <t>Taxes</t>
  </si>
  <si>
    <t>O&amp;M</t>
  </si>
  <si>
    <t>Equity</t>
  </si>
  <si>
    <t>Interest</t>
  </si>
  <si>
    <t>Rate Base</t>
  </si>
  <si>
    <t>Income Tax</t>
  </si>
  <si>
    <t>Plant</t>
  </si>
  <si>
    <t>Depreciation</t>
  </si>
  <si>
    <t>Investment</t>
  </si>
  <si>
    <t>Charge</t>
  </si>
  <si>
    <t>Revenue</t>
  </si>
  <si>
    <t>Income</t>
  </si>
  <si>
    <t xml:space="preserve">Property </t>
  </si>
  <si>
    <t xml:space="preserve">Deferred </t>
  </si>
  <si>
    <t>Residual</t>
  </si>
  <si>
    <t>Tax</t>
  </si>
  <si>
    <t>Book</t>
  </si>
  <si>
    <t>Carrying</t>
  </si>
  <si>
    <t>Value</t>
  </si>
  <si>
    <t>Accumulated</t>
  </si>
  <si>
    <t>Times Net Revenue</t>
  </si>
  <si>
    <t xml:space="preserve">   Level of Investment that can be Supported by Revenue</t>
  </si>
  <si>
    <t xml:space="preserve">   Levelized Carrying Charge Rate</t>
  </si>
  <si>
    <t xml:space="preserve">   Levelized Revenue Requirement</t>
  </si>
  <si>
    <t xml:space="preserve">   Present Value Revenue Requirement</t>
  </si>
  <si>
    <t>Results:</t>
  </si>
  <si>
    <t xml:space="preserve">   O&amp;M as Percent of Investment</t>
  </si>
  <si>
    <t xml:space="preserve">   Levelized Revenue Requirement Years</t>
  </si>
  <si>
    <t xml:space="preserve">   Property Tax Rate</t>
  </si>
  <si>
    <t xml:space="preserve">   Composite Tax Rate</t>
  </si>
  <si>
    <t xml:space="preserve">   Tax Life</t>
  </si>
  <si>
    <t xml:space="preserve">   Book Life</t>
  </si>
  <si>
    <t xml:space="preserve">   Investment</t>
  </si>
  <si>
    <t>Assumptions:</t>
  </si>
  <si>
    <t>Monthly Carrying Charge Percentage (Levelized Carrying Charge Rate / 12 months)</t>
  </si>
  <si>
    <t>Applicable Carrying Charge Charge Percentage (Lines 3 x 5)</t>
  </si>
  <si>
    <t>Louisville Gas and Electric Company</t>
  </si>
  <si>
    <t>Electric Service</t>
  </si>
  <si>
    <t>Levelized Carrying Charge Analysis - Electric</t>
  </si>
  <si>
    <t>Levelized Carrying Charge Analysis</t>
  </si>
  <si>
    <t>Contribution</t>
  </si>
  <si>
    <t>In Aid of</t>
  </si>
  <si>
    <t>Construction</t>
  </si>
  <si>
    <t>Short-Term Debt</t>
  </si>
  <si>
    <t>Long-Term Debt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</si>
</sst>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_);_(* \(#,##0.000\);_(* &quot;-&quot;??_);_(@_)"/>
    <numFmt numFmtId="166" formatCode="_(* #,##0.0000_);_(* \(#,##0.0000\);_(* &quot;-&quot;??_);_(@_)"/>
    <numFmt numFmtId="167" formatCode="_(* #,##0.0000_);_(* \(#,##0.0000\);_(* &quot;-&quot;????_);_(@_)"/>
    <numFmt numFmtId="168" formatCode="0.0%"/>
    <numFmt numFmtId="169" formatCode="_(* #,##0.00000_);_(* \(#,##0.00000\);_(* &quot;-&quot;??_);_(@_)"/>
    <numFmt numFmtId="170" formatCode="_(&quot;$&quot;* #,##0_);_(&quot;$&quot;* \(#,##0\);_(&quot;$&quot;* &quot;-&quot;??_);_(@_)"/>
    <numFmt numFmtId="171" formatCode="_(&quot;$&quot;* #,##0.0_);_(&quot;$&quot;* \(#,##0.0\);_(&quot;$&quot;* &quot;-&quot;??_);_(@_)"/>
    <numFmt numFmtId="172" formatCode="_(* #,##0.0_);_(* \(#,##0.0\);_(* &quot;-&quot;??_);_(@_)"/>
    <numFmt numFmtId="173" formatCode="_(* #,##0_);_(* \(#,##0\);_(* &quot;-&quot;??_);_(@_)"/>
    <numFmt numFmtId="174" formatCode="0.000%"/>
    <numFmt numFmtId="175" formatCode="&quot;$&quot;#,##0\ ;\(&quot;$&quot;#,##0\)"/>
    <numFmt numFmtId="176" formatCode="_([$€-2]* #,##0.00_);_([$€-2]* \(#,##0.00\);_([$€-2]* &quot;-&quot;??_)"/>
    <numFmt numFmtId="177" formatCode="_(* #,##0.000000_);_(* \(#,##0.000000\);_(* &quot;-&quot;??_);_(@_)"/>
    <numFmt numFmtId="178" formatCode="0.0000%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sz val="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" fillId="29" borderId="0">
      <alignment horizontal="left"/>
      <protection/>
    </xf>
    <xf numFmtId="0" fontId="5" fillId="29" borderId="0">
      <alignment horizontal="right"/>
      <protection/>
    </xf>
    <xf numFmtId="0" fontId="6" fillId="30" borderId="0">
      <alignment horizontal="center"/>
      <protection/>
    </xf>
    <xf numFmtId="0" fontId="5" fillId="29" borderId="0">
      <alignment horizontal="right"/>
      <protection/>
    </xf>
    <xf numFmtId="0" fontId="7" fillId="3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31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Protection="0">
      <alignment/>
    </xf>
    <xf numFmtId="0" fontId="8" fillId="0" borderId="0" applyProtection="0">
      <alignment/>
    </xf>
    <xf numFmtId="0" fontId="3" fillId="0" borderId="0" applyProtection="0">
      <alignment/>
    </xf>
    <xf numFmtId="0" fontId="1" fillId="0" borderId="0" applyProtection="0">
      <alignment/>
    </xf>
    <xf numFmtId="0" fontId="0" fillId="0" borderId="0" applyProtection="0">
      <alignment/>
    </xf>
    <xf numFmtId="0" fontId="2" fillId="0" borderId="0" applyProtection="0">
      <alignment/>
    </xf>
    <xf numFmtId="0" fontId="9" fillId="0" borderId="0" applyProtection="0">
      <alignment/>
    </xf>
    <xf numFmtId="2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3" borderId="1" applyNumberFormat="0" applyAlignment="0" applyProtection="0"/>
    <xf numFmtId="0" fontId="4" fillId="29" borderId="0">
      <alignment horizontal="left"/>
      <protection/>
    </xf>
    <xf numFmtId="0" fontId="10" fillId="30" borderId="0">
      <alignment horizontal="left"/>
      <protection/>
    </xf>
    <xf numFmtId="0" fontId="49" fillId="0" borderId="6" applyNumberFormat="0" applyFill="0" applyAlignment="0" applyProtection="0"/>
    <xf numFmtId="0" fontId="50" fillId="34" borderId="0" applyNumberFormat="0" applyBorder="0" applyAlignment="0" applyProtection="0"/>
    <xf numFmtId="0" fontId="0" fillId="0" borderId="0">
      <alignment/>
      <protection/>
    </xf>
    <xf numFmtId="0" fontId="0" fillId="35" borderId="7" applyNumberFormat="0" applyFont="0" applyAlignment="0" applyProtection="0"/>
    <xf numFmtId="0" fontId="51" fillId="27" borderId="8" applyNumberFormat="0" applyAlignment="0" applyProtection="0"/>
    <xf numFmtId="4" fontId="11" fillId="30" borderId="0">
      <alignment horizontal="right"/>
      <protection/>
    </xf>
    <xf numFmtId="0" fontId="12" fillId="30" borderId="0">
      <alignment horizontal="center" vertical="center"/>
      <protection/>
    </xf>
    <xf numFmtId="0" fontId="10" fillId="30" borderId="9">
      <alignment/>
      <protection/>
    </xf>
    <xf numFmtId="0" fontId="12" fillId="30" borderId="0" applyBorder="0">
      <alignment horizontal="centerContinuous"/>
      <protection/>
    </xf>
    <xf numFmtId="0" fontId="13" fillId="3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36" borderId="0">
      <alignment horizontal="center"/>
      <protection/>
    </xf>
    <xf numFmtId="49" fontId="14" fillId="30" borderId="0">
      <alignment horizontal="center"/>
      <protection/>
    </xf>
    <xf numFmtId="0" fontId="5" fillId="29" borderId="0">
      <alignment horizontal="center"/>
      <protection/>
    </xf>
    <xf numFmtId="0" fontId="5" fillId="29" borderId="0">
      <alignment horizontal="centerContinuous"/>
      <protection/>
    </xf>
    <xf numFmtId="0" fontId="15" fillId="30" borderId="0">
      <alignment horizontal="left"/>
      <protection/>
    </xf>
    <xf numFmtId="49" fontId="15" fillId="30" borderId="0">
      <alignment horizontal="center"/>
      <protection/>
    </xf>
    <xf numFmtId="0" fontId="4" fillId="29" borderId="0">
      <alignment horizontal="left"/>
      <protection/>
    </xf>
    <xf numFmtId="49" fontId="15" fillId="30" borderId="0">
      <alignment horizontal="left"/>
      <protection/>
    </xf>
    <xf numFmtId="0" fontId="4" fillId="29" borderId="0">
      <alignment horizontal="centerContinuous"/>
      <protection/>
    </xf>
    <xf numFmtId="0" fontId="4" fillId="29" borderId="0">
      <alignment horizontal="right"/>
      <protection/>
    </xf>
    <xf numFmtId="49" fontId="10" fillId="30" borderId="0">
      <alignment horizontal="left"/>
      <protection/>
    </xf>
    <xf numFmtId="0" fontId="5" fillId="29" borderId="0">
      <alignment horizontal="right"/>
      <protection/>
    </xf>
    <xf numFmtId="0" fontId="15" fillId="37" borderId="0">
      <alignment horizontal="center"/>
      <protection/>
    </xf>
    <xf numFmtId="0" fontId="16" fillId="37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17" fillId="30" borderId="0">
      <alignment horizontal="center"/>
      <protection/>
    </xf>
    <xf numFmtId="0" fontId="5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/>
    </xf>
    <xf numFmtId="0" fontId="1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10" fontId="8" fillId="0" borderId="0" xfId="90" applyNumberFormat="1" applyFont="1" applyAlignment="1">
      <alignment horizontal="center"/>
    </xf>
    <xf numFmtId="0" fontId="8" fillId="0" borderId="11" xfId="0" applyFont="1" applyBorder="1" applyAlignment="1" quotePrefix="1">
      <alignment horizontal="center"/>
    </xf>
    <xf numFmtId="0" fontId="8" fillId="0" borderId="0" xfId="0" applyFont="1" applyAlignment="1" quotePrefix="1">
      <alignment horizontal="center"/>
    </xf>
    <xf numFmtId="166" fontId="8" fillId="0" borderId="0" xfId="47" applyNumberFormat="1" applyFont="1" applyAlignment="1" quotePrefix="1">
      <alignment horizontal="center"/>
    </xf>
    <xf numFmtId="166" fontId="8" fillId="0" borderId="0" xfId="47" applyNumberFormat="1" applyFont="1" applyAlignment="1">
      <alignment/>
    </xf>
    <xf numFmtId="166" fontId="8" fillId="0" borderId="0" xfId="0" applyNumberFormat="1" applyFont="1" applyAlignment="1">
      <alignment/>
    </xf>
    <xf numFmtId="166" fontId="8" fillId="0" borderId="12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43" fontId="8" fillId="0" borderId="0" xfId="0" applyNumberFormat="1" applyFont="1" applyBorder="1" applyAlignment="1">
      <alignment/>
    </xf>
    <xf numFmtId="43" fontId="8" fillId="0" borderId="0" xfId="0" applyNumberFormat="1" applyFont="1" applyAlignment="1">
      <alignment/>
    </xf>
    <xf numFmtId="173" fontId="8" fillId="0" borderId="0" xfId="47" applyNumberFormat="1" applyFont="1" applyAlignment="1">
      <alignment/>
    </xf>
    <xf numFmtId="169" fontId="8" fillId="0" borderId="0" xfId="47" applyNumberFormat="1" applyFont="1" applyAlignment="1">
      <alignment/>
    </xf>
    <xf numFmtId="10" fontId="8" fillId="0" borderId="0" xfId="90" applyNumberFormat="1" applyFont="1" applyAlignment="1">
      <alignment/>
    </xf>
    <xf numFmtId="10" fontId="8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11" xfId="0" applyFont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10" fontId="8" fillId="0" borderId="0" xfId="91" applyNumberFormat="1" applyFont="1" applyAlignment="1">
      <alignment/>
    </xf>
    <xf numFmtId="174" fontId="8" fillId="0" borderId="0" xfId="91" applyNumberFormat="1" applyFont="1" applyAlignment="1">
      <alignment/>
    </xf>
    <xf numFmtId="0" fontId="8" fillId="0" borderId="0" xfId="0" applyFont="1" applyAlignment="1" quotePrefix="1">
      <alignment/>
    </xf>
    <xf numFmtId="170" fontId="8" fillId="0" borderId="0" xfId="57" applyNumberFormat="1" applyFont="1" applyAlignment="1">
      <alignment/>
    </xf>
    <xf numFmtId="178" fontId="8" fillId="0" borderId="0" xfId="91" applyNumberFormat="1" applyFont="1" applyAlignment="1">
      <alignment/>
    </xf>
    <xf numFmtId="170" fontId="8" fillId="0" borderId="0" xfId="0" applyNumberFormat="1" applyFont="1" applyAlignment="1">
      <alignment/>
    </xf>
    <xf numFmtId="6" fontId="8" fillId="0" borderId="0" xfId="0" applyNumberFormat="1" applyFont="1" applyAlignment="1">
      <alignment/>
    </xf>
    <xf numFmtId="43" fontId="8" fillId="0" borderId="0" xfId="51" applyFont="1" applyAlignment="1">
      <alignment/>
    </xf>
    <xf numFmtId="44" fontId="8" fillId="0" borderId="0" xfId="57" applyFont="1" applyAlignment="1">
      <alignment/>
    </xf>
    <xf numFmtId="173" fontId="8" fillId="0" borderId="0" xfId="51" applyNumberFormat="1" applyFont="1" applyAlignment="1">
      <alignment/>
    </xf>
    <xf numFmtId="177" fontId="8" fillId="0" borderId="0" xfId="51" applyNumberFormat="1" applyFont="1" applyAlignment="1">
      <alignment/>
    </xf>
    <xf numFmtId="170" fontId="8" fillId="0" borderId="0" xfId="57" applyNumberFormat="1" applyFont="1" applyAlignment="1">
      <alignment/>
    </xf>
    <xf numFmtId="173" fontId="8" fillId="0" borderId="0" xfId="51" applyNumberFormat="1" applyFont="1" applyAlignment="1">
      <alignment/>
    </xf>
    <xf numFmtId="169" fontId="8" fillId="0" borderId="0" xfId="51" applyNumberFormat="1" applyFont="1" applyAlignment="1">
      <alignment/>
    </xf>
    <xf numFmtId="170" fontId="8" fillId="0" borderId="11" xfId="57" applyNumberFormat="1" applyFont="1" applyBorder="1" applyAlignment="1">
      <alignment/>
    </xf>
    <xf numFmtId="10" fontId="8" fillId="0" borderId="0" xfId="92" applyNumberFormat="1" applyFont="1" applyFill="1" applyAlignment="1">
      <alignment/>
    </xf>
    <xf numFmtId="0" fontId="8" fillId="0" borderId="0" xfId="0" applyFont="1" applyFill="1" applyAlignment="1">
      <alignment/>
    </xf>
    <xf numFmtId="10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 horizontal="right"/>
    </xf>
    <xf numFmtId="10" fontId="8" fillId="0" borderId="11" xfId="92" applyNumberFormat="1" applyFont="1" applyFill="1" applyBorder="1" applyAlignment="1">
      <alignment/>
    </xf>
    <xf numFmtId="10" fontId="8" fillId="0" borderId="11" xfId="0" applyNumberFormat="1" applyFont="1" applyFill="1" applyBorder="1" applyAlignment="1">
      <alignment/>
    </xf>
    <xf numFmtId="173" fontId="8" fillId="0" borderId="0" xfId="0" applyNumberFormat="1" applyFont="1" applyAlignment="1">
      <alignment/>
    </xf>
    <xf numFmtId="0" fontId="20" fillId="0" borderId="11" xfId="0" applyFont="1" applyBorder="1" applyAlignment="1">
      <alignment horizontal="center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AttributeAbovePrompt" xfId="42"/>
    <cellStyle name="ColumnAttributePrompt" xfId="43"/>
    <cellStyle name="ColumnAttributeValue" xfId="44"/>
    <cellStyle name="ColumnHeadingPrompt" xfId="45"/>
    <cellStyle name="ColumnHeadingValue" xfId="46"/>
    <cellStyle name="Comma" xfId="47"/>
    <cellStyle name="Comma [0]" xfId="48"/>
    <cellStyle name="Comma [0] 2 2" xfId="49"/>
    <cellStyle name="Comma [0] 2 3" xfId="50"/>
    <cellStyle name="Comma 2" xfId="51"/>
    <cellStyle name="Comma 2 2" xfId="52"/>
    <cellStyle name="Comma 2 3" xfId="53"/>
    <cellStyle name="Comma0" xfId="54"/>
    <cellStyle name="Currency" xfId="55"/>
    <cellStyle name="Currency [0]" xfId="56"/>
    <cellStyle name="Currency 2" xfId="57"/>
    <cellStyle name="Currency 2 2" xfId="58"/>
    <cellStyle name="Currency 2 3" xfId="59"/>
    <cellStyle name="Currency0" xfId="60"/>
    <cellStyle name="Date" xfId="61"/>
    <cellStyle name="Euro" xfId="62"/>
    <cellStyle name="Explanatory Text" xfId="63"/>
    <cellStyle name="F2" xfId="64"/>
    <cellStyle name="F3" xfId="65"/>
    <cellStyle name="F4" xfId="66"/>
    <cellStyle name="F5" xfId="67"/>
    <cellStyle name="F6" xfId="68"/>
    <cellStyle name="F7" xfId="69"/>
    <cellStyle name="F8" xfId="70"/>
    <cellStyle name="Fixed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eItemPrompt" xfId="78"/>
    <cellStyle name="LineItemValue" xfId="79"/>
    <cellStyle name="Linked Cell" xfId="80"/>
    <cellStyle name="Neutral" xfId="81"/>
    <cellStyle name="Normal 2" xfId="82"/>
    <cellStyle name="Note" xfId="83"/>
    <cellStyle name="Output" xfId="84"/>
    <cellStyle name="Output Amounts" xfId="85"/>
    <cellStyle name="Output Column Headings" xfId="86"/>
    <cellStyle name="Output Line Items" xfId="87"/>
    <cellStyle name="Output Report Heading" xfId="88"/>
    <cellStyle name="Output Report Title" xfId="89"/>
    <cellStyle name="Percent" xfId="90"/>
    <cellStyle name="Percent 2" xfId="91"/>
    <cellStyle name="Percent 2 2" xfId="92"/>
    <cellStyle name="Percent 2 3" xfId="93"/>
    <cellStyle name="ReportTitlePrompt" xfId="94"/>
    <cellStyle name="ReportTitleValue" xfId="95"/>
    <cellStyle name="RowAcctAbovePrompt" xfId="96"/>
    <cellStyle name="RowAcctSOBAbovePrompt" xfId="97"/>
    <cellStyle name="RowAcctSOBValue" xfId="98"/>
    <cellStyle name="RowAcctValue" xfId="99"/>
    <cellStyle name="RowAttrAbovePrompt" xfId="100"/>
    <cellStyle name="RowAttrValue" xfId="101"/>
    <cellStyle name="RowColSetAbovePrompt" xfId="102"/>
    <cellStyle name="RowColSetLeftPrompt" xfId="103"/>
    <cellStyle name="RowColSetValue" xfId="104"/>
    <cellStyle name="RowLeftPrompt" xfId="105"/>
    <cellStyle name="SampleUsingFormatMask" xfId="106"/>
    <cellStyle name="SampleWithNoFormatMask" xfId="107"/>
    <cellStyle name="STYL5 - Style5" xfId="108"/>
    <cellStyle name="STYL6 - Style6" xfId="109"/>
    <cellStyle name="STYLE1 - Style1" xfId="110"/>
    <cellStyle name="STYLE2 - Style2" xfId="111"/>
    <cellStyle name="STYLE3 - Style3" xfId="112"/>
    <cellStyle name="STYLE4 - Style4" xfId="113"/>
    <cellStyle name="Title" xfId="114"/>
    <cellStyle name="Total" xfId="115"/>
    <cellStyle name="UploadThisRowValue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view="pageBreakPreview" zoomScale="60" workbookViewId="0" topLeftCell="A1">
      <selection activeCell="F40" sqref="F40"/>
    </sheetView>
  </sheetViews>
  <sheetFormatPr defaultColWidth="9.140625" defaultRowHeight="12.75"/>
  <cols>
    <col min="1" max="1" width="8.57421875" style="2" customWidth="1"/>
    <col min="2" max="9" width="16.00390625" style="2" customWidth="1"/>
    <col min="10" max="16384" width="9.140625" style="2" customWidth="1"/>
  </cols>
  <sheetData>
    <row r="1" spans="1:9" ht="18.75">
      <c r="A1" s="1" t="s">
        <v>87</v>
      </c>
      <c r="I1" s="3"/>
    </row>
    <row r="2" spans="1:9" ht="12.75">
      <c r="A2" s="2" t="s">
        <v>30</v>
      </c>
      <c r="I2" s="4"/>
    </row>
    <row r="3" spans="1:9" ht="12.75">
      <c r="A3" s="2" t="s">
        <v>88</v>
      </c>
      <c r="I3" s="4"/>
    </row>
    <row r="4" ht="12.75">
      <c r="I4" s="4"/>
    </row>
    <row r="6" ht="12.75">
      <c r="I6" s="5" t="s">
        <v>2</v>
      </c>
    </row>
    <row r="7" spans="4:9" ht="12.75">
      <c r="D7" s="5"/>
      <c r="E7" s="5"/>
      <c r="F7" s="5"/>
      <c r="G7" s="5"/>
      <c r="H7" s="5" t="s">
        <v>8</v>
      </c>
      <c r="I7" s="5" t="s">
        <v>8</v>
      </c>
    </row>
    <row r="8" spans="2:9" ht="12.75">
      <c r="B8" s="5" t="s">
        <v>29</v>
      </c>
      <c r="D8" s="5"/>
      <c r="E8" s="5" t="s">
        <v>20</v>
      </c>
      <c r="F8" s="5"/>
      <c r="G8" s="5" t="s">
        <v>1</v>
      </c>
      <c r="H8" s="5" t="s">
        <v>10</v>
      </c>
      <c r="I8" s="5" t="s">
        <v>10</v>
      </c>
    </row>
    <row r="9" spans="2:9" ht="12.75">
      <c r="B9" s="5" t="s">
        <v>17</v>
      </c>
      <c r="C9" s="5" t="s">
        <v>13</v>
      </c>
      <c r="D9" s="5" t="s">
        <v>2</v>
      </c>
      <c r="E9" s="5" t="s">
        <v>22</v>
      </c>
      <c r="F9" s="6" t="s">
        <v>24</v>
      </c>
      <c r="G9" s="5" t="s">
        <v>22</v>
      </c>
      <c r="H9" s="5" t="s">
        <v>13</v>
      </c>
      <c r="I9" s="5" t="s">
        <v>13</v>
      </c>
    </row>
    <row r="10" spans="2:9" ht="12.75">
      <c r="B10" s="5" t="s">
        <v>18</v>
      </c>
      <c r="C10" s="5" t="s">
        <v>9</v>
      </c>
      <c r="D10" s="5" t="s">
        <v>9</v>
      </c>
      <c r="E10" s="7">
        <v>0.03</v>
      </c>
      <c r="F10" s="5" t="s">
        <v>9</v>
      </c>
      <c r="G10" s="7">
        <v>0.07</v>
      </c>
      <c r="H10" s="5" t="s">
        <v>9</v>
      </c>
      <c r="I10" s="5" t="s">
        <v>11</v>
      </c>
    </row>
    <row r="11" spans="1:9" ht="12.75">
      <c r="A11" s="5" t="s">
        <v>4</v>
      </c>
      <c r="B11" s="5" t="s">
        <v>19</v>
      </c>
      <c r="C11" s="5" t="s">
        <v>0</v>
      </c>
      <c r="D11" s="5" t="s">
        <v>0</v>
      </c>
      <c r="E11" s="5" t="s">
        <v>23</v>
      </c>
      <c r="F11" s="5" t="s">
        <v>21</v>
      </c>
      <c r="G11" s="5" t="s">
        <v>25</v>
      </c>
      <c r="H11" s="5" t="s">
        <v>21</v>
      </c>
      <c r="I11" s="5" t="s">
        <v>21</v>
      </c>
    </row>
    <row r="12" spans="1:9" ht="12.75">
      <c r="A12" s="8" t="s">
        <v>3</v>
      </c>
      <c r="B12" s="8" t="s">
        <v>5</v>
      </c>
      <c r="C12" s="8" t="s">
        <v>6</v>
      </c>
      <c r="D12" s="8" t="s">
        <v>7</v>
      </c>
      <c r="E12" s="8" t="s">
        <v>12</v>
      </c>
      <c r="F12" s="8" t="s">
        <v>14</v>
      </c>
      <c r="G12" s="8" t="s">
        <v>15</v>
      </c>
      <c r="H12" s="8" t="s">
        <v>27</v>
      </c>
      <c r="I12" s="8" t="s">
        <v>28</v>
      </c>
    </row>
    <row r="13" spans="1:8" ht="12.75">
      <c r="A13" s="9"/>
      <c r="B13" s="9"/>
      <c r="C13" s="9"/>
      <c r="D13" s="9"/>
      <c r="E13" s="9"/>
      <c r="F13" s="5" t="s">
        <v>16</v>
      </c>
      <c r="G13" s="9"/>
      <c r="H13" s="9" t="s">
        <v>26</v>
      </c>
    </row>
    <row r="14" spans="1:8" ht="12.75">
      <c r="A14" s="9"/>
      <c r="B14" s="9"/>
      <c r="C14" s="9"/>
      <c r="D14" s="9"/>
      <c r="E14" s="9"/>
      <c r="F14" s="9"/>
      <c r="G14" s="9"/>
      <c r="H14" s="9"/>
    </row>
    <row r="15" spans="1:8" ht="12.75">
      <c r="A15" s="9">
        <v>0</v>
      </c>
      <c r="B15" s="10">
        <v>100</v>
      </c>
      <c r="C15" s="9"/>
      <c r="D15" s="9"/>
      <c r="E15" s="9"/>
      <c r="F15" s="9"/>
      <c r="G15" s="9"/>
      <c r="H15" s="9"/>
    </row>
    <row r="16" spans="1:9" ht="12.75">
      <c r="A16" s="5">
        <v>1</v>
      </c>
      <c r="B16" s="11">
        <v>99.671</v>
      </c>
      <c r="C16" s="12">
        <f>B15-B16</f>
        <v>0.3289999999999935</v>
      </c>
      <c r="D16" s="12">
        <f>D15+C16</f>
        <v>0.3289999999999935</v>
      </c>
      <c r="E16" s="12">
        <f>(1+$E$10)^A16</f>
        <v>1.03</v>
      </c>
      <c r="F16" s="12">
        <f>C16*E16</f>
        <v>0.33886999999999334</v>
      </c>
      <c r="G16" s="12">
        <f>1/(1+$G$10)^A16</f>
        <v>0.9345794392523364</v>
      </c>
      <c r="H16" s="11">
        <f>G16*F16</f>
        <v>0.31670093457943305</v>
      </c>
      <c r="I16" s="12">
        <f>I15+H16</f>
        <v>0.31670093457943305</v>
      </c>
    </row>
    <row r="17" spans="1:9" ht="12.75">
      <c r="A17" s="5">
        <v>2</v>
      </c>
      <c r="B17" s="11">
        <v>99.3034</v>
      </c>
      <c r="C17" s="12">
        <f aca="true" t="shared" si="0" ref="C17:C45">B16-B17</f>
        <v>0.36760000000001014</v>
      </c>
      <c r="D17" s="12">
        <f aca="true" t="shared" si="1" ref="D17:D45">D16+C17</f>
        <v>0.6966000000000037</v>
      </c>
      <c r="E17" s="12">
        <f aca="true" t="shared" si="2" ref="E17:E45">(1+$E$10)^A17</f>
        <v>1.0609</v>
      </c>
      <c r="F17" s="12">
        <f aca="true" t="shared" si="3" ref="F17:F45">C17*E17</f>
        <v>0.3899868400000107</v>
      </c>
      <c r="G17" s="12">
        <f aca="true" t="shared" si="4" ref="G17:G45">1/(1+$G$10)^A17</f>
        <v>0.8734387282732116</v>
      </c>
      <c r="H17" s="11">
        <f aca="true" t="shared" si="5" ref="H17:H45">G17*F17</f>
        <v>0.3406296095728978</v>
      </c>
      <c r="I17" s="12">
        <f aca="true" t="shared" si="6" ref="I17:I45">I16+H17</f>
        <v>0.6573305441523308</v>
      </c>
    </row>
    <row r="18" spans="1:9" ht="12.75">
      <c r="A18" s="5">
        <v>3</v>
      </c>
      <c r="B18" s="11">
        <v>98.8936</v>
      </c>
      <c r="C18" s="12">
        <f t="shared" si="0"/>
        <v>0.40979999999998995</v>
      </c>
      <c r="D18" s="12">
        <f t="shared" si="1"/>
        <v>1.1063999999999936</v>
      </c>
      <c r="E18" s="12">
        <f t="shared" si="2"/>
        <v>1.092727</v>
      </c>
      <c r="F18" s="12">
        <f t="shared" si="3"/>
        <v>0.447799524599989</v>
      </c>
      <c r="G18" s="12">
        <f t="shared" si="4"/>
        <v>0.8162978768908519</v>
      </c>
      <c r="H18" s="11">
        <f t="shared" si="5"/>
        <v>0.3655378012037038</v>
      </c>
      <c r="I18" s="12">
        <f t="shared" si="6"/>
        <v>1.0228683453560348</v>
      </c>
    </row>
    <row r="19" spans="1:9" ht="12.75">
      <c r="A19" s="5">
        <v>4</v>
      </c>
      <c r="B19" s="11">
        <v>98.438</v>
      </c>
      <c r="C19" s="12">
        <f t="shared" si="0"/>
        <v>0.455600000000004</v>
      </c>
      <c r="D19" s="12">
        <f t="shared" si="1"/>
        <v>1.5619999999999976</v>
      </c>
      <c r="E19" s="12">
        <f t="shared" si="2"/>
        <v>1.12550881</v>
      </c>
      <c r="F19" s="12">
        <f t="shared" si="3"/>
        <v>0.5127818138360045</v>
      </c>
      <c r="G19" s="12">
        <f t="shared" si="4"/>
        <v>0.7628952120475252</v>
      </c>
      <c r="H19" s="11">
        <f t="shared" si="5"/>
        <v>0.39119879060053325</v>
      </c>
      <c r="I19" s="12">
        <f t="shared" si="6"/>
        <v>1.414067135956568</v>
      </c>
    </row>
    <row r="20" spans="1:9" ht="12.75">
      <c r="A20" s="5">
        <v>5</v>
      </c>
      <c r="B20" s="11">
        <v>97.9327</v>
      </c>
      <c r="C20" s="12">
        <f t="shared" si="0"/>
        <v>0.5053000000000054</v>
      </c>
      <c r="D20" s="12">
        <f t="shared" si="1"/>
        <v>2.067300000000003</v>
      </c>
      <c r="E20" s="12">
        <f t="shared" si="2"/>
        <v>1.1592740742999998</v>
      </c>
      <c r="F20" s="12">
        <f t="shared" si="3"/>
        <v>0.5857811897437962</v>
      </c>
      <c r="G20" s="12">
        <f t="shared" si="4"/>
        <v>0.7129861794836684</v>
      </c>
      <c r="H20" s="11">
        <f t="shared" si="5"/>
        <v>0.4176538924888271</v>
      </c>
      <c r="I20" s="12">
        <f t="shared" si="6"/>
        <v>1.831721028445395</v>
      </c>
    </row>
    <row r="21" spans="1:9" ht="12.75">
      <c r="A21" s="5">
        <v>6</v>
      </c>
      <c r="B21" s="11">
        <v>97.3737</v>
      </c>
      <c r="C21" s="12">
        <f t="shared" si="0"/>
        <v>0.5589999999999975</v>
      </c>
      <c r="D21" s="12">
        <f t="shared" si="1"/>
        <v>2.6263000000000005</v>
      </c>
      <c r="E21" s="12">
        <f t="shared" si="2"/>
        <v>1.194052296529</v>
      </c>
      <c r="F21" s="12">
        <f t="shared" si="3"/>
        <v>0.667475233759708</v>
      </c>
      <c r="G21" s="12">
        <f t="shared" si="4"/>
        <v>0.6663422238165125</v>
      </c>
      <c r="H21" s="11">
        <f t="shared" si="5"/>
        <v>0.44476693160589037</v>
      </c>
      <c r="I21" s="12">
        <f t="shared" si="6"/>
        <v>2.2764879600512855</v>
      </c>
    </row>
    <row r="22" spans="1:9" ht="12.75">
      <c r="A22" s="5">
        <v>7</v>
      </c>
      <c r="B22" s="11">
        <v>96.7565</v>
      </c>
      <c r="C22" s="12">
        <f t="shared" si="0"/>
        <v>0.6171999999999969</v>
      </c>
      <c r="D22" s="12">
        <f t="shared" si="1"/>
        <v>3.2434999999999974</v>
      </c>
      <c r="E22" s="12">
        <f t="shared" si="2"/>
        <v>1.22987386542487</v>
      </c>
      <c r="F22" s="12">
        <f t="shared" si="3"/>
        <v>0.7590781497402259</v>
      </c>
      <c r="G22" s="12">
        <f t="shared" si="4"/>
        <v>0.6227497418845911</v>
      </c>
      <c r="H22" s="11">
        <f t="shared" si="5"/>
        <v>0.47271572182095867</v>
      </c>
      <c r="I22" s="12">
        <f t="shared" si="6"/>
        <v>2.749203681872244</v>
      </c>
    </row>
    <row r="23" spans="1:9" ht="12.75">
      <c r="A23" s="5">
        <v>8</v>
      </c>
      <c r="B23" s="11">
        <v>96.0767</v>
      </c>
      <c r="C23" s="12">
        <f t="shared" si="0"/>
        <v>0.6798000000000002</v>
      </c>
      <c r="D23" s="12">
        <f t="shared" si="1"/>
        <v>3.9232999999999976</v>
      </c>
      <c r="E23" s="12">
        <f t="shared" si="2"/>
        <v>1.266770081387616</v>
      </c>
      <c r="F23" s="12">
        <f t="shared" si="3"/>
        <v>0.8611503013273015</v>
      </c>
      <c r="G23" s="12">
        <f t="shared" si="4"/>
        <v>0.5820091045650384</v>
      </c>
      <c r="H23" s="11">
        <f t="shared" si="5"/>
        <v>0.5011973157714158</v>
      </c>
      <c r="I23" s="12">
        <f t="shared" si="6"/>
        <v>3.25040099764366</v>
      </c>
    </row>
    <row r="24" spans="1:9" ht="12.75">
      <c r="A24" s="5">
        <v>9</v>
      </c>
      <c r="B24" s="11">
        <v>95.3294</v>
      </c>
      <c r="C24" s="12">
        <f t="shared" si="0"/>
        <v>0.7472999999999956</v>
      </c>
      <c r="D24" s="12">
        <f t="shared" si="1"/>
        <v>4.670599999999993</v>
      </c>
      <c r="E24" s="12">
        <f t="shared" si="2"/>
        <v>1.3047731838292445</v>
      </c>
      <c r="F24" s="12">
        <f t="shared" si="3"/>
        <v>0.9750570002755887</v>
      </c>
      <c r="G24" s="12">
        <f t="shared" si="4"/>
        <v>0.5439337425841481</v>
      </c>
      <c r="H24" s="11">
        <f t="shared" si="5"/>
        <v>0.5303664033927736</v>
      </c>
      <c r="I24" s="12">
        <f t="shared" si="6"/>
        <v>3.780767401036434</v>
      </c>
    </row>
    <row r="25" spans="1:9" ht="12.75">
      <c r="A25" s="5">
        <v>10</v>
      </c>
      <c r="B25" s="11">
        <v>94.5095</v>
      </c>
      <c r="C25" s="12">
        <f t="shared" si="0"/>
        <v>0.8199000000000041</v>
      </c>
      <c r="D25" s="12">
        <f t="shared" si="1"/>
        <v>5.490499999999997</v>
      </c>
      <c r="E25" s="12">
        <f t="shared" si="2"/>
        <v>1.3439163793441218</v>
      </c>
      <c r="F25" s="12">
        <f t="shared" si="3"/>
        <v>1.101877039424251</v>
      </c>
      <c r="G25" s="12">
        <f t="shared" si="4"/>
        <v>0.5083492921347178</v>
      </c>
      <c r="H25" s="11">
        <f t="shared" si="5"/>
        <v>0.5601384130108166</v>
      </c>
      <c r="I25" s="12">
        <f t="shared" si="6"/>
        <v>4.34090581404725</v>
      </c>
    </row>
    <row r="26" spans="1:9" ht="12.75">
      <c r="A26" s="5">
        <v>11</v>
      </c>
      <c r="B26" s="11">
        <v>93.6118</v>
      </c>
      <c r="C26" s="12">
        <f t="shared" si="0"/>
        <v>0.8977000000000004</v>
      </c>
      <c r="D26" s="12">
        <f t="shared" si="1"/>
        <v>6.388199999999998</v>
      </c>
      <c r="E26" s="12">
        <f t="shared" si="2"/>
        <v>1.3842338707244455</v>
      </c>
      <c r="F26" s="12">
        <f t="shared" si="3"/>
        <v>1.2426267457493352</v>
      </c>
      <c r="G26" s="12">
        <f t="shared" si="4"/>
        <v>0.47509279638758667</v>
      </c>
      <c r="H26" s="11">
        <f t="shared" si="5"/>
        <v>0.5903630155040583</v>
      </c>
      <c r="I26" s="12">
        <f t="shared" si="6"/>
        <v>4.931268829551309</v>
      </c>
    </row>
    <row r="27" spans="1:9" ht="12.75">
      <c r="A27" s="5">
        <v>12</v>
      </c>
      <c r="B27" s="11">
        <v>92.6306</v>
      </c>
      <c r="C27" s="12">
        <f t="shared" si="0"/>
        <v>0.9812000000000012</v>
      </c>
      <c r="D27" s="12">
        <f t="shared" si="1"/>
        <v>7.369399999999999</v>
      </c>
      <c r="E27" s="12">
        <f t="shared" si="2"/>
        <v>1.4257608868461786</v>
      </c>
      <c r="F27" s="12">
        <f t="shared" si="3"/>
        <v>1.3989565821734722</v>
      </c>
      <c r="G27" s="12">
        <f t="shared" si="4"/>
        <v>0.4440119592407353</v>
      </c>
      <c r="H27" s="11">
        <f t="shared" si="5"/>
        <v>0.621153452943566</v>
      </c>
      <c r="I27" s="12">
        <f t="shared" si="6"/>
        <v>5.552422282494875</v>
      </c>
    </row>
    <row r="28" spans="1:9" ht="12.75">
      <c r="A28" s="5">
        <v>13</v>
      </c>
      <c r="B28" s="11">
        <v>91.5602</v>
      </c>
      <c r="C28" s="12">
        <f t="shared" si="0"/>
        <v>1.0704000000000065</v>
      </c>
      <c r="D28" s="12">
        <f t="shared" si="1"/>
        <v>8.439800000000005</v>
      </c>
      <c r="E28" s="12">
        <f t="shared" si="2"/>
        <v>1.468533713451564</v>
      </c>
      <c r="F28" s="12">
        <f t="shared" si="3"/>
        <v>1.5719184868785634</v>
      </c>
      <c r="G28" s="12">
        <f t="shared" si="4"/>
        <v>0.4149644478885376</v>
      </c>
      <c r="H28" s="11">
        <f t="shared" si="5"/>
        <v>0.6522902870333485</v>
      </c>
      <c r="I28" s="12">
        <f t="shared" si="6"/>
        <v>6.204712569528223</v>
      </c>
    </row>
    <row r="29" spans="1:9" ht="12.75">
      <c r="A29" s="5">
        <v>14</v>
      </c>
      <c r="B29" s="11">
        <v>90.3943</v>
      </c>
      <c r="C29" s="12">
        <f t="shared" si="0"/>
        <v>1.1658999999999935</v>
      </c>
      <c r="D29" s="12">
        <f t="shared" si="1"/>
        <v>9.605699999999999</v>
      </c>
      <c r="E29" s="12">
        <f t="shared" si="2"/>
        <v>1.512589724855111</v>
      </c>
      <c r="F29" s="12">
        <f t="shared" si="3"/>
        <v>1.763528360208564</v>
      </c>
      <c r="G29" s="12">
        <f t="shared" si="4"/>
        <v>0.3878172410173249</v>
      </c>
      <c r="H29" s="11">
        <f t="shared" si="5"/>
        <v>0.6839267031118924</v>
      </c>
      <c r="I29" s="12">
        <f t="shared" si="6"/>
        <v>6.888639272640115</v>
      </c>
    </row>
    <row r="30" spans="1:9" ht="12.75">
      <c r="A30" s="5">
        <v>15</v>
      </c>
      <c r="B30" s="11">
        <v>89.1267</v>
      </c>
      <c r="C30" s="12">
        <f t="shared" si="0"/>
        <v>1.2676000000000016</v>
      </c>
      <c r="D30" s="12">
        <f t="shared" si="1"/>
        <v>10.8733</v>
      </c>
      <c r="E30" s="12">
        <f t="shared" si="2"/>
        <v>1.5579674166007644</v>
      </c>
      <c r="F30" s="12">
        <f t="shared" si="3"/>
        <v>1.9748794972831316</v>
      </c>
      <c r="G30" s="12">
        <f t="shared" si="4"/>
        <v>0.3624460196423597</v>
      </c>
      <c r="H30" s="11">
        <f t="shared" si="5"/>
        <v>0.7157872130635753</v>
      </c>
      <c r="I30" s="12">
        <f t="shared" si="6"/>
        <v>7.604426485703691</v>
      </c>
    </row>
    <row r="31" spans="1:9" ht="12.75">
      <c r="A31" s="5">
        <v>16</v>
      </c>
      <c r="B31" s="11">
        <v>87.7508</v>
      </c>
      <c r="C31" s="12">
        <f t="shared" si="0"/>
        <v>1.3759000000000015</v>
      </c>
      <c r="D31" s="12">
        <f t="shared" si="1"/>
        <v>12.249200000000002</v>
      </c>
      <c r="E31" s="12">
        <f t="shared" si="2"/>
        <v>1.604706439098787</v>
      </c>
      <c r="F31" s="12">
        <f t="shared" si="3"/>
        <v>2.2079155895560234</v>
      </c>
      <c r="G31" s="12">
        <f t="shared" si="4"/>
        <v>0.33873459779659787</v>
      </c>
      <c r="H31" s="11">
        <f t="shared" si="5"/>
        <v>0.7478973991970979</v>
      </c>
      <c r="I31" s="12">
        <f t="shared" si="6"/>
        <v>8.35232388490079</v>
      </c>
    </row>
    <row r="32" spans="1:9" ht="12.75">
      <c r="A32" s="5">
        <v>17</v>
      </c>
      <c r="B32" s="11">
        <v>86.2598</v>
      </c>
      <c r="C32" s="12">
        <f t="shared" si="0"/>
        <v>1.4909999999999997</v>
      </c>
      <c r="D32" s="12">
        <f t="shared" si="1"/>
        <v>13.740200000000002</v>
      </c>
      <c r="E32" s="12">
        <f t="shared" si="2"/>
        <v>1.6528476322717507</v>
      </c>
      <c r="F32" s="12">
        <f t="shared" si="3"/>
        <v>2.4643958197171796</v>
      </c>
      <c r="G32" s="12">
        <f t="shared" si="4"/>
        <v>0.3165743904641102</v>
      </c>
      <c r="H32" s="11">
        <f t="shared" si="5"/>
        <v>0.7801646044892673</v>
      </c>
      <c r="I32" s="12">
        <f t="shared" si="6"/>
        <v>9.132488489390056</v>
      </c>
    </row>
    <row r="33" spans="1:9" ht="12.75">
      <c r="A33" s="5">
        <v>18</v>
      </c>
      <c r="B33" s="11">
        <v>84.6471</v>
      </c>
      <c r="C33" s="12">
        <f t="shared" si="0"/>
        <v>1.6127000000000038</v>
      </c>
      <c r="D33" s="12">
        <f t="shared" si="1"/>
        <v>15.352900000000005</v>
      </c>
      <c r="E33" s="12">
        <f t="shared" si="2"/>
        <v>1.7024330612399032</v>
      </c>
      <c r="F33" s="12">
        <f t="shared" si="3"/>
        <v>2.7455137978615984</v>
      </c>
      <c r="G33" s="12">
        <f t="shared" si="4"/>
        <v>0.29586391632159825</v>
      </c>
      <c r="H33" s="11">
        <f t="shared" si="5"/>
        <v>0.8122984645503174</v>
      </c>
      <c r="I33" s="12">
        <f t="shared" si="6"/>
        <v>9.944786953940373</v>
      </c>
    </row>
    <row r="34" spans="1:9" ht="12.75">
      <c r="A34" s="5">
        <v>19</v>
      </c>
      <c r="B34" s="11">
        <v>82.9057</v>
      </c>
      <c r="C34" s="12">
        <f t="shared" si="0"/>
        <v>1.7413999999999987</v>
      </c>
      <c r="D34" s="12">
        <f t="shared" si="1"/>
        <v>17.094300000000004</v>
      </c>
      <c r="E34" s="12">
        <f t="shared" si="2"/>
        <v>1.7535060530771003</v>
      </c>
      <c r="F34" s="12">
        <f t="shared" si="3"/>
        <v>3.05355544082846</v>
      </c>
      <c r="G34" s="12">
        <f t="shared" si="4"/>
        <v>0.2765083330108395</v>
      </c>
      <c r="H34" s="11">
        <f t="shared" si="5"/>
        <v>0.8443335246996566</v>
      </c>
      <c r="I34" s="12">
        <f t="shared" si="6"/>
        <v>10.78912047864003</v>
      </c>
    </row>
    <row r="35" spans="1:9" ht="12.75">
      <c r="A35" s="5">
        <v>20</v>
      </c>
      <c r="B35" s="11">
        <v>81.0292</v>
      </c>
      <c r="C35" s="12">
        <f t="shared" si="0"/>
        <v>1.876499999999993</v>
      </c>
      <c r="D35" s="12">
        <f t="shared" si="1"/>
        <v>18.970799999999997</v>
      </c>
      <c r="E35" s="12">
        <f t="shared" si="2"/>
        <v>1.8061112346694133</v>
      </c>
      <c r="F35" s="12">
        <f t="shared" si="3"/>
        <v>3.389167731857141</v>
      </c>
      <c r="G35" s="12">
        <f t="shared" si="4"/>
        <v>0.2584190028138687</v>
      </c>
      <c r="H35" s="11">
        <f t="shared" si="5"/>
        <v>0.8758253456354635</v>
      </c>
      <c r="I35" s="12">
        <f t="shared" si="6"/>
        <v>11.664945824275494</v>
      </c>
    </row>
    <row r="36" spans="1:9" ht="12.75">
      <c r="A36" s="5">
        <v>21</v>
      </c>
      <c r="B36" s="11">
        <v>79.0113</v>
      </c>
      <c r="C36" s="12">
        <f t="shared" si="0"/>
        <v>2.0178999999999974</v>
      </c>
      <c r="D36" s="12">
        <f t="shared" si="1"/>
        <v>20.988699999999994</v>
      </c>
      <c r="E36" s="12">
        <f t="shared" si="2"/>
        <v>1.8602945717094954</v>
      </c>
      <c r="F36" s="12">
        <f t="shared" si="3"/>
        <v>3.753888416252586</v>
      </c>
      <c r="G36" s="12">
        <f t="shared" si="4"/>
        <v>0.24151308674193336</v>
      </c>
      <c r="H36" s="11">
        <f t="shared" si="5"/>
        <v>0.9066131786939496</v>
      </c>
      <c r="I36" s="12">
        <f t="shared" si="6"/>
        <v>12.571559002969444</v>
      </c>
    </row>
    <row r="37" spans="1:9" ht="12.75">
      <c r="A37" s="5">
        <v>22</v>
      </c>
      <c r="B37" s="11">
        <v>76.8463</v>
      </c>
      <c r="C37" s="12">
        <f t="shared" si="0"/>
        <v>2.1650000000000063</v>
      </c>
      <c r="D37" s="12">
        <f t="shared" si="1"/>
        <v>23.1537</v>
      </c>
      <c r="E37" s="12">
        <f t="shared" si="2"/>
        <v>1.9161034088607805</v>
      </c>
      <c r="F37" s="12">
        <f t="shared" si="3"/>
        <v>4.148363880183601</v>
      </c>
      <c r="G37" s="12">
        <f t="shared" si="4"/>
        <v>0.22571316517937698</v>
      </c>
      <c r="H37" s="11">
        <f t="shared" si="5"/>
        <v>0.9363403417120424</v>
      </c>
      <c r="I37" s="12">
        <f t="shared" si="6"/>
        <v>13.507899344681487</v>
      </c>
    </row>
    <row r="38" spans="1:9" ht="12.75">
      <c r="A38" s="5">
        <v>23</v>
      </c>
      <c r="B38" s="11">
        <v>74.5295</v>
      </c>
      <c r="C38" s="12">
        <f t="shared" si="0"/>
        <v>2.3168000000000006</v>
      </c>
      <c r="D38" s="12">
        <f t="shared" si="1"/>
        <v>25.4705</v>
      </c>
      <c r="E38" s="12">
        <f t="shared" si="2"/>
        <v>1.973586511126604</v>
      </c>
      <c r="F38" s="12">
        <f t="shared" si="3"/>
        <v>4.572405228978117</v>
      </c>
      <c r="G38" s="12">
        <f t="shared" si="4"/>
        <v>0.2109468833452121</v>
      </c>
      <c r="H38" s="11">
        <f t="shared" si="5"/>
        <v>0.9645346324442847</v>
      </c>
      <c r="I38" s="12">
        <f t="shared" si="6"/>
        <v>14.472433977125771</v>
      </c>
    </row>
    <row r="39" spans="1:9" ht="12.75">
      <c r="A39" s="5">
        <v>24</v>
      </c>
      <c r="B39" s="11">
        <v>72.0573</v>
      </c>
      <c r="C39" s="12">
        <f t="shared" si="0"/>
        <v>2.472200000000001</v>
      </c>
      <c r="D39" s="12">
        <f t="shared" si="1"/>
        <v>27.942700000000002</v>
      </c>
      <c r="E39" s="12">
        <f t="shared" si="2"/>
        <v>2.032794106460402</v>
      </c>
      <c r="F39" s="12">
        <f t="shared" si="3"/>
        <v>5.025473589991407</v>
      </c>
      <c r="G39" s="12">
        <f t="shared" si="4"/>
        <v>0.19714661994879637</v>
      </c>
      <c r="H39" s="11">
        <f t="shared" si="5"/>
        <v>0.9907551319087492</v>
      </c>
      <c r="I39" s="12">
        <f t="shared" si="6"/>
        <v>15.46318910903452</v>
      </c>
    </row>
    <row r="40" spans="1:9" ht="12.75">
      <c r="A40" s="5">
        <v>25</v>
      </c>
      <c r="B40" s="11">
        <v>69.4278</v>
      </c>
      <c r="C40" s="12">
        <f t="shared" si="0"/>
        <v>2.629499999999993</v>
      </c>
      <c r="D40" s="12">
        <f t="shared" si="1"/>
        <v>30.572199999999995</v>
      </c>
      <c r="E40" s="12">
        <f t="shared" si="2"/>
        <v>2.093777929654214</v>
      </c>
      <c r="F40" s="12">
        <f t="shared" si="3"/>
        <v>5.505589066025741</v>
      </c>
      <c r="G40" s="12">
        <f t="shared" si="4"/>
        <v>0.18424917752223957</v>
      </c>
      <c r="H40" s="11">
        <f t="shared" si="5"/>
        <v>1.0144002571906778</v>
      </c>
      <c r="I40" s="12">
        <f t="shared" si="6"/>
        <v>16.477589366225196</v>
      </c>
    </row>
    <row r="41" spans="1:9" ht="12.75">
      <c r="A41" s="5">
        <v>26</v>
      </c>
      <c r="B41" s="11">
        <v>66.6411</v>
      </c>
      <c r="C41" s="12">
        <f t="shared" si="0"/>
        <v>2.7867000000000104</v>
      </c>
      <c r="D41" s="12">
        <f t="shared" si="1"/>
        <v>33.358900000000006</v>
      </c>
      <c r="E41" s="12">
        <f t="shared" si="2"/>
        <v>2.1565912675438406</v>
      </c>
      <c r="F41" s="12">
        <f t="shared" si="3"/>
        <v>6.009772885264443</v>
      </c>
      <c r="G41" s="12">
        <f t="shared" si="4"/>
        <v>0.17219549301143888</v>
      </c>
      <c r="H41" s="11">
        <f t="shared" si="5"/>
        <v>1.0348558048648884</v>
      </c>
      <c r="I41" s="12">
        <f t="shared" si="6"/>
        <v>17.512445171090086</v>
      </c>
    </row>
    <row r="42" spans="1:9" ht="12.75">
      <c r="A42" s="5">
        <v>27</v>
      </c>
      <c r="B42" s="11">
        <v>63.7</v>
      </c>
      <c r="C42" s="12">
        <f t="shared" si="0"/>
        <v>2.9410999999999916</v>
      </c>
      <c r="D42" s="12">
        <f t="shared" si="1"/>
        <v>36.3</v>
      </c>
      <c r="E42" s="12">
        <f t="shared" si="2"/>
        <v>2.2212890055701555</v>
      </c>
      <c r="F42" s="12">
        <f t="shared" si="3"/>
        <v>6.533033094282366</v>
      </c>
      <c r="G42" s="12">
        <f t="shared" si="4"/>
        <v>0.16093036730041013</v>
      </c>
      <c r="H42" s="11">
        <f t="shared" si="5"/>
        <v>1.051363415448596</v>
      </c>
      <c r="I42" s="12">
        <f t="shared" si="6"/>
        <v>18.56380858653868</v>
      </c>
    </row>
    <row r="43" spans="1:9" ht="12.75">
      <c r="A43" s="5">
        <v>28</v>
      </c>
      <c r="B43" s="11">
        <v>60.6101</v>
      </c>
      <c r="C43" s="12">
        <f t="shared" si="0"/>
        <v>3.0899</v>
      </c>
      <c r="D43" s="12">
        <f t="shared" si="1"/>
        <v>39.3899</v>
      </c>
      <c r="E43" s="12">
        <f t="shared" si="2"/>
        <v>2.28792767573726</v>
      </c>
      <c r="F43" s="12">
        <f t="shared" si="3"/>
        <v>7.06946772526056</v>
      </c>
      <c r="G43" s="12">
        <f t="shared" si="4"/>
        <v>0.15040221243028987</v>
      </c>
      <c r="H43" s="11">
        <f t="shared" si="5"/>
        <v>1.063263586583717</v>
      </c>
      <c r="I43" s="12">
        <f t="shared" si="6"/>
        <v>19.627072173122396</v>
      </c>
    </row>
    <row r="44" spans="1:9" ht="12.75">
      <c r="A44" s="5">
        <v>29</v>
      </c>
      <c r="B44" s="11">
        <v>57.3808</v>
      </c>
      <c r="C44" s="12">
        <f t="shared" si="0"/>
        <v>3.229300000000002</v>
      </c>
      <c r="D44" s="12">
        <f t="shared" si="1"/>
        <v>42.6192</v>
      </c>
      <c r="E44" s="12">
        <f t="shared" si="2"/>
        <v>2.3565655060093778</v>
      </c>
      <c r="F44" s="12">
        <f t="shared" si="3"/>
        <v>7.610056988556089</v>
      </c>
      <c r="G44" s="12">
        <f t="shared" si="4"/>
        <v>0.1405628153554111</v>
      </c>
      <c r="H44" s="11">
        <f t="shared" si="5"/>
        <v>1.0696910353265654</v>
      </c>
      <c r="I44" s="12">
        <f t="shared" si="6"/>
        <v>20.696763208448964</v>
      </c>
    </row>
    <row r="45" spans="1:9" ht="12.75">
      <c r="A45" s="5">
        <v>30</v>
      </c>
      <c r="B45" s="11">
        <v>54.0251</v>
      </c>
      <c r="C45" s="12">
        <f t="shared" si="0"/>
        <v>3.355699999999999</v>
      </c>
      <c r="D45" s="12">
        <f t="shared" si="1"/>
        <v>45.9749</v>
      </c>
      <c r="E45" s="12">
        <f t="shared" si="2"/>
        <v>2.427262471189659</v>
      </c>
      <c r="F45" s="12">
        <f t="shared" si="3"/>
        <v>8.145164674571136</v>
      </c>
      <c r="G45" s="12">
        <f t="shared" si="4"/>
        <v>0.13136711715458982</v>
      </c>
      <c r="H45" s="11">
        <f t="shared" si="5"/>
        <v>1.0700068020478128</v>
      </c>
      <c r="I45" s="12">
        <f t="shared" si="6"/>
        <v>21.766770010496778</v>
      </c>
    </row>
    <row r="47" spans="4:9" ht="12.75">
      <c r="D47" s="2" t="s">
        <v>30</v>
      </c>
      <c r="I47" s="13">
        <f>I45</f>
        <v>21.766770010496778</v>
      </c>
    </row>
    <row r="48" ht="12.75">
      <c r="I48" s="14"/>
    </row>
    <row r="49" ht="12.75">
      <c r="I49" s="14"/>
    </row>
    <row r="50" ht="12.75">
      <c r="I50" s="15"/>
    </row>
    <row r="51" ht="12.75">
      <c r="I51" s="15"/>
    </row>
    <row r="52" spans="1:9" ht="18.75">
      <c r="A52" s="1" t="s">
        <v>87</v>
      </c>
      <c r="I52" s="3"/>
    </row>
    <row r="53" spans="1:9" ht="12.75">
      <c r="A53" s="2" t="s">
        <v>38</v>
      </c>
      <c r="I53" s="4"/>
    </row>
    <row r="54" spans="1:9" ht="12.75">
      <c r="A54" s="2" t="s">
        <v>88</v>
      </c>
      <c r="I54" s="4"/>
    </row>
    <row r="55" ht="12.75">
      <c r="I55" s="4"/>
    </row>
    <row r="57" ht="12.75">
      <c r="G57" s="5"/>
    </row>
    <row r="58" ht="12.75">
      <c r="G58" s="5" t="s">
        <v>34</v>
      </c>
    </row>
    <row r="59" spans="7:8" ht="12.75">
      <c r="G59" s="5" t="s">
        <v>36</v>
      </c>
      <c r="H59" s="5" t="s">
        <v>34</v>
      </c>
    </row>
    <row r="60" spans="7:8" ht="12.75">
      <c r="G60" s="5" t="s">
        <v>37</v>
      </c>
      <c r="H60" s="5" t="s">
        <v>35</v>
      </c>
    </row>
    <row r="61" spans="7:8" ht="12.75">
      <c r="G61" s="5" t="s">
        <v>91</v>
      </c>
      <c r="H61" s="5" t="s">
        <v>91</v>
      </c>
    </row>
    <row r="62" spans="7:8" ht="12.75">
      <c r="G62" s="5" t="s">
        <v>92</v>
      </c>
      <c r="H62" s="5" t="s">
        <v>92</v>
      </c>
    </row>
    <row r="63" spans="1:8" ht="12.75">
      <c r="A63" s="16"/>
      <c r="B63" s="16"/>
      <c r="C63" s="16"/>
      <c r="D63" s="16"/>
      <c r="E63" s="16"/>
      <c r="F63" s="16"/>
      <c r="G63" s="17" t="s">
        <v>93</v>
      </c>
      <c r="H63" s="17" t="s">
        <v>93</v>
      </c>
    </row>
    <row r="65" spans="1:8" ht="12.75">
      <c r="A65" s="5">
        <v>1</v>
      </c>
      <c r="B65" s="2" t="s">
        <v>30</v>
      </c>
      <c r="G65" s="18">
        <f>I45</f>
        <v>21.766770010496778</v>
      </c>
      <c r="H65" s="19">
        <f>G65</f>
        <v>21.766770010496778</v>
      </c>
    </row>
    <row r="66" ht="12.75">
      <c r="A66" s="5"/>
    </row>
    <row r="67" spans="1:8" ht="12.75">
      <c r="A67" s="5">
        <v>2</v>
      </c>
      <c r="B67" s="2" t="s">
        <v>31</v>
      </c>
      <c r="G67" s="20">
        <v>100</v>
      </c>
      <c r="H67" s="20">
        <v>0</v>
      </c>
    </row>
    <row r="68" spans="1:7" ht="12.75">
      <c r="A68" s="5"/>
      <c r="G68" s="19"/>
    </row>
    <row r="69" spans="1:8" ht="12.75">
      <c r="A69" s="5">
        <v>3</v>
      </c>
      <c r="B69" s="2" t="s">
        <v>39</v>
      </c>
      <c r="G69" s="19">
        <f>G65+G67</f>
        <v>121.76677001049677</v>
      </c>
      <c r="H69" s="19">
        <f>H65+H67</f>
        <v>21.766770010496778</v>
      </c>
    </row>
    <row r="70" ht="12.75">
      <c r="A70" s="5"/>
    </row>
    <row r="71" spans="1:8" ht="12.75">
      <c r="A71" s="5">
        <v>4</v>
      </c>
      <c r="B71" s="2" t="s">
        <v>85</v>
      </c>
      <c r="G71" s="21">
        <f>NPV!F20/12</f>
        <v>0.0081792909773424</v>
      </c>
      <c r="H71" s="21">
        <f>G71</f>
        <v>0.0081792909773424</v>
      </c>
    </row>
    <row r="72" ht="12.75">
      <c r="A72" s="5"/>
    </row>
    <row r="73" spans="1:8" ht="12.75">
      <c r="A73" s="5">
        <v>5</v>
      </c>
      <c r="B73" s="2" t="s">
        <v>86</v>
      </c>
      <c r="G73" s="22">
        <f>G71*G69/100</f>
        <v>0.009959658432869835</v>
      </c>
      <c r="H73" s="22">
        <f>H71*H69/100</f>
        <v>0.0017803674555274343</v>
      </c>
    </row>
    <row r="74" ht="12.75">
      <c r="A74" s="5"/>
    </row>
    <row r="75" spans="1:8" ht="12.75">
      <c r="A75" s="5">
        <v>6</v>
      </c>
      <c r="B75" s="2" t="s">
        <v>32</v>
      </c>
      <c r="G75" s="22">
        <f>43789329.36/982954508/12</f>
        <v>0.003712390299144953</v>
      </c>
      <c r="H75" s="23">
        <f>G75</f>
        <v>0.003712390299144953</v>
      </c>
    </row>
    <row r="76" ht="12.75">
      <c r="A76" s="5"/>
    </row>
    <row r="77" spans="1:8" ht="12.75">
      <c r="A77" s="5">
        <v>7</v>
      </c>
      <c r="B77" s="2" t="s">
        <v>33</v>
      </c>
      <c r="G77" s="23">
        <f>G75+G73</f>
        <v>0.013672048732014788</v>
      </c>
      <c r="H77" s="23">
        <f>H75+H73</f>
        <v>0.005492757754672387</v>
      </c>
    </row>
    <row r="81" ht="12.75">
      <c r="I81" s="15"/>
    </row>
    <row r="82" ht="12.75">
      <c r="I82" s="15"/>
    </row>
  </sheetData>
  <sheetProtection/>
  <printOptions/>
  <pageMargins left="0.75" right="0.75" top="1" bottom="1" header="0.5" footer="0.5"/>
  <pageSetup horizontalDpi="600" verticalDpi="600" orientation="landscape" scale="73" r:id="rId1"/>
  <headerFooter differentOddEven="1" differentFirst="1" alignWithMargins="0">
    <oddFooter>&amp;R&amp;"Times New Roman,Bold"&amp;12Conroy Exhibit XX
Page &amp;P of 10</oddFooter>
    <evenFooter>&amp;R&amp;"Times New Roman,Bold"&amp;12Conroy Exhibit M1
Page 1 of 10</evenFooter>
    <firstFooter>&amp;R&amp;"Times New Roman,Bold"&amp;12Conroy Exhibit M1
Page 2 of 10</firstFooter>
  </headerFooter>
  <rowBreaks count="1" manualBreakCount="1">
    <brk id="5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SheetLayoutView="100" workbookViewId="0" topLeftCell="A1">
      <selection activeCell="F40" sqref="F40"/>
    </sheetView>
  </sheetViews>
  <sheetFormatPr defaultColWidth="9.140625" defaultRowHeight="12.75"/>
  <cols>
    <col min="1" max="1" width="18.57421875" style="2" customWidth="1"/>
    <col min="2" max="2" width="13.140625" style="2" customWidth="1"/>
    <col min="3" max="4" width="9.140625" style="2" customWidth="1"/>
    <col min="5" max="5" width="12.57421875" style="2" customWidth="1"/>
    <col min="6" max="6" width="10.28125" style="2" customWidth="1"/>
    <col min="7" max="16384" width="9.140625" style="2" customWidth="1"/>
  </cols>
  <sheetData>
    <row r="1" spans="1:7" ht="18.75">
      <c r="A1" s="1" t="s">
        <v>87</v>
      </c>
      <c r="G1" s="3"/>
    </row>
    <row r="2" spans="1:7" ht="12.75">
      <c r="A2" s="24" t="s">
        <v>89</v>
      </c>
      <c r="G2" s="4"/>
    </row>
    <row r="3" ht="12.75">
      <c r="A3" s="2" t="s">
        <v>88</v>
      </c>
    </row>
    <row r="7" ht="12.75">
      <c r="A7" s="24" t="s">
        <v>48</v>
      </c>
    </row>
    <row r="8" spans="2:6" ht="12.75">
      <c r="B8" s="24"/>
      <c r="C8" s="24"/>
      <c r="D8" s="25" t="s">
        <v>47</v>
      </c>
      <c r="F8" s="25" t="s">
        <v>46</v>
      </c>
    </row>
    <row r="9" spans="2:6" ht="12.75">
      <c r="B9" s="26" t="s">
        <v>45</v>
      </c>
      <c r="C9" s="26" t="s">
        <v>42</v>
      </c>
      <c r="D9" s="26" t="s">
        <v>44</v>
      </c>
      <c r="E9" s="26" t="s">
        <v>43</v>
      </c>
      <c r="F9" s="27" t="s">
        <v>42</v>
      </c>
    </row>
    <row r="10" spans="1:6" ht="12.75">
      <c r="A10" s="2" t="s">
        <v>94</v>
      </c>
      <c r="B10" s="43">
        <v>0</v>
      </c>
      <c r="C10" s="43">
        <v>0.0041</v>
      </c>
      <c r="D10" s="43">
        <f>B10*C10</f>
        <v>0</v>
      </c>
      <c r="E10" s="44"/>
      <c r="F10" s="45">
        <f>D10</f>
        <v>0</v>
      </c>
    </row>
    <row r="11" spans="1:6" ht="12.75">
      <c r="A11" s="2" t="s">
        <v>95</v>
      </c>
      <c r="B11" s="43">
        <v>0.4436</v>
      </c>
      <c r="C11" s="43">
        <v>0.0378</v>
      </c>
      <c r="D11" s="43">
        <f>B11*C11</f>
        <v>0.01676808</v>
      </c>
      <c r="E11" s="46">
        <v>0.373674</v>
      </c>
      <c r="F11" s="43">
        <f>D11*(1-E11)</f>
        <v>0.01050228447408</v>
      </c>
    </row>
    <row r="12" spans="1:6" ht="12.75">
      <c r="A12" s="2" t="s">
        <v>41</v>
      </c>
      <c r="B12" s="43">
        <v>0.5564</v>
      </c>
      <c r="C12" s="47">
        <v>0.11</v>
      </c>
      <c r="D12" s="47">
        <f>B12*C12</f>
        <v>0.061204</v>
      </c>
      <c r="E12" s="44"/>
      <c r="F12" s="48">
        <f>D12</f>
        <v>0.061204</v>
      </c>
    </row>
    <row r="13" spans="2:6" ht="12.75">
      <c r="B13" s="45"/>
      <c r="C13" s="44"/>
      <c r="D13" s="45">
        <f>SUM(D11:D12)</f>
        <v>0.07797208</v>
      </c>
      <c r="E13" s="44"/>
      <c r="F13" s="45">
        <f>SUM(F11:F12)</f>
        <v>0.07170628447408</v>
      </c>
    </row>
    <row r="15" spans="2:5" ht="12.75">
      <c r="B15" s="50" t="s">
        <v>40</v>
      </c>
      <c r="C15" s="50"/>
      <c r="D15" s="50"/>
      <c r="E15" s="50"/>
    </row>
    <row r="17" spans="2:5" ht="12.75">
      <c r="B17" s="2">
        <v>5</v>
      </c>
      <c r="C17" s="2">
        <v>10</v>
      </c>
      <c r="D17" s="2">
        <v>15</v>
      </c>
      <c r="E17" s="2">
        <v>20</v>
      </c>
    </row>
    <row r="18" spans="1:6" ht="12.75">
      <c r="A18" s="2">
        <v>1</v>
      </c>
      <c r="B18" s="29">
        <v>0.2</v>
      </c>
      <c r="C18" s="29">
        <v>0.1</v>
      </c>
      <c r="D18" s="29">
        <v>0.05</v>
      </c>
      <c r="E18" s="29">
        <v>0.0375</v>
      </c>
      <c r="F18" s="28"/>
    </row>
    <row r="19" spans="1:6" ht="12.75">
      <c r="A19" s="2">
        <v>2</v>
      </c>
      <c r="B19" s="29">
        <v>0.32</v>
      </c>
      <c r="C19" s="29">
        <v>0.18</v>
      </c>
      <c r="D19" s="29">
        <v>0.095</v>
      </c>
      <c r="E19" s="29">
        <v>0.07219</v>
      </c>
      <c r="F19" s="28"/>
    </row>
    <row r="20" spans="1:6" ht="12.75">
      <c r="A20" s="2">
        <v>3</v>
      </c>
      <c r="B20" s="29">
        <v>0.192</v>
      </c>
      <c r="C20" s="29">
        <v>0.144</v>
      </c>
      <c r="D20" s="29">
        <v>0.0855</v>
      </c>
      <c r="E20" s="29">
        <v>0.06677</v>
      </c>
      <c r="F20" s="28"/>
    </row>
    <row r="21" spans="1:6" ht="12.75">
      <c r="A21" s="2">
        <v>4</v>
      </c>
      <c r="B21" s="29">
        <v>0.1152</v>
      </c>
      <c r="C21" s="29">
        <v>0.1152</v>
      </c>
      <c r="D21" s="29">
        <v>0.077</v>
      </c>
      <c r="E21" s="29">
        <v>0.06177</v>
      </c>
      <c r="F21" s="28"/>
    </row>
    <row r="22" spans="1:6" ht="12.75">
      <c r="A22" s="2">
        <v>5</v>
      </c>
      <c r="B22" s="29">
        <v>0.1152</v>
      </c>
      <c r="C22" s="29">
        <v>0.0922</v>
      </c>
      <c r="D22" s="29">
        <v>0.0693</v>
      </c>
      <c r="E22" s="29">
        <v>0.05713</v>
      </c>
      <c r="F22" s="28"/>
    </row>
    <row r="23" spans="1:6" ht="12.75">
      <c r="A23" s="2">
        <v>6</v>
      </c>
      <c r="B23" s="29">
        <v>0</v>
      </c>
      <c r="C23" s="29">
        <v>0.0737</v>
      </c>
      <c r="D23" s="29">
        <v>0.0623</v>
      </c>
      <c r="E23" s="29">
        <v>0.05285</v>
      </c>
      <c r="F23" s="28"/>
    </row>
    <row r="24" spans="1:6" ht="12.75">
      <c r="A24" s="2">
        <v>7</v>
      </c>
      <c r="B24" s="29">
        <v>0</v>
      </c>
      <c r="C24" s="29">
        <v>0.0655</v>
      </c>
      <c r="D24" s="29">
        <v>0.059</v>
      </c>
      <c r="E24" s="29">
        <v>0.04888</v>
      </c>
      <c r="F24" s="28"/>
    </row>
    <row r="25" spans="1:6" ht="12.75">
      <c r="A25" s="2">
        <v>8</v>
      </c>
      <c r="B25" s="29">
        <v>0</v>
      </c>
      <c r="C25" s="29">
        <v>0.0655</v>
      </c>
      <c r="D25" s="29">
        <v>0.059</v>
      </c>
      <c r="E25" s="29">
        <v>0.04522</v>
      </c>
      <c r="F25" s="28"/>
    </row>
    <row r="26" spans="1:6" ht="12.75">
      <c r="A26" s="2">
        <v>9</v>
      </c>
      <c r="B26" s="29">
        <v>0</v>
      </c>
      <c r="C26" s="29">
        <v>0.0656</v>
      </c>
      <c r="D26" s="29">
        <v>0.0591</v>
      </c>
      <c r="E26" s="29">
        <v>0.04462</v>
      </c>
      <c r="F26" s="28"/>
    </row>
    <row r="27" spans="1:6" ht="12.75">
      <c r="A27" s="2">
        <v>10</v>
      </c>
      <c r="B27" s="29">
        <v>0</v>
      </c>
      <c r="C27" s="29">
        <v>0.0655</v>
      </c>
      <c r="D27" s="29">
        <v>0.059</v>
      </c>
      <c r="E27" s="29">
        <v>0.04461</v>
      </c>
      <c r="F27" s="28"/>
    </row>
    <row r="28" spans="1:6" ht="12.75">
      <c r="A28" s="2">
        <v>11</v>
      </c>
      <c r="B28" s="29">
        <v>0</v>
      </c>
      <c r="C28" s="29">
        <v>0</v>
      </c>
      <c r="D28" s="29">
        <v>0.0591</v>
      </c>
      <c r="E28" s="29">
        <v>0.04462</v>
      </c>
      <c r="F28" s="28"/>
    </row>
    <row r="29" spans="1:6" ht="12.75">
      <c r="A29" s="2">
        <v>12</v>
      </c>
      <c r="B29" s="29">
        <v>0</v>
      </c>
      <c r="C29" s="29">
        <v>0</v>
      </c>
      <c r="D29" s="29">
        <v>0.059</v>
      </c>
      <c r="E29" s="29">
        <v>0.04461</v>
      </c>
      <c r="F29" s="28"/>
    </row>
    <row r="30" spans="1:6" ht="12.75">
      <c r="A30" s="2">
        <v>13</v>
      </c>
      <c r="B30" s="29">
        <v>0</v>
      </c>
      <c r="C30" s="29">
        <v>0</v>
      </c>
      <c r="D30" s="29">
        <v>0.0591</v>
      </c>
      <c r="E30" s="29">
        <v>0.04462</v>
      </c>
      <c r="F30" s="28"/>
    </row>
    <row r="31" spans="1:6" ht="12.75">
      <c r="A31" s="2">
        <v>14</v>
      </c>
      <c r="B31" s="29">
        <v>0</v>
      </c>
      <c r="C31" s="29">
        <v>0</v>
      </c>
      <c r="D31" s="29">
        <v>0.059</v>
      </c>
      <c r="E31" s="29">
        <v>0.04461</v>
      </c>
      <c r="F31" s="28"/>
    </row>
    <row r="32" spans="1:6" ht="12.75">
      <c r="A32" s="2">
        <v>15</v>
      </c>
      <c r="B32" s="29">
        <v>0</v>
      </c>
      <c r="C32" s="29">
        <v>0</v>
      </c>
      <c r="D32" s="29">
        <v>0.0591</v>
      </c>
      <c r="E32" s="29">
        <v>0.04462</v>
      </c>
      <c r="F32" s="28"/>
    </row>
    <row r="33" spans="1:6" ht="12.75">
      <c r="A33" s="2">
        <v>16</v>
      </c>
      <c r="B33" s="29">
        <v>0</v>
      </c>
      <c r="C33" s="29">
        <v>0</v>
      </c>
      <c r="D33" s="29">
        <v>0.0295</v>
      </c>
      <c r="E33" s="29">
        <v>0.04461</v>
      </c>
      <c r="F33" s="28"/>
    </row>
    <row r="34" spans="1:6" ht="12.75">
      <c r="A34" s="2">
        <v>17</v>
      </c>
      <c r="B34" s="29">
        <v>0</v>
      </c>
      <c r="C34" s="29">
        <v>0</v>
      </c>
      <c r="D34" s="29">
        <v>0</v>
      </c>
      <c r="E34" s="29">
        <v>0.04462</v>
      </c>
      <c r="F34" s="28"/>
    </row>
    <row r="35" spans="1:6" ht="12.75">
      <c r="A35" s="2">
        <v>18</v>
      </c>
      <c r="B35" s="29">
        <v>0</v>
      </c>
      <c r="C35" s="29">
        <v>0</v>
      </c>
      <c r="D35" s="29">
        <v>0</v>
      </c>
      <c r="E35" s="29">
        <v>0.04461</v>
      </c>
      <c r="F35" s="28"/>
    </row>
    <row r="36" spans="1:6" ht="12.75">
      <c r="A36" s="2">
        <v>19</v>
      </c>
      <c r="B36" s="29">
        <v>0</v>
      </c>
      <c r="C36" s="29">
        <v>0</v>
      </c>
      <c r="D36" s="29">
        <v>0</v>
      </c>
      <c r="E36" s="29">
        <v>0.04462</v>
      </c>
      <c r="F36" s="28"/>
    </row>
    <row r="37" spans="1:6" ht="12.75">
      <c r="A37" s="2">
        <v>20</v>
      </c>
      <c r="B37" s="29">
        <v>0</v>
      </c>
      <c r="C37" s="29">
        <v>0</v>
      </c>
      <c r="D37" s="29">
        <v>0</v>
      </c>
      <c r="E37" s="29">
        <v>0.04461</v>
      </c>
      <c r="F37" s="28"/>
    </row>
    <row r="38" spans="1:6" ht="12.75">
      <c r="A38" s="2">
        <v>21</v>
      </c>
      <c r="B38" s="29">
        <v>0</v>
      </c>
      <c r="C38" s="29">
        <v>0</v>
      </c>
      <c r="D38" s="29">
        <v>0</v>
      </c>
      <c r="E38" s="29">
        <v>0.02231</v>
      </c>
      <c r="F38" s="28"/>
    </row>
    <row r="39" spans="1:5" ht="12.75">
      <c r="A39" s="2">
        <v>22</v>
      </c>
      <c r="B39" s="29">
        <v>0</v>
      </c>
      <c r="C39" s="29">
        <v>0</v>
      </c>
      <c r="D39" s="29">
        <v>0</v>
      </c>
      <c r="E39" s="29">
        <v>0</v>
      </c>
    </row>
    <row r="40" spans="1:5" ht="12.75">
      <c r="A40" s="2">
        <v>23</v>
      </c>
      <c r="B40" s="29">
        <v>0</v>
      </c>
      <c r="C40" s="29">
        <v>0</v>
      </c>
      <c r="D40" s="29">
        <v>0</v>
      </c>
      <c r="E40" s="29">
        <v>0</v>
      </c>
    </row>
    <row r="41" spans="1:5" ht="12.75">
      <c r="A41" s="2">
        <v>24</v>
      </c>
      <c r="B41" s="29">
        <v>0</v>
      </c>
      <c r="C41" s="29">
        <v>0</v>
      </c>
      <c r="D41" s="29">
        <v>0</v>
      </c>
      <c r="E41" s="29">
        <v>0</v>
      </c>
    </row>
    <row r="42" spans="1:5" ht="12.75">
      <c r="A42" s="2">
        <v>25</v>
      </c>
      <c r="B42" s="29">
        <v>0</v>
      </c>
      <c r="C42" s="29">
        <v>0</v>
      </c>
      <c r="D42" s="29">
        <v>0</v>
      </c>
      <c r="E42" s="29">
        <v>0</v>
      </c>
    </row>
    <row r="43" spans="1:5" ht="12.75">
      <c r="A43" s="2">
        <v>26</v>
      </c>
      <c r="B43" s="29">
        <v>0</v>
      </c>
      <c r="C43" s="29">
        <v>0</v>
      </c>
      <c r="D43" s="29">
        <v>0</v>
      </c>
      <c r="E43" s="29">
        <v>0</v>
      </c>
    </row>
    <row r="44" spans="1:5" ht="12.75">
      <c r="A44" s="2">
        <v>27</v>
      </c>
      <c r="B44" s="29">
        <v>0</v>
      </c>
      <c r="C44" s="29">
        <v>0</v>
      </c>
      <c r="D44" s="29">
        <v>0</v>
      </c>
      <c r="E44" s="29">
        <v>0</v>
      </c>
    </row>
    <row r="45" spans="1:5" ht="12.75">
      <c r="A45" s="2">
        <v>28</v>
      </c>
      <c r="B45" s="29">
        <v>0</v>
      </c>
      <c r="C45" s="29">
        <v>0</v>
      </c>
      <c r="D45" s="29">
        <v>0</v>
      </c>
      <c r="E45" s="29">
        <v>0</v>
      </c>
    </row>
    <row r="46" spans="1:5" ht="12.75">
      <c r="A46" s="2">
        <v>29</v>
      </c>
      <c r="B46" s="29">
        <v>0</v>
      </c>
      <c r="C46" s="29">
        <v>0</v>
      </c>
      <c r="D46" s="29">
        <v>0</v>
      </c>
      <c r="E46" s="29">
        <v>0</v>
      </c>
    </row>
    <row r="47" spans="1:5" ht="12.75">
      <c r="A47" s="2">
        <v>30</v>
      </c>
      <c r="B47" s="29">
        <v>0</v>
      </c>
      <c r="C47" s="29">
        <v>0</v>
      </c>
      <c r="D47" s="29">
        <v>0</v>
      </c>
      <c r="E47" s="29">
        <v>0</v>
      </c>
    </row>
    <row r="48" spans="1:5" ht="12.75">
      <c r="A48" s="2">
        <v>31</v>
      </c>
      <c r="B48" s="29">
        <v>0</v>
      </c>
      <c r="C48" s="29">
        <v>0</v>
      </c>
      <c r="D48" s="29">
        <v>0</v>
      </c>
      <c r="E48" s="29">
        <v>0</v>
      </c>
    </row>
    <row r="49" spans="1:5" ht="12.75">
      <c r="A49" s="2">
        <v>31</v>
      </c>
      <c r="B49" s="29">
        <v>0</v>
      </c>
      <c r="C49" s="29">
        <v>0</v>
      </c>
      <c r="D49" s="29">
        <v>0</v>
      </c>
      <c r="E49" s="29">
        <v>0</v>
      </c>
    </row>
    <row r="52" ht="12.75">
      <c r="G52" s="15"/>
    </row>
    <row r="53" ht="12.75">
      <c r="G53" s="4"/>
    </row>
    <row r="57" ht="12.75">
      <c r="G57" s="4"/>
    </row>
  </sheetData>
  <sheetProtection/>
  <mergeCells count="1">
    <mergeCell ref="B15:E15"/>
  </mergeCells>
  <printOptions/>
  <pageMargins left="0.75" right="0.75" top="1" bottom="1" header="0.5" footer="0.5"/>
  <pageSetup horizontalDpi="600" verticalDpi="600" orientation="portrait" scale="97" r:id="rId1"/>
  <headerFooter alignWithMargins="0">
    <oddHeader>&amp;R&amp;"Times New Roman,Bold"&amp;12Conroy Exhibit M1
Page 3 of 10</oddHead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76"/>
  <sheetViews>
    <sheetView view="pageBreakPreview" zoomScale="60" workbookViewId="0" topLeftCell="A1">
      <selection activeCell="F40" sqref="F40"/>
    </sheetView>
  </sheetViews>
  <sheetFormatPr defaultColWidth="9.140625" defaultRowHeight="12.75"/>
  <cols>
    <col min="1" max="1" width="9.140625" style="2" customWidth="1"/>
    <col min="2" max="2" width="12.28125" style="2" customWidth="1"/>
    <col min="3" max="3" width="13.57421875" style="2" customWidth="1"/>
    <col min="4" max="4" width="12.57421875" style="2" customWidth="1"/>
    <col min="5" max="5" width="13.00390625" style="2" customWidth="1"/>
    <col min="6" max="7" width="12.8515625" style="2" customWidth="1"/>
    <col min="8" max="8" width="14.00390625" style="2" customWidth="1"/>
    <col min="9" max="9" width="13.140625" style="2" customWidth="1"/>
    <col min="10" max="10" width="12.8515625" style="2" customWidth="1"/>
    <col min="11" max="11" width="12.140625" style="2" customWidth="1"/>
    <col min="12" max="12" width="12.00390625" style="2" hidden="1" customWidth="1"/>
    <col min="13" max="13" width="11.00390625" style="2" hidden="1" customWidth="1"/>
    <col min="14" max="14" width="11.8515625" style="2" customWidth="1"/>
    <col min="15" max="15" width="14.28125" style="2" customWidth="1"/>
    <col min="16" max="16" width="12.28125" style="2" customWidth="1"/>
    <col min="17" max="17" width="13.8515625" style="2" customWidth="1"/>
    <col min="18" max="18" width="15.00390625" style="2" customWidth="1"/>
    <col min="19" max="16384" width="9.140625" style="2" customWidth="1"/>
  </cols>
  <sheetData>
    <row r="1" spans="2:17" ht="18.75">
      <c r="B1" s="1" t="s">
        <v>87</v>
      </c>
      <c r="H1" s="3"/>
      <c r="I1" s="1" t="s">
        <v>87</v>
      </c>
      <c r="Q1" s="3"/>
    </row>
    <row r="2" spans="2:17" ht="12.75">
      <c r="B2" s="2" t="s">
        <v>90</v>
      </c>
      <c r="H2" s="4"/>
      <c r="I2" s="2" t="s">
        <v>90</v>
      </c>
      <c r="Q2" s="4"/>
    </row>
    <row r="3" spans="2:17" ht="12.75">
      <c r="B3" s="2" t="s">
        <v>88</v>
      </c>
      <c r="H3" s="4"/>
      <c r="I3" s="2" t="s">
        <v>88</v>
      </c>
      <c r="Q3" s="4"/>
    </row>
    <row r="4" spans="2:9" ht="12.75">
      <c r="B4" s="24"/>
      <c r="I4" s="24"/>
    </row>
    <row r="7" spans="2:9" ht="12.75">
      <c r="B7" s="24" t="s">
        <v>84</v>
      </c>
      <c r="I7" s="24" t="s">
        <v>84</v>
      </c>
    </row>
    <row r="8" spans="2:15" ht="12.75">
      <c r="B8" s="30" t="s">
        <v>83</v>
      </c>
      <c r="F8" s="31">
        <v>1000</v>
      </c>
      <c r="I8" s="30" t="s">
        <v>83</v>
      </c>
      <c r="L8" s="31">
        <v>1000</v>
      </c>
      <c r="O8" s="31">
        <f aca="true" t="shared" si="0" ref="O8:O14">F8</f>
        <v>1000</v>
      </c>
    </row>
    <row r="9" spans="2:15" ht="12.75">
      <c r="B9" s="30" t="s">
        <v>82</v>
      </c>
      <c r="F9" s="2">
        <v>30</v>
      </c>
      <c r="I9" s="30" t="s">
        <v>82</v>
      </c>
      <c r="L9" s="2">
        <v>30</v>
      </c>
      <c r="O9" s="2">
        <f t="shared" si="0"/>
        <v>30</v>
      </c>
    </row>
    <row r="10" spans="2:15" ht="12.75">
      <c r="B10" s="30" t="s">
        <v>81</v>
      </c>
      <c r="F10" s="2">
        <v>20</v>
      </c>
      <c r="I10" s="30" t="s">
        <v>81</v>
      </c>
      <c r="L10" s="2">
        <v>20</v>
      </c>
      <c r="O10" s="2">
        <f t="shared" si="0"/>
        <v>20</v>
      </c>
    </row>
    <row r="11" spans="2:15" ht="12.75">
      <c r="B11" s="30" t="s">
        <v>80</v>
      </c>
      <c r="F11" s="32">
        <f>+'WACOC-Tax Table'!E11</f>
        <v>0.373674</v>
      </c>
      <c r="I11" s="30" t="s">
        <v>80</v>
      </c>
      <c r="L11" s="32">
        <v>0.3760280836</v>
      </c>
      <c r="O11" s="32">
        <f t="shared" si="0"/>
        <v>0.373674</v>
      </c>
    </row>
    <row r="12" spans="2:15" ht="12.75">
      <c r="B12" s="30" t="s">
        <v>79</v>
      </c>
      <c r="F12" s="28">
        <v>0</v>
      </c>
      <c r="I12" s="30" t="s">
        <v>79</v>
      </c>
      <c r="L12" s="28">
        <v>0</v>
      </c>
      <c r="O12" s="28">
        <f t="shared" si="0"/>
        <v>0</v>
      </c>
    </row>
    <row r="13" spans="2:15" ht="12.75">
      <c r="B13" s="30" t="s">
        <v>78</v>
      </c>
      <c r="F13" s="2">
        <v>35</v>
      </c>
      <c r="I13" s="30" t="s">
        <v>78</v>
      </c>
      <c r="L13" s="2">
        <v>35</v>
      </c>
      <c r="O13" s="2">
        <f t="shared" si="0"/>
        <v>35</v>
      </c>
    </row>
    <row r="14" spans="2:15" ht="12.75">
      <c r="B14" s="30" t="s">
        <v>77</v>
      </c>
      <c r="F14" s="28">
        <v>0</v>
      </c>
      <c r="I14" s="30" t="s">
        <v>77</v>
      </c>
      <c r="L14" s="28">
        <v>0</v>
      </c>
      <c r="O14" s="28">
        <f t="shared" si="0"/>
        <v>0</v>
      </c>
    </row>
    <row r="15" spans="2:15" ht="12.75">
      <c r="B15" s="30"/>
      <c r="F15" s="28"/>
      <c r="I15" s="30"/>
      <c r="L15" s="28"/>
      <c r="O15" s="28"/>
    </row>
    <row r="17" spans="2:9" ht="12.75">
      <c r="B17" s="24" t="s">
        <v>76</v>
      </c>
      <c r="I17" s="24" t="s">
        <v>76</v>
      </c>
    </row>
    <row r="18" spans="2:15" ht="12.75">
      <c r="B18" s="30" t="s">
        <v>75</v>
      </c>
      <c r="F18" s="33">
        <f>Q71</f>
        <v>1167.875629853835</v>
      </c>
      <c r="I18" s="30" t="s">
        <v>75</v>
      </c>
      <c r="L18" s="33">
        <f>X71</f>
        <v>0</v>
      </c>
      <c r="O18" s="33">
        <f>F18</f>
        <v>1167.875629853835</v>
      </c>
    </row>
    <row r="19" spans="2:15" ht="12.75">
      <c r="B19" s="30" t="s">
        <v>74</v>
      </c>
      <c r="F19" s="34">
        <f>PMT('WACOC-Tax Table'!D13,F13,Q71)*-1</f>
        <v>98.15149172810881</v>
      </c>
      <c r="I19" s="30" t="s">
        <v>74</v>
      </c>
      <c r="L19" s="34">
        <f>PMT('WACOC-Tax Table'!L13,L13,X71)*-1</f>
        <v>0</v>
      </c>
      <c r="O19" s="34">
        <f>F19</f>
        <v>98.15149172810881</v>
      </c>
    </row>
    <row r="20" spans="2:15" ht="12.75">
      <c r="B20" s="30" t="s">
        <v>73</v>
      </c>
      <c r="F20" s="28">
        <f>F19/F8</f>
        <v>0.0981514917281088</v>
      </c>
      <c r="I20" s="30" t="s">
        <v>73</v>
      </c>
      <c r="L20" s="28">
        <f>L19/L8</f>
        <v>0</v>
      </c>
      <c r="O20" s="28">
        <f>F20</f>
        <v>0.0981514917281088</v>
      </c>
    </row>
    <row r="21" spans="2:16" ht="12.75">
      <c r="B21" s="30" t="s">
        <v>72</v>
      </c>
      <c r="F21" s="35">
        <f>1/F20</f>
        <v>10.188332162797055</v>
      </c>
      <c r="G21" s="2" t="s">
        <v>71</v>
      </c>
      <c r="I21" s="30" t="s">
        <v>72</v>
      </c>
      <c r="L21" s="35" t="e">
        <f>1/L20</f>
        <v>#DIV/0!</v>
      </c>
      <c r="M21" s="2" t="s">
        <v>71</v>
      </c>
      <c r="O21" s="35">
        <f>F21</f>
        <v>10.188332162797055</v>
      </c>
      <c r="P21" s="2" t="s">
        <v>71</v>
      </c>
    </row>
    <row r="22" ht="12.75">
      <c r="C22" s="35"/>
    </row>
    <row r="23" ht="12.75">
      <c r="C23" s="35"/>
    </row>
    <row r="24" spans="1:19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25"/>
      <c r="Q24" s="4"/>
      <c r="R24" s="25" t="s">
        <v>2</v>
      </c>
      <c r="S24" s="4"/>
    </row>
    <row r="25" spans="1:19" ht="12.75">
      <c r="A25" s="4"/>
      <c r="B25" s="4"/>
      <c r="C25" s="4"/>
      <c r="D25" s="4"/>
      <c r="E25" s="4"/>
      <c r="F25" s="4"/>
      <c r="G25" s="4"/>
      <c r="H25" s="4"/>
      <c r="I25" s="25"/>
      <c r="J25" s="4"/>
      <c r="K25" s="4"/>
      <c r="L25" s="4"/>
      <c r="M25" s="4"/>
      <c r="N25" s="25"/>
      <c r="O25" s="25"/>
      <c r="P25" s="25" t="s">
        <v>8</v>
      </c>
      <c r="Q25" s="25" t="s">
        <v>8</v>
      </c>
      <c r="R25" s="25" t="s">
        <v>8</v>
      </c>
      <c r="S25" s="25" t="s">
        <v>13</v>
      </c>
    </row>
    <row r="26" spans="1:19" ht="12.75">
      <c r="A26" s="4"/>
      <c r="B26" s="4"/>
      <c r="C26" s="4"/>
      <c r="D26" s="4"/>
      <c r="E26" s="4"/>
      <c r="F26" s="4"/>
      <c r="G26" s="4"/>
      <c r="H26" s="25" t="s">
        <v>70</v>
      </c>
      <c r="I26" s="25"/>
      <c r="J26" s="4"/>
      <c r="K26" s="4"/>
      <c r="L26" s="4"/>
      <c r="M26" s="4"/>
      <c r="N26" s="25"/>
      <c r="O26" s="25" t="s">
        <v>13</v>
      </c>
      <c r="P26" s="25" t="s">
        <v>69</v>
      </c>
      <c r="Q26" s="25" t="s">
        <v>69</v>
      </c>
      <c r="R26" s="25" t="s">
        <v>69</v>
      </c>
      <c r="S26" s="25" t="s">
        <v>68</v>
      </c>
    </row>
    <row r="27" spans="1:19" ht="12.75">
      <c r="A27" s="4"/>
      <c r="B27" s="25"/>
      <c r="C27" s="25" t="s">
        <v>67</v>
      </c>
      <c r="D27" s="25" t="s">
        <v>65</v>
      </c>
      <c r="E27" s="25" t="s">
        <v>66</v>
      </c>
      <c r="F27" s="25" t="s">
        <v>65</v>
      </c>
      <c r="G27" s="25" t="s">
        <v>64</v>
      </c>
      <c r="H27" s="25" t="s">
        <v>64</v>
      </c>
      <c r="I27" s="25"/>
      <c r="J27" s="25"/>
      <c r="K27" s="25"/>
      <c r="L27" s="25"/>
      <c r="M27" s="25" t="s">
        <v>63</v>
      </c>
      <c r="N27" s="25" t="s">
        <v>62</v>
      </c>
      <c r="O27" s="25" t="s">
        <v>61</v>
      </c>
      <c r="P27" s="25" t="s">
        <v>54</v>
      </c>
      <c r="Q27" s="25" t="s">
        <v>61</v>
      </c>
      <c r="R27" s="25" t="s">
        <v>61</v>
      </c>
      <c r="S27" s="25" t="s">
        <v>60</v>
      </c>
    </row>
    <row r="28" spans="1:19" ht="12.75">
      <c r="A28" s="25" t="s">
        <v>4</v>
      </c>
      <c r="B28" s="25" t="s">
        <v>59</v>
      </c>
      <c r="C28" s="25" t="s">
        <v>58</v>
      </c>
      <c r="D28" s="25" t="s">
        <v>57</v>
      </c>
      <c r="E28" s="25" t="s">
        <v>58</v>
      </c>
      <c r="F28" s="25" t="s">
        <v>57</v>
      </c>
      <c r="G28" s="25" t="s">
        <v>56</v>
      </c>
      <c r="H28" s="25" t="s">
        <v>56</v>
      </c>
      <c r="I28" s="25" t="s">
        <v>55</v>
      </c>
      <c r="J28" s="25" t="s">
        <v>54</v>
      </c>
      <c r="K28" s="25" t="s">
        <v>53</v>
      </c>
      <c r="L28" s="25" t="s">
        <v>52</v>
      </c>
      <c r="M28" s="25" t="s">
        <v>51</v>
      </c>
      <c r="N28" s="25" t="s">
        <v>51</v>
      </c>
      <c r="O28" s="25" t="s">
        <v>49</v>
      </c>
      <c r="P28" s="25" t="s">
        <v>50</v>
      </c>
      <c r="Q28" s="25" t="s">
        <v>49</v>
      </c>
      <c r="R28" s="25" t="s">
        <v>49</v>
      </c>
      <c r="S28" s="25" t="s">
        <v>42</v>
      </c>
    </row>
    <row r="30" spans="1:18" ht="12.75">
      <c r="A30" s="2">
        <v>0</v>
      </c>
      <c r="B30" s="31">
        <f>F8</f>
        <v>1000</v>
      </c>
      <c r="C30" s="36"/>
      <c r="D30" s="36"/>
      <c r="E30" s="36"/>
      <c r="F30" s="36"/>
      <c r="G30" s="36"/>
      <c r="H30" s="36"/>
      <c r="I30" s="33">
        <v>0</v>
      </c>
      <c r="J30" s="19">
        <f>'WACOC-Tax Table'!$D$11*I30</f>
        <v>0</v>
      </c>
      <c r="K30" s="31">
        <f>I30*('WACOC-Tax Table'!$D$12)</f>
        <v>0</v>
      </c>
      <c r="M30" s="33">
        <f aca="true" t="shared" si="1" ref="M30:M70">$F$12*D30</f>
        <v>0</v>
      </c>
      <c r="N30" s="37">
        <f aca="true" t="shared" si="2" ref="N30:N70">($F$11/(1-$F$11))*K30</f>
        <v>0</v>
      </c>
      <c r="O30" s="31">
        <f aca="true" t="shared" si="3" ref="O30:O70">C30+J30+K30+L30+M30+N30</f>
        <v>0</v>
      </c>
      <c r="P30" s="38">
        <f>1/(1+'WACOC-Tax Table'!$D$13)^A30</f>
        <v>1</v>
      </c>
      <c r="Q30" s="39">
        <f aca="true" t="shared" si="4" ref="Q30:Q70">O30*P30</f>
        <v>0</v>
      </c>
      <c r="R30" s="33">
        <f>Q30</f>
        <v>0</v>
      </c>
    </row>
    <row r="31" spans="1:20" ht="12.75">
      <c r="A31" s="2">
        <v>1</v>
      </c>
      <c r="C31" s="37">
        <f>(1/$F$9)*$B$30</f>
        <v>33.333333333333336</v>
      </c>
      <c r="D31" s="37">
        <f>$B$30-C31</f>
        <v>966.6666666666666</v>
      </c>
      <c r="E31" s="37">
        <f>HLOOKUP($F$10,'WACOC-Tax Table'!$B$17:$E$58,A32)*$B$30</f>
        <v>37.5</v>
      </c>
      <c r="F31" s="37">
        <f>B30-E31</f>
        <v>962.5</v>
      </c>
      <c r="G31" s="37">
        <f aca="true" t="shared" si="5" ref="G31:G70">(E31-C31)*$F$11</f>
        <v>1.556974999999999</v>
      </c>
      <c r="H31" s="37">
        <f>G31</f>
        <v>1.556974999999999</v>
      </c>
      <c r="I31" s="37">
        <f>D31-H31</f>
        <v>965.1096916666667</v>
      </c>
      <c r="J31" s="49">
        <f>'WACOC-Tax Table'!$D$11*I31</f>
        <v>16.183036518642</v>
      </c>
      <c r="K31" s="37">
        <f>I31*('WACOC-Tax Table'!$D$12)</f>
        <v>59.068573568766666</v>
      </c>
      <c r="L31" s="37">
        <f>$F$14*$F$8</f>
        <v>0</v>
      </c>
      <c r="M31" s="37">
        <f t="shared" si="1"/>
        <v>0</v>
      </c>
      <c r="N31" s="37">
        <f t="shared" si="2"/>
        <v>35.241056829407235</v>
      </c>
      <c r="O31" s="37">
        <f t="shared" si="3"/>
        <v>143.82600025014924</v>
      </c>
      <c r="P31" s="37">
        <f>1/(1+'WACOC-Tax Table'!$D$13)^A31</f>
        <v>0.9276678112108433</v>
      </c>
      <c r="Q31" s="40">
        <f t="shared" si="4"/>
        <v>133.42275084726614</v>
      </c>
      <c r="R31" s="37">
        <f aca="true" t="shared" si="6" ref="R31:R70">R30+Q31</f>
        <v>133.42275084726614</v>
      </c>
      <c r="S31" s="28">
        <f aca="true" t="shared" si="7" ref="S31:S70">O31/$B$30</f>
        <v>0.14382600025014924</v>
      </c>
      <c r="T31" s="34"/>
    </row>
    <row r="32" spans="1:20" ht="12.75">
      <c r="A32" s="2">
        <v>2</v>
      </c>
      <c r="C32" s="37">
        <f aca="true" t="shared" si="8" ref="C32:C70">IF(D31&lt;=0.001,0,(1/$F$9)*$B$30)</f>
        <v>33.333333333333336</v>
      </c>
      <c r="D32" s="37">
        <f aca="true" t="shared" si="9" ref="D32:D70">D31-C32</f>
        <v>933.3333333333333</v>
      </c>
      <c r="E32" s="37">
        <f>HLOOKUP($F$10,'WACOC-Tax Table'!$B$17:$E$58,A33)*$B$30</f>
        <v>72.19</v>
      </c>
      <c r="F32" s="37">
        <f aca="true" t="shared" si="10" ref="F32:F70">F31-E32</f>
        <v>890.31</v>
      </c>
      <c r="G32" s="37">
        <f t="shared" si="5"/>
        <v>14.519726059999998</v>
      </c>
      <c r="H32" s="37">
        <f aca="true" t="shared" si="11" ref="H32:H70">H31+G32</f>
        <v>16.076701059999998</v>
      </c>
      <c r="I32" s="37">
        <f aca="true" t="shared" si="12" ref="I32:I60">D32-H32</f>
        <v>917.2566322733333</v>
      </c>
      <c r="J32" s="49">
        <f>'WACOC-Tax Table'!$D$11*I32</f>
        <v>15.380632590489835</v>
      </c>
      <c r="K32" s="37">
        <f>I32*('WACOC-Tax Table'!$D$12)</f>
        <v>56.13977492165709</v>
      </c>
      <c r="L32" s="37">
        <f aca="true" t="shared" si="13" ref="L32:L65">$F$14*$F$8*(1+$F$15)^A31</f>
        <v>0</v>
      </c>
      <c r="M32" s="37">
        <f t="shared" si="1"/>
        <v>0</v>
      </c>
      <c r="N32" s="37">
        <f t="shared" si="2"/>
        <v>33.49369857562243</v>
      </c>
      <c r="O32" s="37">
        <f t="shared" si="3"/>
        <v>138.3474394211027</v>
      </c>
      <c r="P32" s="38">
        <f>1/(1+'WACOC-Tax Table'!$D$13)^A32</f>
        <v>0.8605675679567169</v>
      </c>
      <c r="Q32" s="40">
        <f t="shared" si="4"/>
        <v>119.05731947565756</v>
      </c>
      <c r="R32" s="37">
        <f t="shared" si="6"/>
        <v>252.48007032292372</v>
      </c>
      <c r="S32" s="28">
        <f t="shared" si="7"/>
        <v>0.1383474394211027</v>
      </c>
      <c r="T32" s="34"/>
    </row>
    <row r="33" spans="1:20" ht="12.75">
      <c r="A33" s="2">
        <v>3</v>
      </c>
      <c r="C33" s="37">
        <f t="shared" si="8"/>
        <v>33.333333333333336</v>
      </c>
      <c r="D33" s="37">
        <f t="shared" si="9"/>
        <v>899.9999999999999</v>
      </c>
      <c r="E33" s="37">
        <f>HLOOKUP($F$10,'WACOC-Tax Table'!$B$17:$E$58,A34)*$B$30</f>
        <v>66.77</v>
      </c>
      <c r="F33" s="37">
        <f t="shared" si="10"/>
        <v>823.54</v>
      </c>
      <c r="G33" s="37">
        <f t="shared" si="5"/>
        <v>12.494412979999998</v>
      </c>
      <c r="H33" s="37">
        <f t="shared" si="11"/>
        <v>28.571114039999998</v>
      </c>
      <c r="I33" s="37">
        <f t="shared" si="12"/>
        <v>871.4288859599999</v>
      </c>
      <c r="J33" s="49">
        <f>'WACOC-Tax Table'!$D$11*I33</f>
        <v>14.612189274088156</v>
      </c>
      <c r="K33" s="37">
        <f>I33*('WACOC-Tax Table'!$D$12)</f>
        <v>53.334933536295836</v>
      </c>
      <c r="L33" s="37">
        <f t="shared" si="13"/>
        <v>0</v>
      </c>
      <c r="M33" s="37">
        <f t="shared" si="1"/>
        <v>0</v>
      </c>
      <c r="N33" s="37">
        <f t="shared" si="2"/>
        <v>31.82029478936179</v>
      </c>
      <c r="O33" s="37">
        <f t="shared" si="3"/>
        <v>133.10075093307913</v>
      </c>
      <c r="P33" s="38">
        <f>1/(1+'WACOC-Tax Table'!$D$13)^A33</f>
        <v>0.7983208321654462</v>
      </c>
      <c r="Q33" s="40">
        <f t="shared" si="4"/>
        <v>106.25710224674152</v>
      </c>
      <c r="R33" s="37">
        <f t="shared" si="6"/>
        <v>358.73717256966523</v>
      </c>
      <c r="S33" s="28">
        <f t="shared" si="7"/>
        <v>0.13310075093307913</v>
      </c>
      <c r="T33" s="34"/>
    </row>
    <row r="34" spans="1:20" ht="12.75">
      <c r="A34" s="2">
        <v>4</v>
      </c>
      <c r="C34" s="37">
        <f t="shared" si="8"/>
        <v>33.333333333333336</v>
      </c>
      <c r="D34" s="37">
        <f t="shared" si="9"/>
        <v>866.6666666666665</v>
      </c>
      <c r="E34" s="37">
        <f>HLOOKUP($F$10,'WACOC-Tax Table'!$B$17:$E$58,A35)*$B$30</f>
        <v>61.769999999999996</v>
      </c>
      <c r="F34" s="37">
        <f t="shared" si="10"/>
        <v>761.77</v>
      </c>
      <c r="G34" s="37">
        <f t="shared" si="5"/>
        <v>10.626042979999998</v>
      </c>
      <c r="H34" s="37">
        <f t="shared" si="11"/>
        <v>39.19715701999999</v>
      </c>
      <c r="I34" s="37">
        <f t="shared" si="12"/>
        <v>827.4695096466666</v>
      </c>
      <c r="J34" s="49">
        <f>'WACOC-Tax Table'!$D$11*I34</f>
        <v>13.875074935316077</v>
      </c>
      <c r="K34" s="37">
        <f>I34*('WACOC-Tax Table'!$D$12)</f>
        <v>50.644443868414584</v>
      </c>
      <c r="L34" s="37">
        <f t="shared" si="13"/>
        <v>0</v>
      </c>
      <c r="M34" s="37">
        <f t="shared" si="1"/>
        <v>0</v>
      </c>
      <c r="N34" s="37">
        <f t="shared" si="2"/>
        <v>30.21511468162898</v>
      </c>
      <c r="O34" s="37">
        <f t="shared" si="3"/>
        <v>128.06796681869298</v>
      </c>
      <c r="P34" s="38">
        <f>1/(1+'WACOC-Tax Table'!$D$13)^A34</f>
        <v>0.7405765390189384</v>
      </c>
      <c r="Q34" s="40">
        <f t="shared" si="4"/>
        <v>94.8441316257799</v>
      </c>
      <c r="R34" s="37">
        <f t="shared" si="6"/>
        <v>453.5813041954451</v>
      </c>
      <c r="S34" s="28">
        <f t="shared" si="7"/>
        <v>0.12806796681869298</v>
      </c>
      <c r="T34" s="34"/>
    </row>
    <row r="35" spans="1:20" ht="12.75">
      <c r="A35" s="2">
        <v>5</v>
      </c>
      <c r="C35" s="37">
        <f t="shared" si="8"/>
        <v>33.333333333333336</v>
      </c>
      <c r="D35" s="37">
        <f t="shared" si="9"/>
        <v>833.3333333333331</v>
      </c>
      <c r="E35" s="37">
        <f>HLOOKUP($F$10,'WACOC-Tax Table'!$B$17:$E$58,A36)*$B$30</f>
        <v>57.13</v>
      </c>
      <c r="F35" s="37">
        <f t="shared" si="10"/>
        <v>704.64</v>
      </c>
      <c r="G35" s="37">
        <f t="shared" si="5"/>
        <v>8.89219562</v>
      </c>
      <c r="H35" s="37">
        <f t="shared" si="11"/>
        <v>48.089352639999994</v>
      </c>
      <c r="I35" s="37">
        <f t="shared" si="12"/>
        <v>785.2439806933331</v>
      </c>
      <c r="J35" s="49">
        <f>'WACOC-Tax Table'!$D$11*I35</f>
        <v>13.167033887784266</v>
      </c>
      <c r="K35" s="37">
        <f>I35*('WACOC-Tax Table'!$D$12)</f>
        <v>48.060072594354764</v>
      </c>
      <c r="L35" s="37">
        <f t="shared" si="13"/>
        <v>0</v>
      </c>
      <c r="M35" s="37">
        <f t="shared" si="1"/>
        <v>0</v>
      </c>
      <c r="N35" s="37">
        <f t="shared" si="2"/>
        <v>28.673246147569994</v>
      </c>
      <c r="O35" s="37">
        <f t="shared" si="3"/>
        <v>123.23368596304236</v>
      </c>
      <c r="P35" s="38">
        <f>1/(1+'WACOC-Tax Table'!$D$13)^A35</f>
        <v>0.6870090169858003</v>
      </c>
      <c r="Q35" s="40">
        <f t="shared" si="4"/>
        <v>84.66265345300656</v>
      </c>
      <c r="R35" s="37">
        <f t="shared" si="6"/>
        <v>538.2439576484517</v>
      </c>
      <c r="S35" s="28">
        <f t="shared" si="7"/>
        <v>0.12323368596304236</v>
      </c>
      <c r="T35" s="34"/>
    </row>
    <row r="36" spans="1:20" ht="12.75">
      <c r="A36" s="2">
        <v>6</v>
      </c>
      <c r="C36" s="37">
        <f t="shared" si="8"/>
        <v>33.333333333333336</v>
      </c>
      <c r="D36" s="37">
        <f t="shared" si="9"/>
        <v>799.9999999999998</v>
      </c>
      <c r="E36" s="37">
        <f>HLOOKUP($F$10,'WACOC-Tax Table'!$B$17:$E$58,A37)*$B$30</f>
        <v>52.85</v>
      </c>
      <c r="F36" s="37">
        <f t="shared" si="10"/>
        <v>651.79</v>
      </c>
      <c r="G36" s="37">
        <f t="shared" si="5"/>
        <v>7.2928709</v>
      </c>
      <c r="H36" s="37">
        <f t="shared" si="11"/>
        <v>55.38222353999999</v>
      </c>
      <c r="I36" s="37">
        <f t="shared" si="12"/>
        <v>744.6177764599997</v>
      </c>
      <c r="J36" s="49">
        <f>'WACOC-Tax Table'!$D$11*I36</f>
        <v>12.485810445103393</v>
      </c>
      <c r="K36" s="37">
        <f>I36*('WACOC-Tax Table'!$D$12)</f>
        <v>45.57358639045783</v>
      </c>
      <c r="L36" s="37">
        <f t="shared" si="13"/>
        <v>0</v>
      </c>
      <c r="M36" s="37">
        <f t="shared" si="1"/>
        <v>0</v>
      </c>
      <c r="N36" s="37">
        <f t="shared" si="2"/>
        <v>27.18977708233083</v>
      </c>
      <c r="O36" s="37">
        <f t="shared" si="3"/>
        <v>118.5825072512254</v>
      </c>
      <c r="P36" s="38">
        <f>1/(1+'WACOC-Tax Table'!$D$13)^A36</f>
        <v>0.6373161510693305</v>
      </c>
      <c r="Q36" s="40">
        <f t="shared" si="4"/>
        <v>75.57454710550194</v>
      </c>
      <c r="R36" s="37">
        <f t="shared" si="6"/>
        <v>613.8185047539536</v>
      </c>
      <c r="S36" s="28">
        <f t="shared" si="7"/>
        <v>0.11858250725122539</v>
      </c>
      <c r="T36" s="34"/>
    </row>
    <row r="37" spans="1:20" ht="12.75">
      <c r="A37" s="2">
        <v>7</v>
      </c>
      <c r="C37" s="37">
        <f t="shared" si="8"/>
        <v>33.333333333333336</v>
      </c>
      <c r="D37" s="37">
        <f t="shared" si="9"/>
        <v>766.6666666666664</v>
      </c>
      <c r="E37" s="37">
        <f>HLOOKUP($F$10,'WACOC-Tax Table'!$B$17:$E$58,A38)*$B$30</f>
        <v>48.88</v>
      </c>
      <c r="F37" s="37">
        <f t="shared" si="10"/>
        <v>602.91</v>
      </c>
      <c r="G37" s="37">
        <f t="shared" si="5"/>
        <v>5.80938512</v>
      </c>
      <c r="H37" s="37">
        <f t="shared" si="11"/>
        <v>61.19160865999999</v>
      </c>
      <c r="I37" s="37">
        <f t="shared" si="12"/>
        <v>705.4750580066664</v>
      </c>
      <c r="J37" s="49">
        <f>'WACOC-Tax Table'!$D$11*I37</f>
        <v>11.829462210660424</v>
      </c>
      <c r="K37" s="37">
        <f>I37*('WACOC-Tax Table'!$D$12)</f>
        <v>43.17789545024001</v>
      </c>
      <c r="L37" s="37">
        <f t="shared" si="13"/>
        <v>0</v>
      </c>
      <c r="M37" s="37">
        <f t="shared" si="1"/>
        <v>0</v>
      </c>
      <c r="N37" s="37">
        <f t="shared" si="2"/>
        <v>25.760477617842763</v>
      </c>
      <c r="O37" s="37">
        <f t="shared" si="3"/>
        <v>114.10116861207653</v>
      </c>
      <c r="P37" s="38">
        <f>1/(1+'WACOC-Tax Table'!$D$13)^A37</f>
        <v>0.591217678911805</v>
      </c>
      <c r="Q37" s="40">
        <f t="shared" si="4"/>
        <v>67.45862806795638</v>
      </c>
      <c r="R37" s="37">
        <f t="shared" si="6"/>
        <v>681.27713282191</v>
      </c>
      <c r="S37" s="28">
        <f t="shared" si="7"/>
        <v>0.11410116861207653</v>
      </c>
      <c r="T37" s="34"/>
    </row>
    <row r="38" spans="1:20" ht="12.75">
      <c r="A38" s="2">
        <v>8</v>
      </c>
      <c r="C38" s="37">
        <f t="shared" si="8"/>
        <v>33.333333333333336</v>
      </c>
      <c r="D38" s="37">
        <f t="shared" si="9"/>
        <v>733.333333333333</v>
      </c>
      <c r="E38" s="37">
        <f>HLOOKUP($F$10,'WACOC-Tax Table'!$B$17:$E$58,A39)*$B$30</f>
        <v>45.220000000000006</v>
      </c>
      <c r="F38" s="37">
        <f t="shared" si="10"/>
        <v>557.6899999999999</v>
      </c>
      <c r="G38" s="37">
        <f t="shared" si="5"/>
        <v>4.441738280000002</v>
      </c>
      <c r="H38" s="37">
        <f t="shared" si="11"/>
        <v>65.63334694</v>
      </c>
      <c r="I38" s="37">
        <f t="shared" si="12"/>
        <v>667.699986393333</v>
      </c>
      <c r="J38" s="49">
        <f>'WACOC-Tax Table'!$D$11*I38</f>
        <v>11.19604678784232</v>
      </c>
      <c r="K38" s="37">
        <f>I38*('WACOC-Tax Table'!$D$12)</f>
        <v>40.865909967217554</v>
      </c>
      <c r="L38" s="37">
        <f t="shared" si="13"/>
        <v>0</v>
      </c>
      <c r="M38" s="37">
        <f t="shared" si="1"/>
        <v>0</v>
      </c>
      <c r="N38" s="37">
        <f t="shared" si="2"/>
        <v>24.38111788603707</v>
      </c>
      <c r="O38" s="37">
        <f t="shared" si="3"/>
        <v>109.77640797443028</v>
      </c>
      <c r="P38" s="38">
        <f>1/(1+'WACOC-Tax Table'!$D$13)^A38</f>
        <v>0.5484536101452692</v>
      </c>
      <c r="Q38" s="40">
        <f t="shared" si="4"/>
        <v>60.207267262356204</v>
      </c>
      <c r="R38" s="37">
        <f t="shared" si="6"/>
        <v>741.4844000842662</v>
      </c>
      <c r="S38" s="28">
        <f t="shared" si="7"/>
        <v>0.10977640797443028</v>
      </c>
      <c r="T38" s="34"/>
    </row>
    <row r="39" spans="1:20" ht="12.75">
      <c r="A39" s="2">
        <v>9</v>
      </c>
      <c r="C39" s="37">
        <f t="shared" si="8"/>
        <v>33.333333333333336</v>
      </c>
      <c r="D39" s="37">
        <f t="shared" si="9"/>
        <v>699.9999999999997</v>
      </c>
      <c r="E39" s="37">
        <f>HLOOKUP($F$10,'WACOC-Tax Table'!$B$17:$E$58,A40)*$B$30</f>
        <v>44.62</v>
      </c>
      <c r="F39" s="37">
        <f t="shared" si="10"/>
        <v>513.0699999999999</v>
      </c>
      <c r="G39" s="37">
        <f t="shared" si="5"/>
        <v>4.217533879999999</v>
      </c>
      <c r="H39" s="37">
        <f t="shared" si="11"/>
        <v>69.85088082</v>
      </c>
      <c r="I39" s="37">
        <f t="shared" si="12"/>
        <v>630.1491191799996</v>
      </c>
      <c r="J39" s="49">
        <f>'WACOC-Tax Table'!$D$11*I39</f>
        <v>10.566390842339768</v>
      </c>
      <c r="K39" s="37">
        <f>I39*('WACOC-Tax Table'!$D$12)</f>
        <v>38.5676466902927</v>
      </c>
      <c r="L39" s="37">
        <f t="shared" si="13"/>
        <v>0</v>
      </c>
      <c r="M39" s="37">
        <f t="shared" si="1"/>
        <v>0</v>
      </c>
      <c r="N39" s="37">
        <f t="shared" si="2"/>
        <v>23.009944995654713</v>
      </c>
      <c r="O39" s="37">
        <f t="shared" si="3"/>
        <v>105.4773158616205</v>
      </c>
      <c r="P39" s="38">
        <f>1/(1+'WACOC-Tax Table'!$D$13)^A39</f>
        <v>0.508782760074147</v>
      </c>
      <c r="Q39" s="40">
        <f t="shared" si="4"/>
        <v>53.66503988928788</v>
      </c>
      <c r="R39" s="37">
        <f t="shared" si="6"/>
        <v>795.1494399735541</v>
      </c>
      <c r="S39" s="28">
        <f t="shared" si="7"/>
        <v>0.1054773158616205</v>
      </c>
      <c r="T39" s="34"/>
    </row>
    <row r="40" spans="1:20" ht="12.75">
      <c r="A40" s="2">
        <v>10</v>
      </c>
      <c r="C40" s="37">
        <f t="shared" si="8"/>
        <v>33.333333333333336</v>
      </c>
      <c r="D40" s="37">
        <f t="shared" si="9"/>
        <v>666.6666666666663</v>
      </c>
      <c r="E40" s="37">
        <f>HLOOKUP($F$10,'WACOC-Tax Table'!$B$17:$E$58,A41)*$B$30</f>
        <v>44.61</v>
      </c>
      <c r="F40" s="37">
        <f t="shared" si="10"/>
        <v>468.4599999999999</v>
      </c>
      <c r="G40" s="37">
        <f t="shared" si="5"/>
        <v>4.213797139999999</v>
      </c>
      <c r="H40" s="37">
        <f t="shared" si="11"/>
        <v>74.06467796</v>
      </c>
      <c r="I40" s="37">
        <f t="shared" si="12"/>
        <v>592.6019887066662</v>
      </c>
      <c r="J40" s="49">
        <f>'WACOC-Tax Table'!$D$11*I40</f>
        <v>9.936797554792477</v>
      </c>
      <c r="K40" s="37">
        <f>I40*('WACOC-Tax Table'!$D$12)</f>
        <v>36.269612116802804</v>
      </c>
      <c r="L40" s="37">
        <f t="shared" si="13"/>
        <v>0</v>
      </c>
      <c r="M40" s="37">
        <f t="shared" si="1"/>
        <v>0</v>
      </c>
      <c r="N40" s="37">
        <f t="shared" si="2"/>
        <v>21.638908552629417</v>
      </c>
      <c r="O40" s="37">
        <f t="shared" si="3"/>
        <v>101.17865155755804</v>
      </c>
      <c r="P40" s="38">
        <f>1/(1+'WACOC-Tax Table'!$D$13)^A40</f>
        <v>0.47198138941979556</v>
      </c>
      <c r="Q40" s="40">
        <f t="shared" si="4"/>
        <v>47.7544405417576</v>
      </c>
      <c r="R40" s="37">
        <f t="shared" si="6"/>
        <v>842.9038805153117</v>
      </c>
      <c r="S40" s="28">
        <f t="shared" si="7"/>
        <v>0.10117865155755804</v>
      </c>
      <c r="T40" s="34"/>
    </row>
    <row r="41" spans="1:20" ht="12.75">
      <c r="A41" s="2">
        <v>11</v>
      </c>
      <c r="C41" s="37">
        <f t="shared" si="8"/>
        <v>33.333333333333336</v>
      </c>
      <c r="D41" s="37">
        <f t="shared" si="9"/>
        <v>633.3333333333329</v>
      </c>
      <c r="E41" s="37">
        <f>HLOOKUP($F$10,'WACOC-Tax Table'!$B$17:$E$58,A42)*$B$30</f>
        <v>44.62</v>
      </c>
      <c r="F41" s="37">
        <f t="shared" si="10"/>
        <v>423.8399999999999</v>
      </c>
      <c r="G41" s="37">
        <f t="shared" si="5"/>
        <v>4.217533879999999</v>
      </c>
      <c r="H41" s="37">
        <f t="shared" si="11"/>
        <v>78.28221184</v>
      </c>
      <c r="I41" s="37">
        <f t="shared" si="12"/>
        <v>555.0511214933329</v>
      </c>
      <c r="J41" s="49">
        <f>'WACOC-Tax Table'!$D$11*I41</f>
        <v>9.307141609289925</v>
      </c>
      <c r="K41" s="37">
        <f>I41*('WACOC-Tax Table'!$D$12)</f>
        <v>33.97134883987795</v>
      </c>
      <c r="L41" s="37">
        <f t="shared" si="13"/>
        <v>0</v>
      </c>
      <c r="M41" s="37">
        <f t="shared" si="1"/>
        <v>0</v>
      </c>
      <c r="N41" s="37">
        <f t="shared" si="2"/>
        <v>20.267735662247063</v>
      </c>
      <c r="O41" s="37">
        <f t="shared" si="3"/>
        <v>96.87955944474827</v>
      </c>
      <c r="P41" s="38">
        <f>1/(1+'WACOC-Tax Table'!$D$13)^A41</f>
        <v>0.43784194245531455</v>
      </c>
      <c r="Q41" s="40">
        <f t="shared" si="4"/>
        <v>42.41793449150369</v>
      </c>
      <c r="R41" s="37">
        <f t="shared" si="6"/>
        <v>885.3218150068154</v>
      </c>
      <c r="S41" s="28">
        <f t="shared" si="7"/>
        <v>0.09687955944474827</v>
      </c>
      <c r="T41" s="34"/>
    </row>
    <row r="42" spans="1:20" ht="12.75">
      <c r="A42" s="2">
        <v>12</v>
      </c>
      <c r="C42" s="37">
        <f t="shared" si="8"/>
        <v>33.333333333333336</v>
      </c>
      <c r="D42" s="37">
        <f t="shared" si="9"/>
        <v>599.9999999999995</v>
      </c>
      <c r="E42" s="37">
        <f>HLOOKUP($F$10,'WACOC-Tax Table'!$B$17:$E$58,A43)*$B$30</f>
        <v>44.61</v>
      </c>
      <c r="F42" s="37">
        <f t="shared" si="10"/>
        <v>379.2299999999999</v>
      </c>
      <c r="G42" s="37">
        <f t="shared" si="5"/>
        <v>4.213797139999999</v>
      </c>
      <c r="H42" s="37">
        <f t="shared" si="11"/>
        <v>82.49600898</v>
      </c>
      <c r="I42" s="37">
        <f t="shared" si="12"/>
        <v>517.5039910199996</v>
      </c>
      <c r="J42" s="49">
        <f>'WACOC-Tax Table'!$D$11*I42</f>
        <v>8.677548321742636</v>
      </c>
      <c r="K42" s="37">
        <f>I42*('WACOC-Tax Table'!$D$12)</f>
        <v>31.673314266388058</v>
      </c>
      <c r="L42" s="37">
        <f t="shared" si="13"/>
        <v>0</v>
      </c>
      <c r="M42" s="37">
        <f t="shared" si="1"/>
        <v>0</v>
      </c>
      <c r="N42" s="37">
        <f t="shared" si="2"/>
        <v>18.896699219221766</v>
      </c>
      <c r="O42" s="37">
        <f t="shared" si="3"/>
        <v>92.58089514068578</v>
      </c>
      <c r="P42" s="38">
        <f>1/(1+'WACOC-Tax Table'!$D$13)^A42</f>
        <v>0.40617187641382557</v>
      </c>
      <c r="Q42" s="40">
        <f t="shared" si="4"/>
        <v>37.60375589936397</v>
      </c>
      <c r="R42" s="37">
        <f t="shared" si="6"/>
        <v>922.9255709061794</v>
      </c>
      <c r="S42" s="28">
        <f t="shared" si="7"/>
        <v>0.09258089514068578</v>
      </c>
      <c r="T42" s="34"/>
    </row>
    <row r="43" spans="1:20" ht="12.75">
      <c r="A43" s="2">
        <v>13</v>
      </c>
      <c r="C43" s="37">
        <f t="shared" si="8"/>
        <v>33.333333333333336</v>
      </c>
      <c r="D43" s="37">
        <f t="shared" si="9"/>
        <v>566.6666666666662</v>
      </c>
      <c r="E43" s="37">
        <f>HLOOKUP($F$10,'WACOC-Tax Table'!$B$17:$E$58,A44)*$B$30</f>
        <v>44.62</v>
      </c>
      <c r="F43" s="37">
        <f t="shared" si="10"/>
        <v>334.6099999999999</v>
      </c>
      <c r="G43" s="37">
        <f t="shared" si="5"/>
        <v>4.217533879999999</v>
      </c>
      <c r="H43" s="37">
        <f t="shared" si="11"/>
        <v>86.71354286</v>
      </c>
      <c r="I43" s="37">
        <f t="shared" si="12"/>
        <v>479.95312380666616</v>
      </c>
      <c r="J43" s="49">
        <f>'WACOC-Tax Table'!$D$11*I43</f>
        <v>8.047892376240084</v>
      </c>
      <c r="K43" s="37">
        <f>I43*('WACOC-Tax Table'!$D$12)</f>
        <v>29.375050989463197</v>
      </c>
      <c r="L43" s="37">
        <f t="shared" si="13"/>
        <v>0</v>
      </c>
      <c r="M43" s="37">
        <f t="shared" si="1"/>
        <v>0</v>
      </c>
      <c r="N43" s="37">
        <f t="shared" si="2"/>
        <v>17.52552632883941</v>
      </c>
      <c r="O43" s="37">
        <f t="shared" si="3"/>
        <v>88.28180302787602</v>
      </c>
      <c r="P43" s="38">
        <f>1/(1+'WACOC-Tax Table'!$D$13)^A43</f>
        <v>0.3767925755682147</v>
      </c>
      <c r="Q43" s="40">
        <f t="shared" si="4"/>
        <v>33.263927938679224</v>
      </c>
      <c r="R43" s="37">
        <f t="shared" si="6"/>
        <v>956.1894988448586</v>
      </c>
      <c r="S43" s="28">
        <f t="shared" si="7"/>
        <v>0.08828180302787603</v>
      </c>
      <c r="T43" s="34"/>
    </row>
    <row r="44" spans="1:20" ht="12.75">
      <c r="A44" s="2">
        <v>14</v>
      </c>
      <c r="C44" s="37">
        <f t="shared" si="8"/>
        <v>33.333333333333336</v>
      </c>
      <c r="D44" s="37">
        <f t="shared" si="9"/>
        <v>533.3333333333328</v>
      </c>
      <c r="E44" s="37">
        <f>HLOOKUP($F$10,'WACOC-Tax Table'!$B$17:$E$58,A45)*$B$30</f>
        <v>44.61</v>
      </c>
      <c r="F44" s="37">
        <f t="shared" si="10"/>
        <v>289.9999999999999</v>
      </c>
      <c r="G44" s="37">
        <f t="shared" si="5"/>
        <v>4.213797139999999</v>
      </c>
      <c r="H44" s="37">
        <f t="shared" si="11"/>
        <v>90.92734</v>
      </c>
      <c r="I44" s="37">
        <f t="shared" si="12"/>
        <v>442.4059933333328</v>
      </c>
      <c r="J44" s="49">
        <f>'WACOC-Tax Table'!$D$11*I44</f>
        <v>7.418299088692791</v>
      </c>
      <c r="K44" s="37">
        <f>I44*('WACOC-Tax Table'!$D$12)</f>
        <v>27.0770164159733</v>
      </c>
      <c r="L44" s="37">
        <f t="shared" si="13"/>
        <v>0</v>
      </c>
      <c r="M44" s="37">
        <f t="shared" si="1"/>
        <v>0</v>
      </c>
      <c r="N44" s="37">
        <f t="shared" si="2"/>
        <v>16.154489885814108</v>
      </c>
      <c r="O44" s="37">
        <f t="shared" si="3"/>
        <v>83.98313872381354</v>
      </c>
      <c r="P44" s="38">
        <f>1/(1+'WACOC-Tax Table'!$D$13)^A44</f>
        <v>0.34953834385786203</v>
      </c>
      <c r="Q44" s="40">
        <f t="shared" si="4"/>
        <v>29.355327221506865</v>
      </c>
      <c r="R44" s="37">
        <f t="shared" si="6"/>
        <v>985.5448260663654</v>
      </c>
      <c r="S44" s="28">
        <f t="shared" si="7"/>
        <v>0.08398313872381354</v>
      </c>
      <c r="T44" s="34"/>
    </row>
    <row r="45" spans="1:20" ht="12.75">
      <c r="A45" s="2">
        <v>15</v>
      </c>
      <c r="C45" s="37">
        <f t="shared" si="8"/>
        <v>33.333333333333336</v>
      </c>
      <c r="D45" s="37">
        <f t="shared" si="9"/>
        <v>499.9999999999995</v>
      </c>
      <c r="E45" s="37">
        <f>HLOOKUP($F$10,'WACOC-Tax Table'!$B$17:$E$58,A46)*$B$30</f>
        <v>44.62</v>
      </c>
      <c r="F45" s="37">
        <f t="shared" si="10"/>
        <v>245.37999999999988</v>
      </c>
      <c r="G45" s="37">
        <f t="shared" si="5"/>
        <v>4.217533879999999</v>
      </c>
      <c r="H45" s="37">
        <f t="shared" si="11"/>
        <v>95.14487388</v>
      </c>
      <c r="I45" s="37">
        <f t="shared" si="12"/>
        <v>404.85512611999945</v>
      </c>
      <c r="J45" s="49">
        <f>'WACOC-Tax Table'!$D$11*I45</f>
        <v>6.7886431431902405</v>
      </c>
      <c r="K45" s="37">
        <f>I45*('WACOC-Tax Table'!$D$12)</f>
        <v>24.778753139048447</v>
      </c>
      <c r="L45" s="37">
        <f t="shared" si="13"/>
        <v>0</v>
      </c>
      <c r="M45" s="37">
        <f t="shared" si="1"/>
        <v>0</v>
      </c>
      <c r="N45" s="37">
        <f t="shared" si="2"/>
        <v>14.783316995431756</v>
      </c>
      <c r="O45" s="37">
        <f t="shared" si="3"/>
        <v>79.6840466110038</v>
      </c>
      <c r="P45" s="38">
        <f>1/(1+'WACOC-Tax Table'!$D$13)^A45</f>
        <v>0.32425547038088604</v>
      </c>
      <c r="Q45" s="40">
        <f t="shared" si="4"/>
        <v>25.837988015703484</v>
      </c>
      <c r="R45" s="37">
        <f t="shared" si="6"/>
        <v>1011.3828140820689</v>
      </c>
      <c r="S45" s="28">
        <f t="shared" si="7"/>
        <v>0.0796840466110038</v>
      </c>
      <c r="T45" s="34"/>
    </row>
    <row r="46" spans="1:20" ht="12.75">
      <c r="A46" s="2">
        <v>16</v>
      </c>
      <c r="C46" s="37">
        <f t="shared" si="8"/>
        <v>33.333333333333336</v>
      </c>
      <c r="D46" s="37">
        <f t="shared" si="9"/>
        <v>466.6666666666662</v>
      </c>
      <c r="E46" s="37">
        <f>HLOOKUP($F$10,'WACOC-Tax Table'!$B$17:$E$58,A47)*$B$30</f>
        <v>44.61</v>
      </c>
      <c r="F46" s="37">
        <f t="shared" si="10"/>
        <v>200.76999999999987</v>
      </c>
      <c r="G46" s="37">
        <f t="shared" si="5"/>
        <v>4.213797139999999</v>
      </c>
      <c r="H46" s="37">
        <f t="shared" si="11"/>
        <v>99.35867102</v>
      </c>
      <c r="I46" s="37">
        <f t="shared" si="12"/>
        <v>367.3079956466662</v>
      </c>
      <c r="J46" s="49">
        <f>'WACOC-Tax Table'!$D$11*I46</f>
        <v>6.159049855642951</v>
      </c>
      <c r="K46" s="37">
        <f>I46*('WACOC-Tax Table'!$D$12)</f>
        <v>22.480718565558558</v>
      </c>
      <c r="L46" s="37">
        <f t="shared" si="13"/>
        <v>0</v>
      </c>
      <c r="M46" s="37">
        <f t="shared" si="1"/>
        <v>0</v>
      </c>
      <c r="N46" s="37">
        <f t="shared" si="2"/>
        <v>13.412280552406461</v>
      </c>
      <c r="O46" s="37">
        <f t="shared" si="3"/>
        <v>75.3853823069413</v>
      </c>
      <c r="P46" s="38">
        <f>1/(1+'WACOC-Tax Table'!$D$13)^A46</f>
        <v>0.3008013624813789</v>
      </c>
      <c r="Q46" s="40">
        <f t="shared" si="4"/>
        <v>22.676025709107577</v>
      </c>
      <c r="R46" s="37">
        <f t="shared" si="6"/>
        <v>1034.0588397911765</v>
      </c>
      <c r="S46" s="28">
        <f t="shared" si="7"/>
        <v>0.07538538230694129</v>
      </c>
      <c r="T46" s="34"/>
    </row>
    <row r="47" spans="1:20" ht="12.75">
      <c r="A47" s="2">
        <v>17</v>
      </c>
      <c r="C47" s="37">
        <f t="shared" si="8"/>
        <v>33.333333333333336</v>
      </c>
      <c r="D47" s="37">
        <f t="shared" si="9"/>
        <v>433.33333333333286</v>
      </c>
      <c r="E47" s="37">
        <f>HLOOKUP($F$10,'WACOC-Tax Table'!$B$17:$E$58,A48)*$B$30</f>
        <v>44.62</v>
      </c>
      <c r="F47" s="37">
        <f t="shared" si="10"/>
        <v>156.14999999999986</v>
      </c>
      <c r="G47" s="37">
        <f t="shared" si="5"/>
        <v>4.217533879999999</v>
      </c>
      <c r="H47" s="37">
        <f t="shared" si="11"/>
        <v>103.57620490000001</v>
      </c>
      <c r="I47" s="37">
        <f t="shared" si="12"/>
        <v>329.75712843333287</v>
      </c>
      <c r="J47" s="49">
        <f>'WACOC-Tax Table'!$D$11*I47</f>
        <v>5.5293939101404</v>
      </c>
      <c r="K47" s="37">
        <f>I47*('WACOC-Tax Table'!$D$12)</f>
        <v>20.182455288633705</v>
      </c>
      <c r="L47" s="37">
        <f t="shared" si="13"/>
        <v>0</v>
      </c>
      <c r="M47" s="37">
        <f t="shared" si="1"/>
        <v>0</v>
      </c>
      <c r="N47" s="37">
        <f t="shared" si="2"/>
        <v>12.041107662024109</v>
      </c>
      <c r="O47" s="37">
        <f t="shared" si="3"/>
        <v>71.08629019413155</v>
      </c>
      <c r="P47" s="38">
        <f>1/(1+'WACOC-Tax Table'!$D$13)^A47</f>
        <v>0.27904374154234024</v>
      </c>
      <c r="Q47" s="40">
        <f t="shared" si="4"/>
        <v>19.836184388135038</v>
      </c>
      <c r="R47" s="37">
        <f t="shared" si="6"/>
        <v>1053.8950241793116</v>
      </c>
      <c r="S47" s="28">
        <f t="shared" si="7"/>
        <v>0.07108629019413155</v>
      </c>
      <c r="T47" s="34"/>
    </row>
    <row r="48" spans="1:20" ht="12.75">
      <c r="A48" s="2">
        <v>18</v>
      </c>
      <c r="C48" s="37">
        <f t="shared" si="8"/>
        <v>33.333333333333336</v>
      </c>
      <c r="D48" s="37">
        <f t="shared" si="9"/>
        <v>399.99999999999955</v>
      </c>
      <c r="E48" s="37">
        <f>HLOOKUP($F$10,'WACOC-Tax Table'!$B$17:$E$58,A49)*$B$30</f>
        <v>44.61</v>
      </c>
      <c r="F48" s="37">
        <f t="shared" si="10"/>
        <v>111.53999999999986</v>
      </c>
      <c r="G48" s="37">
        <f t="shared" si="5"/>
        <v>4.213797139999999</v>
      </c>
      <c r="H48" s="37">
        <f t="shared" si="11"/>
        <v>107.79000204</v>
      </c>
      <c r="I48" s="37">
        <f t="shared" si="12"/>
        <v>292.20999795999955</v>
      </c>
      <c r="J48" s="49">
        <f>'WACOC-Tax Table'!$D$11*I48</f>
        <v>4.8998006225931094</v>
      </c>
      <c r="K48" s="37">
        <f>I48*('WACOC-Tax Table'!$D$12)</f>
        <v>17.884420715143815</v>
      </c>
      <c r="L48" s="37">
        <f t="shared" si="13"/>
        <v>0</v>
      </c>
      <c r="M48" s="37">
        <f t="shared" si="1"/>
        <v>0</v>
      </c>
      <c r="N48" s="37">
        <f t="shared" si="2"/>
        <v>10.670071218998812</v>
      </c>
      <c r="O48" s="37">
        <f t="shared" si="3"/>
        <v>66.78762589006908</v>
      </c>
      <c r="P48" s="38">
        <f>1/(1+'WACOC-Tax Table'!$D$13)^A48</f>
        <v>0.25885989694866707</v>
      </c>
      <c r="Q48" s="40">
        <f t="shared" si="4"/>
        <v>17.28863795534941</v>
      </c>
      <c r="R48" s="37">
        <f t="shared" si="6"/>
        <v>1071.183662134661</v>
      </c>
      <c r="S48" s="28">
        <f t="shared" si="7"/>
        <v>0.06678762589006908</v>
      </c>
      <c r="T48" s="34"/>
    </row>
    <row r="49" spans="1:20" ht="12.75">
      <c r="A49" s="2">
        <v>19</v>
      </c>
      <c r="C49" s="37">
        <f t="shared" si="8"/>
        <v>33.333333333333336</v>
      </c>
      <c r="D49" s="37">
        <f t="shared" si="9"/>
        <v>366.66666666666623</v>
      </c>
      <c r="E49" s="37">
        <f>HLOOKUP($F$10,'WACOC-Tax Table'!$B$17:$E$58,A50)*$B$30</f>
        <v>44.62</v>
      </c>
      <c r="F49" s="37">
        <f t="shared" si="10"/>
        <v>66.91999999999987</v>
      </c>
      <c r="G49" s="37">
        <f t="shared" si="5"/>
        <v>4.217533879999999</v>
      </c>
      <c r="H49" s="37">
        <f t="shared" si="11"/>
        <v>112.00753592000001</v>
      </c>
      <c r="I49" s="37">
        <f t="shared" si="12"/>
        <v>254.65913074666622</v>
      </c>
      <c r="J49" s="49">
        <f>'WACOC-Tax Table'!$D$11*I49</f>
        <v>4.270144677090559</v>
      </c>
      <c r="K49" s="37">
        <f>I49*('WACOC-Tax Table'!$D$12)</f>
        <v>15.58615743821896</v>
      </c>
      <c r="L49" s="37">
        <f t="shared" si="13"/>
        <v>0</v>
      </c>
      <c r="M49" s="37">
        <f t="shared" si="1"/>
        <v>0</v>
      </c>
      <c r="N49" s="37">
        <f t="shared" si="2"/>
        <v>9.298898328616458</v>
      </c>
      <c r="O49" s="37">
        <f t="shared" si="3"/>
        <v>62.48853377725931</v>
      </c>
      <c r="P49" s="38">
        <f>1/(1+'WACOC-Tax Table'!$D$13)^A49</f>
        <v>0.24013599401263444</v>
      </c>
      <c r="Q49" s="40">
        <f t="shared" si="4"/>
        <v>15.005746172994247</v>
      </c>
      <c r="R49" s="37">
        <f t="shared" si="6"/>
        <v>1086.1894083076554</v>
      </c>
      <c r="S49" s="28">
        <f t="shared" si="7"/>
        <v>0.06248853377725931</v>
      </c>
      <c r="T49" s="34"/>
    </row>
    <row r="50" spans="1:20" ht="12.75">
      <c r="A50" s="2">
        <v>20</v>
      </c>
      <c r="C50" s="37">
        <f t="shared" si="8"/>
        <v>33.333333333333336</v>
      </c>
      <c r="D50" s="37">
        <f t="shared" si="9"/>
        <v>333.3333333333329</v>
      </c>
      <c r="E50" s="37">
        <f>HLOOKUP($F$10,'WACOC-Tax Table'!$B$17:$E$58,A51)*$B$30</f>
        <v>44.61</v>
      </c>
      <c r="F50" s="37">
        <f t="shared" si="10"/>
        <v>22.309999999999874</v>
      </c>
      <c r="G50" s="37">
        <f t="shared" si="5"/>
        <v>4.213797139999999</v>
      </c>
      <c r="H50" s="37">
        <f t="shared" si="11"/>
        <v>116.22133306</v>
      </c>
      <c r="I50" s="37">
        <f t="shared" si="12"/>
        <v>217.1120002733329</v>
      </c>
      <c r="J50" s="49">
        <f>'WACOC-Tax Table'!$D$11*I50</f>
        <v>3.640551389543268</v>
      </c>
      <c r="K50" s="37">
        <f>I50*('WACOC-Tax Table'!$D$12)</f>
        <v>13.288122864729068</v>
      </c>
      <c r="L50" s="37">
        <f t="shared" si="13"/>
        <v>0</v>
      </c>
      <c r="M50" s="37">
        <f t="shared" si="1"/>
        <v>0</v>
      </c>
      <c r="N50" s="37">
        <f t="shared" si="2"/>
        <v>7.927861885591162</v>
      </c>
      <c r="O50" s="37">
        <f t="shared" si="3"/>
        <v>58.189869473196836</v>
      </c>
      <c r="P50" s="38">
        <f>1/(1+'WACOC-Tax Table'!$D$13)^A50</f>
        <v>0.22276643195864076</v>
      </c>
      <c r="Q50" s="40">
        <f t="shared" si="4"/>
        <v>12.962749598683091</v>
      </c>
      <c r="R50" s="37">
        <f t="shared" si="6"/>
        <v>1099.1521579063385</v>
      </c>
      <c r="S50" s="28">
        <f t="shared" si="7"/>
        <v>0.058189869473196834</v>
      </c>
      <c r="T50" s="34"/>
    </row>
    <row r="51" spans="1:20" ht="12.75">
      <c r="A51" s="2">
        <v>21</v>
      </c>
      <c r="C51" s="37">
        <f t="shared" si="8"/>
        <v>33.333333333333336</v>
      </c>
      <c r="D51" s="37">
        <f t="shared" si="9"/>
        <v>299.9999999999996</v>
      </c>
      <c r="E51" s="37">
        <f>HLOOKUP($F$10,'WACOC-Tax Table'!$B$17:$E$58,A52)*$B$30</f>
        <v>22.31</v>
      </c>
      <c r="F51" s="37">
        <f t="shared" si="10"/>
        <v>-1.2434497875801753E-13</v>
      </c>
      <c r="G51" s="37">
        <f t="shared" si="5"/>
        <v>-4.119133060000001</v>
      </c>
      <c r="H51" s="37">
        <f t="shared" si="11"/>
        <v>112.10220000000001</v>
      </c>
      <c r="I51" s="37">
        <f t="shared" si="12"/>
        <v>187.8977999999996</v>
      </c>
      <c r="J51" s="49">
        <f>'WACOC-Tax Table'!$D$11*I51</f>
        <v>3.1506853422239933</v>
      </c>
      <c r="K51" s="37">
        <f>I51*('WACOC-Tax Table'!$D$12)</f>
        <v>11.500096951199975</v>
      </c>
      <c r="L51" s="37">
        <f t="shared" si="13"/>
        <v>0</v>
      </c>
      <c r="M51" s="37">
        <f t="shared" si="1"/>
        <v>0</v>
      </c>
      <c r="N51" s="37">
        <f t="shared" si="2"/>
        <v>6.861103048799985</v>
      </c>
      <c r="O51" s="37">
        <f t="shared" si="3"/>
        <v>54.845218675557284</v>
      </c>
      <c r="P51" s="38">
        <f>1/(1+'WACOC-Tax Table'!$D$13)^A51</f>
        <v>0.2066532483463215</v>
      </c>
      <c r="Q51" s="40">
        <f t="shared" si="4"/>
        <v>11.33394259556825</v>
      </c>
      <c r="R51" s="37">
        <f t="shared" si="6"/>
        <v>1110.4861005019068</v>
      </c>
      <c r="S51" s="28">
        <f t="shared" si="7"/>
        <v>0.054845218675557285</v>
      </c>
      <c r="T51" s="34"/>
    </row>
    <row r="52" spans="1:20" ht="12.75">
      <c r="A52" s="2">
        <v>22</v>
      </c>
      <c r="C52" s="37">
        <f t="shared" si="8"/>
        <v>33.333333333333336</v>
      </c>
      <c r="D52" s="37">
        <f t="shared" si="9"/>
        <v>266.6666666666663</v>
      </c>
      <c r="E52" s="37">
        <f>HLOOKUP($F$10,'WACOC-Tax Table'!$B$17:$E$58,A53)*$B$30</f>
        <v>0</v>
      </c>
      <c r="F52" s="37">
        <f t="shared" si="10"/>
        <v>-1.2434497875801753E-13</v>
      </c>
      <c r="G52" s="37">
        <f t="shared" si="5"/>
        <v>-12.455800000000002</v>
      </c>
      <c r="H52" s="37">
        <f t="shared" si="11"/>
        <v>99.64640000000001</v>
      </c>
      <c r="I52" s="37">
        <f t="shared" si="12"/>
        <v>167.02026666666626</v>
      </c>
      <c r="J52" s="49">
        <f>'WACOC-Tax Table'!$D$11*I52</f>
        <v>2.8006091930879933</v>
      </c>
      <c r="K52" s="37">
        <f>I52*('WACOC-Tax Table'!$D$12)</f>
        <v>10.222308401066641</v>
      </c>
      <c r="L52" s="37">
        <f t="shared" si="13"/>
        <v>0</v>
      </c>
      <c r="M52" s="37">
        <f t="shared" si="1"/>
        <v>0</v>
      </c>
      <c r="N52" s="37">
        <f t="shared" si="2"/>
        <v>6.098758265599986</v>
      </c>
      <c r="O52" s="37">
        <f t="shared" si="3"/>
        <v>52.45500919308795</v>
      </c>
      <c r="P52" s="38">
        <f>1/(1+'WACOC-Tax Table'!$D$13)^A52</f>
        <v>0.1917055665730429</v>
      </c>
      <c r="Q52" s="40">
        <f t="shared" si="4"/>
        <v>10.0559172569551</v>
      </c>
      <c r="R52" s="37">
        <f t="shared" si="6"/>
        <v>1120.542017758862</v>
      </c>
      <c r="S52" s="28">
        <f t="shared" si="7"/>
        <v>0.05245500919308795</v>
      </c>
      <c r="T52" s="34"/>
    </row>
    <row r="53" spans="1:20" ht="12.75">
      <c r="A53" s="2">
        <v>23</v>
      </c>
      <c r="C53" s="37">
        <f t="shared" si="8"/>
        <v>33.333333333333336</v>
      </c>
      <c r="D53" s="37">
        <f t="shared" si="9"/>
        <v>233.33333333333294</v>
      </c>
      <c r="E53" s="37">
        <f>HLOOKUP($F$10,'WACOC-Tax Table'!$B$17:$E$58,A54)*$B$30</f>
        <v>0</v>
      </c>
      <c r="F53" s="37">
        <f t="shared" si="10"/>
        <v>-1.2434497875801753E-13</v>
      </c>
      <c r="G53" s="37">
        <f t="shared" si="5"/>
        <v>-12.455800000000002</v>
      </c>
      <c r="H53" s="37">
        <f t="shared" si="11"/>
        <v>87.19060000000002</v>
      </c>
      <c r="I53" s="37">
        <f t="shared" si="12"/>
        <v>146.14273333333293</v>
      </c>
      <c r="J53" s="49">
        <f>'WACOC-Tax Table'!$D$11*I53</f>
        <v>2.4505330439519932</v>
      </c>
      <c r="K53" s="37">
        <f>I53*('WACOC-Tax Table'!$D$12)</f>
        <v>8.94451985093331</v>
      </c>
      <c r="L53" s="37">
        <f t="shared" si="13"/>
        <v>0</v>
      </c>
      <c r="M53" s="37">
        <f t="shared" si="1"/>
        <v>0</v>
      </c>
      <c r="N53" s="37">
        <f t="shared" si="2"/>
        <v>5.336413482399986</v>
      </c>
      <c r="O53" s="37">
        <f t="shared" si="3"/>
        <v>50.06479971061862</v>
      </c>
      <c r="P53" s="38">
        <f>1/(1+'WACOC-Tax Table'!$D$13)^A53</f>
        <v>0.17783908333974935</v>
      </c>
      <c r="Q53" s="40">
        <f t="shared" si="4"/>
        <v>8.903478088124563</v>
      </c>
      <c r="R53" s="37">
        <f t="shared" si="6"/>
        <v>1129.4454958469864</v>
      </c>
      <c r="S53" s="28">
        <f t="shared" si="7"/>
        <v>0.05006479971061862</v>
      </c>
      <c r="T53" s="34"/>
    </row>
    <row r="54" spans="1:20" ht="12.75">
      <c r="A54" s="2">
        <v>24</v>
      </c>
      <c r="C54" s="37">
        <f t="shared" si="8"/>
        <v>33.333333333333336</v>
      </c>
      <c r="D54" s="37">
        <f t="shared" si="9"/>
        <v>199.9999999999996</v>
      </c>
      <c r="E54" s="37">
        <f>HLOOKUP($F$10,'WACOC-Tax Table'!$B$17:$E$58,A55)*$B$30</f>
        <v>0</v>
      </c>
      <c r="F54" s="37">
        <f t="shared" si="10"/>
        <v>-1.2434497875801753E-13</v>
      </c>
      <c r="G54" s="37">
        <f t="shared" si="5"/>
        <v>-12.455800000000002</v>
      </c>
      <c r="H54" s="37">
        <f t="shared" si="11"/>
        <v>74.73480000000002</v>
      </c>
      <c r="I54" s="37">
        <f t="shared" si="12"/>
        <v>125.26519999999958</v>
      </c>
      <c r="J54" s="49">
        <f>'WACOC-Tax Table'!$D$11*I54</f>
        <v>2.100456894815993</v>
      </c>
      <c r="K54" s="37">
        <f>I54*('WACOC-Tax Table'!$D$12)</f>
        <v>7.666731300799975</v>
      </c>
      <c r="L54" s="37">
        <f t="shared" si="13"/>
        <v>0</v>
      </c>
      <c r="M54" s="37">
        <f t="shared" si="1"/>
        <v>0</v>
      </c>
      <c r="N54" s="37">
        <f t="shared" si="2"/>
        <v>4.5740686991999855</v>
      </c>
      <c r="O54" s="37">
        <f t="shared" si="3"/>
        <v>47.674590228149285</v>
      </c>
      <c r="P54" s="38">
        <f>1/(1+'WACOC-Tax Table'!$D$13)^A54</f>
        <v>0.164975593189528</v>
      </c>
      <c r="Q54" s="40">
        <f t="shared" si="4"/>
        <v>7.865143802956603</v>
      </c>
      <c r="R54" s="37">
        <f t="shared" si="6"/>
        <v>1137.3106396499431</v>
      </c>
      <c r="S54" s="28">
        <f t="shared" si="7"/>
        <v>0.04767459022814929</v>
      </c>
      <c r="T54" s="34"/>
    </row>
    <row r="55" spans="1:20" ht="12.75">
      <c r="A55" s="2">
        <v>25</v>
      </c>
      <c r="C55" s="37">
        <f t="shared" si="8"/>
        <v>33.333333333333336</v>
      </c>
      <c r="D55" s="37">
        <f t="shared" si="9"/>
        <v>166.66666666666626</v>
      </c>
      <c r="E55" s="37">
        <f>HLOOKUP($F$10,'WACOC-Tax Table'!$B$17:$E$58,A56)*$B$30</f>
        <v>0</v>
      </c>
      <c r="F55" s="37">
        <f t="shared" si="10"/>
        <v>-1.2434497875801753E-13</v>
      </c>
      <c r="G55" s="37">
        <f t="shared" si="5"/>
        <v>-12.455800000000002</v>
      </c>
      <c r="H55" s="37">
        <f t="shared" si="11"/>
        <v>62.27900000000002</v>
      </c>
      <c r="I55" s="37">
        <f t="shared" si="12"/>
        <v>104.38766666666623</v>
      </c>
      <c r="J55" s="49">
        <f>'WACOC-Tax Table'!$D$11*I55</f>
        <v>1.750380745679993</v>
      </c>
      <c r="K55" s="37">
        <f>I55*('WACOC-Tax Table'!$D$12)</f>
        <v>6.38894275066664</v>
      </c>
      <c r="L55" s="37">
        <f t="shared" si="13"/>
        <v>0</v>
      </c>
      <c r="M55" s="37">
        <f t="shared" si="1"/>
        <v>0</v>
      </c>
      <c r="N55" s="37">
        <f t="shared" si="2"/>
        <v>3.8117239159999845</v>
      </c>
      <c r="O55" s="37">
        <f t="shared" si="3"/>
        <v>45.28438074567995</v>
      </c>
      <c r="P55" s="38">
        <f>1/(1+'WACOC-Tax Table'!$D$13)^A55</f>
        <v>0.15304254743733994</v>
      </c>
      <c r="Q55" s="40">
        <f t="shared" si="4"/>
        <v>6.930436988441286</v>
      </c>
      <c r="R55" s="37">
        <f t="shared" si="6"/>
        <v>1144.2410766383844</v>
      </c>
      <c r="S55" s="28">
        <f t="shared" si="7"/>
        <v>0.04528438074567995</v>
      </c>
      <c r="T55" s="34"/>
    </row>
    <row r="56" spans="1:20" ht="12.75">
      <c r="A56" s="2">
        <v>26</v>
      </c>
      <c r="C56" s="37">
        <f t="shared" si="8"/>
        <v>33.333333333333336</v>
      </c>
      <c r="D56" s="37">
        <f t="shared" si="9"/>
        <v>133.33333333333292</v>
      </c>
      <c r="E56" s="37">
        <f>HLOOKUP($F$10,'WACOC-Tax Table'!$B$17:$E$58,A57)*$B$30</f>
        <v>0</v>
      </c>
      <c r="F56" s="37">
        <f t="shared" si="10"/>
        <v>-1.2434497875801753E-13</v>
      </c>
      <c r="G56" s="37">
        <f t="shared" si="5"/>
        <v>-12.455800000000002</v>
      </c>
      <c r="H56" s="37">
        <f t="shared" si="11"/>
        <v>49.823200000000014</v>
      </c>
      <c r="I56" s="37">
        <f t="shared" si="12"/>
        <v>83.5101333333329</v>
      </c>
      <c r="J56" s="49">
        <f>'WACOC-Tax Table'!$D$11*I56</f>
        <v>1.4003045965439929</v>
      </c>
      <c r="K56" s="37">
        <f>I56*('WACOC-Tax Table'!$D$12)</f>
        <v>5.111154200533307</v>
      </c>
      <c r="L56" s="37">
        <f t="shared" si="13"/>
        <v>0</v>
      </c>
      <c r="M56" s="37">
        <f t="shared" si="1"/>
        <v>0</v>
      </c>
      <c r="N56" s="37">
        <f t="shared" si="2"/>
        <v>3.049379132799985</v>
      </c>
      <c r="O56" s="37">
        <f t="shared" si="3"/>
        <v>42.894171263210616</v>
      </c>
      <c r="P56" s="38">
        <f>1/(1+'WACOC-Tax Table'!$D$13)^A56</f>
        <v>0.1419726450033288</v>
      </c>
      <c r="Q56" s="40">
        <f t="shared" si="4"/>
        <v>6.089798949463788</v>
      </c>
      <c r="R56" s="37">
        <f t="shared" si="6"/>
        <v>1150.3308755878481</v>
      </c>
      <c r="S56" s="28">
        <f t="shared" si="7"/>
        <v>0.042894171263210615</v>
      </c>
      <c r="T56" s="34"/>
    </row>
    <row r="57" spans="1:20" ht="12.75">
      <c r="A57" s="2">
        <v>27</v>
      </c>
      <c r="C57" s="37">
        <f t="shared" si="8"/>
        <v>33.333333333333336</v>
      </c>
      <c r="D57" s="37">
        <f t="shared" si="9"/>
        <v>99.99999999999957</v>
      </c>
      <c r="E57" s="37">
        <f>HLOOKUP($F$10,'WACOC-Tax Table'!$B$17:$E$58,A58)*$B$30</f>
        <v>0</v>
      </c>
      <c r="F57" s="37">
        <f t="shared" si="10"/>
        <v>-1.2434497875801753E-13</v>
      </c>
      <c r="G57" s="37">
        <f t="shared" si="5"/>
        <v>-12.455800000000002</v>
      </c>
      <c r="H57" s="37">
        <f t="shared" si="11"/>
        <v>37.36740000000001</v>
      </c>
      <c r="I57" s="37">
        <f t="shared" si="12"/>
        <v>62.63259999999956</v>
      </c>
      <c r="J57" s="49">
        <f>'WACOC-Tax Table'!$D$11*I57</f>
        <v>1.0502284474079928</v>
      </c>
      <c r="K57" s="37">
        <f>I57*('WACOC-Tax Table'!$D$12)</f>
        <v>3.8333656503999736</v>
      </c>
      <c r="L57" s="37">
        <f t="shared" si="13"/>
        <v>0</v>
      </c>
      <c r="M57" s="37">
        <f t="shared" si="1"/>
        <v>0</v>
      </c>
      <c r="N57" s="37">
        <f t="shared" si="2"/>
        <v>2.2870343495999843</v>
      </c>
      <c r="O57" s="37">
        <f t="shared" si="3"/>
        <v>40.50396178074129</v>
      </c>
      <c r="P57" s="38">
        <f>1/(1+'WACOC-Tax Table'!$D$13)^A57</f>
        <v>0.13170345284205212</v>
      </c>
      <c r="Q57" s="40">
        <f t="shared" si="4"/>
        <v>5.3345116203061425</v>
      </c>
      <c r="R57" s="37">
        <f t="shared" si="6"/>
        <v>1155.6653872081542</v>
      </c>
      <c r="S57" s="28">
        <f t="shared" si="7"/>
        <v>0.04050396178074129</v>
      </c>
      <c r="T57" s="34"/>
    </row>
    <row r="58" spans="1:20" ht="12.75">
      <c r="A58" s="2">
        <v>28</v>
      </c>
      <c r="C58" s="37">
        <f t="shared" si="8"/>
        <v>33.333333333333336</v>
      </c>
      <c r="D58" s="37">
        <f t="shared" si="9"/>
        <v>66.66666666666623</v>
      </c>
      <c r="E58" s="37">
        <f>HLOOKUP($F$10,'WACOC-Tax Table'!$B$17:$E$58,A59)*$B$30</f>
        <v>0</v>
      </c>
      <c r="F58" s="37">
        <f t="shared" si="10"/>
        <v>-1.2434497875801753E-13</v>
      </c>
      <c r="G58" s="37">
        <f t="shared" si="5"/>
        <v>-12.455800000000002</v>
      </c>
      <c r="H58" s="37">
        <f t="shared" si="11"/>
        <v>24.911600000000007</v>
      </c>
      <c r="I58" s="37">
        <f t="shared" si="12"/>
        <v>41.755066666666224</v>
      </c>
      <c r="J58" s="49">
        <f>'WACOC-Tax Table'!$D$11*I58</f>
        <v>0.7001522982719927</v>
      </c>
      <c r="K58" s="37">
        <f>I58*('WACOC-Tax Table'!$D$12)</f>
        <v>2.5555771002666394</v>
      </c>
      <c r="L58" s="37">
        <f t="shared" si="13"/>
        <v>0</v>
      </c>
      <c r="M58" s="37">
        <f t="shared" si="1"/>
        <v>0</v>
      </c>
      <c r="N58" s="37">
        <f t="shared" si="2"/>
        <v>1.524689566399984</v>
      </c>
      <c r="O58" s="37">
        <f t="shared" si="3"/>
        <v>38.113752298271955</v>
      </c>
      <c r="P58" s="38">
        <f>1/(1+'WACOC-Tax Table'!$D$13)^A58</f>
        <v>0.12217705382689698</v>
      </c>
      <c r="Q58" s="40">
        <f t="shared" si="4"/>
        <v>4.656625966090991</v>
      </c>
      <c r="R58" s="37">
        <f t="shared" si="6"/>
        <v>1160.3220131742453</v>
      </c>
      <c r="S58" s="28">
        <f t="shared" si="7"/>
        <v>0.038113752298271956</v>
      </c>
      <c r="T58" s="34"/>
    </row>
    <row r="59" spans="1:20" ht="12.75">
      <c r="A59" s="2">
        <v>29</v>
      </c>
      <c r="C59" s="37">
        <f t="shared" si="8"/>
        <v>33.333333333333336</v>
      </c>
      <c r="D59" s="37">
        <f t="shared" si="9"/>
        <v>33.333333333332895</v>
      </c>
      <c r="E59" s="37">
        <f>HLOOKUP($F$10,'WACOC-Tax Table'!$B$17:$E$58,A60)*$B$30</f>
        <v>0</v>
      </c>
      <c r="F59" s="37">
        <f t="shared" si="10"/>
        <v>-1.2434497875801753E-13</v>
      </c>
      <c r="G59" s="37">
        <f t="shared" si="5"/>
        <v>-12.455800000000002</v>
      </c>
      <c r="H59" s="37">
        <f t="shared" si="11"/>
        <v>12.455800000000005</v>
      </c>
      <c r="I59" s="37">
        <f t="shared" si="12"/>
        <v>20.87753333333289</v>
      </c>
      <c r="J59" s="49">
        <f>'WACOC-Tax Table'!$D$11*I59</f>
        <v>0.3500761491359926</v>
      </c>
      <c r="K59" s="37">
        <f>I59*('WACOC-Tax Table'!$D$12)</f>
        <v>1.2777885501333064</v>
      </c>
      <c r="L59" s="37">
        <f t="shared" si="13"/>
        <v>0</v>
      </c>
      <c r="M59" s="37">
        <f t="shared" si="1"/>
        <v>0</v>
      </c>
      <c r="N59" s="37">
        <f t="shared" si="2"/>
        <v>0.762344783199984</v>
      </c>
      <c r="O59" s="37">
        <f t="shared" si="3"/>
        <v>35.723542815802624</v>
      </c>
      <c r="P59" s="38">
        <f>1/(1+'WACOC-Tax Table'!$D$13)^A59</f>
        <v>0.1133397201037869</v>
      </c>
      <c r="Q59" s="40">
        <f t="shared" si="4"/>
        <v>4.048896343858717</v>
      </c>
      <c r="R59" s="37">
        <f t="shared" si="6"/>
        <v>1164.370909518104</v>
      </c>
      <c r="S59" s="28">
        <f t="shared" si="7"/>
        <v>0.035723542815802624</v>
      </c>
      <c r="T59" s="34"/>
    </row>
    <row r="60" spans="1:20" ht="12.75">
      <c r="A60" s="2">
        <v>30</v>
      </c>
      <c r="C60" s="37">
        <f t="shared" si="8"/>
        <v>33.333333333333336</v>
      </c>
      <c r="D60" s="37">
        <f t="shared" si="9"/>
        <v>-4.405364961712621E-13</v>
      </c>
      <c r="E60" s="37">
        <f>HLOOKUP($F$10,'WACOC-Tax Table'!$B$17:$E$58,A61)*$B$30</f>
        <v>0</v>
      </c>
      <c r="F60" s="37">
        <f t="shared" si="10"/>
        <v>-1.2434497875801753E-13</v>
      </c>
      <c r="G60" s="37">
        <f t="shared" si="5"/>
        <v>-12.455800000000002</v>
      </c>
      <c r="H60" s="37">
        <f t="shared" si="11"/>
        <v>0</v>
      </c>
      <c r="I60" s="37">
        <f t="shared" si="12"/>
        <v>-4.405364961712621E-13</v>
      </c>
      <c r="J60" s="49">
        <f>'WACOC-Tax Table'!$D$11*I60</f>
        <v>-7.386951210719418E-15</v>
      </c>
      <c r="K60" s="37">
        <f>I60*('WACOC-Tax Table'!$D$12)</f>
        <v>-2.6962595711665927E-14</v>
      </c>
      <c r="L60" s="37">
        <f t="shared" si="13"/>
        <v>0</v>
      </c>
      <c r="M60" s="37">
        <f t="shared" si="1"/>
        <v>0</v>
      </c>
      <c r="N60" s="37">
        <f t="shared" si="2"/>
        <v>-1.6086225048873996E-14</v>
      </c>
      <c r="O60" s="37">
        <f t="shared" si="3"/>
        <v>33.333333333333286</v>
      </c>
      <c r="P60" s="38">
        <f>1/(1+'WACOC-Tax Table'!$D$13)^A60</f>
        <v>0.10514161007192963</v>
      </c>
      <c r="Q60" s="40">
        <f t="shared" si="4"/>
        <v>3.5047203357309824</v>
      </c>
      <c r="R60" s="37">
        <f t="shared" si="6"/>
        <v>1167.875629853835</v>
      </c>
      <c r="S60" s="28">
        <f t="shared" si="7"/>
        <v>0.033333333333333284</v>
      </c>
      <c r="T60" s="34"/>
    </row>
    <row r="61" spans="1:20" ht="12.75" hidden="1">
      <c r="A61" s="2">
        <v>31</v>
      </c>
      <c r="C61" s="37">
        <f t="shared" si="8"/>
        <v>0</v>
      </c>
      <c r="D61" s="37">
        <f t="shared" si="9"/>
        <v>-4.405364961712621E-13</v>
      </c>
      <c r="E61" s="31">
        <f>HLOOKUP($F$10,'WACOC-Tax Table'!$B$17:$E$58,A62)*$B$30</f>
        <v>0</v>
      </c>
      <c r="F61" s="37">
        <f t="shared" si="10"/>
        <v>-1.2434497875801753E-13</v>
      </c>
      <c r="G61" s="31">
        <f t="shared" si="5"/>
        <v>0</v>
      </c>
      <c r="H61" s="33">
        <f t="shared" si="11"/>
        <v>0</v>
      </c>
      <c r="I61" s="33">
        <f aca="true" t="shared" si="14" ref="I61:I70">D61</f>
        <v>-4.405364961712621E-13</v>
      </c>
      <c r="J61" s="19">
        <f>'WACOC-Tax Table'!$D$11*I61</f>
        <v>-7.386951210719418E-15</v>
      </c>
      <c r="K61" s="37">
        <f>I61*('WACOC-Tax Table'!$D$12)</f>
        <v>-2.6962595711665927E-14</v>
      </c>
      <c r="L61" s="31">
        <f t="shared" si="13"/>
        <v>0</v>
      </c>
      <c r="M61" s="33">
        <f t="shared" si="1"/>
        <v>0</v>
      </c>
      <c r="N61" s="37">
        <f t="shared" si="2"/>
        <v>-1.6086225048873996E-14</v>
      </c>
      <c r="O61" s="31">
        <f t="shared" si="3"/>
        <v>-5.043577197125934E-14</v>
      </c>
      <c r="P61" s="41">
        <f>1/(1+'WACOC-Tax Table'!$D$13)^A61</f>
        <v>0.09753648728261091</v>
      </c>
      <c r="Q61" s="39">
        <f t="shared" si="4"/>
        <v>-4.919328031463401E-15</v>
      </c>
      <c r="R61" s="33">
        <f t="shared" si="6"/>
        <v>1167.875629853835</v>
      </c>
      <c r="S61" s="28">
        <f t="shared" si="7"/>
        <v>-5.043577197125934E-17</v>
      </c>
      <c r="T61" s="34"/>
    </row>
    <row r="62" spans="1:20" ht="12.75" hidden="1">
      <c r="A62" s="2">
        <v>32</v>
      </c>
      <c r="C62" s="37">
        <f t="shared" si="8"/>
        <v>0</v>
      </c>
      <c r="D62" s="37">
        <f t="shared" si="9"/>
        <v>-4.405364961712621E-13</v>
      </c>
      <c r="E62" s="31">
        <f>HLOOKUP($F$10,'WACOC-Tax Table'!$B$17:$E$58,A63)*$B$30</f>
        <v>0</v>
      </c>
      <c r="F62" s="37">
        <f t="shared" si="10"/>
        <v>-1.2434497875801753E-13</v>
      </c>
      <c r="G62" s="31">
        <f t="shared" si="5"/>
        <v>0</v>
      </c>
      <c r="H62" s="33">
        <f t="shared" si="11"/>
        <v>0</v>
      </c>
      <c r="I62" s="33">
        <f t="shared" si="14"/>
        <v>-4.405364961712621E-13</v>
      </c>
      <c r="J62" s="19">
        <f>'WACOC-Tax Table'!$D$11*I62</f>
        <v>-7.386951210719418E-15</v>
      </c>
      <c r="K62" s="37">
        <f>I62*('WACOC-Tax Table'!$D$12)</f>
        <v>-2.6962595711665927E-14</v>
      </c>
      <c r="L62" s="31">
        <f t="shared" si="13"/>
        <v>0</v>
      </c>
      <c r="M62" s="33">
        <f t="shared" si="1"/>
        <v>0</v>
      </c>
      <c r="N62" s="37">
        <f t="shared" si="2"/>
        <v>-1.6086225048873996E-14</v>
      </c>
      <c r="O62" s="31">
        <f t="shared" si="3"/>
        <v>-5.043577197125934E-14</v>
      </c>
      <c r="P62" s="41">
        <f>1/(1+'WACOC-Tax Table'!$D$13)^A62</f>
        <v>0.09048145967065391</v>
      </c>
      <c r="Q62" s="39">
        <f t="shared" si="4"/>
        <v>-4.5635022675757986E-15</v>
      </c>
      <c r="R62" s="33">
        <f t="shared" si="6"/>
        <v>1167.875629853835</v>
      </c>
      <c r="S62" s="28">
        <f t="shared" si="7"/>
        <v>-5.043577197125934E-17</v>
      </c>
      <c r="T62" s="34"/>
    </row>
    <row r="63" spans="1:20" ht="12.75" hidden="1">
      <c r="A63" s="2">
        <v>33</v>
      </c>
      <c r="C63" s="37">
        <f t="shared" si="8"/>
        <v>0</v>
      </c>
      <c r="D63" s="37">
        <f t="shared" si="9"/>
        <v>-4.405364961712621E-13</v>
      </c>
      <c r="E63" s="31">
        <f>HLOOKUP($F$10,'WACOC-Tax Table'!$B$17:$E$58,A64)*$B$30</f>
        <v>0</v>
      </c>
      <c r="F63" s="37">
        <f t="shared" si="10"/>
        <v>-1.2434497875801753E-13</v>
      </c>
      <c r="G63" s="31">
        <f t="shared" si="5"/>
        <v>0</v>
      </c>
      <c r="H63" s="33">
        <f t="shared" si="11"/>
        <v>0</v>
      </c>
      <c r="I63" s="33">
        <f t="shared" si="14"/>
        <v>-4.405364961712621E-13</v>
      </c>
      <c r="J63" s="19">
        <f>'WACOC-Tax Table'!$D$11*I63</f>
        <v>-7.386951210719418E-15</v>
      </c>
      <c r="K63" s="37">
        <f>I63*('WACOC-Tax Table'!$D$12)</f>
        <v>-2.6962595711665927E-14</v>
      </c>
      <c r="L63" s="31">
        <f t="shared" si="13"/>
        <v>0</v>
      </c>
      <c r="M63" s="33">
        <f t="shared" si="1"/>
        <v>0</v>
      </c>
      <c r="N63" s="37">
        <f t="shared" si="2"/>
        <v>-1.6086225048873996E-14</v>
      </c>
      <c r="O63" s="31">
        <f t="shared" si="3"/>
        <v>-5.043577197125934E-14</v>
      </c>
      <c r="P63" s="41">
        <f>1/(1+'WACOC-Tax Table'!$D$13)^A63</f>
        <v>0.0839367376478377</v>
      </c>
      <c r="Q63" s="39">
        <f t="shared" si="4"/>
        <v>-4.233414160017761E-15</v>
      </c>
      <c r="R63" s="33">
        <f t="shared" si="6"/>
        <v>1167.875629853835</v>
      </c>
      <c r="S63" s="28">
        <f t="shared" si="7"/>
        <v>-5.043577197125934E-17</v>
      </c>
      <c r="T63" s="34"/>
    </row>
    <row r="64" spans="1:20" ht="12.75" hidden="1">
      <c r="A64" s="2">
        <v>34</v>
      </c>
      <c r="C64" s="37">
        <f t="shared" si="8"/>
        <v>0</v>
      </c>
      <c r="D64" s="37">
        <f t="shared" si="9"/>
        <v>-4.405364961712621E-13</v>
      </c>
      <c r="E64" s="31">
        <f>HLOOKUP($F$10,'WACOC-Tax Table'!$B$17:$E$58,A65)*$B$30</f>
        <v>0</v>
      </c>
      <c r="F64" s="37">
        <f t="shared" si="10"/>
        <v>-1.2434497875801753E-13</v>
      </c>
      <c r="G64" s="31">
        <f t="shared" si="5"/>
        <v>0</v>
      </c>
      <c r="H64" s="33">
        <f t="shared" si="11"/>
        <v>0</v>
      </c>
      <c r="I64" s="33">
        <f t="shared" si="14"/>
        <v>-4.405364961712621E-13</v>
      </c>
      <c r="J64" s="19">
        <f>'WACOC-Tax Table'!$D$11*I64</f>
        <v>-7.386951210719418E-15</v>
      </c>
      <c r="K64" s="37">
        <f>I64*('WACOC-Tax Table'!$D$12)</f>
        <v>-2.6962595711665927E-14</v>
      </c>
      <c r="L64" s="31">
        <f t="shared" si="13"/>
        <v>0</v>
      </c>
      <c r="M64" s="33">
        <f t="shared" si="1"/>
        <v>0</v>
      </c>
      <c r="N64" s="37">
        <f t="shared" si="2"/>
        <v>-1.6086225048873996E-14</v>
      </c>
      <c r="O64" s="31">
        <f t="shared" si="3"/>
        <v>-5.043577197125934E-14</v>
      </c>
      <c r="P64" s="41">
        <f>1/(1+'WACOC-Tax Table'!$D$13)^A64</f>
        <v>0.0778654096939484</v>
      </c>
      <c r="Q64" s="39">
        <f t="shared" si="4"/>
        <v>-3.927202047772668E-15</v>
      </c>
      <c r="R64" s="33">
        <f t="shared" si="6"/>
        <v>1167.875629853835</v>
      </c>
      <c r="S64" s="28">
        <f t="shared" si="7"/>
        <v>-5.043577197125934E-17</v>
      </c>
      <c r="T64" s="34"/>
    </row>
    <row r="65" spans="1:20" ht="12.75" hidden="1">
      <c r="A65" s="2">
        <v>35</v>
      </c>
      <c r="C65" s="37">
        <f t="shared" si="8"/>
        <v>0</v>
      </c>
      <c r="D65" s="37">
        <f t="shared" si="9"/>
        <v>-4.405364961712621E-13</v>
      </c>
      <c r="E65" s="31">
        <f>HLOOKUP($F$10,'WACOC-Tax Table'!$B$17:$E$58,A66)*$B$30</f>
        <v>0</v>
      </c>
      <c r="F65" s="37">
        <f t="shared" si="10"/>
        <v>-1.2434497875801753E-13</v>
      </c>
      <c r="G65" s="31">
        <f t="shared" si="5"/>
        <v>0</v>
      </c>
      <c r="H65" s="33">
        <f t="shared" si="11"/>
        <v>0</v>
      </c>
      <c r="I65" s="33">
        <f t="shared" si="14"/>
        <v>-4.405364961712621E-13</v>
      </c>
      <c r="J65" s="19">
        <f>'WACOC-Tax Table'!$D$11*I65</f>
        <v>-7.386951210719418E-15</v>
      </c>
      <c r="K65" s="37">
        <f>I65*('WACOC-Tax Table'!$D$12)</f>
        <v>-2.6962595711665927E-14</v>
      </c>
      <c r="L65" s="31">
        <f t="shared" si="13"/>
        <v>0</v>
      </c>
      <c r="M65" s="33">
        <f t="shared" si="1"/>
        <v>0</v>
      </c>
      <c r="N65" s="37">
        <f t="shared" si="2"/>
        <v>-1.6086225048873996E-14</v>
      </c>
      <c r="O65" s="31">
        <f t="shared" si="3"/>
        <v>-5.043577197125934E-14</v>
      </c>
      <c r="P65" s="41">
        <f>1/(1+'WACOC-Tax Table'!$D$13)^A65</f>
        <v>0.0722332341798207</v>
      </c>
      <c r="Q65" s="39">
        <f t="shared" si="4"/>
        <v>-3.6431389278400125E-15</v>
      </c>
      <c r="R65" s="33">
        <f t="shared" si="6"/>
        <v>1167.875629853835</v>
      </c>
      <c r="S65" s="28">
        <f t="shared" si="7"/>
        <v>-5.043577197125934E-17</v>
      </c>
      <c r="T65" s="34"/>
    </row>
    <row r="66" spans="1:20" ht="12.75" hidden="1">
      <c r="A66" s="2">
        <v>36</v>
      </c>
      <c r="C66" s="37">
        <f t="shared" si="8"/>
        <v>0</v>
      </c>
      <c r="D66" s="37">
        <f t="shared" si="9"/>
        <v>-4.405364961712621E-13</v>
      </c>
      <c r="E66" s="31">
        <f>HLOOKUP($F$10,'WACOC-Tax Table'!$B$17:$E$58,A67)*$B$30</f>
        <v>0</v>
      </c>
      <c r="F66" s="37">
        <f t="shared" si="10"/>
        <v>-1.2434497875801753E-13</v>
      </c>
      <c r="G66" s="31">
        <f t="shared" si="5"/>
        <v>0</v>
      </c>
      <c r="H66" s="33">
        <f t="shared" si="11"/>
        <v>0</v>
      </c>
      <c r="I66" s="33">
        <f t="shared" si="14"/>
        <v>-4.405364961712621E-13</v>
      </c>
      <c r="J66" s="19">
        <f>'WACOC-Tax Table'!$D$11*I66</f>
        <v>-7.386951210719418E-15</v>
      </c>
      <c r="K66" s="37">
        <f>I66*('WACOC-Tax Table'!$D$12)</f>
        <v>-2.6962595711665927E-14</v>
      </c>
      <c r="L66" s="37">
        <v>0</v>
      </c>
      <c r="M66" s="33">
        <f t="shared" si="1"/>
        <v>0</v>
      </c>
      <c r="N66" s="37">
        <f t="shared" si="2"/>
        <v>-1.6086225048873996E-14</v>
      </c>
      <c r="O66" s="31">
        <f t="shared" si="3"/>
        <v>-5.043577197125934E-14</v>
      </c>
      <c r="P66" s="41">
        <f>1/(1+'WACOC-Tax Table'!$D$13)^A66</f>
        <v>0.06700844624827453</v>
      </c>
      <c r="Q66" s="39">
        <f t="shared" si="4"/>
        <v>-3.3796227151263623E-15</v>
      </c>
      <c r="R66" s="33">
        <f t="shared" si="6"/>
        <v>1167.875629853835</v>
      </c>
      <c r="S66" s="28">
        <f t="shared" si="7"/>
        <v>-5.043577197125934E-17</v>
      </c>
      <c r="T66" s="23"/>
    </row>
    <row r="67" spans="1:20" ht="12.75" hidden="1">
      <c r="A67" s="2">
        <v>37</v>
      </c>
      <c r="C67" s="37">
        <f t="shared" si="8"/>
        <v>0</v>
      </c>
      <c r="D67" s="37">
        <f t="shared" si="9"/>
        <v>-4.405364961712621E-13</v>
      </c>
      <c r="E67" s="31">
        <f>HLOOKUP($F$10,'WACOC-Tax Table'!$B$17:$E$58,A68)*$B$30</f>
        <v>0</v>
      </c>
      <c r="F67" s="37">
        <f t="shared" si="10"/>
        <v>-1.2434497875801753E-13</v>
      </c>
      <c r="G67" s="31">
        <f t="shared" si="5"/>
        <v>0</v>
      </c>
      <c r="H67" s="33">
        <f t="shared" si="11"/>
        <v>0</v>
      </c>
      <c r="I67" s="33">
        <f t="shared" si="14"/>
        <v>-4.405364961712621E-13</v>
      </c>
      <c r="J67" s="19">
        <f>'WACOC-Tax Table'!$D$11*I67</f>
        <v>-7.386951210719418E-15</v>
      </c>
      <c r="K67" s="37">
        <f>I67*('WACOC-Tax Table'!$D$12)</f>
        <v>-2.6962595711665927E-14</v>
      </c>
      <c r="L67" s="37">
        <v>0</v>
      </c>
      <c r="M67" s="33">
        <f t="shared" si="1"/>
        <v>0</v>
      </c>
      <c r="N67" s="37">
        <f t="shared" si="2"/>
        <v>-1.6086225048873996E-14</v>
      </c>
      <c r="O67" s="31">
        <f t="shared" si="3"/>
        <v>-5.043577197125934E-14</v>
      </c>
      <c r="P67" s="41">
        <f>1/(1+'WACOC-Tax Table'!$D$13)^A67</f>
        <v>0.06216157866377628</v>
      </c>
      <c r="Q67" s="39">
        <f t="shared" si="4"/>
        <v>-3.13516720685972E-15</v>
      </c>
      <c r="R67" s="33">
        <f t="shared" si="6"/>
        <v>1167.875629853835</v>
      </c>
      <c r="S67" s="28">
        <f t="shared" si="7"/>
        <v>-5.043577197125934E-17</v>
      </c>
      <c r="T67" s="23"/>
    </row>
    <row r="68" spans="1:20" ht="12.75" hidden="1">
      <c r="A68" s="2">
        <v>38</v>
      </c>
      <c r="C68" s="37">
        <f t="shared" si="8"/>
        <v>0</v>
      </c>
      <c r="D68" s="37">
        <f t="shared" si="9"/>
        <v>-4.405364961712621E-13</v>
      </c>
      <c r="E68" s="31">
        <f>HLOOKUP($F$10,'WACOC-Tax Table'!$B$17:$E$58,A69)*$B$30</f>
        <v>0</v>
      </c>
      <c r="F68" s="37">
        <f t="shared" si="10"/>
        <v>-1.2434497875801753E-13</v>
      </c>
      <c r="G68" s="31">
        <f t="shared" si="5"/>
        <v>0</v>
      </c>
      <c r="H68" s="33">
        <f t="shared" si="11"/>
        <v>0</v>
      </c>
      <c r="I68" s="33">
        <f t="shared" si="14"/>
        <v>-4.405364961712621E-13</v>
      </c>
      <c r="J68" s="19">
        <f>'WACOC-Tax Table'!$D$11*I68</f>
        <v>-7.386951210719418E-15</v>
      </c>
      <c r="K68" s="37">
        <f>I68*('WACOC-Tax Table'!$D$12)</f>
        <v>-2.6962595711665927E-14</v>
      </c>
      <c r="L68" s="37">
        <v>0</v>
      </c>
      <c r="M68" s="33">
        <f t="shared" si="1"/>
        <v>0</v>
      </c>
      <c r="N68" s="37">
        <f t="shared" si="2"/>
        <v>-1.6086225048873996E-14</v>
      </c>
      <c r="O68" s="31">
        <f t="shared" si="3"/>
        <v>-5.043577197125934E-14</v>
      </c>
      <c r="P68" s="41">
        <f>1/(1+'WACOC-Tax Table'!$D$13)^A68</f>
        <v>0.057665295620436</v>
      </c>
      <c r="Q68" s="39">
        <f t="shared" si="4"/>
        <v>-2.9083937005675697E-15</v>
      </c>
      <c r="R68" s="33">
        <f t="shared" si="6"/>
        <v>1167.875629853835</v>
      </c>
      <c r="S68" s="28">
        <f t="shared" si="7"/>
        <v>-5.043577197125934E-17</v>
      </c>
      <c r="T68" s="23"/>
    </row>
    <row r="69" spans="1:20" ht="12.75" hidden="1">
      <c r="A69" s="2">
        <v>39</v>
      </c>
      <c r="C69" s="37">
        <f t="shared" si="8"/>
        <v>0</v>
      </c>
      <c r="D69" s="37">
        <f t="shared" si="9"/>
        <v>-4.405364961712621E-13</v>
      </c>
      <c r="E69" s="31">
        <f>HLOOKUP($F$10,'WACOC-Tax Table'!$B$17:$E$58,A70)*$B$30</f>
        <v>0</v>
      </c>
      <c r="F69" s="37">
        <f t="shared" si="10"/>
        <v>-1.2434497875801753E-13</v>
      </c>
      <c r="G69" s="31">
        <f t="shared" si="5"/>
        <v>0</v>
      </c>
      <c r="H69" s="33">
        <f t="shared" si="11"/>
        <v>0</v>
      </c>
      <c r="I69" s="33">
        <f t="shared" si="14"/>
        <v>-4.405364961712621E-13</v>
      </c>
      <c r="J69" s="19">
        <f>'WACOC-Tax Table'!$D$11*I69</f>
        <v>-7.386951210719418E-15</v>
      </c>
      <c r="K69" s="37">
        <f>I69*('WACOC-Tax Table'!$D$12)</f>
        <v>-2.6962595711665927E-14</v>
      </c>
      <c r="L69" s="37">
        <v>0</v>
      </c>
      <c r="M69" s="33">
        <f t="shared" si="1"/>
        <v>0</v>
      </c>
      <c r="N69" s="37">
        <f t="shared" si="2"/>
        <v>-1.6086225048873996E-14</v>
      </c>
      <c r="O69" s="31">
        <f t="shared" si="3"/>
        <v>-5.043577197125934E-14</v>
      </c>
      <c r="P69" s="41">
        <f>1/(1+'WACOC-Tax Table'!$D$13)^A69</f>
        <v>0.05349423857103609</v>
      </c>
      <c r="Q69" s="39">
        <f t="shared" si="4"/>
        <v>-2.6980232183449223E-15</v>
      </c>
      <c r="R69" s="33">
        <f t="shared" si="6"/>
        <v>1167.875629853835</v>
      </c>
      <c r="S69" s="28">
        <f t="shared" si="7"/>
        <v>-5.043577197125934E-17</v>
      </c>
      <c r="T69" s="23"/>
    </row>
    <row r="70" spans="1:20" ht="12.75" hidden="1">
      <c r="A70" s="2">
        <v>40</v>
      </c>
      <c r="C70" s="37">
        <f t="shared" si="8"/>
        <v>0</v>
      </c>
      <c r="D70" s="37">
        <f t="shared" si="9"/>
        <v>-4.405364961712621E-13</v>
      </c>
      <c r="E70" s="31">
        <f>HLOOKUP($F$10,'WACOC-Tax Table'!$B$17:$E$58,A71)*$B$30</f>
        <v>0</v>
      </c>
      <c r="F70" s="37">
        <f t="shared" si="10"/>
        <v>-1.2434497875801753E-13</v>
      </c>
      <c r="G70" s="31">
        <f t="shared" si="5"/>
        <v>0</v>
      </c>
      <c r="H70" s="33">
        <f t="shared" si="11"/>
        <v>0</v>
      </c>
      <c r="I70" s="33">
        <f t="shared" si="14"/>
        <v>-4.405364961712621E-13</v>
      </c>
      <c r="J70" s="19">
        <f>'WACOC-Tax Table'!$D$11*I70</f>
        <v>-7.386951210719418E-15</v>
      </c>
      <c r="K70" s="37">
        <f>I70*('WACOC-Tax Table'!$D$12)</f>
        <v>-2.6962595711665927E-14</v>
      </c>
      <c r="L70" s="37">
        <v>0</v>
      </c>
      <c r="M70" s="33">
        <f t="shared" si="1"/>
        <v>0</v>
      </c>
      <c r="N70" s="37">
        <f t="shared" si="2"/>
        <v>-1.6086225048873996E-14</v>
      </c>
      <c r="O70" s="31">
        <f t="shared" si="3"/>
        <v>-5.043577197125934E-14</v>
      </c>
      <c r="P70" s="41">
        <f>1/(1+'WACOC-Tax Table'!$D$13)^A70</f>
        <v>0.04962488320758372</v>
      </c>
      <c r="Q70" s="42">
        <f t="shared" si="4"/>
        <v>-2.5028692935580693E-15</v>
      </c>
      <c r="R70" s="33">
        <f t="shared" si="6"/>
        <v>1167.875629853835</v>
      </c>
      <c r="S70" s="28">
        <f t="shared" si="7"/>
        <v>-5.043577197125934E-17</v>
      </c>
      <c r="T70" s="23"/>
    </row>
    <row r="71" spans="1:17" ht="12.75" hidden="1">
      <c r="A71" s="2">
        <v>41</v>
      </c>
      <c r="J71" s="19">
        <f>'WACOC-Tax Table'!$D$11*I71</f>
        <v>0</v>
      </c>
      <c r="Q71" s="33">
        <f>SUM(Q30:Q70)</f>
        <v>1167.875629853835</v>
      </c>
    </row>
    <row r="72" spans="10:17" ht="12.75">
      <c r="J72" s="19"/>
      <c r="Q72" s="33">
        <f>SUM(Q30:Q60)</f>
        <v>1167.875629853835</v>
      </c>
    </row>
    <row r="75" spans="8:17" ht="15.75">
      <c r="H75" s="3"/>
      <c r="Q75" s="3"/>
    </row>
    <row r="76" spans="8:17" ht="15.75">
      <c r="H76" s="3"/>
      <c r="Q76" s="3"/>
    </row>
  </sheetData>
  <sheetProtection/>
  <printOptions/>
  <pageMargins left="0.75" right="0.75" top="1" bottom="1" header="0.5" footer="0.5"/>
  <pageSetup fitToWidth="2" horizontalDpi="600" verticalDpi="600" orientation="portrait" scale="80" r:id="rId1"/>
  <headerFooter differentOddEven="1" differentFirst="1" alignWithMargins="0">
    <evenHeader>&amp;R&amp;"Times New Roman,Bold"&amp;12Conroy Exhibit M1
Page 5 of 10</evenHeader>
    <firstHeader>&amp;R&amp;"Times New Roman,Bold"&amp;12Conroy Exhibit M1
Page 4 of 10</firstHeader>
  </headerFooter>
  <rowBreaks count="1" manualBreakCount="1">
    <brk id="74" max="16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Prime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Seelye</dc:creator>
  <cp:keywords/>
  <dc:description/>
  <cp:lastModifiedBy>McGee, Dawn</cp:lastModifiedBy>
  <cp:lastPrinted>2012-06-19T13:56:32Z</cp:lastPrinted>
  <dcterms:created xsi:type="dcterms:W3CDTF">2008-07-02T22:21:05Z</dcterms:created>
  <dcterms:modified xsi:type="dcterms:W3CDTF">2012-08-09T15:03:25Z</dcterms:modified>
  <cp:category/>
  <cp:version/>
  <cp:contentType/>
  <cp:contentStatus/>
</cp:coreProperties>
</file>