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Sheet1!$A$1:$V$39</definedName>
  </definedNames>
  <calcPr calcId="145621"/>
</workbook>
</file>

<file path=xl/calcChain.xml><?xml version="1.0" encoding="utf-8"?>
<calcChain xmlns="http://schemas.openxmlformats.org/spreadsheetml/2006/main">
  <c r="D27" i="1" l="1"/>
  <c r="D29" i="1" s="1"/>
  <c r="D33" i="1" s="1"/>
  <c r="F27" i="1"/>
  <c r="D12" i="1"/>
  <c r="D16" i="1" s="1"/>
  <c r="D10" i="1"/>
  <c r="F10" i="1"/>
  <c r="T8" i="1"/>
  <c r="T12" i="1"/>
  <c r="T16" i="1" s="1"/>
  <c r="R8" i="1"/>
  <c r="T25" i="1"/>
  <c r="T29" i="1" s="1"/>
  <c r="T33" i="1" s="1"/>
  <c r="R25" i="1"/>
  <c r="P10" i="1"/>
  <c r="P8" i="1"/>
  <c r="P27" i="1"/>
  <c r="P29" i="1"/>
  <c r="P33" i="1" s="1"/>
  <c r="P25" i="1"/>
  <c r="N8" i="1"/>
  <c r="N12" i="1" s="1"/>
  <c r="N16" i="1" s="1"/>
  <c r="N10" i="1"/>
  <c r="N25" i="1"/>
  <c r="N29" i="1"/>
  <c r="N33" i="1"/>
  <c r="N35" i="1" s="1"/>
  <c r="N27" i="1"/>
  <c r="L9" i="1"/>
  <c r="L8" i="1"/>
  <c r="L12" i="1" s="1"/>
  <c r="L16" i="1" s="1"/>
  <c r="L10" i="1"/>
  <c r="L26" i="1"/>
  <c r="L25" i="1"/>
  <c r="L29" i="1" s="1"/>
  <c r="L33" i="1" s="1"/>
  <c r="L27" i="1"/>
  <c r="J10" i="1"/>
  <c r="J27" i="1"/>
  <c r="V8" i="1"/>
  <c r="V12" i="1"/>
  <c r="V16" i="1" s="1"/>
  <c r="V25" i="1"/>
  <c r="V29" i="1"/>
  <c r="V31" i="1"/>
  <c r="V37" i="1" s="1"/>
  <c r="J25" i="1"/>
  <c r="J29" i="1"/>
  <c r="J33" i="1"/>
  <c r="J35" i="1" s="1"/>
  <c r="J9" i="1"/>
  <c r="J8" i="1"/>
  <c r="J12" i="1" s="1"/>
  <c r="J16" i="1" s="1"/>
  <c r="H27" i="1"/>
  <c r="H29" i="1" s="1"/>
  <c r="H33" i="1" s="1"/>
  <c r="H10" i="1"/>
  <c r="H12" i="1" s="1"/>
  <c r="H16" i="1" s="1"/>
  <c r="F29" i="1"/>
  <c r="F33" i="1"/>
  <c r="F35" i="1" s="1"/>
  <c r="F12" i="1"/>
  <c r="F16" i="1"/>
  <c r="F20" i="1" s="1"/>
  <c r="R29" i="1"/>
  <c r="R33" i="1" s="1"/>
  <c r="R12" i="1"/>
  <c r="R16" i="1"/>
  <c r="R18" i="1" s="1"/>
  <c r="V33" i="1"/>
  <c r="V35" i="1" s="1"/>
  <c r="P12" i="1"/>
  <c r="P16" i="1" s="1"/>
  <c r="P20" i="1" l="1"/>
  <c r="P18" i="1"/>
  <c r="R37" i="1"/>
  <c r="R35" i="1"/>
  <c r="L37" i="1"/>
  <c r="L35" i="1"/>
  <c r="P37" i="1"/>
  <c r="P35" i="1"/>
  <c r="H20" i="1"/>
  <c r="H18" i="1"/>
  <c r="T37" i="1"/>
  <c r="T35" i="1"/>
  <c r="D35" i="1"/>
  <c r="D37" i="1"/>
  <c r="H37" i="1"/>
  <c r="H35" i="1"/>
  <c r="N20" i="1"/>
  <c r="N18" i="1"/>
  <c r="J20" i="1"/>
  <c r="J18" i="1"/>
  <c r="V20" i="1"/>
  <c r="V18" i="1"/>
  <c r="L18" i="1"/>
  <c r="L20" i="1"/>
  <c r="T18" i="1"/>
  <c r="T20" i="1"/>
  <c r="D20" i="1"/>
  <c r="D18" i="1"/>
  <c r="J37" i="1"/>
  <c r="F37" i="1"/>
  <c r="F18" i="1"/>
  <c r="N37" i="1"/>
  <c r="R20" i="1"/>
</calcChain>
</file>

<file path=xl/sharedStrings.xml><?xml version="1.0" encoding="utf-8"?>
<sst xmlns="http://schemas.openxmlformats.org/spreadsheetml/2006/main" count="37" uniqueCount="11">
  <si>
    <t>KU</t>
  </si>
  <si>
    <t>LTD</t>
  </si>
  <si>
    <t>Money Pool</t>
  </si>
  <si>
    <t>Imputed Debt (per S&amp;P)</t>
  </si>
  <si>
    <t>Total Debt</t>
  </si>
  <si>
    <t xml:space="preserve">Total Equity </t>
  </si>
  <si>
    <t>Total Capitalization</t>
  </si>
  <si>
    <t>LG&amp;E</t>
  </si>
  <si>
    <t>Equity/ Capital Ratio History</t>
  </si>
  <si>
    <t>Equity / Capital % including imputed debt</t>
  </si>
  <si>
    <t>Equity / Capital % excluding imputed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</si>
</sst>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9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164" fontId="3" fillId="0" borderId="0" xfId="1" applyNumberFormat="1" applyFont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1" xfId="1" applyNumberFormat="1" applyFont="1" applyBorder="1"/>
    <xf numFmtId="164" fontId="3" fillId="0" borderId="0" xfId="1" applyNumberFormat="1" applyFont="1" applyBorder="1"/>
    <xf numFmtId="0" fontId="0" fillId="0" borderId="0" xfId="0" applyFill="1"/>
    <xf numFmtId="0" fontId="0" fillId="0" borderId="0" xfId="0" quotePrefix="1"/>
    <xf numFmtId="14" fontId="0" fillId="0" borderId="1" xfId="0" applyNumberFormat="1" applyBorder="1" applyAlignment="1">
      <alignment horizontal="center"/>
    </xf>
    <xf numFmtId="164" fontId="2" fillId="0" borderId="1" xfId="1" applyNumberFormat="1" applyFont="1" applyFill="1" applyBorder="1"/>
    <xf numFmtId="164" fontId="3" fillId="0" borderId="0" xfId="1" applyNumberFormat="1" applyFont="1"/>
    <xf numFmtId="164" fontId="3" fillId="0" borderId="1" xfId="1" applyNumberFormat="1" applyFont="1" applyBorder="1"/>
    <xf numFmtId="169" fontId="3" fillId="0" borderId="0" xfId="2" applyNumberFormat="1" applyFont="1"/>
    <xf numFmtId="16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8"/>
  <sheetViews>
    <sheetView tabSelected="1" zoomScaleNormal="100" workbookViewId="0">
      <selection activeCell="A3" sqref="A3"/>
    </sheetView>
  </sheetViews>
  <sheetFormatPr defaultColWidth="12.140625" defaultRowHeight="15" x14ac:dyDescent="0.25"/>
  <cols>
    <col min="1" max="1" width="11.5703125" customWidth="1"/>
    <col min="2" max="2" width="14.42578125" customWidth="1"/>
    <col min="3" max="4" width="12.5703125" customWidth="1"/>
    <col min="5" max="5" width="5.7109375" customWidth="1"/>
    <col min="6" max="6" width="13.42578125" customWidth="1"/>
    <col min="7" max="7" width="5.7109375" customWidth="1"/>
    <col min="8" max="8" width="12.140625" customWidth="1"/>
    <col min="9" max="9" width="5.140625" customWidth="1"/>
    <col min="10" max="10" width="12.5703125" customWidth="1"/>
    <col min="11" max="11" width="3.85546875" customWidth="1"/>
    <col min="12" max="12" width="12.5703125" customWidth="1"/>
    <col min="13" max="13" width="3.42578125" customWidth="1"/>
    <col min="14" max="14" width="12.28515625" customWidth="1"/>
    <col min="15" max="15" width="4.5703125" customWidth="1"/>
    <col min="16" max="16" width="12.5703125" customWidth="1"/>
    <col min="17" max="17" width="3.42578125" customWidth="1"/>
    <col min="18" max="18" width="12.5703125" customWidth="1"/>
    <col min="19" max="19" width="3.28515625" customWidth="1"/>
    <col min="20" max="20" width="12.5703125" customWidth="1"/>
    <col min="21" max="21" width="5.140625" customWidth="1"/>
    <col min="22" max="22" width="12.5703125" customWidth="1"/>
    <col min="23" max="23" width="3.42578125" customWidth="1"/>
    <col min="24" max="208" width="9.140625" customWidth="1"/>
    <col min="209" max="209" width="11.5703125" customWidth="1"/>
    <col min="210" max="210" width="14.42578125" customWidth="1"/>
    <col min="211" max="226" width="0" hidden="1" customWidth="1"/>
    <col min="227" max="227" width="5.140625" customWidth="1"/>
    <col min="228" max="245" width="0" hidden="1" customWidth="1"/>
    <col min="246" max="246" width="13.140625" customWidth="1"/>
    <col min="247" max="247" width="4" customWidth="1"/>
    <col min="248" max="248" width="12.85546875" customWidth="1"/>
    <col min="249" max="249" width="4.140625" customWidth="1"/>
    <col min="250" max="250" width="12.28515625" customWidth="1"/>
    <col min="251" max="251" width="4" customWidth="1"/>
    <col min="252" max="252" width="12" customWidth="1"/>
    <col min="253" max="253" width="3.5703125" customWidth="1"/>
    <col min="254" max="254" width="12.140625" customWidth="1"/>
    <col min="255" max="255" width="3.7109375" customWidth="1"/>
  </cols>
  <sheetData>
    <row r="2" spans="1:23" x14ac:dyDescent="0.25">
      <c r="F2" t="s">
        <v>8</v>
      </c>
    </row>
    <row r="5" spans="1:23" x14ac:dyDescent="0.25">
      <c r="D5" s="2" t="s">
        <v>0</v>
      </c>
      <c r="F5" s="2" t="s">
        <v>0</v>
      </c>
      <c r="H5" s="2" t="s">
        <v>0</v>
      </c>
      <c r="J5" s="2" t="s">
        <v>0</v>
      </c>
      <c r="L5" s="2" t="s">
        <v>0</v>
      </c>
      <c r="N5" s="2" t="s">
        <v>0</v>
      </c>
      <c r="P5" s="2" t="s">
        <v>0</v>
      </c>
      <c r="R5" s="2" t="s">
        <v>0</v>
      </c>
      <c r="T5" s="2" t="s">
        <v>0</v>
      </c>
      <c r="V5" s="2" t="s">
        <v>0</v>
      </c>
    </row>
    <row r="6" spans="1:23" x14ac:dyDescent="0.25">
      <c r="D6" s="10">
        <v>40999</v>
      </c>
      <c r="F6" s="10">
        <v>40908</v>
      </c>
      <c r="H6" s="10">
        <v>40543</v>
      </c>
      <c r="J6" s="10">
        <v>40178</v>
      </c>
      <c r="L6" s="10">
        <v>39813</v>
      </c>
      <c r="N6" s="10">
        <v>39447</v>
      </c>
      <c r="P6" s="10">
        <v>39082</v>
      </c>
      <c r="R6" s="10">
        <v>38717</v>
      </c>
      <c r="T6" s="10">
        <v>38352</v>
      </c>
      <c r="V6" s="10">
        <v>37894</v>
      </c>
      <c r="W6" s="2"/>
    </row>
    <row r="8" spans="1:23" x14ac:dyDescent="0.25">
      <c r="A8" t="s">
        <v>1</v>
      </c>
      <c r="D8" s="12">
        <v>1841</v>
      </c>
      <c r="F8" s="3">
        <v>1841</v>
      </c>
      <c r="G8" s="3"/>
      <c r="H8" s="3">
        <v>1840</v>
      </c>
      <c r="J8" s="3">
        <f>261+123+1298</f>
        <v>1682</v>
      </c>
      <c r="K8" s="3"/>
      <c r="L8" s="3">
        <f>228+123+1181</f>
        <v>1532</v>
      </c>
      <c r="M8" s="3"/>
      <c r="N8" s="3">
        <f>33+300+931</f>
        <v>1264</v>
      </c>
      <c r="P8" s="3">
        <f>141+219+483</f>
        <v>843</v>
      </c>
      <c r="Q8" s="3"/>
      <c r="R8" s="3">
        <f>123+240+383+69.7</f>
        <v>815.7</v>
      </c>
      <c r="S8" s="3"/>
      <c r="T8" s="3">
        <f>87.1+306.1+258+75</f>
        <v>726.2</v>
      </c>
      <c r="V8" s="3">
        <f>49.3+613.7</f>
        <v>663</v>
      </c>
      <c r="W8" s="3"/>
    </row>
    <row r="9" spans="1:23" x14ac:dyDescent="0.25">
      <c r="A9" t="s">
        <v>2</v>
      </c>
      <c r="D9" s="12"/>
      <c r="F9" s="3"/>
      <c r="G9" s="3"/>
      <c r="H9" s="3">
        <v>10</v>
      </c>
      <c r="J9" s="3">
        <f>45</f>
        <v>45</v>
      </c>
      <c r="K9" s="3"/>
      <c r="L9" s="3">
        <f>16</f>
        <v>16</v>
      </c>
      <c r="M9" s="3"/>
      <c r="N9" s="3">
        <v>23</v>
      </c>
      <c r="P9" s="3">
        <v>97</v>
      </c>
      <c r="Q9" s="3"/>
      <c r="R9" s="3">
        <v>69.7</v>
      </c>
      <c r="S9" s="3"/>
      <c r="T9" s="3">
        <v>34.799999999999997</v>
      </c>
      <c r="V9" s="4">
        <v>98.7</v>
      </c>
      <c r="W9" s="3"/>
    </row>
    <row r="10" spans="1:23" x14ac:dyDescent="0.25">
      <c r="A10" t="s">
        <v>3</v>
      </c>
      <c r="D10" s="6">
        <f>25+113.8+8+36.9</f>
        <v>183.70000000000002</v>
      </c>
      <c r="F10" s="6">
        <f>25+113.8+8+36.9</f>
        <v>183.70000000000002</v>
      </c>
      <c r="G10" s="3"/>
      <c r="H10" s="6">
        <f>26+104+39</f>
        <v>169</v>
      </c>
      <c r="J10" s="6">
        <f>26.5+120.9+26.1</f>
        <v>173.5</v>
      </c>
      <c r="K10" s="3"/>
      <c r="L10" s="6">
        <f>19+54+86.1</f>
        <v>159.1</v>
      </c>
      <c r="M10" s="7"/>
      <c r="N10" s="6">
        <f>20.7+81.9+86.1</f>
        <v>188.7</v>
      </c>
      <c r="P10" s="6">
        <f>20.7+81.9+86.1</f>
        <v>188.7</v>
      </c>
      <c r="Q10" s="3"/>
      <c r="R10" s="6">
        <v>125</v>
      </c>
      <c r="S10" s="7"/>
      <c r="T10" s="6">
        <v>125</v>
      </c>
      <c r="V10" s="6">
        <v>125</v>
      </c>
      <c r="W10" s="3"/>
    </row>
    <row r="11" spans="1:23" x14ac:dyDescent="0.25">
      <c r="D11" s="12"/>
      <c r="F11" s="3"/>
      <c r="G11" s="3"/>
      <c r="H11" s="3"/>
      <c r="J11" s="3"/>
      <c r="K11" s="3"/>
      <c r="L11" s="3"/>
      <c r="M11" s="3"/>
      <c r="N11" s="3"/>
      <c r="P11" s="3"/>
      <c r="Q11" s="3"/>
      <c r="R11" s="3"/>
      <c r="S11" s="3"/>
      <c r="T11" s="3"/>
      <c r="V11" s="3"/>
      <c r="W11" s="3"/>
    </row>
    <row r="12" spans="1:23" x14ac:dyDescent="0.25">
      <c r="A12" t="s">
        <v>4</v>
      </c>
      <c r="D12" s="3">
        <f>SUM(D8:D10)</f>
        <v>2024.7</v>
      </c>
      <c r="F12" s="3">
        <f>SUM(F8:F10)</f>
        <v>2024.7</v>
      </c>
      <c r="G12" s="3"/>
      <c r="H12" s="3">
        <f>SUM(H8:H10)</f>
        <v>2019</v>
      </c>
      <c r="J12" s="3">
        <f>SUM(J8:J10)</f>
        <v>1900.5</v>
      </c>
      <c r="K12" s="3"/>
      <c r="L12" s="3">
        <f>SUM(L8:L10)</f>
        <v>1707.1</v>
      </c>
      <c r="M12" s="3"/>
      <c r="N12" s="3">
        <f>SUM(N8:N10)</f>
        <v>1475.7</v>
      </c>
      <c r="P12" s="3">
        <f>SUM(P8:P10)</f>
        <v>1128.7</v>
      </c>
      <c r="Q12" s="3"/>
      <c r="R12" s="3">
        <f>SUM(R8:R10)</f>
        <v>1010.4000000000001</v>
      </c>
      <c r="S12" s="3"/>
      <c r="T12" s="3">
        <f>SUM(T8:T10)</f>
        <v>886</v>
      </c>
      <c r="V12" s="3">
        <f>SUM(V8:V10)</f>
        <v>886.7</v>
      </c>
      <c r="W12" s="3"/>
    </row>
    <row r="13" spans="1:23" x14ac:dyDescent="0.25">
      <c r="D13" s="12"/>
      <c r="F13" s="3"/>
      <c r="G13" s="3"/>
      <c r="H13" s="3"/>
      <c r="J13" s="3"/>
      <c r="K13" s="3"/>
      <c r="L13" s="3"/>
      <c r="M13" s="3"/>
      <c r="N13" s="3"/>
      <c r="P13" s="3"/>
      <c r="Q13" s="3"/>
      <c r="R13" s="3"/>
      <c r="S13" s="3"/>
      <c r="T13" s="3"/>
      <c r="V13" s="3"/>
      <c r="W13" s="3"/>
    </row>
    <row r="14" spans="1:23" x14ac:dyDescent="0.25">
      <c r="A14" t="s">
        <v>5</v>
      </c>
      <c r="D14" s="13">
        <v>2138</v>
      </c>
      <c r="F14" s="6">
        <v>2128</v>
      </c>
      <c r="G14" s="3"/>
      <c r="H14" s="6">
        <v>2075</v>
      </c>
      <c r="J14" s="6">
        <v>1952</v>
      </c>
      <c r="K14" s="3"/>
      <c r="L14" s="6">
        <v>1744</v>
      </c>
      <c r="M14" s="3"/>
      <c r="N14" s="6">
        <v>1435</v>
      </c>
      <c r="P14" s="6">
        <v>1193</v>
      </c>
      <c r="Q14" s="3"/>
      <c r="R14" s="6">
        <v>1022</v>
      </c>
      <c r="S14" s="3"/>
      <c r="T14" s="6">
        <v>968.9</v>
      </c>
      <c r="V14" s="11">
        <v>909</v>
      </c>
      <c r="W14" s="5"/>
    </row>
    <row r="15" spans="1:23" x14ac:dyDescent="0.25">
      <c r="D15" s="12"/>
      <c r="F15" s="7"/>
      <c r="G15" s="3"/>
      <c r="H15" s="7"/>
      <c r="J15" s="7"/>
      <c r="K15" s="3"/>
      <c r="L15" s="7"/>
      <c r="M15" s="7"/>
      <c r="N15" s="7"/>
      <c r="P15" s="7"/>
      <c r="Q15" s="3"/>
      <c r="R15" s="7"/>
      <c r="S15" s="7"/>
      <c r="T15" s="7"/>
      <c r="V15" s="7"/>
      <c r="W15" s="3"/>
    </row>
    <row r="16" spans="1:23" x14ac:dyDescent="0.25">
      <c r="A16" t="s">
        <v>6</v>
      </c>
      <c r="D16" s="3">
        <f>D12+D14</f>
        <v>4162.7</v>
      </c>
      <c r="F16" s="3">
        <f>F12+F14</f>
        <v>4152.7</v>
      </c>
      <c r="G16" s="3"/>
      <c r="H16" s="3">
        <f>H12+H14</f>
        <v>4094</v>
      </c>
      <c r="J16" s="3">
        <f>J12+J14</f>
        <v>3852.5</v>
      </c>
      <c r="K16" s="3"/>
      <c r="L16" s="3">
        <f>L12+L14</f>
        <v>3451.1</v>
      </c>
      <c r="M16" s="3"/>
      <c r="N16" s="3">
        <f>N12+N14</f>
        <v>2910.7</v>
      </c>
      <c r="P16" s="3">
        <f>P12+P14</f>
        <v>2321.6999999999998</v>
      </c>
      <c r="Q16" s="3"/>
      <c r="R16" s="3">
        <f>R12+R14</f>
        <v>2032.4</v>
      </c>
      <c r="S16" s="3"/>
      <c r="T16" s="3">
        <f>T12+T14</f>
        <v>1854.9</v>
      </c>
      <c r="V16" s="3">
        <f>V12+V14</f>
        <v>1795.7</v>
      </c>
      <c r="W16" s="3"/>
    </row>
    <row r="18" spans="1:23" x14ac:dyDescent="0.25">
      <c r="A18" t="s">
        <v>9</v>
      </c>
      <c r="D18" s="14">
        <f>D$14/D$16</f>
        <v>0.51360895572585108</v>
      </c>
      <c r="E18" s="15"/>
      <c r="F18" s="14">
        <f>F$14/F$16</f>
        <v>0.5124376911407037</v>
      </c>
      <c r="G18" s="15"/>
      <c r="H18" s="14">
        <f>H$14/H$16</f>
        <v>0.50683927699071818</v>
      </c>
      <c r="I18" s="15"/>
      <c r="J18" s="14">
        <f>J$14/J$16</f>
        <v>0.5066839714471123</v>
      </c>
      <c r="K18" s="15"/>
      <c r="L18" s="14">
        <f>L$14/L$16</f>
        <v>0.50534612152646985</v>
      </c>
      <c r="M18" s="14"/>
      <c r="N18" s="14">
        <f>N$14/N$16</f>
        <v>0.49300855464321303</v>
      </c>
      <c r="O18" s="15"/>
      <c r="P18" s="14">
        <f>P14/P16</f>
        <v>0.51384761166386705</v>
      </c>
      <c r="Q18" s="15"/>
      <c r="R18" s="14">
        <f>R14/R16</f>
        <v>0.50285376894312139</v>
      </c>
      <c r="S18" s="14"/>
      <c r="T18" s="14">
        <f>T14/T16</f>
        <v>0.52234621812496629</v>
      </c>
      <c r="U18" s="15"/>
      <c r="V18" s="14">
        <f>V14/V16</f>
        <v>0.50620927771899538</v>
      </c>
      <c r="W18" s="8"/>
    </row>
    <row r="19" spans="1:23" x14ac:dyDescent="0.25">
      <c r="D19" s="14"/>
      <c r="E19" s="15"/>
      <c r="F19" s="14"/>
      <c r="G19" s="15"/>
      <c r="H19" s="14"/>
      <c r="I19" s="15"/>
      <c r="J19" s="14"/>
      <c r="K19" s="15"/>
      <c r="L19" s="14"/>
      <c r="M19" s="14"/>
      <c r="N19" s="14"/>
      <c r="O19" s="15"/>
      <c r="P19" s="14"/>
      <c r="Q19" s="15"/>
      <c r="R19" s="14"/>
      <c r="S19" s="14"/>
      <c r="T19" s="14"/>
      <c r="U19" s="15"/>
      <c r="V19" s="14"/>
      <c r="W19" s="8"/>
    </row>
    <row r="20" spans="1:23" x14ac:dyDescent="0.25">
      <c r="A20" t="s">
        <v>10</v>
      </c>
      <c r="D20" s="14">
        <f>D$14/(D$16-D$10)</f>
        <v>0.53732093490826838</v>
      </c>
      <c r="E20" s="15"/>
      <c r="F20" s="14">
        <f>F$14/(F$16-F$10)</f>
        <v>0.53615520282186946</v>
      </c>
      <c r="G20" s="15"/>
      <c r="H20" s="14">
        <f>H$14/(H$16-H$10)</f>
        <v>0.5286624203821656</v>
      </c>
      <c r="I20" s="15"/>
      <c r="J20" s="14">
        <f>J$14/(J$16-J$10)</f>
        <v>0.53057896167436802</v>
      </c>
      <c r="K20" s="15"/>
      <c r="L20" s="14">
        <f>L$14/(L$16-L$10)</f>
        <v>0.5297691373025516</v>
      </c>
      <c r="M20" s="14"/>
      <c r="N20" s="14">
        <f>N$14/(N$16-N$10)</f>
        <v>0.52718589272593686</v>
      </c>
      <c r="O20" s="15"/>
      <c r="P20" s="14">
        <f>P$14/(P$16-P$10)</f>
        <v>0.55930614158462255</v>
      </c>
      <c r="Q20" s="15"/>
      <c r="R20" s="14">
        <f>R$14/(R$16-R$10)</f>
        <v>0.53580790605012052</v>
      </c>
      <c r="S20" s="14"/>
      <c r="T20" s="14">
        <f>T$14/(T$16-T$10)</f>
        <v>0.56009017862304178</v>
      </c>
      <c r="U20" s="15"/>
      <c r="V20" s="14">
        <f>V$14/(V$16-V$10)</f>
        <v>0.54408331836954571</v>
      </c>
      <c r="W20" s="8"/>
    </row>
    <row r="22" spans="1:23" x14ac:dyDescent="0.25">
      <c r="D22" s="2" t="s">
        <v>7</v>
      </c>
      <c r="F22" s="2" t="s">
        <v>7</v>
      </c>
      <c r="H22" s="2" t="s">
        <v>7</v>
      </c>
      <c r="J22" s="2" t="s">
        <v>7</v>
      </c>
      <c r="L22" s="2" t="s">
        <v>7</v>
      </c>
      <c r="N22" s="2" t="s">
        <v>7</v>
      </c>
      <c r="P22" s="2" t="s">
        <v>7</v>
      </c>
      <c r="R22" s="2" t="s">
        <v>7</v>
      </c>
      <c r="T22" s="2" t="s">
        <v>7</v>
      </c>
      <c r="V22" s="2" t="s">
        <v>7</v>
      </c>
    </row>
    <row r="23" spans="1:23" x14ac:dyDescent="0.25">
      <c r="D23" s="10">
        <v>40999</v>
      </c>
      <c r="F23" s="10">
        <v>40908</v>
      </c>
      <c r="H23" s="10">
        <v>40543</v>
      </c>
      <c r="J23" s="10">
        <v>40178</v>
      </c>
      <c r="L23" s="10">
        <v>39813</v>
      </c>
      <c r="N23" s="10">
        <v>39447</v>
      </c>
      <c r="P23" s="10">
        <v>39082</v>
      </c>
      <c r="R23" s="10">
        <v>38717</v>
      </c>
      <c r="T23" s="10">
        <v>38352</v>
      </c>
      <c r="V23" s="10">
        <v>37894</v>
      </c>
      <c r="W23" s="2"/>
    </row>
    <row r="25" spans="1:23" x14ac:dyDescent="0.25">
      <c r="A25" t="s">
        <v>1</v>
      </c>
      <c r="D25" s="12">
        <v>1106</v>
      </c>
      <c r="F25" s="3">
        <v>1106</v>
      </c>
      <c r="G25" s="3"/>
      <c r="H25" s="3">
        <v>942</v>
      </c>
      <c r="J25" s="3">
        <f>291+485+120</f>
        <v>896</v>
      </c>
      <c r="K25" s="3"/>
      <c r="L25" s="3">
        <f>120+291+485</f>
        <v>896</v>
      </c>
      <c r="M25" s="3"/>
      <c r="N25" s="3">
        <f>120+454+410</f>
        <v>984</v>
      </c>
      <c r="P25" s="3">
        <f>248+328+225+19</f>
        <v>820</v>
      </c>
      <c r="Q25" s="3"/>
      <c r="R25" s="3">
        <f>247.5+328.1+225+20</f>
        <v>820.6</v>
      </c>
      <c r="S25" s="3"/>
      <c r="T25" s="3">
        <f>247.4+50+328.1+225+21.3</f>
        <v>871.8</v>
      </c>
      <c r="V25" s="3">
        <f>605.3+56.7</f>
        <v>662</v>
      </c>
      <c r="W25" s="3"/>
    </row>
    <row r="26" spans="1:23" x14ac:dyDescent="0.25">
      <c r="A26" t="s">
        <v>2</v>
      </c>
      <c r="F26" s="3"/>
      <c r="G26" s="3"/>
      <c r="H26" s="3">
        <v>175</v>
      </c>
      <c r="J26" s="3">
        <v>170</v>
      </c>
      <c r="K26" s="3"/>
      <c r="L26" s="3">
        <f>222</f>
        <v>222</v>
      </c>
      <c r="M26" s="3"/>
      <c r="N26" s="3">
        <v>78</v>
      </c>
      <c r="P26" s="3">
        <v>68</v>
      </c>
      <c r="Q26" s="3"/>
      <c r="R26" s="3">
        <v>141.19999999999999</v>
      </c>
      <c r="S26" s="3"/>
      <c r="T26" s="3">
        <v>58.2</v>
      </c>
      <c r="V26" s="4">
        <v>57</v>
      </c>
      <c r="W26" s="3"/>
    </row>
    <row r="27" spans="1:23" x14ac:dyDescent="0.25">
      <c r="A27" t="s">
        <v>3</v>
      </c>
      <c r="D27" s="6">
        <f>17+137.2+5+83.2</f>
        <v>242.39999999999998</v>
      </c>
      <c r="F27" s="6">
        <f>17+137.2+5+83.2</f>
        <v>242.39999999999998</v>
      </c>
      <c r="G27" s="3"/>
      <c r="H27" s="6">
        <f>19+131+72</f>
        <v>222</v>
      </c>
      <c r="J27" s="6">
        <f>25.2+148.2+58.8</f>
        <v>232.2</v>
      </c>
      <c r="K27" s="3"/>
      <c r="L27" s="6">
        <f>20.9+54+48.7</f>
        <v>123.60000000000001</v>
      </c>
      <c r="M27" s="7"/>
      <c r="N27" s="6">
        <f>14.5+98.2+48.7</f>
        <v>161.4</v>
      </c>
      <c r="P27" s="6">
        <f>14.5+98.2+48.7</f>
        <v>161.4</v>
      </c>
      <c r="Q27" s="3"/>
      <c r="R27" s="6"/>
      <c r="S27" s="7"/>
      <c r="T27" s="6"/>
      <c r="V27" s="6"/>
      <c r="W27" s="3"/>
    </row>
    <row r="28" spans="1:23" x14ac:dyDescent="0.25">
      <c r="D28" s="3"/>
      <c r="F28" s="3"/>
      <c r="G28" s="3"/>
      <c r="H28" s="3"/>
      <c r="J28" s="3"/>
      <c r="K28" s="3"/>
      <c r="L28" s="3"/>
      <c r="M28" s="3"/>
      <c r="N28" s="3"/>
      <c r="P28" s="3"/>
      <c r="Q28" s="3"/>
      <c r="R28" s="3"/>
      <c r="S28" s="3"/>
      <c r="T28" s="3"/>
      <c r="V28" s="3"/>
      <c r="W28" s="3"/>
    </row>
    <row r="29" spans="1:23" x14ac:dyDescent="0.25">
      <c r="A29" t="s">
        <v>4</v>
      </c>
      <c r="D29" s="3">
        <f>SUM(D25:D27)</f>
        <v>1348.4</v>
      </c>
      <c r="F29" s="3">
        <f>SUM(F25:F27)</f>
        <v>1348.4</v>
      </c>
      <c r="G29" s="3"/>
      <c r="H29" s="3">
        <f>SUM(H25:H27)</f>
        <v>1339</v>
      </c>
      <c r="J29" s="3">
        <f>SUM(J25:J27)</f>
        <v>1298.2</v>
      </c>
      <c r="K29" s="3"/>
      <c r="L29" s="3">
        <f>SUM(L25:L27)</f>
        <v>1241.5999999999999</v>
      </c>
      <c r="M29" s="3"/>
      <c r="N29" s="3">
        <f>SUM(N25:N27)</f>
        <v>1223.4000000000001</v>
      </c>
      <c r="P29" s="3">
        <f>SUM(P25:P27)</f>
        <v>1049.4000000000001</v>
      </c>
      <c r="Q29" s="3"/>
      <c r="R29" s="3">
        <f>SUM(R25:R27)</f>
        <v>961.8</v>
      </c>
      <c r="S29" s="3"/>
      <c r="T29" s="3">
        <f>SUM(T25:T27)</f>
        <v>930</v>
      </c>
      <c r="V29" s="3">
        <f>SUM(V25:V27)</f>
        <v>719</v>
      </c>
      <c r="W29" s="3"/>
    </row>
    <row r="30" spans="1:23" x14ac:dyDescent="0.25">
      <c r="F30" s="3"/>
      <c r="G30" s="3"/>
      <c r="H30" s="3"/>
      <c r="J30" s="3"/>
      <c r="K30" s="3"/>
      <c r="L30" s="3"/>
      <c r="M30" s="3"/>
      <c r="N30" s="3"/>
      <c r="P30" s="3"/>
      <c r="Q30" s="3"/>
      <c r="R30" s="3"/>
      <c r="S30" s="3"/>
      <c r="T30" s="3"/>
      <c r="V30" s="3"/>
      <c r="W30" s="3"/>
    </row>
    <row r="31" spans="1:23" x14ac:dyDescent="0.25">
      <c r="A31" t="s">
        <v>5</v>
      </c>
      <c r="D31" s="13">
        <v>1387</v>
      </c>
      <c r="F31" s="6">
        <v>1377</v>
      </c>
      <c r="G31" s="3"/>
      <c r="H31" s="6">
        <v>1336</v>
      </c>
      <c r="J31" s="6">
        <v>1253</v>
      </c>
      <c r="K31" s="3"/>
      <c r="L31" s="6">
        <v>1234</v>
      </c>
      <c r="M31" s="3"/>
      <c r="N31" s="6">
        <v>1161</v>
      </c>
      <c r="P31" s="6">
        <v>1094</v>
      </c>
      <c r="Q31" s="3"/>
      <c r="R31" s="6">
        <v>1027</v>
      </c>
      <c r="S31" s="3"/>
      <c r="T31" s="6">
        <v>952.8</v>
      </c>
      <c r="V31" s="6">
        <f>53.4+713.2</f>
        <v>766.6</v>
      </c>
      <c r="W31" s="3"/>
    </row>
    <row r="32" spans="1:23" x14ac:dyDescent="0.25">
      <c r="F32" s="3"/>
      <c r="G32" s="3"/>
      <c r="H32" s="3"/>
      <c r="J32" s="3"/>
      <c r="K32" s="3"/>
      <c r="L32" s="3"/>
      <c r="M32" s="3"/>
      <c r="N32" s="3"/>
      <c r="P32" s="3"/>
      <c r="Q32" s="3"/>
      <c r="R32" s="3"/>
      <c r="S32" s="3"/>
      <c r="T32" s="3"/>
      <c r="V32" s="3"/>
      <c r="W32" s="3"/>
    </row>
    <row r="33" spans="1:23" x14ac:dyDescent="0.25">
      <c r="A33" t="s">
        <v>6</v>
      </c>
      <c r="D33" s="3">
        <f>D29+D31</f>
        <v>2735.4</v>
      </c>
      <c r="F33" s="3">
        <f>F29+F31</f>
        <v>2725.4</v>
      </c>
      <c r="G33" s="3"/>
      <c r="H33" s="3">
        <f>H29+H31</f>
        <v>2675</v>
      </c>
      <c r="J33" s="3">
        <f>J29+J31</f>
        <v>2551.1999999999998</v>
      </c>
      <c r="K33" s="3"/>
      <c r="L33" s="3">
        <f>L29+L31</f>
        <v>2475.6</v>
      </c>
      <c r="M33" s="3"/>
      <c r="N33" s="3">
        <f>N29+N31</f>
        <v>2384.4</v>
      </c>
      <c r="P33" s="3">
        <f>P29+P31</f>
        <v>2143.4</v>
      </c>
      <c r="Q33" s="3"/>
      <c r="R33" s="3">
        <f>R29+R31</f>
        <v>1988.8</v>
      </c>
      <c r="S33" s="3"/>
      <c r="T33" s="3">
        <f>T29+T31</f>
        <v>1882.8</v>
      </c>
      <c r="V33" s="3">
        <f>V29+V31</f>
        <v>1485.6</v>
      </c>
      <c r="W33" s="3"/>
    </row>
    <row r="35" spans="1:23" x14ac:dyDescent="0.25">
      <c r="A35" t="s">
        <v>9</v>
      </c>
      <c r="D35" s="14">
        <f>D31/D33</f>
        <v>0.50705564085691301</v>
      </c>
      <c r="E35" s="15"/>
      <c r="F35" s="14">
        <f>F31/F33</f>
        <v>0.50524693622954431</v>
      </c>
      <c r="G35" s="15"/>
      <c r="H35" s="14">
        <f>H31/H33</f>
        <v>0.49943925233644859</v>
      </c>
      <c r="I35" s="15"/>
      <c r="J35" s="14">
        <f>J31/J33</f>
        <v>0.4911414236437755</v>
      </c>
      <c r="K35" s="15"/>
      <c r="L35" s="14">
        <f>L31/L33</f>
        <v>0.49846501858135406</v>
      </c>
      <c r="M35" s="14"/>
      <c r="N35" s="14">
        <f>N31/N33</f>
        <v>0.48691494715651734</v>
      </c>
      <c r="O35" s="15"/>
      <c r="P35" s="14">
        <f>P31/P33</f>
        <v>0.5104040309788187</v>
      </c>
      <c r="Q35" s="15"/>
      <c r="R35" s="14">
        <f>R31/R33</f>
        <v>0.51639179404666136</v>
      </c>
      <c r="S35" s="14"/>
      <c r="T35" s="14">
        <f>T31/T33</f>
        <v>0.50605481198215418</v>
      </c>
      <c r="U35" s="15"/>
      <c r="V35" s="14">
        <f>V31/V33</f>
        <v>0.51602046311254712</v>
      </c>
    </row>
    <row r="36" spans="1:23" x14ac:dyDescent="0.2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3" x14ac:dyDescent="0.25">
      <c r="A37" t="s">
        <v>10</v>
      </c>
      <c r="B37" s="1"/>
      <c r="D37" s="14">
        <f>D$31/(D$33-D$27)</f>
        <v>0.55635780184516648</v>
      </c>
      <c r="E37" s="15"/>
      <c r="F37" s="14">
        <f>F$31/(F$33-F$27)</f>
        <v>0.55457108336689487</v>
      </c>
      <c r="G37" s="15"/>
      <c r="H37" s="14">
        <f>H$31/(H$33-H$27)</f>
        <v>0.54463921728495723</v>
      </c>
      <c r="I37" s="15"/>
      <c r="J37" s="14">
        <f>J$31/(J$33-J$27)</f>
        <v>0.54031910306166453</v>
      </c>
      <c r="K37" s="15"/>
      <c r="L37" s="14">
        <f>L$31/(L$33-L$27)</f>
        <v>0.52465986394557829</v>
      </c>
      <c r="M37" s="15"/>
      <c r="N37" s="14">
        <f>N$31/(N$33-N$27)</f>
        <v>0.52226720647773284</v>
      </c>
      <c r="O37" s="15"/>
      <c r="P37" s="14">
        <f>P$31/(P$33-P$27)</f>
        <v>0.55196770938446016</v>
      </c>
      <c r="Q37" s="15"/>
      <c r="R37" s="14">
        <f>R$31/(R$33-R$27)</f>
        <v>0.51639179404666136</v>
      </c>
      <c r="S37" s="15"/>
      <c r="T37" s="14">
        <f>T$31/(T$33-T$27)</f>
        <v>0.50605481198215418</v>
      </c>
      <c r="U37" s="15"/>
      <c r="V37" s="14">
        <f>V$31/(V$33-V$27)</f>
        <v>0.51602046311254712</v>
      </c>
    </row>
    <row r="38" spans="1:23" x14ac:dyDescent="0.25">
      <c r="K38" s="9"/>
    </row>
  </sheetData>
  <pageMargins left="0.7" right="0.7" top="1" bottom="0.75" header="0.3" footer="0.5"/>
  <pageSetup scale="59" orientation="landscape" r:id="rId1"/>
  <headerFooter>
    <oddFooter>&amp;R&amp;"-,Bold"&amp;14Arbough Rebuttal Exhibit 1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2012-11-01T15:57:13Z</dcterms:created>
  <dcterms:modified xsi:type="dcterms:W3CDTF">2012-11-01T15:58:26Z</dcterms:modified>
</cp:coreProperties>
</file>