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8385" activeTab="0"/>
  </bookViews>
  <sheets>
    <sheet name="ku rates" sheetId="1" r:id="rId1"/>
    <sheet name="lge rates" sheetId="2" r:id="rId2"/>
    <sheet name="ku" sheetId="3" r:id="rId3"/>
    <sheet name="lge" sheetId="4" r:id="rId4"/>
  </sheets>
  <definedNames>
    <definedName name="_xlnm.Print_Area" localSheetId="2">'ku'!$A$1:$H$65</definedName>
    <definedName name="_xlnm.Print_Area" localSheetId="3">'lge'!$A$1:$H$34</definedName>
    <definedName name="_xlnm.Print_Area" localSheetId="1">'lge rates'!$A$1:$AD$181</definedName>
    <definedName name="_xlnm.Print_Titles" localSheetId="2">'ku'!$1:$4</definedName>
    <definedName name="_xlnm.Print_Titles" localSheetId="0">'ku rates'!$A:$B,'ku rates'!$1:$13</definedName>
    <definedName name="_xlnm.Print_Titles" localSheetId="3">'lge'!$2:$4</definedName>
    <definedName name="_xlnm.Print_Titles" localSheetId="1">'lge rates'!$A:$B,'lge rates'!$1:$10</definedName>
  </definedNames>
  <calcPr fullCalcOnLoad="1"/>
</workbook>
</file>

<file path=xl/comments2.xml><?xml version="1.0" encoding="utf-8"?>
<comments xmlns="http://schemas.openxmlformats.org/spreadsheetml/2006/main">
  <authors>
    <author>Larissa</author>
  </authors>
  <commentList>
    <comment ref="C1" authorId="0">
      <text>
        <r>
          <rPr>
            <b/>
            <sz val="8"/>
            <rFont val="Tahoma"/>
            <family val="0"/>
          </rPr>
          <t>Larissa Wyatt:  This spreadsheet is copied from an original file on the I drive\fasb143\depreciation rates\lge accrual schedules.xls</t>
        </r>
      </text>
    </comment>
  </commentList>
</comments>
</file>

<file path=xl/sharedStrings.xml><?xml version="1.0" encoding="utf-8"?>
<sst xmlns="http://schemas.openxmlformats.org/spreadsheetml/2006/main" count="1041" uniqueCount="508">
  <si>
    <t>Louisville Gas and Electric Company</t>
  </si>
  <si>
    <t>Facility</t>
  </si>
  <si>
    <t>Asset Description</t>
  </si>
  <si>
    <t>Asset Number</t>
  </si>
  <si>
    <t>Plant Acct</t>
  </si>
  <si>
    <t>Cost</t>
  </si>
  <si>
    <t>0112</t>
  </si>
  <si>
    <t>12-12-1 GRADING</t>
  </si>
  <si>
    <t>1131509AROP</t>
  </si>
  <si>
    <t>131100</t>
  </si>
  <si>
    <t>131100 Total</t>
  </si>
  <si>
    <t>0161</t>
  </si>
  <si>
    <t>CONCRETE FOSTER AND PAD FOR DEVCO PACKAGE SEWAGE TREATMENT PLANT</t>
  </si>
  <si>
    <t>1132399AROP</t>
  </si>
  <si>
    <t>PACKAGE SEWAGE TREATMENT PLANT</t>
  </si>
  <si>
    <t>1132404AROP</t>
  </si>
  <si>
    <t>CANE RUN LANDFILL</t>
  </si>
  <si>
    <t>1134814AROP</t>
  </si>
  <si>
    <t>CONSTRUCTION OF 849,881 CU. YD. FLU ASH POND</t>
  </si>
  <si>
    <t>1136412AROP</t>
  </si>
  <si>
    <t>FURNISH &amp; INSTALL PRE-ENGINEERED METAL ENCLOSURE FOR SEWAGE TREATMENT PLANT</t>
  </si>
  <si>
    <t>1141767AROP</t>
  </si>
  <si>
    <t>CONTRACT EQUIPMENT AND LABOR TO EXCAVATE STAGE 2 DEVELOPMENT- ASH WASTE POND</t>
  </si>
  <si>
    <t>1149033AROP</t>
  </si>
  <si>
    <t>0211</t>
  </si>
  <si>
    <t>STORAGE PILE</t>
  </si>
  <si>
    <t>1126696AROP</t>
  </si>
  <si>
    <t>0231</t>
  </si>
  <si>
    <t>12-10-9 SOUTH LANDFILL</t>
  </si>
  <si>
    <t>1127657AROP</t>
  </si>
  <si>
    <t>13-06-2 FUEL OIL TANKS AND ACCESSORIES</t>
  </si>
  <si>
    <t>1127837AROP</t>
  </si>
  <si>
    <t>131200</t>
  </si>
  <si>
    <t>131200 Total</t>
  </si>
  <si>
    <t>0241</t>
  </si>
  <si>
    <t>MC A POZOTEC LANDFILL</t>
  </si>
  <si>
    <t>1755793AROP</t>
  </si>
  <si>
    <t>0242</t>
  </si>
  <si>
    <t>13-05-62 STEEL REACTION TANKS</t>
  </si>
  <si>
    <t>1127093AROP</t>
  </si>
  <si>
    <t>0311</t>
  </si>
  <si>
    <t>05-03 LIME, COAL, FUEL OIL STORAGE AREA</t>
  </si>
  <si>
    <t>1130206AROP</t>
  </si>
  <si>
    <t>05-13 RELOCATE CORN CREEK, EMERGENCY FLYASH AND SLUDGE PONDS</t>
  </si>
  <si>
    <t>1130302AROP</t>
  </si>
  <si>
    <t>50-02 SEWAGE TREATMENT PLANT EQUIPMENT</t>
  </si>
  <si>
    <t>1132257AROP</t>
  </si>
  <si>
    <t>Grand Total</t>
  </si>
  <si>
    <t>CANE RUN 6 GSU REWIND</t>
  </si>
  <si>
    <t>1850199AROP</t>
  </si>
  <si>
    <t>135310</t>
  </si>
  <si>
    <t>0513</t>
  </si>
  <si>
    <t>GSU TRANSFORMER AND ASSEMBLE- WESTINGHOUSE 190000 KVA</t>
  </si>
  <si>
    <t>1108207AROP</t>
  </si>
  <si>
    <t>GSU TRANSF ANS ASSEMBLY, WESTINGHOUSE 220000 KVA 60 CYCLE TYPE FOA OUTDR POWE</t>
  </si>
  <si>
    <t>1108314AROP</t>
  </si>
  <si>
    <t>GSU WESTINGHOUSE MODEL ABM 1080-80, TYPE F0A SPARE</t>
  </si>
  <si>
    <t>1142644AROP</t>
  </si>
  <si>
    <t>0527</t>
  </si>
  <si>
    <t>GSU WESTINGHOUSE VOLT SINGLE PHASE TRANSFORMERS</t>
  </si>
  <si>
    <t>1121129AROP</t>
  </si>
  <si>
    <t>GSU WESTINGHOUSE 345,000Y/19,185-20,900 VOLT, SINGLE PHASE TRANSF, 123,000 KVA</t>
  </si>
  <si>
    <t>1121561AROP</t>
  </si>
  <si>
    <t>GSU GE CLASS FOA 1 PHASE 60 HZ MAIN GENERATOR TRANSFORMERS, VOLTAGE RATING 3</t>
  </si>
  <si>
    <t>1122727AROP</t>
  </si>
  <si>
    <t>GSU GE CLASS FOA SINGLE PHASE 60 HZ TRANSF, 345,000 GRY/199190-20900 VOLTAGE R</t>
  </si>
  <si>
    <t>1123008AROP</t>
  </si>
  <si>
    <t>GSU SEE VOLUMES OF INVENTORY IN FILE MARKED W-47</t>
  </si>
  <si>
    <t>1135331AROP</t>
  </si>
  <si>
    <t>0546</t>
  </si>
  <si>
    <t>GSU TRANSFER FROM TRIMBLE CO SWITCHING STATION (A78-514 A67600A) SEE JE800031997</t>
  </si>
  <si>
    <t>1119143AROP</t>
  </si>
  <si>
    <t>Kentucky Utilities</t>
  </si>
  <si>
    <t>5591</t>
  </si>
  <si>
    <t>5603</t>
  </si>
  <si>
    <t>FILL AND GRADE - COAL STORAGE AREA</t>
  </si>
  <si>
    <t>101197AROP</t>
  </si>
  <si>
    <t>STEEL CHLORINATOR TANK</t>
  </si>
  <si>
    <t>101251AROP</t>
  </si>
  <si>
    <t>ASH BASIN LINE</t>
  </si>
  <si>
    <t>101281AROP</t>
  </si>
  <si>
    <t>FUEL OIL STORAGE TANK-550 GALL</t>
  </si>
  <si>
    <t>122567AROP</t>
  </si>
  <si>
    <t>WESTINGHOUSE CIRCULATING WATER PUMPS, VERTICAL FLO</t>
  </si>
  <si>
    <t>101358AROP</t>
  </si>
  <si>
    <t>131400</t>
  </si>
  <si>
    <t>131400 Total</t>
  </si>
  <si>
    <t>5604</t>
  </si>
  <si>
    <t>14000 GAL FUEL OIL TANK</t>
  </si>
  <si>
    <t>100858AROP</t>
  </si>
  <si>
    <t>5614</t>
  </si>
  <si>
    <t>SEWAGE LIFT STATION PUMP AND M</t>
  </si>
  <si>
    <t>132623AROP</t>
  </si>
  <si>
    <t>500,000 GALLON TANK</t>
  </si>
  <si>
    <t>103939AROP</t>
  </si>
  <si>
    <t>5615</t>
  </si>
  <si>
    <t>SLUDGE POND FOR S02 SCRUBBER</t>
  </si>
  <si>
    <t>102983AROP</t>
  </si>
  <si>
    <t>DRAINAGE SYSTEM AROUND COAL YARD, PARKING AREA, AN</t>
  </si>
  <si>
    <t>103022AROP</t>
  </si>
  <si>
    <t>500 TON LIME STORAGE BIN</t>
  </si>
  <si>
    <t>103234AROP</t>
  </si>
  <si>
    <t>CAUSTIC STORAGE TANK</t>
  </si>
  <si>
    <t>1706389AROP</t>
  </si>
  <si>
    <t>5621</t>
  </si>
  <si>
    <t>8035.9 TONS 1/2" SCREENINGS TO SERVE AS FLOOR OF I</t>
  </si>
  <si>
    <t>101524AROP</t>
  </si>
  <si>
    <t>ASH POND</t>
  </si>
  <si>
    <t>114424AROP</t>
  </si>
  <si>
    <t>5623</t>
  </si>
  <si>
    <t>SEPTIC TANK</t>
  </si>
  <si>
    <t>132682AROP</t>
  </si>
  <si>
    <t>FUEL OIL STORAGE TANK</t>
  </si>
  <si>
    <t>102462AROP</t>
  </si>
  <si>
    <t>5639</t>
  </si>
  <si>
    <t>FUEL TANK/BERM&amp;LINER</t>
  </si>
  <si>
    <t>114355AROP</t>
  </si>
  <si>
    <t>134200</t>
  </si>
  <si>
    <t>134200 Total</t>
  </si>
  <si>
    <t>5641</t>
  </si>
  <si>
    <t>5650</t>
  </si>
  <si>
    <t>GYPSUM STACK DECANT STRUCTURE</t>
  </si>
  <si>
    <t>133299AROP</t>
  </si>
  <si>
    <t>5651</t>
  </si>
  <si>
    <t>ADDITION TO COAL YARD BASE</t>
  </si>
  <si>
    <t>104329AROP</t>
  </si>
  <si>
    <t>SEWER SYSTEM AND SEWAGE TREATING PLANT</t>
  </si>
  <si>
    <t>104352AROP</t>
  </si>
  <si>
    <t>100,000 GAL. OIL TANK, COMPLETE</t>
  </si>
  <si>
    <t>104400AROP</t>
  </si>
  <si>
    <t>5652</t>
  </si>
  <si>
    <t>FUEL OIL PIPING</t>
  </si>
  <si>
    <t>104973AROP</t>
  </si>
  <si>
    <t>5654</t>
  </si>
  <si>
    <t>CHEMICAL FEED TANK</t>
  </si>
  <si>
    <t>105544AROP</t>
  </si>
  <si>
    <t>ASH POND (WET OR DRY)</t>
  </si>
  <si>
    <t>133391AROP</t>
  </si>
  <si>
    <t>5635</t>
  </si>
  <si>
    <t>GSU CT5 TRANSFORMER</t>
  </si>
  <si>
    <t>1763547AROP</t>
  </si>
  <si>
    <t>T009</t>
  </si>
  <si>
    <t>GSU G.E. POWER TRANSFORMER 48000/64000/8000 KVA 30</t>
  </si>
  <si>
    <t>045084AROP</t>
  </si>
  <si>
    <t>GSU G.E. TYPE OA/FA/FA-T AUTO TRANSFORMER 60000/80000/</t>
  </si>
  <si>
    <t>045085AROP</t>
  </si>
  <si>
    <t>GSU TRANSF. 12500KVA,69000/13200KV, TYPE H-60,W91,2,3,</t>
  </si>
  <si>
    <t>045207AROP</t>
  </si>
  <si>
    <t>GSU 3 OHM TRANSFORMER 120/134.4MVA</t>
  </si>
  <si>
    <t>045281AROP</t>
  </si>
  <si>
    <t>T065</t>
  </si>
  <si>
    <t>GSU TRANSFORMER, 12,500KVA, 39830/69000Y T106</t>
  </si>
  <si>
    <t>051476AROP</t>
  </si>
  <si>
    <t>GSU TRANSFORMER, 12,500KVA, 39830/69000Y T107</t>
  </si>
  <si>
    <t>051477AROP</t>
  </si>
  <si>
    <t>GSU TRANSFORMER, 12,500KVA, 39830/69000Y T109</t>
  </si>
  <si>
    <t>051478AROP</t>
  </si>
  <si>
    <t>GSU TRANSFORMER, 12,500KVA, 39830/69000Y B-99</t>
  </si>
  <si>
    <t>051480AROP</t>
  </si>
  <si>
    <t>GSU TRANSFORMER, 12,500KVA, 39830/69000Y B-100</t>
  </si>
  <si>
    <t>051481AROP</t>
  </si>
  <si>
    <t>GSU TRANSFORMER, 12,500KVA, 39830/69000Y B-101</t>
  </si>
  <si>
    <t>051482AROP</t>
  </si>
  <si>
    <t>GSU TRANSFORMER, G.E. 80000KVA 13200 69000VOLTS #G-2</t>
  </si>
  <si>
    <t>051486AROP</t>
  </si>
  <si>
    <t>GSU TRANSFORMER, G.E. 6,250 KVA 69000Y/24000</t>
  </si>
  <si>
    <t>051487AROP</t>
  </si>
  <si>
    <t>T117</t>
  </si>
  <si>
    <t>GSU WEST TRANSFORMER, MAIN POWER, 120000 KVA, 30 13800</t>
  </si>
  <si>
    <t>058941AROP</t>
  </si>
  <si>
    <t>GSU GE TRANSFORMER, FDA-T-60 1850,000KVA-138,000KVA</t>
  </si>
  <si>
    <t>059009AROP</t>
  </si>
  <si>
    <t>T152</t>
  </si>
  <si>
    <t>GSU MCGRAW EDISON 450 MVA 30 POWER TRANSFORMER</t>
  </si>
  <si>
    <t>062433AROP</t>
  </si>
  <si>
    <t>T165</t>
  </si>
  <si>
    <t>GSU MAIN POWER TRANSFORMER</t>
  </si>
  <si>
    <t>063991AROP</t>
  </si>
  <si>
    <t>GSU MAIN POWER TRANSF. COMPLETE W/ACCESS., 550MVA,3O,</t>
  </si>
  <si>
    <t>064114AROP</t>
  </si>
  <si>
    <t>GSU MAIN POWER TRANSF.540MVA</t>
  </si>
  <si>
    <t>064115AROP</t>
  </si>
  <si>
    <t>GSU 145/18KV,600 MVA TRANSFORMER SPARE</t>
  </si>
  <si>
    <t>1732720AROP</t>
  </si>
  <si>
    <t>GSU 345/21KV,605 MVA TRANSFORMER GHENT 3</t>
  </si>
  <si>
    <t>1732740AROP</t>
  </si>
  <si>
    <t>T227</t>
  </si>
  <si>
    <t>GSU 130MVA XFRM 3P,GOO53</t>
  </si>
  <si>
    <t>114313AROP</t>
  </si>
  <si>
    <t>GSU 130 MVA XFMR G0054, 145-13 KV, 3P</t>
  </si>
  <si>
    <t>123128AROP</t>
  </si>
  <si>
    <t>GSU TRANSF. 130MVA,13.8KV,3P,ABB,S/N:LNM59612</t>
  </si>
  <si>
    <t>137939AROP</t>
  </si>
  <si>
    <t>GSU TRANSF. 130MVA,13.8KV,3P,ABB,S/N:LNM59611</t>
  </si>
  <si>
    <t>137940AROP</t>
  </si>
  <si>
    <t>GSU POWER TRANSFORMER- CT 6</t>
  </si>
  <si>
    <t>142246AROP</t>
  </si>
  <si>
    <t>GSU POWER TRANSFORMER - CT 7</t>
  </si>
  <si>
    <t>142247AROP</t>
  </si>
  <si>
    <t xml:space="preserve">         LOUISVILLE GAS AND ELECTRIC  COMPANY</t>
  </si>
  <si>
    <t>DETERMINATION OF NET SALVAGE COMPONENT IN  DEPRECIATION RATES</t>
  </si>
  <si>
    <t xml:space="preserve">              BASED ON  DEPRECIATION STUDY AS OF 12/31/99</t>
  </si>
  <si>
    <t>Depreciation Rates per Depreciation Study Dated February 2001</t>
  </si>
  <si>
    <t>Calculated Net Salvage Rates</t>
  </si>
  <si>
    <t xml:space="preserve">   ACCOUNT</t>
  </si>
  <si>
    <t xml:space="preserve">  DESCRIPTION</t>
  </si>
  <si>
    <t xml:space="preserve">  PLANT</t>
  </si>
  <si>
    <t xml:space="preserve">    DISP</t>
  </si>
  <si>
    <t xml:space="preserve">   ASL</t>
  </si>
  <si>
    <t>EST</t>
  </si>
  <si>
    <t xml:space="preserve"> NET SALVAGE</t>
  </si>
  <si>
    <t>12/31/99</t>
  </si>
  <si>
    <t>BALANCE</t>
  </si>
  <si>
    <t xml:space="preserve">   EST</t>
  </si>
  <si>
    <t xml:space="preserve">   ANN DEP</t>
  </si>
  <si>
    <t xml:space="preserve">  ACCRUAL</t>
  </si>
  <si>
    <t xml:space="preserve">Recoverable </t>
  </si>
  <si>
    <t xml:space="preserve">Net salvage </t>
  </si>
  <si>
    <t>Salv/Depr</t>
  </si>
  <si>
    <t xml:space="preserve">   NUMBER</t>
  </si>
  <si>
    <t>PCT</t>
  </si>
  <si>
    <t xml:space="preserve">     AMOUNT</t>
  </si>
  <si>
    <t xml:space="preserve">  DEPRECIATION </t>
  </si>
  <si>
    <t xml:space="preserve"> TO BE</t>
  </si>
  <si>
    <t xml:space="preserve">   REM</t>
  </si>
  <si>
    <t xml:space="preserve">   AMOUNT</t>
  </si>
  <si>
    <t xml:space="preserve">     RATE</t>
  </si>
  <si>
    <t>Balance Excl</t>
  </si>
  <si>
    <t xml:space="preserve">   AMOUNT Excl.</t>
  </si>
  <si>
    <t xml:space="preserve">     RATE Excl</t>
  </si>
  <si>
    <t xml:space="preserve">Rate </t>
  </si>
  <si>
    <t>Ratio</t>
  </si>
  <si>
    <t xml:space="preserve">   NUMBER/</t>
  </si>
  <si>
    <t>@12/31/99</t>
  </si>
  <si>
    <t xml:space="preserve">  BOOK RESERVE</t>
  </si>
  <si>
    <t>RECOVERED</t>
  </si>
  <si>
    <t xml:space="preserve">  LIFE</t>
  </si>
  <si>
    <t>Net Salvage</t>
  </si>
  <si>
    <t>FACILITY</t>
  </si>
  <si>
    <t>STEAM PRODUCTION PLANT</t>
  </si>
  <si>
    <t>CANE RUN EXCLUDING S.D.R.S.</t>
  </si>
  <si>
    <t>0141</t>
  </si>
  <si>
    <t>CANE RUN UNIT #4</t>
  </si>
  <si>
    <t>FORECAST</t>
  </si>
  <si>
    <t>NOx  Projects</t>
  </si>
  <si>
    <t>2000</t>
  </si>
  <si>
    <t>2001</t>
  </si>
  <si>
    <t>SUBTOTAL CANE RUN #4</t>
  </si>
  <si>
    <t>0151</t>
  </si>
  <si>
    <t>CANE RUN UNIT #5</t>
  </si>
  <si>
    <t>2002</t>
  </si>
  <si>
    <t>SUBTOTAL CANE RUN #5</t>
  </si>
  <si>
    <t>CANE RUN UNIT #6</t>
  </si>
  <si>
    <t xml:space="preserve"> </t>
  </si>
  <si>
    <t>SUBTOTAL CANE RUN #6</t>
  </si>
  <si>
    <t>SUBTOTAL CANE RUN EXCL. S.D.R.S.</t>
  </si>
  <si>
    <t>CANE RUN STATION - S.D.R.S.</t>
  </si>
  <si>
    <t>0142</t>
  </si>
  <si>
    <t xml:space="preserve">        F U L L Y    D E P R E C I A T E D</t>
  </si>
  <si>
    <t>0152</t>
  </si>
  <si>
    <t>0162</t>
  </si>
  <si>
    <t>SUBTOTAL CANE RUN - S.D.R.S.</t>
  </si>
  <si>
    <t>TOTAL CANE RUN</t>
  </si>
  <si>
    <t xml:space="preserve">  </t>
  </si>
  <si>
    <t>MILL CREEK STATION</t>
  </si>
  <si>
    <t>MILL CREEK STATION EXCLUDING S.D.R.S.</t>
  </si>
  <si>
    <t>MILL CREEK UNIT #1</t>
  </si>
  <si>
    <t>SUBTOTAL MILL CREEK #1</t>
  </si>
  <si>
    <t>0221</t>
  </si>
  <si>
    <t>MILL CREEK UNIT #2</t>
  </si>
  <si>
    <t>SUBTOTAL MILL CREEK #2</t>
  </si>
  <si>
    <t>MILL CREEK UNIT #3</t>
  </si>
  <si>
    <t>SUBTOTAL MILL CREEK #3</t>
  </si>
  <si>
    <t>MILL CREEK UNIT #4</t>
  </si>
  <si>
    <t>SUBTOTAL MILL CREEK #4</t>
  </si>
  <si>
    <t>SUBTOTAL MILL CREEK EXCL. S.D.R.S.</t>
  </si>
  <si>
    <t>MILL CREEK STATION - S.D.R.S.</t>
  </si>
  <si>
    <t>0212</t>
  </si>
  <si>
    <t>MILL CREEK STATION UNIT #1</t>
  </si>
  <si>
    <t>0222</t>
  </si>
  <si>
    <t>MILL CREEK STATION UNIT #2</t>
  </si>
  <si>
    <t>0232</t>
  </si>
  <si>
    <t>MILL CREEK STATION UNIT #3</t>
  </si>
  <si>
    <t>MILL CREEK STATION UNIT #4</t>
  </si>
  <si>
    <t>SUBTOTAL MILL CREEK STATION - S.D.R.S.</t>
  </si>
  <si>
    <t>TOTAL MILL CREEK STATION</t>
  </si>
  <si>
    <t>TRIMBLE COUNTY</t>
  </si>
  <si>
    <t>TRIMBLE COUNTY - UNIT #1</t>
  </si>
  <si>
    <t>SUBTOTAL TRIMBLE COUNTY UNIT #1</t>
  </si>
  <si>
    <t>0312</t>
  </si>
  <si>
    <t>TRIMBLE COUNTY - S.D.R.S</t>
  </si>
  <si>
    <t>TOTAL TRIMBLE COUNTY</t>
  </si>
  <si>
    <t>TOTAL DEPREC. STEAM PROD. PLANT</t>
  </si>
  <si>
    <t>OTHER PRODUCTION PLANT</t>
  </si>
  <si>
    <t>0420</t>
  </si>
  <si>
    <t xml:space="preserve">WATERSIDE </t>
  </si>
  <si>
    <t>0410</t>
  </si>
  <si>
    <t xml:space="preserve">ZORN AND RIVER ROAD </t>
  </si>
  <si>
    <t>0430</t>
  </si>
  <si>
    <t>PADDY'S RUN UNIT 11</t>
  </si>
  <si>
    <t>0431</t>
  </si>
  <si>
    <t>PADDY'S RUNT UNIT 12</t>
  </si>
  <si>
    <t>0171</t>
  </si>
  <si>
    <t>CANE RUN</t>
  </si>
  <si>
    <t>0460</t>
  </si>
  <si>
    <t>E.W. BROWN UNIT 6</t>
  </si>
  <si>
    <t>0461</t>
  </si>
  <si>
    <t>E.W. BROWN UNIT 7</t>
  </si>
  <si>
    <t>N/A</t>
  </si>
  <si>
    <t>E.W. BROWN UNIT PIPELINE UNIT 11</t>
  </si>
  <si>
    <t>TOTAL OTHER PRODUCTION PLANT</t>
  </si>
  <si>
    <t>TRANSMISSION PLANT</t>
  </si>
  <si>
    <t>LINES LAND RIGHTS</t>
  </si>
  <si>
    <t>SQ</t>
  </si>
  <si>
    <t>SUBSTATION STRUCTURES</t>
  </si>
  <si>
    <t xml:space="preserve">   R  4.0</t>
  </si>
  <si>
    <t>SUBSTATION EQUIPMENT</t>
  </si>
  <si>
    <t xml:space="preserve">   S  3.0</t>
  </si>
  <si>
    <t>TOWERS &amp; FIXTURES</t>
  </si>
  <si>
    <t>POLES &amp; FIXTURES</t>
  </si>
  <si>
    <t xml:space="preserve">   R  2.0</t>
  </si>
  <si>
    <t>OH CONDUCTORS &amp; DEVICES</t>
  </si>
  <si>
    <t xml:space="preserve">   R  3.0</t>
  </si>
  <si>
    <t>UNDERGROUND CONDUIT</t>
  </si>
  <si>
    <t>UG CONDUCTORS &amp; DEVICES</t>
  </si>
  <si>
    <t>TOTAL DEPREC. TRANSMISSION PLANT</t>
  </si>
  <si>
    <t>DISTRIBUTION PLANT</t>
  </si>
  <si>
    <t>SUBSTATION STRUCTURES - A</t>
  </si>
  <si>
    <t>OTHER STRUCTURES</t>
  </si>
  <si>
    <t>SUBSTATION EQUIPMENT - A</t>
  </si>
  <si>
    <t>SUBSTATION EQUIPMENT - B</t>
  </si>
  <si>
    <t xml:space="preserve">   R  1.0</t>
  </si>
  <si>
    <t>POLES, TOWERS, &amp; FIXTURES</t>
  </si>
  <si>
    <t>OH CONDUCTORS</t>
  </si>
  <si>
    <t xml:space="preserve">   R  5.0</t>
  </si>
  <si>
    <t>LINE TRANSFORMERS</t>
  </si>
  <si>
    <t>UNDERGROUND SERVICES</t>
  </si>
  <si>
    <t xml:space="preserve">   L  5.0</t>
  </si>
  <si>
    <t>OVERHEAD SERVICES</t>
  </si>
  <si>
    <t>METERS</t>
  </si>
  <si>
    <t xml:space="preserve">   R  2.5</t>
  </si>
  <si>
    <t>OVERHEAD STREET LIGHTING</t>
  </si>
  <si>
    <t>UNDERGROUND STREET LIGHTING</t>
  </si>
  <si>
    <t>STREET LIGHTING TRANSFORMERS</t>
  </si>
  <si>
    <t xml:space="preserve">             F U L L Y  D E P R.</t>
  </si>
  <si>
    <t>STREET LIGHTING TRANS. INSTL.</t>
  </si>
  <si>
    <t>TOTAL DEPREC. DISTR. PLANT</t>
  </si>
  <si>
    <t>GENERAL PLANT</t>
  </si>
  <si>
    <t>TRANSPORTATION EQUIP-TRAILERS</t>
  </si>
  <si>
    <t>SHOP EQUIPMENT</t>
  </si>
  <si>
    <t xml:space="preserve">   S  0.5</t>
  </si>
  <si>
    <t>OTHER EQUIPMENT</t>
  </si>
  <si>
    <t>LABORATORY EQUIPMENT</t>
  </si>
  <si>
    <t>POWER OPERATED EQUIPMENT-TRAILERS</t>
  </si>
  <si>
    <t>TOTAL DEPREC. GENERAL PLANT</t>
  </si>
  <si>
    <t>TOTAL DEPREC. ELECTRIC PLANT</t>
  </si>
  <si>
    <t>EXCLUSIONS FROM THIS REPORT</t>
  </si>
  <si>
    <t>0432</t>
  </si>
  <si>
    <t>PADDY'S RUN GENERATOR 13</t>
  </si>
  <si>
    <t>0459</t>
  </si>
  <si>
    <t>BROWN COMBUSTION TURBINE #5</t>
  </si>
  <si>
    <t>0470</t>
  </si>
  <si>
    <t>TRIMBLE COUNTY #5</t>
  </si>
  <si>
    <t>0471</t>
  </si>
  <si>
    <t>TRIMBLE COUNTY #6</t>
  </si>
  <si>
    <t>0473</t>
  </si>
  <si>
    <t>TRIMBLE COUNTY CT PIPELINE</t>
  </si>
  <si>
    <t>CANE RUN UNIT #1</t>
  </si>
  <si>
    <t>0121</t>
  </si>
  <si>
    <t>CANE RUN UNIT #2</t>
  </si>
  <si>
    <t>0131</t>
  </si>
  <si>
    <t>CANE RUN UNIT #3</t>
  </si>
  <si>
    <t>0103</t>
  </si>
  <si>
    <t>CANE RUN-LOCOMOTIVES</t>
  </si>
  <si>
    <t>0104</t>
  </si>
  <si>
    <t>CANE RUN-LOCOMOTIVE RAILCARS</t>
  </si>
  <si>
    <t>0202</t>
  </si>
  <si>
    <t>MILL CREEK-LAND</t>
  </si>
  <si>
    <t>0203</t>
  </si>
  <si>
    <t>MILL CREEK-LOCOMOTIVES</t>
  </si>
  <si>
    <t>0204</t>
  </si>
  <si>
    <t>MILL CREEK-LOCOMOTIVE RAILCARS</t>
  </si>
  <si>
    <t>0450</t>
  </si>
  <si>
    <t>OHIO FALLS - NON PROJECT</t>
  </si>
  <si>
    <t>0451</t>
  </si>
  <si>
    <t>OHIO FALLS - PROJECT 289</t>
  </si>
  <si>
    <t>THIS SCHEDULE IS CREATED FOR KENTUCKY UTILITIES</t>
  </si>
  <si>
    <t>CREATED ON 10/05/00 BY MARCY STEFAN</t>
  </si>
  <si>
    <t>REV. 1/23/01 CHANGED GHENT SALV% TO -9%</t>
  </si>
  <si>
    <t xml:space="preserve">                     KENTUCKY UTILITIES COMPANY</t>
  </si>
  <si>
    <t xml:space="preserve">               DEPRECIATION STUDY AS OF 12/31/99</t>
  </si>
  <si>
    <t xml:space="preserve">               SCHEDULE OF INDICATED REMAINING LIFE ACCRUAL RATES</t>
  </si>
  <si>
    <t>Account/</t>
  </si>
  <si>
    <t>Location</t>
  </si>
  <si>
    <t>Number</t>
  </si>
  <si>
    <t>E. W. BROWN PLANT</t>
  </si>
  <si>
    <t>E. W. BROWN UNIT #1</t>
  </si>
  <si>
    <t>SUBTOTAL  E.W. BROWN UNIT #1</t>
  </si>
  <si>
    <t>E. W. BROWN UNIT #2</t>
  </si>
  <si>
    <t>Other Mandatory Projects</t>
  </si>
  <si>
    <t>5622</t>
  </si>
  <si>
    <t>SUBTOTAL E.W. BROWN UNIT #2</t>
  </si>
  <si>
    <t>E. W. BROWN UNIT #3</t>
  </si>
  <si>
    <t>2003</t>
  </si>
  <si>
    <t>2004</t>
  </si>
  <si>
    <t>SUBTOTAL  E.W. BROWN UNIT #3</t>
  </si>
  <si>
    <t>TOTAL E. W. BROWN PLANT</t>
  </si>
  <si>
    <t>GHENT PLANT</t>
  </si>
  <si>
    <t>GHENT PLANT EXCL. S.D.R.S.</t>
  </si>
  <si>
    <t>GHENT UNIT #1</t>
  </si>
  <si>
    <t>2005</t>
  </si>
  <si>
    <t>SUBTOTAL GHENT UNIT #1</t>
  </si>
  <si>
    <t>GHENT UNIT #2</t>
  </si>
  <si>
    <t>SUBTOTAL GHENT UNIT #2</t>
  </si>
  <si>
    <t>GHENT UNIT #3</t>
  </si>
  <si>
    <t>5653</t>
  </si>
  <si>
    <t>SUBTOTAL GHENT UNIT  #3</t>
  </si>
  <si>
    <t>GHENT UNIT #4</t>
  </si>
  <si>
    <t>SUBTOTAL GHENT UNIT #4</t>
  </si>
  <si>
    <t>TOTAL GHENT PLANT EXCL. S.D.R.S.</t>
  </si>
  <si>
    <t>GHENT PLANT- S.D.R.S.</t>
  </si>
  <si>
    <t xml:space="preserve">GHENT UNIT #1 </t>
  </si>
  <si>
    <t>SUBTOTAL GHENT#2</t>
  </si>
  <si>
    <t>TOTAL GHENT PLANT-S.D.R.S.</t>
  </si>
  <si>
    <t>TOTAL GHENT PLANT</t>
  </si>
  <si>
    <t>GREEN RIVER PLANT</t>
  </si>
  <si>
    <t>GREEN RIVER UNITS #1 &amp; #2</t>
  </si>
  <si>
    <t>GREEN RIVER UNIT #3</t>
  </si>
  <si>
    <t>5613</t>
  </si>
  <si>
    <t>SUBTOTAL GREEN RIVER UNIT #3</t>
  </si>
  <si>
    <t>GREEN RIVER UNIT #4</t>
  </si>
  <si>
    <t>TOTAL GREEN RIVER PLANT</t>
  </si>
  <si>
    <t>PINEVILLE UNIT #3</t>
  </si>
  <si>
    <t>5643</t>
  </si>
  <si>
    <t>SUBTOTAL PINEVILLE UNIT #3</t>
  </si>
  <si>
    <t>SYSTEM LAB</t>
  </si>
  <si>
    <t>TYRONE UNIT #3</t>
  </si>
  <si>
    <t>SUBTOTAL TYRONE UNIT #3</t>
  </si>
  <si>
    <t xml:space="preserve">TOTAL DEPREC. STEAM </t>
  </si>
  <si>
    <t xml:space="preserve"> PRODUCTION PLANT</t>
  </si>
  <si>
    <t>HYDRAULIC PRODUCTION PLANT</t>
  </si>
  <si>
    <t>5691</t>
  </si>
  <si>
    <t>DIX DAM</t>
  </si>
  <si>
    <t>5692</t>
  </si>
  <si>
    <t>LOCK 7</t>
  </si>
  <si>
    <t xml:space="preserve">TOTAL DEPREC.HYDRAULIC </t>
  </si>
  <si>
    <t>5636</t>
  </si>
  <si>
    <t>E. W. BROWN #6</t>
  </si>
  <si>
    <t>5637</t>
  </si>
  <si>
    <t>E. W. BROWN #7</t>
  </si>
  <si>
    <t>5638</t>
  </si>
  <si>
    <t>E. W. BROWN #8</t>
  </si>
  <si>
    <t>E. W. BROWN #9</t>
  </si>
  <si>
    <t>5640</t>
  </si>
  <si>
    <t>E. W. BROWN #10</t>
  </si>
  <si>
    <t>E. W. BROWN #11</t>
  </si>
  <si>
    <t>LAND RIGHTS</t>
  </si>
  <si>
    <t>STRUCTURES &amp; IMPROVEMENTS</t>
  </si>
  <si>
    <t>MICROWAVE EQUIPMENT</t>
  </si>
  <si>
    <t>STATION EQUIPMENT</t>
  </si>
  <si>
    <t xml:space="preserve">   R  1.5</t>
  </si>
  <si>
    <t xml:space="preserve">   S  0.0</t>
  </si>
  <si>
    <t>SERVICES</t>
  </si>
  <si>
    <t>INSTALL. ON CUSTOMERS' PREM.</t>
  </si>
  <si>
    <t xml:space="preserve">   L  0.0</t>
  </si>
  <si>
    <t>STREET LIGHTING &amp; SIG. SYSTEM</t>
  </si>
  <si>
    <t>IMPROVEMENTS TO OWNED PROPERTY</t>
  </si>
  <si>
    <t xml:space="preserve">   S  1.0</t>
  </si>
  <si>
    <t>OFFICE EQUIPMENT</t>
  </si>
  <si>
    <t>STORES EQUIPMENT</t>
  </si>
  <si>
    <t xml:space="preserve">   L  3.0</t>
  </si>
  <si>
    <t>TOOLS, SHOP, &amp; GARAGE EQUIPMENT</t>
  </si>
  <si>
    <t xml:space="preserve">   L  1.5</t>
  </si>
  <si>
    <t>POWER OPERATED EQUIPMENT</t>
  </si>
  <si>
    <t>COMMUNICATION EQUIPMENT</t>
  </si>
  <si>
    <t>MISC. EQUIPMENT</t>
  </si>
  <si>
    <t>INTANGIBLE PLANT</t>
  </si>
  <si>
    <t>LAND &amp; LAND RIGHTS</t>
  </si>
  <si>
    <t>PINEVILLE UNITS #1 &amp; #2</t>
  </si>
  <si>
    <t>TYRONE #1 &amp; #2</t>
  </si>
  <si>
    <t>HAFLING #1, #2, &amp; #3</t>
  </si>
  <si>
    <t>LAND</t>
  </si>
  <si>
    <t>STRUCTURES</t>
  </si>
  <si>
    <t>COMPUTER EQUIPMENT</t>
  </si>
  <si>
    <t>TRANSPORTATION EQUIPMENT</t>
  </si>
  <si>
    <t>TOTAL ELECTRIC PLANT</t>
  </si>
  <si>
    <t>Exclusions from this Report</t>
  </si>
  <si>
    <t>SYSTEM LABORATORY</t>
  </si>
  <si>
    <t>TYRONE UNIT 1 &amp; 2</t>
  </si>
  <si>
    <t>5644</t>
  </si>
  <si>
    <t>PINEVILLE UNIT 1 &amp; 2</t>
  </si>
  <si>
    <t>5659</t>
  </si>
  <si>
    <t>GHENT UNIT 4 RAILROAD CARS</t>
  </si>
  <si>
    <t xml:space="preserve">BROWN CT UNIT 5 </t>
  </si>
  <si>
    <t>5645</t>
  </si>
  <si>
    <t>BROWN CT UNIT 9 GAS PIPELINE</t>
  </si>
  <si>
    <t>5696</t>
  </si>
  <si>
    <t>HAEFLING UNITS 1, 2, &amp; 3</t>
  </si>
  <si>
    <t>TRIMBLE COUNTY CT UNIT 5</t>
  </si>
  <si>
    <t>TRIMBLE COUNTY CT UNIT 6</t>
  </si>
  <si>
    <t>Rate</t>
  </si>
  <si>
    <t>COR</t>
  </si>
  <si>
    <t>135310 Total</t>
  </si>
  <si>
    <t>1141907AROP</t>
  </si>
  <si>
    <t>12-23-1 CELLS</t>
  </si>
  <si>
    <t>YTD</t>
  </si>
  <si>
    <t>April 2004 Cost of Removal for FASB 143 Parent Assets</t>
  </si>
  <si>
    <t>Apr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</si>
</sst>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  <numFmt numFmtId="169" formatCode="#,##0.0000"/>
  </numFmts>
  <fonts count="10">
    <font>
      <sz val="10"/>
      <name val="Arial"/>
      <family val="0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ill="1" applyBorder="1" applyAlignment="1" applyProtection="1">
      <alignment/>
      <protection/>
    </xf>
    <xf numFmtId="4" fontId="1" fillId="0" borderId="0" xfId="0" applyNumberFormat="1" applyFill="1" applyBorder="1" applyAlignment="1" applyProtection="1">
      <alignment/>
      <protection/>
    </xf>
    <xf numFmtId="43" fontId="0" fillId="0" borderId="0" xfId="15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quotePrefix="1">
      <alignment horizontal="left"/>
    </xf>
    <xf numFmtId="164" fontId="6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horizontal="left"/>
    </xf>
    <xf numFmtId="164" fontId="0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2" xfId="0" applyBorder="1" applyAlignment="1">
      <alignment/>
    </xf>
    <xf numFmtId="164" fontId="0" fillId="0" borderId="2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3" fillId="0" borderId="0" xfId="15" applyFont="1" applyFill="1" applyBorder="1" applyAlignment="1" applyProtection="1">
      <alignment horizontal="center"/>
      <protection/>
    </xf>
    <xf numFmtId="169" fontId="1" fillId="0" borderId="0" xfId="0" applyNumberFormat="1" applyFill="1" applyBorder="1" applyAlignment="1" applyProtection="1">
      <alignment/>
      <protection/>
    </xf>
    <xf numFmtId="43" fontId="1" fillId="0" borderId="0" xfId="15" applyFill="1" applyBorder="1" applyAlignment="1" applyProtection="1">
      <alignment/>
      <protection/>
    </xf>
    <xf numFmtId="43" fontId="0" fillId="0" borderId="0" xfId="15" applyAlignment="1">
      <alignment horizontal="center"/>
    </xf>
    <xf numFmtId="0" fontId="1" fillId="0" borderId="0" xfId="0" applyNumberFormat="1" applyFill="1" applyBorder="1" applyAlignment="1" applyProtection="1">
      <alignment horizontal="center" vertical="center"/>
      <protection/>
    </xf>
    <xf numFmtId="4" fontId="1" fillId="0" borderId="0" xfId="0" applyNumberFormat="1" applyFill="1" applyBorder="1" applyAlignment="1" applyProtection="1">
      <alignment horizontal="center" vertical="center"/>
      <protection/>
    </xf>
    <xf numFmtId="169" fontId="1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69" fontId="3" fillId="0" borderId="0" xfId="0" applyNumberFormat="1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ill="1" applyBorder="1" applyAlignment="1" applyProtection="1">
      <alignment horizontal="center" vertical="top"/>
      <protection/>
    </xf>
    <xf numFmtId="0" fontId="1" fillId="0" borderId="0" xfId="0" applyNumberFormat="1" applyFill="1" applyBorder="1" applyAlignment="1" applyProtection="1">
      <alignment horizontal="left" vertical="top"/>
      <protection/>
    </xf>
    <xf numFmtId="4" fontId="1" fillId="0" borderId="0" xfId="0" applyNumberFormat="1" applyFill="1" applyBorder="1" applyAlignment="1" applyProtection="1">
      <alignment horizontal="center" vertical="top"/>
      <protection/>
    </xf>
    <xf numFmtId="164" fontId="0" fillId="0" borderId="0" xfId="0" applyNumberFormat="1" applyAlignment="1">
      <alignment horizontal="center" vertical="top"/>
    </xf>
    <xf numFmtId="43" fontId="0" fillId="0" borderId="0" xfId="15" applyAlignment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Alignment="1">
      <alignment horizontal="center" vertical="top"/>
    </xf>
    <xf numFmtId="43" fontId="4" fillId="0" borderId="0" xfId="15" applyFont="1" applyAlignment="1">
      <alignment horizontal="center" vertical="top"/>
    </xf>
    <xf numFmtId="169" fontId="1" fillId="0" borderId="0" xfId="0" applyNumberFormat="1" applyFill="1" applyBorder="1" applyAlignment="1" applyProtection="1">
      <alignment horizontal="center" vertical="top"/>
      <protection/>
    </xf>
    <xf numFmtId="43" fontId="1" fillId="0" borderId="0" xfId="15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horizontal="center" vertical="top"/>
      <protection/>
    </xf>
    <xf numFmtId="43" fontId="3" fillId="0" borderId="0" xfId="15" applyFont="1" applyFill="1" applyBorder="1" applyAlignment="1" applyProtection="1">
      <alignment horizontal="center" vertical="top"/>
      <protection/>
    </xf>
    <xf numFmtId="43" fontId="1" fillId="0" borderId="1" xfId="15" applyFill="1" applyBorder="1" applyAlignment="1" applyProtection="1">
      <alignment horizontal="center" vertical="top"/>
      <protection/>
    </xf>
    <xf numFmtId="43" fontId="0" fillId="0" borderId="1" xfId="15" applyBorder="1" applyAlignment="1">
      <alignment horizontal="center" vertical="top"/>
    </xf>
    <xf numFmtId="39" fontId="1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>
      <alignment horizontal="center" vertical="top"/>
    </xf>
    <xf numFmtId="43" fontId="0" fillId="0" borderId="0" xfId="15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3" fontId="4" fillId="0" borderId="0" xfId="15" applyFont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" fontId="3" fillId="0" borderId="4" xfId="0" applyNumberFormat="1" applyFont="1" applyFill="1" applyBorder="1" applyAlignment="1" applyProtection="1">
      <alignment horizontal="center" vertical="top"/>
      <protection/>
    </xf>
    <xf numFmtId="43" fontId="4" fillId="0" borderId="4" xfId="15" applyFont="1" applyBorder="1" applyAlignment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164" fontId="4" fillId="0" borderId="1" xfId="0" applyNumberFormat="1" applyFont="1" applyBorder="1" applyAlignment="1">
      <alignment horizontal="center" vertical="top"/>
    </xf>
    <xf numFmtId="43" fontId="4" fillId="0" borderId="1" xfId="15" applyFont="1" applyBorder="1" applyAlignment="1">
      <alignment horizontal="center" vertical="top"/>
    </xf>
    <xf numFmtId="16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4" xfId="0" applyNumberFormat="1" applyFont="1" applyFill="1" applyBorder="1" applyAlignment="1" applyProtection="1">
      <alignment/>
      <protection/>
    </xf>
    <xf numFmtId="43" fontId="3" fillId="0" borderId="4" xfId="15" applyFont="1" applyFill="1" applyBorder="1" applyAlignment="1" applyProtection="1">
      <alignment horizontal="center" vertical="top"/>
      <protection/>
    </xf>
    <xf numFmtId="43" fontId="3" fillId="0" borderId="1" xfId="15" applyFont="1" applyFill="1" applyBorder="1" applyAlignment="1" applyProtection="1">
      <alignment horizontal="center" vertical="top"/>
      <protection/>
    </xf>
    <xf numFmtId="39" fontId="3" fillId="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0" fillId="0" borderId="1" xfId="15" applyBorder="1" applyAlignment="1">
      <alignment/>
    </xf>
    <xf numFmtId="43" fontId="1" fillId="0" borderId="1" xfId="15" applyFill="1" applyBorder="1" applyAlignment="1" applyProtection="1">
      <alignment/>
      <protection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3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12.421875" style="11" customWidth="1"/>
    <col min="2" max="2" width="34.28125" style="11" customWidth="1"/>
    <col min="3" max="3" width="3.00390625" style="11" customWidth="1"/>
    <col min="4" max="4" width="13.7109375" style="11" customWidth="1"/>
    <col min="5" max="5" width="3.421875" style="11" customWidth="1"/>
    <col min="6" max="6" width="12.421875" style="11" customWidth="1"/>
    <col min="7" max="7" width="9.8515625" style="11" customWidth="1"/>
    <col min="8" max="8" width="8.57421875" style="11" customWidth="1"/>
    <col min="9" max="9" width="20.140625" style="11" customWidth="1"/>
    <col min="10" max="10" width="17.57421875" style="11" customWidth="1"/>
    <col min="11" max="11" width="3.421875" style="11" customWidth="1"/>
    <col min="12" max="12" width="15.00390625" style="11" customWidth="1"/>
    <col min="13" max="13" width="8.57421875" style="11" customWidth="1"/>
    <col min="14" max="14" width="13.7109375" style="11" customWidth="1"/>
    <col min="15" max="15" width="12.421875" style="11" customWidth="1"/>
    <col min="16" max="16" width="4.8515625" style="11" customWidth="1"/>
    <col min="17" max="17" width="14.140625" style="11" customWidth="1"/>
    <col min="18" max="18" width="2.140625" style="11" customWidth="1"/>
    <col min="19" max="19" width="13.28125" style="11" customWidth="1"/>
    <col min="20" max="20" width="1.8515625" style="11" customWidth="1"/>
    <col min="21" max="21" width="16.28125" style="11" customWidth="1"/>
    <col min="22" max="22" width="2.140625" style="11" customWidth="1"/>
    <col min="23" max="23" width="12.421875" style="61" customWidth="1"/>
    <col min="24" max="24" width="1.7109375" style="11" customWidth="1"/>
    <col min="25" max="16384" width="12.421875" style="11" customWidth="1"/>
  </cols>
  <sheetData>
    <row r="1" spans="1:26" ht="15">
      <c r="A1" s="17" t="s">
        <v>386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Z1" s="17" t="s">
        <v>386</v>
      </c>
    </row>
    <row r="2" spans="1:26" ht="15">
      <c r="A2" s="17" t="s">
        <v>387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Z2" s="17" t="s">
        <v>387</v>
      </c>
    </row>
    <row r="3" spans="1:26" ht="15">
      <c r="A3" s="17" t="s">
        <v>388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7"/>
      <c r="O3" s="17"/>
      <c r="P3" s="17"/>
      <c r="Q3" s="17"/>
      <c r="R3" s="17"/>
      <c r="S3" s="17"/>
      <c r="T3" s="17"/>
      <c r="U3" s="17"/>
      <c r="Z3" s="17" t="s">
        <v>388</v>
      </c>
    </row>
    <row r="4" spans="1:26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7"/>
      <c r="S4" s="17"/>
      <c r="T4" s="17"/>
      <c r="U4" s="17"/>
      <c r="Z4" s="14"/>
    </row>
    <row r="5" spans="1:26" ht="15.75">
      <c r="A5" s="62"/>
      <c r="B5" s="14"/>
      <c r="C5" s="14"/>
      <c r="D5" s="14" t="s">
        <v>389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7"/>
      <c r="S5" s="17"/>
      <c r="T5" s="17"/>
      <c r="U5" s="17"/>
      <c r="Z5" s="62"/>
    </row>
    <row r="6" spans="1:26" ht="15">
      <c r="A6" s="14"/>
      <c r="B6" s="14"/>
      <c r="C6" s="14"/>
      <c r="D6" s="14" t="s">
        <v>390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7"/>
      <c r="T6" s="17"/>
      <c r="U6" s="17"/>
      <c r="Z6" s="14"/>
    </row>
    <row r="7" spans="1:26" ht="15">
      <c r="A7" s="14"/>
      <c r="B7" s="14"/>
      <c r="C7" s="14" t="s">
        <v>391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8"/>
      <c r="O7" s="14"/>
      <c r="P7" s="14"/>
      <c r="Q7" s="14"/>
      <c r="R7" s="17"/>
      <c r="S7" s="17"/>
      <c r="T7" s="17"/>
      <c r="U7" s="17"/>
      <c r="Z7" s="14"/>
    </row>
    <row r="8" spans="1:2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36" t="s">
        <v>203</v>
      </c>
      <c r="R8" s="136"/>
      <c r="S8" s="136"/>
      <c r="T8" s="136"/>
      <c r="U8" s="136"/>
      <c r="V8" s="136"/>
      <c r="W8" s="137"/>
      <c r="X8"/>
      <c r="Y8"/>
      <c r="Z8" s="14"/>
    </row>
    <row r="9" spans="1:26" s="142" customFormat="1" ht="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5"/>
      <c r="R9" s="15"/>
      <c r="S9" s="15"/>
      <c r="T9" s="15"/>
      <c r="U9" s="15"/>
      <c r="V9" s="15"/>
      <c r="W9" s="149"/>
      <c r="X9" s="15"/>
      <c r="Y9" s="144"/>
      <c r="Z9" s="150" t="s">
        <v>392</v>
      </c>
    </row>
    <row r="10" spans="1:26" s="142" customFormat="1" ht="15">
      <c r="A10" s="140" t="s">
        <v>204</v>
      </c>
      <c r="B10" s="140" t="s">
        <v>205</v>
      </c>
      <c r="C10" s="140"/>
      <c r="D10" s="141" t="s">
        <v>206</v>
      </c>
      <c r="E10" s="140"/>
      <c r="F10" s="141" t="s">
        <v>207</v>
      </c>
      <c r="G10" s="141" t="s">
        <v>208</v>
      </c>
      <c r="H10" s="141" t="s">
        <v>209</v>
      </c>
      <c r="I10" s="141" t="s">
        <v>210</v>
      </c>
      <c r="J10" s="141" t="s">
        <v>211</v>
      </c>
      <c r="K10" s="140"/>
      <c r="L10" s="141" t="s">
        <v>212</v>
      </c>
      <c r="M10" s="141" t="s">
        <v>213</v>
      </c>
      <c r="N10" s="141" t="s">
        <v>214</v>
      </c>
      <c r="O10" s="141" t="s">
        <v>215</v>
      </c>
      <c r="P10" s="140"/>
      <c r="Q10" s="19" t="s">
        <v>216</v>
      </c>
      <c r="R10" s="15"/>
      <c r="S10" s="19" t="s">
        <v>214</v>
      </c>
      <c r="T10" s="15"/>
      <c r="U10" s="19" t="s">
        <v>215</v>
      </c>
      <c r="V10" s="15"/>
      <c r="W10" s="151" t="s">
        <v>217</v>
      </c>
      <c r="X10" s="15"/>
      <c r="Y10" s="141" t="s">
        <v>218</v>
      </c>
      <c r="Z10" s="141" t="s">
        <v>393</v>
      </c>
    </row>
    <row r="11" spans="1:26" s="142" customFormat="1" ht="15">
      <c r="A11" s="140" t="s">
        <v>219</v>
      </c>
      <c r="B11" s="140"/>
      <c r="C11" s="140"/>
      <c r="D11" s="141" t="s">
        <v>212</v>
      </c>
      <c r="E11" s="140"/>
      <c r="F11" s="140"/>
      <c r="G11" s="140"/>
      <c r="H11" s="141" t="s">
        <v>220</v>
      </c>
      <c r="I11" s="141" t="s">
        <v>221</v>
      </c>
      <c r="J11" s="141" t="s">
        <v>222</v>
      </c>
      <c r="K11" s="140"/>
      <c r="L11" s="141" t="s">
        <v>223</v>
      </c>
      <c r="M11" s="141" t="s">
        <v>224</v>
      </c>
      <c r="N11" s="141" t="s">
        <v>225</v>
      </c>
      <c r="O11" s="141" t="s">
        <v>226</v>
      </c>
      <c r="P11" s="140"/>
      <c r="Q11" s="141" t="s">
        <v>227</v>
      </c>
      <c r="R11" s="15"/>
      <c r="S11" s="141" t="s">
        <v>228</v>
      </c>
      <c r="T11" s="15"/>
      <c r="U11" s="140" t="s">
        <v>229</v>
      </c>
      <c r="V11" s="15"/>
      <c r="W11" s="151" t="s">
        <v>230</v>
      </c>
      <c r="X11" s="15"/>
      <c r="Y11" s="141" t="s">
        <v>231</v>
      </c>
      <c r="Z11" s="141" t="s">
        <v>394</v>
      </c>
    </row>
    <row r="12" spans="1:26" s="142" customFormat="1" ht="15">
      <c r="A12" s="140"/>
      <c r="B12" s="140"/>
      <c r="C12" s="140"/>
      <c r="D12" s="141" t="s">
        <v>233</v>
      </c>
      <c r="E12" s="140"/>
      <c r="F12" s="140"/>
      <c r="G12" s="140"/>
      <c r="H12" s="140"/>
      <c r="I12" s="140"/>
      <c r="J12" s="141" t="s">
        <v>234</v>
      </c>
      <c r="K12" s="140"/>
      <c r="L12" s="141" t="s">
        <v>235</v>
      </c>
      <c r="M12" s="141" t="s">
        <v>236</v>
      </c>
      <c r="N12" s="140"/>
      <c r="O12" s="140"/>
      <c r="P12" s="140"/>
      <c r="Q12" s="19" t="s">
        <v>237</v>
      </c>
      <c r="R12" s="15"/>
      <c r="S12" s="19" t="s">
        <v>237</v>
      </c>
      <c r="T12" s="15"/>
      <c r="U12" s="19" t="s">
        <v>237</v>
      </c>
      <c r="V12" s="15"/>
      <c r="W12" s="152"/>
      <c r="X12" s="15"/>
      <c r="Y12" s="19"/>
      <c r="Z12" s="140"/>
    </row>
    <row r="13" spans="1:26" s="142" customFormat="1" ht="15">
      <c r="A13" s="140"/>
      <c r="B13" s="140"/>
      <c r="C13" s="140"/>
      <c r="D13" s="141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53"/>
      <c r="X13" s="140"/>
      <c r="Z13" s="140"/>
    </row>
    <row r="14" spans="1:26" ht="15">
      <c r="A14" s="17"/>
      <c r="B14" s="22" t="s">
        <v>239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63"/>
      <c r="X14" s="17"/>
      <c r="Y14" s="17"/>
      <c r="Z14" s="17"/>
    </row>
    <row r="15" spans="1:26" ht="15">
      <c r="A15" s="17"/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63"/>
      <c r="X15" s="17"/>
      <c r="Y15" s="17"/>
      <c r="Z15" s="17"/>
    </row>
    <row r="16" spans="1:26" ht="15">
      <c r="A16" s="17"/>
      <c r="B16" s="22" t="s">
        <v>395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63"/>
      <c r="X16" s="17"/>
      <c r="Y16" s="17"/>
      <c r="Z16" s="17"/>
    </row>
    <row r="17" spans="1:26" ht="15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63"/>
      <c r="X17" s="17"/>
      <c r="Y17" s="17"/>
      <c r="Z17" s="17"/>
    </row>
    <row r="18" spans="1:26" ht="15">
      <c r="A18" s="30"/>
      <c r="B18" s="17" t="s">
        <v>396</v>
      </c>
      <c r="C18" s="17"/>
      <c r="D18" s="25">
        <v>50695819</v>
      </c>
      <c r="E18" s="25"/>
      <c r="F18" s="26" t="s">
        <v>243</v>
      </c>
      <c r="G18" s="27">
        <v>32.9</v>
      </c>
      <c r="H18" s="28">
        <v>-14</v>
      </c>
      <c r="I18" s="25">
        <f>ROUND(H18/100*D18,0)</f>
        <v>-7097415</v>
      </c>
      <c r="J18" s="25">
        <v>28402110</v>
      </c>
      <c r="K18" s="25"/>
      <c r="L18" s="25">
        <f>D18-I18-J18</f>
        <v>29391124</v>
      </c>
      <c r="M18" s="27">
        <v>19.5</v>
      </c>
      <c r="N18" s="25">
        <f>ROUND(+L18/M18,0)</f>
        <v>1507237</v>
      </c>
      <c r="O18" s="30">
        <f>N18/D18*100</f>
        <v>2.9730992214565073</v>
      </c>
      <c r="P18" s="17"/>
      <c r="Q18" s="25">
        <f>D18-J18</f>
        <v>22293709</v>
      </c>
      <c r="R18" s="17"/>
      <c r="S18" s="25">
        <f>Q18/M18</f>
        <v>1143267.1282051282</v>
      </c>
      <c r="T18" s="17"/>
      <c r="U18" s="30"/>
      <c r="V18" s="17"/>
      <c r="W18" s="64"/>
      <c r="X18" s="17"/>
      <c r="Y18" s="30"/>
      <c r="Z18" s="30"/>
    </row>
    <row r="19" spans="1:26" ht="15">
      <c r="A19" s="30"/>
      <c r="B19" s="17" t="s">
        <v>244</v>
      </c>
      <c r="C19" s="17"/>
      <c r="D19" s="25"/>
      <c r="E19" s="25"/>
      <c r="F19" s="26"/>
      <c r="G19" s="27"/>
      <c r="H19" s="25"/>
      <c r="I19" s="25"/>
      <c r="J19" s="25"/>
      <c r="K19" s="25"/>
      <c r="L19" s="25"/>
      <c r="M19" s="27"/>
      <c r="N19" s="25"/>
      <c r="O19" s="30"/>
      <c r="P19" s="17"/>
      <c r="Q19" s="17"/>
      <c r="R19" s="17"/>
      <c r="S19" s="25"/>
      <c r="T19" s="17"/>
      <c r="U19" s="30"/>
      <c r="V19" s="17"/>
      <c r="W19" s="64"/>
      <c r="X19" s="17"/>
      <c r="Y19" s="30"/>
      <c r="Z19" s="30"/>
    </row>
    <row r="20" spans="1:26" ht="15">
      <c r="A20" s="30"/>
      <c r="B20" s="17" t="s">
        <v>246</v>
      </c>
      <c r="C20" s="17"/>
      <c r="D20" s="40">
        <v>1200000</v>
      </c>
      <c r="E20" s="25"/>
      <c r="F20" s="26"/>
      <c r="G20" s="27">
        <v>19</v>
      </c>
      <c r="H20" s="28">
        <v>-14</v>
      </c>
      <c r="I20" s="25"/>
      <c r="J20" s="25"/>
      <c r="K20" s="25"/>
      <c r="L20" s="25"/>
      <c r="M20" s="27"/>
      <c r="N20" s="40">
        <v>0</v>
      </c>
      <c r="O20" s="30" t="s">
        <v>253</v>
      </c>
      <c r="P20" s="17"/>
      <c r="Q20" s="35"/>
      <c r="R20" s="17"/>
      <c r="S20" s="31"/>
      <c r="T20" s="17"/>
      <c r="U20" s="34"/>
      <c r="V20" s="17"/>
      <c r="W20" s="65"/>
      <c r="X20" s="17"/>
      <c r="Y20" s="34"/>
      <c r="Z20" s="30"/>
    </row>
    <row r="21" spans="1:26" ht="15">
      <c r="A21" s="66" t="s">
        <v>104</v>
      </c>
      <c r="B21" s="22" t="s">
        <v>397</v>
      </c>
      <c r="C21" s="17"/>
      <c r="D21" s="25">
        <f>SUM(D18:D20)</f>
        <v>51895819</v>
      </c>
      <c r="E21" s="25"/>
      <c r="F21" s="26"/>
      <c r="G21" s="27"/>
      <c r="H21" s="25"/>
      <c r="I21" s="25"/>
      <c r="J21" s="25"/>
      <c r="K21" s="25"/>
      <c r="L21" s="25"/>
      <c r="M21" s="27"/>
      <c r="N21" s="25">
        <f>SUM(N18:N20)</f>
        <v>1507237</v>
      </c>
      <c r="O21" s="30">
        <f>N21/D21*100</f>
        <v>2.904351504694434</v>
      </c>
      <c r="P21" s="17"/>
      <c r="Q21" s="25">
        <f>SUM(Q18:Q20)</f>
        <v>22293709</v>
      </c>
      <c r="R21" s="17"/>
      <c r="S21" s="25">
        <f>SUM(S18:S20)</f>
        <v>1143267.1282051282</v>
      </c>
      <c r="T21" s="17"/>
      <c r="U21" s="30">
        <f>S21/D18*100</f>
        <v>2.2551507220055527</v>
      </c>
      <c r="V21" s="17"/>
      <c r="W21" s="16">
        <f>(O21-U21)/100</f>
        <v>0.006492007826888813</v>
      </c>
      <c r="X21" s="17"/>
      <c r="Y21" s="30">
        <f>W21/O21</f>
        <v>0.0022352693248029686</v>
      </c>
      <c r="Z21" s="66" t="s">
        <v>104</v>
      </c>
    </row>
    <row r="22" spans="1:26" ht="15">
      <c r="A22" s="67"/>
      <c r="B22" s="17"/>
      <c r="C22" s="17"/>
      <c r="D22" s="25"/>
      <c r="E22" s="25"/>
      <c r="F22" s="26"/>
      <c r="G22" s="27"/>
      <c r="H22" s="25"/>
      <c r="I22" s="25"/>
      <c r="J22" s="25"/>
      <c r="K22" s="25"/>
      <c r="L22" s="25"/>
      <c r="M22" s="27"/>
      <c r="N22" s="25"/>
      <c r="O22" s="30"/>
      <c r="P22" s="17"/>
      <c r="W22" s="21"/>
      <c r="Z22" s="67"/>
    </row>
    <row r="23" spans="1:26" ht="15">
      <c r="A23" s="67"/>
      <c r="B23" s="17" t="s">
        <v>398</v>
      </c>
      <c r="C23" s="17"/>
      <c r="D23" s="25">
        <v>35834794</v>
      </c>
      <c r="E23" s="25"/>
      <c r="F23" s="26" t="s">
        <v>243</v>
      </c>
      <c r="G23" s="27">
        <v>33</v>
      </c>
      <c r="H23" s="28">
        <v>-14</v>
      </c>
      <c r="I23" s="25">
        <f>ROUND(H23/100*D23,0)</f>
        <v>-5016871</v>
      </c>
      <c r="J23" s="25">
        <v>20270986</v>
      </c>
      <c r="K23" s="25"/>
      <c r="L23" s="25">
        <f>D23-I23-J23</f>
        <v>20580679</v>
      </c>
      <c r="M23" s="27">
        <v>19.4</v>
      </c>
      <c r="N23" s="25">
        <f>ROUND(+L23/M23,0)</f>
        <v>1060860</v>
      </c>
      <c r="O23" s="30">
        <f>N23/D23*100</f>
        <v>2.960418859949355</v>
      </c>
      <c r="P23" s="17"/>
      <c r="Q23" s="25">
        <f>D23-J23</f>
        <v>15563808</v>
      </c>
      <c r="R23" s="17"/>
      <c r="S23" s="25">
        <f>Q23/M23</f>
        <v>802258.144329897</v>
      </c>
      <c r="T23"/>
      <c r="U23"/>
      <c r="V23"/>
      <c r="W23" s="68"/>
      <c r="X23"/>
      <c r="Y23"/>
      <c r="Z23" s="67"/>
    </row>
    <row r="24" spans="1:26" ht="15">
      <c r="A24" s="67"/>
      <c r="B24" s="17" t="s">
        <v>244</v>
      </c>
      <c r="C24" s="17"/>
      <c r="D24" s="25"/>
      <c r="E24" s="25"/>
      <c r="F24" s="26"/>
      <c r="G24" s="27"/>
      <c r="H24" s="25"/>
      <c r="I24" s="25"/>
      <c r="J24" s="25"/>
      <c r="K24" s="25"/>
      <c r="L24" s="25"/>
      <c r="M24" s="27"/>
      <c r="N24" s="25"/>
      <c r="O24" s="30"/>
      <c r="P24" s="17"/>
      <c r="Q24"/>
      <c r="R24"/>
      <c r="S24"/>
      <c r="T24"/>
      <c r="U24"/>
      <c r="V24"/>
      <c r="W24" s="68"/>
      <c r="X24"/>
      <c r="Y24"/>
      <c r="Z24" s="67"/>
    </row>
    <row r="25" spans="1:26" ht="15">
      <c r="A25" s="67"/>
      <c r="B25" s="17" t="s">
        <v>250</v>
      </c>
      <c r="C25" s="17"/>
      <c r="D25" s="25">
        <v>1300000</v>
      </c>
      <c r="E25" s="25"/>
      <c r="F25" s="26"/>
      <c r="G25" s="27">
        <v>18</v>
      </c>
      <c r="H25" s="28">
        <v>-14</v>
      </c>
      <c r="I25" s="25"/>
      <c r="J25" s="25"/>
      <c r="K25" s="25"/>
      <c r="L25" s="25"/>
      <c r="M25" s="27"/>
      <c r="N25" s="25">
        <f>(1-H25/100)*D25/G25</f>
        <v>82333.33333333334</v>
      </c>
      <c r="O25" s="30" t="s">
        <v>253</v>
      </c>
      <c r="P25" s="30" t="s">
        <v>253</v>
      </c>
      <c r="Q25"/>
      <c r="R25"/>
      <c r="S25" s="25">
        <f>N25</f>
        <v>82333.33333333334</v>
      </c>
      <c r="T25"/>
      <c r="U25"/>
      <c r="V25"/>
      <c r="W25" s="68"/>
      <c r="X25"/>
      <c r="Y25"/>
      <c r="Z25" s="67"/>
    </row>
    <row r="26" spans="1:26" ht="15">
      <c r="A26" s="67"/>
      <c r="B26" s="17" t="s">
        <v>399</v>
      </c>
      <c r="C26" s="17"/>
      <c r="D26" s="40"/>
      <c r="E26" s="25"/>
      <c r="F26" s="26"/>
      <c r="G26" s="27"/>
      <c r="H26" s="25"/>
      <c r="I26" s="25"/>
      <c r="J26" s="25"/>
      <c r="K26" s="25"/>
      <c r="L26" s="25"/>
      <c r="M26" s="27"/>
      <c r="N26" s="40"/>
      <c r="O26" s="30"/>
      <c r="P26" s="30"/>
      <c r="Q26"/>
      <c r="R26"/>
      <c r="S26"/>
      <c r="T26"/>
      <c r="U26"/>
      <c r="V26"/>
      <c r="W26" s="68"/>
      <c r="X26"/>
      <c r="Y26"/>
      <c r="Z26" s="67"/>
    </row>
    <row r="27" spans="1:26" ht="15">
      <c r="A27" s="67"/>
      <c r="B27" s="17" t="s">
        <v>250</v>
      </c>
      <c r="C27" s="17"/>
      <c r="D27" s="40">
        <v>2500000</v>
      </c>
      <c r="E27" s="25"/>
      <c r="F27" s="26"/>
      <c r="G27" s="27">
        <v>18</v>
      </c>
      <c r="H27" s="28">
        <v>-14</v>
      </c>
      <c r="I27" s="25"/>
      <c r="J27" s="25"/>
      <c r="K27" s="25"/>
      <c r="L27" s="25"/>
      <c r="M27" s="27"/>
      <c r="N27" s="40">
        <v>0</v>
      </c>
      <c r="O27" s="30"/>
      <c r="P27" s="30"/>
      <c r="Q27" s="69"/>
      <c r="R27" s="69"/>
      <c r="S27" s="69"/>
      <c r="T27" s="69"/>
      <c r="U27" s="69"/>
      <c r="V27" s="69"/>
      <c r="W27" s="70"/>
      <c r="X27" s="69"/>
      <c r="Y27" s="69"/>
      <c r="Z27" s="67"/>
    </row>
    <row r="28" spans="1:26" ht="15">
      <c r="A28" s="66" t="s">
        <v>400</v>
      </c>
      <c r="B28" s="22" t="s">
        <v>401</v>
      </c>
      <c r="C28" s="17"/>
      <c r="D28" s="25">
        <f>D23+D25+D27</f>
        <v>39634794</v>
      </c>
      <c r="E28" s="25"/>
      <c r="F28" s="26"/>
      <c r="G28" s="27"/>
      <c r="H28" s="25"/>
      <c r="I28" s="25"/>
      <c r="J28" s="25"/>
      <c r="K28" s="25"/>
      <c r="L28" s="25"/>
      <c r="M28" s="27"/>
      <c r="N28" s="25">
        <f>N23+N25+N27</f>
        <v>1143193.3333333333</v>
      </c>
      <c r="O28" s="30">
        <f>N28/D28*100</f>
        <v>2.884317585536923</v>
      </c>
      <c r="P28" s="30"/>
      <c r="Q28" s="25">
        <f>SUM(Q23:Q27)</f>
        <v>15563808</v>
      </c>
      <c r="R28" s="17"/>
      <c r="S28" s="25">
        <f>SUM(S23:S27)</f>
        <v>884591.4776632304</v>
      </c>
      <c r="T28" s="17"/>
      <c r="U28" s="30">
        <f>S28/(D28-D27)*100</f>
        <v>2.3821095592000066</v>
      </c>
      <c r="V28" s="17"/>
      <c r="W28" s="16">
        <f>(O28-U28)/100</f>
        <v>0.005022080263369167</v>
      </c>
      <c r="X28" s="17"/>
      <c r="Y28" s="30">
        <f>W28/O28</f>
        <v>0.0017411675775759947</v>
      </c>
      <c r="Z28" s="66" t="s">
        <v>400</v>
      </c>
    </row>
    <row r="29" spans="1:26" ht="15">
      <c r="A29" s="67"/>
      <c r="B29" s="17"/>
      <c r="C29" s="17"/>
      <c r="D29" s="40"/>
      <c r="E29" s="25"/>
      <c r="F29" s="26"/>
      <c r="G29" s="27"/>
      <c r="H29" s="25"/>
      <c r="I29" s="25"/>
      <c r="J29" s="25"/>
      <c r="K29" s="25"/>
      <c r="L29" s="25"/>
      <c r="M29" s="27"/>
      <c r="N29" s="40"/>
      <c r="O29" s="30"/>
      <c r="P29" s="30"/>
      <c r="Q29"/>
      <c r="R29"/>
      <c r="S29"/>
      <c r="T29"/>
      <c r="U29"/>
      <c r="V29"/>
      <c r="W29" s="68"/>
      <c r="X29"/>
      <c r="Y29"/>
      <c r="Z29" s="67"/>
    </row>
    <row r="30" spans="1:26" ht="15">
      <c r="A30" s="67"/>
      <c r="B30" s="17"/>
      <c r="C30" s="17"/>
      <c r="D30" s="25"/>
      <c r="E30" s="25"/>
      <c r="F30" s="26"/>
      <c r="G30" s="27"/>
      <c r="H30" s="25"/>
      <c r="I30" s="25"/>
      <c r="J30" s="25"/>
      <c r="K30" s="25"/>
      <c r="L30" s="25"/>
      <c r="M30" s="27"/>
      <c r="N30" s="25"/>
      <c r="O30" s="30"/>
      <c r="P30" s="17"/>
      <c r="Q30"/>
      <c r="R30"/>
      <c r="S30"/>
      <c r="T30"/>
      <c r="U30"/>
      <c r="V30"/>
      <c r="W30" s="68"/>
      <c r="X30"/>
      <c r="Y30"/>
      <c r="Z30" s="67"/>
    </row>
    <row r="31" spans="1:26" ht="15">
      <c r="A31" s="67"/>
      <c r="B31" s="17" t="s">
        <v>402</v>
      </c>
      <c r="C31" s="17"/>
      <c r="D31" s="25">
        <v>114565653</v>
      </c>
      <c r="E31" s="40"/>
      <c r="F31" s="26" t="s">
        <v>243</v>
      </c>
      <c r="G31" s="27">
        <v>33.4</v>
      </c>
      <c r="H31" s="28">
        <v>-14</v>
      </c>
      <c r="I31" s="25">
        <f>ROUND(H31/100*D31,0)</f>
        <v>-16039191</v>
      </c>
      <c r="J31" s="25">
        <v>66052199</v>
      </c>
      <c r="K31" s="40"/>
      <c r="L31" s="25">
        <f>D31-I31-J31</f>
        <v>64552645</v>
      </c>
      <c r="M31" s="27">
        <v>19.6</v>
      </c>
      <c r="N31" s="25">
        <f>ROUND(+L31/M31,0)</f>
        <v>3293502</v>
      </c>
      <c r="O31" s="30">
        <f>N31/D31*100</f>
        <v>2.8747725987299177</v>
      </c>
      <c r="P31" s="17"/>
      <c r="Q31" s="25">
        <f>D31-J31</f>
        <v>48513454</v>
      </c>
      <c r="R31" s="17"/>
      <c r="S31" s="25">
        <f>Q31/M31</f>
        <v>2475176.2244897955</v>
      </c>
      <c r="T31"/>
      <c r="U31"/>
      <c r="V31"/>
      <c r="W31" s="68"/>
      <c r="X31"/>
      <c r="Y31"/>
      <c r="Z31" s="67"/>
    </row>
    <row r="32" spans="1:26" ht="15">
      <c r="A32" s="67"/>
      <c r="B32" s="17" t="s">
        <v>244</v>
      </c>
      <c r="C32" s="17"/>
      <c r="D32" s="40"/>
      <c r="E32" s="40"/>
      <c r="F32" s="26"/>
      <c r="G32" s="27"/>
      <c r="H32" s="25"/>
      <c r="I32" s="40"/>
      <c r="J32" s="40"/>
      <c r="K32" s="25"/>
      <c r="L32" s="40"/>
      <c r="M32" s="27"/>
      <c r="N32" s="40"/>
      <c r="O32" s="30"/>
      <c r="P32" s="17"/>
      <c r="Q32" s="17"/>
      <c r="R32" s="17"/>
      <c r="S32" s="17"/>
      <c r="T32" s="17"/>
      <c r="U32" s="17"/>
      <c r="W32" s="21"/>
      <c r="Z32" s="67"/>
    </row>
    <row r="33" spans="1:26" ht="15">
      <c r="A33" s="67"/>
      <c r="B33" s="17" t="s">
        <v>250</v>
      </c>
      <c r="C33" s="17"/>
      <c r="D33" s="25">
        <v>2000000</v>
      </c>
      <c r="E33" s="40"/>
      <c r="F33" s="26"/>
      <c r="G33" s="27">
        <v>18</v>
      </c>
      <c r="H33" s="28">
        <v>-14</v>
      </c>
      <c r="I33" s="40"/>
      <c r="J33" s="40"/>
      <c r="K33" s="25"/>
      <c r="L33" s="40"/>
      <c r="M33" s="27"/>
      <c r="N33" s="25">
        <f>(1-H33/100)*D33/G33</f>
        <v>126666.66666666669</v>
      </c>
      <c r="O33" s="30"/>
      <c r="P33" s="17"/>
      <c r="Q33" s="17"/>
      <c r="R33" s="17"/>
      <c r="S33" s="25">
        <f>N33</f>
        <v>126666.66666666669</v>
      </c>
      <c r="T33" s="17"/>
      <c r="U33" s="17"/>
      <c r="W33" s="21"/>
      <c r="Z33" s="67"/>
    </row>
    <row r="34" spans="1:26" ht="15">
      <c r="A34" s="67"/>
      <c r="B34" s="17" t="s">
        <v>403</v>
      </c>
      <c r="C34" s="17"/>
      <c r="D34" s="25">
        <v>17200000</v>
      </c>
      <c r="E34" s="40"/>
      <c r="F34" s="26"/>
      <c r="G34" s="27">
        <v>17</v>
      </c>
      <c r="H34" s="28">
        <v>-14</v>
      </c>
      <c r="I34" s="40"/>
      <c r="J34" s="40"/>
      <c r="K34" s="25"/>
      <c r="L34" s="40"/>
      <c r="M34" s="27"/>
      <c r="N34" s="25">
        <f>(1-H34/100)*D34/G34</f>
        <v>1153411.7647058826</v>
      </c>
      <c r="O34" s="30"/>
      <c r="P34" s="17"/>
      <c r="Q34" s="17"/>
      <c r="R34" s="17"/>
      <c r="S34" s="25">
        <f aca="true" t="shared" si="0" ref="S34:S39">N34</f>
        <v>1153411.7647058826</v>
      </c>
      <c r="T34" s="17"/>
      <c r="U34" s="17"/>
      <c r="W34" s="21"/>
      <c r="Z34" s="67"/>
    </row>
    <row r="35" spans="1:26" ht="15">
      <c r="A35" s="67"/>
      <c r="B35" s="17" t="s">
        <v>404</v>
      </c>
      <c r="C35" s="17"/>
      <c r="D35" s="25">
        <v>23000000</v>
      </c>
      <c r="E35" s="40"/>
      <c r="F35" s="26"/>
      <c r="G35" s="27">
        <v>16</v>
      </c>
      <c r="H35" s="28">
        <v>-14</v>
      </c>
      <c r="I35" s="40"/>
      <c r="J35" s="40"/>
      <c r="K35" s="25"/>
      <c r="L35" s="40"/>
      <c r="M35" s="27"/>
      <c r="N35" s="25">
        <f>(1-H35/100)*D35/G35</f>
        <v>1638750.0000000002</v>
      </c>
      <c r="O35" s="30"/>
      <c r="P35" s="17"/>
      <c r="Q35" s="17"/>
      <c r="R35" s="17"/>
      <c r="S35" s="25">
        <f t="shared" si="0"/>
        <v>1638750.0000000002</v>
      </c>
      <c r="T35" s="17"/>
      <c r="U35" s="17"/>
      <c r="W35" s="21"/>
      <c r="Z35" s="67"/>
    </row>
    <row r="36" spans="1:26" ht="15">
      <c r="A36" s="67"/>
      <c r="B36" s="17" t="s">
        <v>399</v>
      </c>
      <c r="C36" s="17"/>
      <c r="D36" s="40"/>
      <c r="E36" s="40"/>
      <c r="F36" s="26"/>
      <c r="G36" s="27"/>
      <c r="H36" s="25"/>
      <c r="I36" s="40"/>
      <c r="J36" s="40"/>
      <c r="K36" s="25"/>
      <c r="L36" s="40"/>
      <c r="M36" s="27"/>
      <c r="N36" s="40"/>
      <c r="O36" s="30"/>
      <c r="P36" s="17"/>
      <c r="Q36" s="17"/>
      <c r="R36" s="17"/>
      <c r="S36" s="25">
        <f t="shared" si="0"/>
        <v>0</v>
      </c>
      <c r="T36" s="17"/>
      <c r="U36" s="17"/>
      <c r="W36" s="21"/>
      <c r="Z36" s="67"/>
    </row>
    <row r="37" spans="1:26" ht="15">
      <c r="A37" s="67"/>
      <c r="B37" s="17" t="s">
        <v>250</v>
      </c>
      <c r="C37" s="17"/>
      <c r="D37" s="25">
        <v>500000</v>
      </c>
      <c r="E37" s="40"/>
      <c r="F37" s="26"/>
      <c r="G37" s="27">
        <v>18</v>
      </c>
      <c r="H37" s="28">
        <v>-14</v>
      </c>
      <c r="I37" s="40"/>
      <c r="J37" s="40"/>
      <c r="K37" s="25"/>
      <c r="L37" s="40"/>
      <c r="M37" s="27"/>
      <c r="N37" s="25">
        <v>0</v>
      </c>
      <c r="O37" s="30"/>
      <c r="P37" s="17"/>
      <c r="Q37" s="17"/>
      <c r="R37" s="17"/>
      <c r="S37" s="25">
        <f t="shared" si="0"/>
        <v>0</v>
      </c>
      <c r="T37" s="17"/>
      <c r="U37" s="17"/>
      <c r="W37" s="21"/>
      <c r="Z37" s="67"/>
    </row>
    <row r="38" spans="1:26" ht="15">
      <c r="A38" s="67"/>
      <c r="B38" s="17" t="s">
        <v>403</v>
      </c>
      <c r="C38" s="17"/>
      <c r="D38" s="25">
        <v>900000</v>
      </c>
      <c r="E38" s="40"/>
      <c r="F38" s="26"/>
      <c r="G38" s="27">
        <v>17</v>
      </c>
      <c r="H38" s="28">
        <v>-14</v>
      </c>
      <c r="I38" s="40"/>
      <c r="J38" s="40"/>
      <c r="K38" s="25"/>
      <c r="L38" s="40"/>
      <c r="M38" s="27"/>
      <c r="N38" s="25">
        <v>0</v>
      </c>
      <c r="O38" s="30"/>
      <c r="P38" s="17"/>
      <c r="Q38" s="17"/>
      <c r="R38" s="17"/>
      <c r="S38" s="25">
        <f t="shared" si="0"/>
        <v>0</v>
      </c>
      <c r="T38" s="17"/>
      <c r="U38" s="17"/>
      <c r="W38" s="21"/>
      <c r="Z38" s="67"/>
    </row>
    <row r="39" spans="1:26" ht="15">
      <c r="A39" s="67"/>
      <c r="B39" s="17" t="s">
        <v>404</v>
      </c>
      <c r="C39" s="17"/>
      <c r="D39" s="40">
        <v>700000</v>
      </c>
      <c r="E39" s="40"/>
      <c r="F39" s="26"/>
      <c r="G39" s="27">
        <v>16</v>
      </c>
      <c r="H39" s="28">
        <v>-14</v>
      </c>
      <c r="I39" s="40"/>
      <c r="J39" s="40"/>
      <c r="K39" s="25"/>
      <c r="L39" s="40"/>
      <c r="M39" s="27"/>
      <c r="N39" s="40">
        <v>0</v>
      </c>
      <c r="O39" s="30"/>
      <c r="P39" s="17"/>
      <c r="Q39" s="69"/>
      <c r="R39" s="69"/>
      <c r="S39" s="71">
        <f t="shared" si="0"/>
        <v>0</v>
      </c>
      <c r="T39" s="69"/>
      <c r="U39" s="69"/>
      <c r="V39" s="69"/>
      <c r="W39" s="70"/>
      <c r="X39" s="69"/>
      <c r="Y39" s="69"/>
      <c r="Z39" s="67"/>
    </row>
    <row r="40" spans="1:26" ht="15">
      <c r="A40" s="66" t="s">
        <v>109</v>
      </c>
      <c r="B40" s="22" t="s">
        <v>405</v>
      </c>
      <c r="C40" s="17"/>
      <c r="D40" s="25">
        <f>D31+D33+D34+D35+D37+D38+D39</f>
        <v>158865653</v>
      </c>
      <c r="E40" s="40"/>
      <c r="F40" s="26"/>
      <c r="G40" s="27"/>
      <c r="H40" s="25"/>
      <c r="I40" s="40"/>
      <c r="J40" s="40"/>
      <c r="K40" s="25"/>
      <c r="L40" s="40"/>
      <c r="M40" s="27"/>
      <c r="N40" s="25">
        <f>N31+N33+N34+N35+N37+N38+N39</f>
        <v>6212330.431372549</v>
      </c>
      <c r="O40" s="30">
        <f>N40/D40*100</f>
        <v>3.9104301742130185</v>
      </c>
      <c r="P40" s="17"/>
      <c r="Q40" s="25">
        <f>SUM(Q31:Q39)</f>
        <v>48513454</v>
      </c>
      <c r="R40" s="17"/>
      <c r="S40" s="25">
        <f>SUM(S31:S39)</f>
        <v>5394004.655862344</v>
      </c>
      <c r="T40" s="17"/>
      <c r="U40" s="30">
        <f>S40/D40*100</f>
        <v>3.395324636888217</v>
      </c>
      <c r="V40" s="17"/>
      <c r="W40" s="16">
        <f>(O40-U40)/100</f>
        <v>0.0051510553732480166</v>
      </c>
      <c r="X40" s="17"/>
      <c r="Y40" s="30">
        <f>W40/O40</f>
        <v>0.0013172605426421344</v>
      </c>
      <c r="Z40" s="66" t="s">
        <v>109</v>
      </c>
    </row>
    <row r="41" spans="1:26" ht="15">
      <c r="A41" s="67"/>
      <c r="B41" s="17"/>
      <c r="C41" s="17"/>
      <c r="D41" s="40"/>
      <c r="E41" s="40"/>
      <c r="F41" s="26"/>
      <c r="G41" s="27"/>
      <c r="H41" s="25"/>
      <c r="I41" s="40"/>
      <c r="J41" s="40"/>
      <c r="K41" s="25"/>
      <c r="L41" s="40"/>
      <c r="M41" s="27"/>
      <c r="N41" s="40"/>
      <c r="O41" s="30"/>
      <c r="P41" s="17"/>
      <c r="Q41" s="17"/>
      <c r="R41" s="17"/>
      <c r="S41" s="17"/>
      <c r="T41" s="17"/>
      <c r="U41" s="17"/>
      <c r="W41" s="21"/>
      <c r="Z41" s="67"/>
    </row>
    <row r="42" spans="1:26" ht="15">
      <c r="A42" s="67"/>
      <c r="B42" s="17"/>
      <c r="C42" s="17"/>
      <c r="D42" s="40"/>
      <c r="E42" s="40"/>
      <c r="F42" s="26"/>
      <c r="G42" s="27"/>
      <c r="H42" s="25"/>
      <c r="I42" s="40"/>
      <c r="J42" s="40"/>
      <c r="K42" s="25"/>
      <c r="L42" s="40"/>
      <c r="M42" s="27"/>
      <c r="N42" s="40"/>
      <c r="O42" s="30"/>
      <c r="P42" s="17"/>
      <c r="Q42" s="17"/>
      <c r="R42" s="17"/>
      <c r="S42" s="17"/>
      <c r="T42" s="17"/>
      <c r="U42" s="17"/>
      <c r="W42" s="21"/>
      <c r="Z42" s="67"/>
    </row>
    <row r="43" spans="1:26" ht="15">
      <c r="A43" s="72"/>
      <c r="B43" s="22" t="s">
        <v>406</v>
      </c>
      <c r="C43" s="17"/>
      <c r="D43" s="25">
        <f>D21+D28+D40</f>
        <v>250396266</v>
      </c>
      <c r="E43" s="25"/>
      <c r="F43" s="17"/>
      <c r="G43" s="27" t="s">
        <v>253</v>
      </c>
      <c r="H43" s="17"/>
      <c r="I43" s="25" t="s">
        <v>253</v>
      </c>
      <c r="J43" s="25" t="s">
        <v>253</v>
      </c>
      <c r="K43" s="17" t="s">
        <v>253</v>
      </c>
      <c r="L43" s="25" t="s">
        <v>253</v>
      </c>
      <c r="M43" s="17"/>
      <c r="N43" s="25">
        <f>N21+N28+N40</f>
        <v>8862760.764705881</v>
      </c>
      <c r="O43" s="30">
        <f>N43/D43*100</f>
        <v>3.5394939813942283</v>
      </c>
      <c r="P43" s="17"/>
      <c r="Q43" s="25"/>
      <c r="R43" s="73"/>
      <c r="S43" s="17"/>
      <c r="T43" s="17"/>
      <c r="U43" s="17"/>
      <c r="W43" s="21"/>
      <c r="Z43" s="72"/>
    </row>
    <row r="44" spans="1:26" ht="15">
      <c r="A44" s="72"/>
      <c r="B44" s="22"/>
      <c r="C44" s="17"/>
      <c r="D44" s="25"/>
      <c r="E44" s="25"/>
      <c r="F44" s="17"/>
      <c r="G44" s="27"/>
      <c r="H44" s="17"/>
      <c r="I44" s="25"/>
      <c r="J44" s="25"/>
      <c r="K44" s="17"/>
      <c r="L44" s="25"/>
      <c r="M44" s="17"/>
      <c r="N44" s="25"/>
      <c r="O44" s="30"/>
      <c r="P44" s="17"/>
      <c r="Q44" s="25"/>
      <c r="R44" s="73"/>
      <c r="S44" s="17"/>
      <c r="T44" s="17"/>
      <c r="U44" s="17"/>
      <c r="W44" s="21"/>
      <c r="Z44" s="72"/>
    </row>
    <row r="45" spans="1:26" ht="15">
      <c r="A45" s="72"/>
      <c r="B45" s="22"/>
      <c r="C45" s="17"/>
      <c r="D45" s="25"/>
      <c r="E45" s="25"/>
      <c r="F45" s="17"/>
      <c r="G45" s="27"/>
      <c r="H45" s="17"/>
      <c r="I45" s="25"/>
      <c r="J45" s="25"/>
      <c r="K45" s="17"/>
      <c r="L45" s="25"/>
      <c r="M45" s="17"/>
      <c r="N45" s="25"/>
      <c r="O45" s="30"/>
      <c r="P45" s="17"/>
      <c r="Q45" s="25"/>
      <c r="R45" s="73"/>
      <c r="S45" s="17"/>
      <c r="T45" s="17"/>
      <c r="U45" s="17"/>
      <c r="W45" s="21"/>
      <c r="Z45" s="72"/>
    </row>
    <row r="46" spans="1:26" ht="15">
      <c r="A46" s="72"/>
      <c r="B46" s="22" t="s">
        <v>407</v>
      </c>
      <c r="C46" s="17"/>
      <c r="D46" s="25"/>
      <c r="E46" s="25"/>
      <c r="F46" s="17"/>
      <c r="G46" s="27"/>
      <c r="H46" s="17"/>
      <c r="I46" s="25"/>
      <c r="J46" s="25"/>
      <c r="K46" s="17"/>
      <c r="L46" s="25"/>
      <c r="M46" s="17"/>
      <c r="N46" s="25"/>
      <c r="O46" s="30"/>
      <c r="P46" s="17"/>
      <c r="Q46" s="25"/>
      <c r="R46" s="73"/>
      <c r="S46" s="17"/>
      <c r="T46" s="17"/>
      <c r="U46" s="17"/>
      <c r="W46" s="21"/>
      <c r="Z46" s="72"/>
    </row>
    <row r="47" spans="1:26" ht="15">
      <c r="A47" s="72"/>
      <c r="B47" s="22"/>
      <c r="C47" s="17"/>
      <c r="D47" s="25"/>
      <c r="E47" s="25"/>
      <c r="F47" s="17"/>
      <c r="G47" s="27"/>
      <c r="H47" s="17"/>
      <c r="I47" s="25"/>
      <c r="J47" s="25"/>
      <c r="K47" s="17"/>
      <c r="L47" s="25"/>
      <c r="M47" s="17"/>
      <c r="N47" s="25"/>
      <c r="O47" s="30"/>
      <c r="P47" s="17"/>
      <c r="Q47" s="25"/>
      <c r="R47" s="73"/>
      <c r="S47" s="17"/>
      <c r="T47" s="17"/>
      <c r="U47" s="17"/>
      <c r="W47" s="21"/>
      <c r="Z47" s="72"/>
    </row>
    <row r="48" spans="1:26" ht="15">
      <c r="A48" s="72"/>
      <c r="B48" s="22" t="s">
        <v>408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W48" s="21"/>
      <c r="Z48" s="72"/>
    </row>
    <row r="49" spans="1:26" ht="15">
      <c r="A49" s="72"/>
      <c r="B49" s="2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W49" s="21"/>
      <c r="Z49" s="72"/>
    </row>
    <row r="50" spans="1:26" ht="15">
      <c r="A50" s="67"/>
      <c r="B50" s="17" t="s">
        <v>409</v>
      </c>
      <c r="C50" s="17"/>
      <c r="D50" s="25">
        <v>129982729</v>
      </c>
      <c r="E50" s="25"/>
      <c r="F50" s="26" t="s">
        <v>243</v>
      </c>
      <c r="G50" s="27">
        <v>38.7</v>
      </c>
      <c r="H50" s="28">
        <v>-9</v>
      </c>
      <c r="I50" s="25">
        <f>ROUND(H50/100*D50,0)</f>
        <v>-11698446</v>
      </c>
      <c r="J50" s="25">
        <v>86817929</v>
      </c>
      <c r="K50" s="25"/>
      <c r="L50" s="25">
        <f>D50-I50-J50</f>
        <v>54863246</v>
      </c>
      <c r="M50" s="27">
        <f>19.4+2</f>
        <v>21.4</v>
      </c>
      <c r="N50" s="25">
        <f>ROUND(+L50/M50,0)</f>
        <v>2563703</v>
      </c>
      <c r="O50" s="30">
        <f>N50/D50*100</f>
        <v>1.972341263892067</v>
      </c>
      <c r="P50" s="17"/>
      <c r="Q50" s="25">
        <f>D50-J50</f>
        <v>43164800</v>
      </c>
      <c r="R50" s="17"/>
      <c r="S50" s="25">
        <f>Q50/M50</f>
        <v>2017046.7289719628</v>
      </c>
      <c r="T50" s="17"/>
      <c r="U50" s="17"/>
      <c r="W50" s="21"/>
      <c r="Z50" s="67"/>
    </row>
    <row r="51" spans="1:26" ht="15">
      <c r="A51" s="67"/>
      <c r="B51" s="17" t="s">
        <v>244</v>
      </c>
      <c r="C51" s="17"/>
      <c r="D51" s="25"/>
      <c r="E51" s="25"/>
      <c r="F51" s="26"/>
      <c r="G51" s="27"/>
      <c r="H51" s="25"/>
      <c r="I51" s="25"/>
      <c r="J51" s="25"/>
      <c r="K51" s="25"/>
      <c r="L51" s="25"/>
      <c r="M51" s="27"/>
      <c r="N51" s="25"/>
      <c r="O51" s="30"/>
      <c r="P51" s="17"/>
      <c r="Q51" s="17"/>
      <c r="R51" s="17"/>
      <c r="S51" s="17"/>
      <c r="T51" s="17"/>
      <c r="U51" s="17"/>
      <c r="W51" s="21"/>
      <c r="Z51" s="67"/>
    </row>
    <row r="52" spans="1:26" ht="15">
      <c r="A52" s="67"/>
      <c r="B52" s="17" t="s">
        <v>246</v>
      </c>
      <c r="C52" s="17"/>
      <c r="D52" s="25">
        <v>2000000</v>
      </c>
      <c r="E52" s="25"/>
      <c r="F52" s="26"/>
      <c r="G52" s="27">
        <v>19</v>
      </c>
      <c r="H52" s="28">
        <v>-9</v>
      </c>
      <c r="I52" s="25"/>
      <c r="J52" s="25"/>
      <c r="K52" s="25"/>
      <c r="L52" s="25"/>
      <c r="M52" s="27"/>
      <c r="N52" s="25">
        <f>(1-H52/100)*D52/G52</f>
        <v>114736.84210526316</v>
      </c>
      <c r="O52" s="30"/>
      <c r="P52" s="17"/>
      <c r="Q52" s="17"/>
      <c r="R52" s="17"/>
      <c r="S52" s="25">
        <f>N52</f>
        <v>114736.84210526316</v>
      </c>
      <c r="T52" s="17"/>
      <c r="U52" s="17"/>
      <c r="W52" s="21"/>
      <c r="Z52" s="67"/>
    </row>
    <row r="53" spans="1:26" ht="15">
      <c r="A53" s="67"/>
      <c r="B53" s="17" t="s">
        <v>250</v>
      </c>
      <c r="C53" s="17"/>
      <c r="D53" s="25">
        <v>7000000</v>
      </c>
      <c r="E53" s="25"/>
      <c r="F53" s="26"/>
      <c r="G53" s="27">
        <v>18</v>
      </c>
      <c r="H53" s="28">
        <v>-9</v>
      </c>
      <c r="I53" s="25"/>
      <c r="J53" s="25"/>
      <c r="K53" s="25"/>
      <c r="L53" s="25"/>
      <c r="M53" s="27"/>
      <c r="N53" s="25">
        <f>(1-H53/100)*D53/G53</f>
        <v>423888.88888888893</v>
      </c>
      <c r="O53" s="30"/>
      <c r="P53" s="17"/>
      <c r="Q53" s="17"/>
      <c r="R53" s="17"/>
      <c r="S53" s="25">
        <f>N53</f>
        <v>423888.88888888893</v>
      </c>
      <c r="T53" s="17"/>
      <c r="U53" s="17"/>
      <c r="W53" s="21"/>
      <c r="Z53" s="67"/>
    </row>
    <row r="54" spans="1:26" ht="15">
      <c r="A54" s="67"/>
      <c r="B54" s="17" t="s">
        <v>403</v>
      </c>
      <c r="C54" s="17"/>
      <c r="D54" s="25">
        <v>40000000</v>
      </c>
      <c r="E54" s="25"/>
      <c r="F54" s="26"/>
      <c r="G54" s="27">
        <v>17</v>
      </c>
      <c r="H54" s="28">
        <v>-9</v>
      </c>
      <c r="I54" s="25"/>
      <c r="J54" s="25"/>
      <c r="K54" s="25"/>
      <c r="L54" s="25"/>
      <c r="M54" s="27"/>
      <c r="N54" s="25">
        <f>(1-H54/100)*D54/G54</f>
        <v>2564705.882352941</v>
      </c>
      <c r="O54" s="30"/>
      <c r="P54" s="17"/>
      <c r="Q54" s="17"/>
      <c r="R54" s="17"/>
      <c r="S54" s="25">
        <f>N54</f>
        <v>2564705.882352941</v>
      </c>
      <c r="T54" s="17"/>
      <c r="U54" s="17"/>
      <c r="W54" s="21"/>
      <c r="Z54" s="67"/>
    </row>
    <row r="55" spans="1:26" ht="15">
      <c r="A55" s="67"/>
      <c r="B55" s="17" t="s">
        <v>399</v>
      </c>
      <c r="C55" s="17"/>
      <c r="D55" s="40"/>
      <c r="E55" s="25"/>
      <c r="F55" s="26"/>
      <c r="G55" s="27"/>
      <c r="H55" s="25"/>
      <c r="I55" s="25"/>
      <c r="J55" s="25"/>
      <c r="K55" s="25"/>
      <c r="L55" s="25"/>
      <c r="M55" s="27"/>
      <c r="N55" s="40"/>
      <c r="O55" s="30"/>
      <c r="P55" s="17"/>
      <c r="Q55" s="17"/>
      <c r="R55" s="17"/>
      <c r="S55" s="25"/>
      <c r="T55" s="17"/>
      <c r="U55" s="17"/>
      <c r="W55" s="21"/>
      <c r="Z55" s="67"/>
    </row>
    <row r="56" spans="1:26" ht="15">
      <c r="A56" s="67"/>
      <c r="B56" s="17" t="s">
        <v>404</v>
      </c>
      <c r="C56" s="17"/>
      <c r="D56" s="25">
        <v>1800000</v>
      </c>
      <c r="E56" s="25"/>
      <c r="F56" s="26"/>
      <c r="G56" s="27">
        <v>16</v>
      </c>
      <c r="H56" s="28">
        <v>-9</v>
      </c>
      <c r="I56" s="25"/>
      <c r="J56" s="25"/>
      <c r="K56" s="25"/>
      <c r="L56" s="25"/>
      <c r="M56" s="27"/>
      <c r="N56" s="25">
        <v>0</v>
      </c>
      <c r="O56" s="30"/>
      <c r="P56" s="17"/>
      <c r="Q56" s="17"/>
      <c r="R56" s="17"/>
      <c r="S56" s="17"/>
      <c r="T56" s="17"/>
      <c r="U56" s="17"/>
      <c r="W56" s="21"/>
      <c r="Z56" s="67"/>
    </row>
    <row r="57" spans="1:26" ht="15">
      <c r="A57" s="67"/>
      <c r="B57" s="17" t="s">
        <v>410</v>
      </c>
      <c r="C57" s="17"/>
      <c r="D57" s="40">
        <v>700000</v>
      </c>
      <c r="E57" s="25"/>
      <c r="F57" s="26"/>
      <c r="G57" s="27">
        <v>15</v>
      </c>
      <c r="H57" s="28">
        <v>-9</v>
      </c>
      <c r="I57" s="25"/>
      <c r="J57" s="25"/>
      <c r="K57" s="25"/>
      <c r="L57" s="25"/>
      <c r="M57" s="27"/>
      <c r="N57" s="40">
        <v>0</v>
      </c>
      <c r="O57" s="30"/>
      <c r="P57" s="17"/>
      <c r="Q57" s="69"/>
      <c r="R57" s="69"/>
      <c r="S57" s="69"/>
      <c r="T57" s="69"/>
      <c r="U57" s="69"/>
      <c r="V57" s="69"/>
      <c r="W57" s="70"/>
      <c r="X57" s="69"/>
      <c r="Y57" s="69"/>
      <c r="Z57" s="67"/>
    </row>
    <row r="58" spans="1:26" ht="15">
      <c r="A58" s="66" t="s">
        <v>123</v>
      </c>
      <c r="B58" s="22" t="s">
        <v>411</v>
      </c>
      <c r="C58" s="17"/>
      <c r="D58" s="25">
        <f>SUM(D50:D57)</f>
        <v>181482729</v>
      </c>
      <c r="E58" s="25"/>
      <c r="F58" s="26"/>
      <c r="G58" s="27"/>
      <c r="H58" s="25"/>
      <c r="I58" s="25"/>
      <c r="J58" s="25"/>
      <c r="K58" s="25"/>
      <c r="L58" s="25"/>
      <c r="M58" s="27"/>
      <c r="N58" s="25">
        <f>SUM(N50:N57)</f>
        <v>5667034.613347094</v>
      </c>
      <c r="O58" s="30">
        <f>N58/D58*100</f>
        <v>3.1226302605065483</v>
      </c>
      <c r="P58" s="17"/>
      <c r="Q58" s="25">
        <f>L50+I50</f>
        <v>43164800</v>
      </c>
      <c r="R58" s="17"/>
      <c r="S58" s="25">
        <f>SUM(S49:S57)</f>
        <v>5120378.342319056</v>
      </c>
      <c r="T58" s="17"/>
      <c r="U58" s="30">
        <f>S58/D58*100</f>
        <v>2.821413569507794</v>
      </c>
      <c r="V58" s="17"/>
      <c r="W58" s="16">
        <f>(O58-U58)/100</f>
        <v>0.003012166909987544</v>
      </c>
      <c r="X58" s="17"/>
      <c r="Y58" s="30">
        <f>W58/O58</f>
        <v>0.0009646249023087718</v>
      </c>
      <c r="Z58" s="66" t="s">
        <v>123</v>
      </c>
    </row>
    <row r="59" spans="1:26" ht="15">
      <c r="A59" s="67"/>
      <c r="P59" s="17"/>
      <c r="Q59" s="17"/>
      <c r="R59" s="17"/>
      <c r="S59" s="17"/>
      <c r="T59" s="17"/>
      <c r="U59" s="17"/>
      <c r="W59" s="21"/>
      <c r="Z59" s="67"/>
    </row>
    <row r="60" spans="1:26" ht="15">
      <c r="A60" s="67"/>
      <c r="B60" s="17"/>
      <c r="C60" s="17"/>
      <c r="D60" s="25"/>
      <c r="E60" s="25"/>
      <c r="F60" s="26"/>
      <c r="G60" s="27"/>
      <c r="H60" s="25"/>
      <c r="I60" s="25"/>
      <c r="J60" s="25"/>
      <c r="K60" s="25"/>
      <c r="L60" s="25"/>
      <c r="M60" s="27"/>
      <c r="N60" s="25"/>
      <c r="O60" s="30"/>
      <c r="P60" s="17"/>
      <c r="Q60" s="17"/>
      <c r="R60" s="17"/>
      <c r="S60" s="17"/>
      <c r="T60" s="17"/>
      <c r="U60" s="17"/>
      <c r="W60" s="21"/>
      <c r="Z60" s="67"/>
    </row>
    <row r="61" spans="1:26" ht="15">
      <c r="A61" s="67"/>
      <c r="B61" s="17" t="s">
        <v>412</v>
      </c>
      <c r="C61" s="17"/>
      <c r="D61" s="25">
        <v>138193639</v>
      </c>
      <c r="E61" s="25"/>
      <c r="F61" s="26" t="s">
        <v>243</v>
      </c>
      <c r="G61" s="27">
        <v>38.6</v>
      </c>
      <c r="H61" s="28">
        <v>-9</v>
      </c>
      <c r="I61" s="25">
        <f>ROUND(H61/100*D61,0)</f>
        <v>-12437428</v>
      </c>
      <c r="J61" s="25">
        <v>91681162</v>
      </c>
      <c r="K61" s="25"/>
      <c r="L61" s="25">
        <f>D61-I61-J61</f>
        <v>58949905</v>
      </c>
      <c r="M61" s="27">
        <f>19.5+5</f>
        <v>24.5</v>
      </c>
      <c r="N61" s="25">
        <f>ROUND(+L61/M61,0)</f>
        <v>2406119</v>
      </c>
      <c r="O61" s="30">
        <f>N61/D61*100</f>
        <v>1.7411213840312867</v>
      </c>
      <c r="P61" s="17"/>
      <c r="Q61" s="25">
        <f>D61-J61</f>
        <v>46512477</v>
      </c>
      <c r="R61" s="17"/>
      <c r="S61" s="25">
        <f>Q61/M61</f>
        <v>1898468.448979592</v>
      </c>
      <c r="T61" s="17"/>
      <c r="U61" s="17"/>
      <c r="W61" s="21"/>
      <c r="Z61" s="67"/>
    </row>
    <row r="62" spans="1:26" ht="15">
      <c r="A62" s="67"/>
      <c r="B62" s="17" t="s">
        <v>244</v>
      </c>
      <c r="C62" s="17"/>
      <c r="D62" s="25"/>
      <c r="E62" s="25"/>
      <c r="F62" s="26"/>
      <c r="G62" s="27"/>
      <c r="H62" s="25"/>
      <c r="I62" s="25"/>
      <c r="J62" s="25"/>
      <c r="K62" s="25"/>
      <c r="L62" s="25"/>
      <c r="M62" s="27"/>
      <c r="N62" s="25"/>
      <c r="O62" s="30"/>
      <c r="P62" s="17"/>
      <c r="Q62" s="17"/>
      <c r="R62" s="17"/>
      <c r="S62" s="17"/>
      <c r="T62" s="17"/>
      <c r="U62" s="17"/>
      <c r="W62" s="21"/>
      <c r="Z62" s="67"/>
    </row>
    <row r="63" spans="1:26" ht="15">
      <c r="A63" s="67"/>
      <c r="B63" s="17" t="s">
        <v>403</v>
      </c>
      <c r="C63" s="17"/>
      <c r="D63" s="25">
        <v>4000000</v>
      </c>
      <c r="E63" s="25"/>
      <c r="F63" s="26"/>
      <c r="G63" s="27">
        <v>17</v>
      </c>
      <c r="H63" s="28">
        <v>-9</v>
      </c>
      <c r="I63" s="25"/>
      <c r="J63" s="25"/>
      <c r="K63" s="25"/>
      <c r="L63" s="25"/>
      <c r="M63" s="27"/>
      <c r="N63" s="25">
        <f>(1-H63/100)*D63/G63</f>
        <v>256470.58823529413</v>
      </c>
      <c r="O63" s="30"/>
      <c r="P63" s="17"/>
      <c r="Q63" s="17"/>
      <c r="R63" s="17"/>
      <c r="S63" s="25">
        <f>N63</f>
        <v>256470.58823529413</v>
      </c>
      <c r="T63" s="17"/>
      <c r="U63" s="17"/>
      <c r="W63" s="21"/>
      <c r="Z63" s="67"/>
    </row>
    <row r="64" spans="1:26" ht="15">
      <c r="A64" s="67"/>
      <c r="B64" s="17" t="s">
        <v>399</v>
      </c>
      <c r="C64" s="17"/>
      <c r="D64" s="40"/>
      <c r="E64" s="25"/>
      <c r="F64" s="26"/>
      <c r="G64" s="27"/>
      <c r="H64" s="25"/>
      <c r="I64" s="25"/>
      <c r="J64" s="25"/>
      <c r="K64" s="25"/>
      <c r="L64" s="25"/>
      <c r="M64" s="27"/>
      <c r="N64" s="40"/>
      <c r="O64" s="30"/>
      <c r="P64" s="17"/>
      <c r="Q64" s="17"/>
      <c r="R64" s="17"/>
      <c r="S64" s="17"/>
      <c r="T64" s="17"/>
      <c r="U64" s="17"/>
      <c r="W64" s="21"/>
      <c r="Z64" s="67"/>
    </row>
    <row r="65" spans="1:26" ht="15">
      <c r="A65" s="67"/>
      <c r="B65" s="17" t="s">
        <v>246</v>
      </c>
      <c r="C65" s="17"/>
      <c r="D65" s="25">
        <v>120000</v>
      </c>
      <c r="E65" s="25"/>
      <c r="F65" s="26"/>
      <c r="G65" s="27">
        <v>19</v>
      </c>
      <c r="H65" s="28">
        <v>-9</v>
      </c>
      <c r="I65" s="25"/>
      <c r="J65" s="25"/>
      <c r="K65" s="25"/>
      <c r="L65" s="25"/>
      <c r="M65" s="27"/>
      <c r="N65" s="25">
        <v>0</v>
      </c>
      <c r="O65" s="30"/>
      <c r="P65" s="17"/>
      <c r="Q65" s="17"/>
      <c r="R65" s="17"/>
      <c r="S65" s="17"/>
      <c r="T65" s="17"/>
      <c r="U65" s="17"/>
      <c r="W65" s="21"/>
      <c r="Z65" s="67"/>
    </row>
    <row r="66" spans="1:26" ht="15">
      <c r="A66" s="67"/>
      <c r="B66" s="17" t="s">
        <v>250</v>
      </c>
      <c r="C66" s="17"/>
      <c r="D66" s="25">
        <v>730000</v>
      </c>
      <c r="E66" s="25"/>
      <c r="F66" s="26"/>
      <c r="G66" s="27">
        <v>18</v>
      </c>
      <c r="H66" s="28">
        <v>-9</v>
      </c>
      <c r="I66" s="25"/>
      <c r="J66" s="25"/>
      <c r="K66" s="25"/>
      <c r="L66" s="25"/>
      <c r="M66" s="27"/>
      <c r="N66" s="25">
        <v>0</v>
      </c>
      <c r="O66" s="30"/>
      <c r="P66" s="17"/>
      <c r="Q66" s="17"/>
      <c r="R66" s="17"/>
      <c r="S66" s="17"/>
      <c r="T66" s="17"/>
      <c r="U66" s="17"/>
      <c r="W66" s="21"/>
      <c r="Z66" s="67"/>
    </row>
    <row r="67" spans="1:26" ht="15">
      <c r="A67" s="67"/>
      <c r="B67" s="17" t="s">
        <v>403</v>
      </c>
      <c r="C67" s="17"/>
      <c r="D67" s="25">
        <v>910000</v>
      </c>
      <c r="E67" s="25"/>
      <c r="F67" s="26"/>
      <c r="G67" s="27">
        <v>17</v>
      </c>
      <c r="H67" s="28">
        <v>-9</v>
      </c>
      <c r="I67" s="25"/>
      <c r="J67" s="25"/>
      <c r="K67" s="25"/>
      <c r="L67" s="25"/>
      <c r="M67" s="27"/>
      <c r="N67" s="25">
        <v>0</v>
      </c>
      <c r="O67" s="30"/>
      <c r="P67" s="17"/>
      <c r="Q67" s="17"/>
      <c r="R67" s="17"/>
      <c r="S67" s="17"/>
      <c r="T67" s="17"/>
      <c r="U67" s="17"/>
      <c r="W67" s="21"/>
      <c r="Z67" s="67"/>
    </row>
    <row r="68" spans="1:26" ht="15">
      <c r="A68" s="67"/>
      <c r="B68" s="17" t="s">
        <v>404</v>
      </c>
      <c r="C68" s="17"/>
      <c r="D68" s="40">
        <v>750000</v>
      </c>
      <c r="E68" s="25"/>
      <c r="F68" s="26"/>
      <c r="G68" s="27">
        <v>16</v>
      </c>
      <c r="H68" s="28">
        <v>-9</v>
      </c>
      <c r="I68" s="25"/>
      <c r="J68" s="25"/>
      <c r="K68" s="25"/>
      <c r="L68" s="25"/>
      <c r="M68" s="27"/>
      <c r="N68" s="40">
        <v>0</v>
      </c>
      <c r="O68" s="30"/>
      <c r="P68" s="17"/>
      <c r="Q68" s="69"/>
      <c r="R68" s="69"/>
      <c r="S68" s="69"/>
      <c r="T68" s="69"/>
      <c r="U68" s="69"/>
      <c r="V68" s="69"/>
      <c r="W68" s="70"/>
      <c r="X68" s="69"/>
      <c r="Y68" s="69"/>
      <c r="Z68" s="67"/>
    </row>
    <row r="69" spans="1:26" ht="15">
      <c r="A69" s="66" t="s">
        <v>130</v>
      </c>
      <c r="B69" s="22" t="s">
        <v>413</v>
      </c>
      <c r="C69" s="17"/>
      <c r="D69" s="25">
        <f>SUM(D61:D68)</f>
        <v>144703639</v>
      </c>
      <c r="E69" s="25"/>
      <c r="F69" s="26"/>
      <c r="G69" s="27"/>
      <c r="H69" s="25"/>
      <c r="I69" s="25"/>
      <c r="J69" s="25"/>
      <c r="K69" s="25"/>
      <c r="L69" s="25"/>
      <c r="M69" s="27"/>
      <c r="N69" s="25">
        <f>SUM(N61:N68)</f>
        <v>2662589.588235294</v>
      </c>
      <c r="O69" s="30">
        <f>N69/D69*100</f>
        <v>1.840029460651846</v>
      </c>
      <c r="P69" s="17"/>
      <c r="Q69" s="25">
        <f>L61+I61</f>
        <v>46512477</v>
      </c>
      <c r="R69" s="17"/>
      <c r="S69" s="25">
        <f>SUM(S61:S68)</f>
        <v>2154939.037214886</v>
      </c>
      <c r="T69" s="17"/>
      <c r="U69" s="30">
        <f>S69/D69*100</f>
        <v>1.4892086004933751</v>
      </c>
      <c r="V69" s="17"/>
      <c r="W69" s="16">
        <f>(O69-U69)/100</f>
        <v>0.003508208601584708</v>
      </c>
      <c r="X69" s="17"/>
      <c r="Y69" s="30">
        <f>W69/O69</f>
        <v>0.0019066045824841823</v>
      </c>
      <c r="Z69" s="66" t="s">
        <v>130</v>
      </c>
    </row>
    <row r="70" spans="1:26" ht="15">
      <c r="A70" s="67"/>
      <c r="B70" s="17"/>
      <c r="C70" s="17"/>
      <c r="D70" s="40"/>
      <c r="E70" s="25"/>
      <c r="F70" s="26"/>
      <c r="G70" s="27"/>
      <c r="H70" s="25"/>
      <c r="I70" s="25"/>
      <c r="J70" s="25"/>
      <c r="K70" s="25"/>
      <c r="L70" s="25"/>
      <c r="M70" s="27"/>
      <c r="N70" s="40"/>
      <c r="O70" s="30"/>
      <c r="P70" s="17"/>
      <c r="Q70" s="17"/>
      <c r="R70" s="17"/>
      <c r="S70" s="17"/>
      <c r="T70" s="17"/>
      <c r="U70" s="17"/>
      <c r="W70" s="21"/>
      <c r="Z70" s="67"/>
    </row>
    <row r="71" spans="1:26" ht="15">
      <c r="A71" s="67"/>
      <c r="B71" s="17"/>
      <c r="C71" s="17"/>
      <c r="D71" s="25"/>
      <c r="E71" s="25"/>
      <c r="F71" s="26"/>
      <c r="G71" s="27"/>
      <c r="H71" s="25"/>
      <c r="I71" s="25"/>
      <c r="J71" s="25"/>
      <c r="K71" s="25"/>
      <c r="L71" s="25"/>
      <c r="M71" s="27"/>
      <c r="N71" s="25"/>
      <c r="O71" s="30"/>
      <c r="P71" s="17"/>
      <c r="Q71" s="17"/>
      <c r="R71" s="17"/>
      <c r="S71" s="17"/>
      <c r="T71" s="17"/>
      <c r="U71" s="17"/>
      <c r="W71" s="21"/>
      <c r="Z71" s="67"/>
    </row>
    <row r="72" spans="1:26" ht="15">
      <c r="A72" s="67"/>
      <c r="B72" s="17" t="s">
        <v>414</v>
      </c>
      <c r="C72" s="17"/>
      <c r="D72" s="25">
        <v>279724512</v>
      </c>
      <c r="E72" s="25"/>
      <c r="F72" s="26" t="s">
        <v>243</v>
      </c>
      <c r="G72" s="27">
        <v>36</v>
      </c>
      <c r="H72" s="28">
        <v>-9</v>
      </c>
      <c r="I72" s="25">
        <f>ROUND(H72/100*D72,0)</f>
        <v>-25175206</v>
      </c>
      <c r="J72" s="25">
        <v>170190684</v>
      </c>
      <c r="K72" s="25"/>
      <c r="L72" s="25">
        <f>D72-I72-J72</f>
        <v>134709034</v>
      </c>
      <c r="M72" s="27">
        <f>19.7+9</f>
        <v>28.7</v>
      </c>
      <c r="N72" s="25">
        <f>ROUND(+L72/M72,0)</f>
        <v>4693695</v>
      </c>
      <c r="O72" s="30">
        <f>N72/D72*100</f>
        <v>1.6779705741340252</v>
      </c>
      <c r="P72" s="17"/>
      <c r="Q72" s="25">
        <f>D72-J72</f>
        <v>109533828</v>
      </c>
      <c r="R72" s="17"/>
      <c r="S72" s="25">
        <f>Q72/M72</f>
        <v>3816509.68641115</v>
      </c>
      <c r="T72" s="17"/>
      <c r="U72" s="17"/>
      <c r="W72" s="21"/>
      <c r="Z72" s="67"/>
    </row>
    <row r="73" spans="1:26" ht="15">
      <c r="A73" s="67"/>
      <c r="B73" s="17" t="s">
        <v>244</v>
      </c>
      <c r="C73" s="17"/>
      <c r="D73" s="25"/>
      <c r="E73" s="25"/>
      <c r="F73" s="26"/>
      <c r="G73" s="27"/>
      <c r="H73" s="25"/>
      <c r="I73" s="25"/>
      <c r="J73" s="25"/>
      <c r="K73" s="25"/>
      <c r="L73" s="25"/>
      <c r="M73" s="27"/>
      <c r="N73" s="25"/>
      <c r="O73" s="30"/>
      <c r="P73" s="17"/>
      <c r="Q73" s="17"/>
      <c r="R73" s="17"/>
      <c r="S73" s="17"/>
      <c r="T73" s="17"/>
      <c r="U73" s="17"/>
      <c r="W73" s="21"/>
      <c r="Z73" s="67"/>
    </row>
    <row r="74" spans="1:26" ht="15">
      <c r="A74" s="67"/>
      <c r="B74" s="17" t="s">
        <v>245</v>
      </c>
      <c r="C74" s="17"/>
      <c r="D74" s="25">
        <v>120000</v>
      </c>
      <c r="E74" s="25"/>
      <c r="F74" s="26"/>
      <c r="G74" s="27">
        <v>20</v>
      </c>
      <c r="H74" s="28">
        <v>-9</v>
      </c>
      <c r="I74" s="25"/>
      <c r="J74" s="25"/>
      <c r="K74" s="25"/>
      <c r="L74" s="25"/>
      <c r="M74" s="27"/>
      <c r="N74" s="25">
        <f>(1-H74/100)*D74/G74</f>
        <v>6540.000000000001</v>
      </c>
      <c r="O74" s="30"/>
      <c r="P74" s="17"/>
      <c r="Q74" s="17"/>
      <c r="R74" s="17"/>
      <c r="S74" s="25">
        <f>N74</f>
        <v>6540.000000000001</v>
      </c>
      <c r="T74" s="17"/>
      <c r="U74" s="17"/>
      <c r="W74" s="21"/>
      <c r="Z74" s="67"/>
    </row>
    <row r="75" spans="1:26" ht="15">
      <c r="A75" s="67"/>
      <c r="B75" s="17" t="s">
        <v>246</v>
      </c>
      <c r="C75" s="17"/>
      <c r="D75" s="25">
        <v>4000000</v>
      </c>
      <c r="E75" s="25"/>
      <c r="F75" s="26"/>
      <c r="G75" s="27">
        <v>19</v>
      </c>
      <c r="H75" s="28">
        <v>-9</v>
      </c>
      <c r="I75" s="25"/>
      <c r="J75" s="25"/>
      <c r="K75" s="25"/>
      <c r="L75" s="25"/>
      <c r="M75" s="27"/>
      <c r="N75" s="25">
        <f>(1-H75/100)*D75/G75</f>
        <v>229473.68421052632</v>
      </c>
      <c r="O75" s="30"/>
      <c r="P75" s="17"/>
      <c r="Q75" s="17"/>
      <c r="R75" s="17"/>
      <c r="S75" s="25">
        <f>N75</f>
        <v>229473.68421052632</v>
      </c>
      <c r="T75" s="17"/>
      <c r="U75" s="17"/>
      <c r="W75" s="21"/>
      <c r="Z75" s="67"/>
    </row>
    <row r="76" spans="1:26" ht="15">
      <c r="A76" s="67"/>
      <c r="B76" s="17" t="s">
        <v>250</v>
      </c>
      <c r="C76" s="17"/>
      <c r="D76" s="25">
        <v>32000000</v>
      </c>
      <c r="E76" s="25"/>
      <c r="F76" s="26"/>
      <c r="G76" s="27">
        <v>18</v>
      </c>
      <c r="H76" s="28">
        <v>-9</v>
      </c>
      <c r="I76" s="25"/>
      <c r="J76" s="25"/>
      <c r="K76" s="25"/>
      <c r="L76" s="25"/>
      <c r="M76" s="27"/>
      <c r="N76" s="25">
        <f>(1-H76/100)*D76/G76</f>
        <v>1937777.7777777778</v>
      </c>
      <c r="O76" s="30"/>
      <c r="P76" s="17"/>
      <c r="Q76" s="17"/>
      <c r="R76" s="17"/>
      <c r="S76" s="25">
        <f>N76</f>
        <v>1937777.7777777778</v>
      </c>
      <c r="T76" s="17"/>
      <c r="U76" s="17"/>
      <c r="W76" s="21"/>
      <c r="Z76" s="67"/>
    </row>
    <row r="77" spans="1:26" ht="15">
      <c r="A77" s="67"/>
      <c r="B77" s="17" t="s">
        <v>403</v>
      </c>
      <c r="C77" s="17"/>
      <c r="D77" s="25">
        <v>5000000</v>
      </c>
      <c r="E77" s="25"/>
      <c r="F77" s="26"/>
      <c r="G77" s="27">
        <v>17</v>
      </c>
      <c r="H77" s="28">
        <v>-9</v>
      </c>
      <c r="I77" s="25"/>
      <c r="J77" s="25"/>
      <c r="K77" s="25"/>
      <c r="L77" s="25"/>
      <c r="M77" s="27"/>
      <c r="N77" s="25">
        <f>(1-H77/100)*D77/G77</f>
        <v>320588.23529411765</v>
      </c>
      <c r="O77" s="30"/>
      <c r="P77" s="17"/>
      <c r="Q77" s="17"/>
      <c r="R77" s="17"/>
      <c r="S77" s="25">
        <f>N77</f>
        <v>320588.23529411765</v>
      </c>
      <c r="T77" s="17"/>
      <c r="U77" s="17"/>
      <c r="W77" s="21"/>
      <c r="Z77" s="67"/>
    </row>
    <row r="78" spans="1:26" ht="15">
      <c r="A78" s="67"/>
      <c r="B78" s="17" t="s">
        <v>399</v>
      </c>
      <c r="C78" s="17"/>
      <c r="D78" s="40"/>
      <c r="E78" s="25"/>
      <c r="F78" s="26"/>
      <c r="G78" s="27"/>
      <c r="H78" s="25"/>
      <c r="I78" s="25"/>
      <c r="J78" s="25"/>
      <c r="K78" s="25"/>
      <c r="L78" s="25"/>
      <c r="M78" s="27"/>
      <c r="N78" s="40"/>
      <c r="O78" s="30"/>
      <c r="P78" s="17"/>
      <c r="Q78" s="17"/>
      <c r="R78" s="17"/>
      <c r="S78" s="17"/>
      <c r="T78" s="17"/>
      <c r="U78" s="17"/>
      <c r="W78" s="21"/>
      <c r="Z78" s="67"/>
    </row>
    <row r="79" spans="1:26" ht="15">
      <c r="A79" s="67"/>
      <c r="B79" s="17" t="s">
        <v>246</v>
      </c>
      <c r="C79" s="17"/>
      <c r="D79" s="25">
        <v>990000</v>
      </c>
      <c r="E79" s="25"/>
      <c r="F79" s="26"/>
      <c r="G79" s="27">
        <v>19</v>
      </c>
      <c r="H79" s="28">
        <v>-9</v>
      </c>
      <c r="I79" s="25"/>
      <c r="J79" s="25"/>
      <c r="K79" s="25"/>
      <c r="L79" s="25"/>
      <c r="M79" s="27"/>
      <c r="N79" s="25">
        <v>0</v>
      </c>
      <c r="O79" s="30"/>
      <c r="P79" s="17"/>
      <c r="Q79" s="17"/>
      <c r="R79" s="17"/>
      <c r="S79" s="17"/>
      <c r="T79" s="17"/>
      <c r="U79" s="17"/>
      <c r="W79" s="21"/>
      <c r="Z79" s="67"/>
    </row>
    <row r="80" spans="1:26" ht="15">
      <c r="A80" s="67"/>
      <c r="B80" s="17" t="s">
        <v>250</v>
      </c>
      <c r="C80" s="17"/>
      <c r="D80" s="25">
        <v>240000</v>
      </c>
      <c r="E80" s="25"/>
      <c r="F80" s="26"/>
      <c r="G80" s="27">
        <v>18</v>
      </c>
      <c r="H80" s="28">
        <v>-9</v>
      </c>
      <c r="I80" s="25"/>
      <c r="J80" s="25"/>
      <c r="K80" s="25"/>
      <c r="L80" s="25"/>
      <c r="M80" s="27"/>
      <c r="N80" s="25">
        <v>0</v>
      </c>
      <c r="O80" s="30"/>
      <c r="P80" s="17"/>
      <c r="Q80" s="17"/>
      <c r="R80" s="17"/>
      <c r="S80" s="17"/>
      <c r="T80" s="17"/>
      <c r="U80" s="17"/>
      <c r="W80" s="21"/>
      <c r="Z80" s="67"/>
    </row>
    <row r="81" spans="1:26" ht="15">
      <c r="A81" s="67"/>
      <c r="B81" s="17" t="s">
        <v>403</v>
      </c>
      <c r="C81" s="17"/>
      <c r="D81" s="25">
        <v>960000</v>
      </c>
      <c r="E81" s="25"/>
      <c r="F81" s="26"/>
      <c r="G81" s="27">
        <v>17</v>
      </c>
      <c r="H81" s="28">
        <v>-9</v>
      </c>
      <c r="I81" s="25"/>
      <c r="J81" s="25"/>
      <c r="K81" s="25"/>
      <c r="L81" s="25"/>
      <c r="M81" s="27"/>
      <c r="N81" s="25">
        <v>0</v>
      </c>
      <c r="O81" s="30"/>
      <c r="P81" s="17"/>
      <c r="Q81" s="17"/>
      <c r="R81" s="17"/>
      <c r="S81" s="17"/>
      <c r="T81" s="17"/>
      <c r="U81" s="17"/>
      <c r="W81" s="21"/>
      <c r="Z81" s="67"/>
    </row>
    <row r="82" spans="1:26" ht="15">
      <c r="A82" s="67"/>
      <c r="B82" s="17" t="s">
        <v>404</v>
      </c>
      <c r="C82" s="17"/>
      <c r="D82" s="40">
        <v>280000</v>
      </c>
      <c r="E82" s="25"/>
      <c r="F82" s="26"/>
      <c r="G82" s="27">
        <v>16</v>
      </c>
      <c r="H82" s="28">
        <v>-9</v>
      </c>
      <c r="I82" s="25"/>
      <c r="J82" s="25"/>
      <c r="K82" s="25"/>
      <c r="L82" s="25"/>
      <c r="M82" s="27"/>
      <c r="N82" s="40">
        <v>0</v>
      </c>
      <c r="O82" s="30"/>
      <c r="P82" s="17"/>
      <c r="Q82" s="69"/>
      <c r="R82" s="69"/>
      <c r="S82" s="69"/>
      <c r="T82" s="69"/>
      <c r="U82" s="69"/>
      <c r="V82" s="69"/>
      <c r="W82" s="70"/>
      <c r="X82" s="69"/>
      <c r="Y82" s="69"/>
      <c r="Z82" s="67"/>
    </row>
    <row r="83" spans="1:26" ht="15">
      <c r="A83" s="66" t="s">
        <v>415</v>
      </c>
      <c r="B83" s="22" t="s">
        <v>416</v>
      </c>
      <c r="C83" s="17"/>
      <c r="D83" s="25">
        <f>SUM(D72:D82)</f>
        <v>323314512</v>
      </c>
      <c r="E83" s="25"/>
      <c r="F83" s="26"/>
      <c r="G83" s="27"/>
      <c r="H83" s="25"/>
      <c r="I83" s="25"/>
      <c r="J83" s="25"/>
      <c r="K83" s="25"/>
      <c r="L83" s="25"/>
      <c r="M83" s="27"/>
      <c r="N83" s="25">
        <f>SUM(N72:N82)</f>
        <v>7188074.697282422</v>
      </c>
      <c r="O83" s="30">
        <f>N83/D83*100</f>
        <v>2.2232453015540554</v>
      </c>
      <c r="P83" s="17"/>
      <c r="Q83" s="25">
        <f>L72+I72</f>
        <v>109533828</v>
      </c>
      <c r="R83" s="17"/>
      <c r="S83" s="25">
        <f>SUM(S72:S77)</f>
        <v>6310889.383693571</v>
      </c>
      <c r="T83" s="17"/>
      <c r="U83" s="30">
        <f>S83/D83*100</f>
        <v>1.9519350816190926</v>
      </c>
      <c r="V83" s="17"/>
      <c r="W83" s="16">
        <f>(O83-U83)/100</f>
        <v>0.0027131021993496286</v>
      </c>
      <c r="X83" s="17"/>
      <c r="Y83" s="30">
        <f>W83/O83</f>
        <v>0.0012203341653092268</v>
      </c>
      <c r="Z83" s="66" t="s">
        <v>415</v>
      </c>
    </row>
    <row r="84" spans="1:26" ht="15">
      <c r="A84" s="67"/>
      <c r="B84" s="17"/>
      <c r="C84" s="17"/>
      <c r="D84" s="25"/>
      <c r="E84" s="25"/>
      <c r="F84" s="26"/>
      <c r="G84" s="27"/>
      <c r="H84" s="25"/>
      <c r="I84" s="25"/>
      <c r="J84" s="25"/>
      <c r="K84" s="25"/>
      <c r="L84" s="25"/>
      <c r="M84" s="27"/>
      <c r="N84" s="25"/>
      <c r="O84" s="30"/>
      <c r="P84" s="17"/>
      <c r="Q84" s="17"/>
      <c r="R84" s="17"/>
      <c r="S84" s="17"/>
      <c r="T84" s="17"/>
      <c r="U84" s="17"/>
      <c r="W84" s="21"/>
      <c r="Z84" s="67"/>
    </row>
    <row r="85" spans="1:26" ht="15">
      <c r="A85" s="67"/>
      <c r="B85" s="17"/>
      <c r="C85" s="17"/>
      <c r="D85" s="25"/>
      <c r="E85" s="25"/>
      <c r="F85" s="26"/>
      <c r="G85" s="27"/>
      <c r="H85" s="25"/>
      <c r="I85" s="25"/>
      <c r="J85" s="25"/>
      <c r="K85" s="25"/>
      <c r="L85" s="25"/>
      <c r="M85" s="27"/>
      <c r="N85" s="25"/>
      <c r="O85" s="30"/>
      <c r="P85" s="17"/>
      <c r="Q85" s="17"/>
      <c r="R85" s="17"/>
      <c r="S85" s="17"/>
      <c r="T85" s="17"/>
      <c r="U85" s="17"/>
      <c r="W85" s="21"/>
      <c r="Z85" s="67"/>
    </row>
    <row r="86" spans="1:26" ht="15">
      <c r="A86" s="67"/>
      <c r="B86" s="17" t="s">
        <v>417</v>
      </c>
      <c r="C86" s="17"/>
      <c r="D86" s="25">
        <v>259939578</v>
      </c>
      <c r="E86" s="40"/>
      <c r="F86" s="26" t="s">
        <v>243</v>
      </c>
      <c r="G86" s="27">
        <v>33.6</v>
      </c>
      <c r="H86" s="28">
        <v>-9</v>
      </c>
      <c r="I86" s="25">
        <f>ROUND(H86/100*D86,0)</f>
        <v>-23394562</v>
      </c>
      <c r="J86" s="25">
        <v>142439606</v>
      </c>
      <c r="K86" s="25"/>
      <c r="L86" s="25">
        <f>D86-I86-J86</f>
        <v>140894534</v>
      </c>
      <c r="M86" s="27">
        <f>19.9+12</f>
        <v>31.9</v>
      </c>
      <c r="N86" s="25">
        <f>ROUND(+L86/M86,0)</f>
        <v>4416757</v>
      </c>
      <c r="O86" s="30">
        <f>N86/D86*100</f>
        <v>1.6991475611305331</v>
      </c>
      <c r="P86" s="17"/>
      <c r="Q86" s="25">
        <f>D86-J86</f>
        <v>117499972</v>
      </c>
      <c r="R86" s="17"/>
      <c r="S86" s="25">
        <f>Q86/M86</f>
        <v>3683384.7021943578</v>
      </c>
      <c r="T86" s="17"/>
      <c r="U86" s="17"/>
      <c r="W86" s="21"/>
      <c r="Z86" s="67"/>
    </row>
    <row r="87" spans="1:26" ht="15">
      <c r="A87" s="67"/>
      <c r="B87" s="17" t="s">
        <v>244</v>
      </c>
      <c r="C87" s="17"/>
      <c r="D87" s="40"/>
      <c r="E87" s="40"/>
      <c r="F87" s="26"/>
      <c r="G87" s="27"/>
      <c r="H87" s="25"/>
      <c r="I87" s="40"/>
      <c r="J87" s="40"/>
      <c r="K87" s="25"/>
      <c r="L87" s="40"/>
      <c r="M87" s="27"/>
      <c r="N87" s="40"/>
      <c r="O87" s="30"/>
      <c r="P87" s="17"/>
      <c r="Q87" s="17"/>
      <c r="R87" s="17"/>
      <c r="S87" s="17"/>
      <c r="T87" s="17"/>
      <c r="U87" s="17"/>
      <c r="W87" s="21"/>
      <c r="Z87" s="67"/>
    </row>
    <row r="88" spans="1:26" ht="15">
      <c r="A88" s="67"/>
      <c r="B88" s="17" t="s">
        <v>246</v>
      </c>
      <c r="C88" s="17"/>
      <c r="D88" s="25">
        <v>2000000</v>
      </c>
      <c r="E88" s="40"/>
      <c r="F88" s="26"/>
      <c r="G88" s="27">
        <v>19</v>
      </c>
      <c r="H88" s="28">
        <v>-9</v>
      </c>
      <c r="I88" s="40"/>
      <c r="J88" s="40"/>
      <c r="K88" s="25"/>
      <c r="L88" s="40"/>
      <c r="M88" s="27"/>
      <c r="N88" s="25">
        <f>(1-H88/100)*D88/G88</f>
        <v>114736.84210526316</v>
      </c>
      <c r="O88" s="30"/>
      <c r="P88" s="17"/>
      <c r="Q88" s="17"/>
      <c r="R88" s="17"/>
      <c r="S88" s="25">
        <f>N88</f>
        <v>114736.84210526316</v>
      </c>
      <c r="T88" s="17"/>
      <c r="U88" s="17"/>
      <c r="W88" s="21"/>
      <c r="Z88" s="67"/>
    </row>
    <row r="89" spans="1:26" ht="15">
      <c r="A89" s="67"/>
      <c r="B89" s="17" t="s">
        <v>250</v>
      </c>
      <c r="C89" s="17"/>
      <c r="D89" s="25">
        <v>12500000</v>
      </c>
      <c r="E89" s="40"/>
      <c r="F89" s="26"/>
      <c r="G89" s="27">
        <v>18</v>
      </c>
      <c r="H89" s="28">
        <v>-9</v>
      </c>
      <c r="I89" s="40"/>
      <c r="J89" s="40"/>
      <c r="K89" s="25"/>
      <c r="L89" s="40"/>
      <c r="M89" s="27"/>
      <c r="N89" s="25">
        <f>(1-H89/100)*D89/G89</f>
        <v>756944.4444444445</v>
      </c>
      <c r="O89" s="30"/>
      <c r="P89" s="17"/>
      <c r="Q89" s="17"/>
      <c r="R89" s="17"/>
      <c r="S89" s="25">
        <f>N89</f>
        <v>756944.4444444445</v>
      </c>
      <c r="T89" s="17"/>
      <c r="U89" s="17"/>
      <c r="W89" s="21"/>
      <c r="Z89" s="67"/>
    </row>
    <row r="90" spans="1:26" ht="15">
      <c r="A90" s="67"/>
      <c r="B90" s="17" t="s">
        <v>403</v>
      </c>
      <c r="C90" s="17"/>
      <c r="D90" s="25">
        <v>26500000</v>
      </c>
      <c r="E90" s="40"/>
      <c r="F90" s="26"/>
      <c r="G90" s="27">
        <v>17</v>
      </c>
      <c r="H90" s="28">
        <v>-9</v>
      </c>
      <c r="I90" s="40"/>
      <c r="J90" s="40"/>
      <c r="K90" s="25"/>
      <c r="L90" s="40"/>
      <c r="M90" s="27"/>
      <c r="N90" s="25">
        <f>(1-H90/100)*D90/G90</f>
        <v>1699117.6470588238</v>
      </c>
      <c r="O90" s="30"/>
      <c r="P90" s="17"/>
      <c r="Q90" s="17"/>
      <c r="R90" s="17"/>
      <c r="S90" s="25">
        <f>N90</f>
        <v>1699117.6470588238</v>
      </c>
      <c r="T90" s="17"/>
      <c r="U90" s="17"/>
      <c r="W90" s="21"/>
      <c r="Z90" s="67"/>
    </row>
    <row r="91" spans="1:26" ht="15">
      <c r="A91" s="67"/>
      <c r="B91" s="17" t="s">
        <v>399</v>
      </c>
      <c r="C91" s="17"/>
      <c r="D91" s="40"/>
      <c r="E91" s="40"/>
      <c r="F91" s="26"/>
      <c r="G91" s="27"/>
      <c r="H91" s="25"/>
      <c r="I91" s="40"/>
      <c r="J91" s="40"/>
      <c r="K91" s="25"/>
      <c r="L91" s="40"/>
      <c r="M91" s="27"/>
      <c r="N91" s="40"/>
      <c r="O91" s="30"/>
      <c r="P91" s="17"/>
      <c r="Q91" s="17"/>
      <c r="R91" s="17"/>
      <c r="S91" s="25">
        <f>N91</f>
        <v>0</v>
      </c>
      <c r="T91" s="17"/>
      <c r="U91" s="17"/>
      <c r="W91" s="21"/>
      <c r="Z91" s="67"/>
    </row>
    <row r="92" spans="1:26" ht="15">
      <c r="A92" s="67"/>
      <c r="B92" s="17" t="s">
        <v>246</v>
      </c>
      <c r="C92" s="17"/>
      <c r="D92" s="25">
        <v>2960000</v>
      </c>
      <c r="E92" s="40"/>
      <c r="F92" s="26"/>
      <c r="G92" s="27">
        <v>19</v>
      </c>
      <c r="H92" s="28">
        <v>-9</v>
      </c>
      <c r="I92" s="40"/>
      <c r="J92" s="40"/>
      <c r="K92" s="25"/>
      <c r="L92" s="40"/>
      <c r="M92" s="27"/>
      <c r="N92" s="25">
        <v>0</v>
      </c>
      <c r="O92" s="30"/>
      <c r="P92" s="17"/>
      <c r="Q92" s="17"/>
      <c r="R92" s="17"/>
      <c r="S92" s="17"/>
      <c r="T92" s="17"/>
      <c r="U92" s="17"/>
      <c r="W92" s="21"/>
      <c r="Z92" s="67"/>
    </row>
    <row r="93" spans="1:26" ht="15">
      <c r="A93" s="67"/>
      <c r="B93" s="17" t="s">
        <v>250</v>
      </c>
      <c r="C93" s="17"/>
      <c r="D93" s="25">
        <v>6660000</v>
      </c>
      <c r="E93" s="40"/>
      <c r="F93" s="26"/>
      <c r="G93" s="27">
        <v>18</v>
      </c>
      <c r="H93" s="28">
        <v>-9</v>
      </c>
      <c r="I93" s="40"/>
      <c r="J93" s="40"/>
      <c r="K93" s="25"/>
      <c r="L93" s="40"/>
      <c r="M93" s="27"/>
      <c r="N93" s="25">
        <v>0</v>
      </c>
      <c r="O93" s="30"/>
      <c r="P93" s="17"/>
      <c r="Q93" s="17"/>
      <c r="R93" s="17"/>
      <c r="S93" s="17"/>
      <c r="T93" s="17"/>
      <c r="U93" s="17"/>
      <c r="W93" s="21"/>
      <c r="Z93" s="67"/>
    </row>
    <row r="94" spans="1:26" ht="15">
      <c r="A94" s="67"/>
      <c r="B94" s="17" t="s">
        <v>403</v>
      </c>
      <c r="C94" s="17"/>
      <c r="D94" s="25">
        <v>10680000</v>
      </c>
      <c r="E94" s="40"/>
      <c r="F94" s="26"/>
      <c r="G94" s="27">
        <v>17</v>
      </c>
      <c r="H94" s="28">
        <v>-9</v>
      </c>
      <c r="I94" s="40"/>
      <c r="J94" s="40"/>
      <c r="K94" s="25"/>
      <c r="L94" s="40"/>
      <c r="M94" s="27"/>
      <c r="N94" s="25">
        <v>0</v>
      </c>
      <c r="O94" s="30"/>
      <c r="P94" s="17"/>
      <c r="Q94" s="17"/>
      <c r="R94" s="17"/>
      <c r="S94" s="17"/>
      <c r="T94" s="17"/>
      <c r="U94" s="17"/>
      <c r="W94" s="21"/>
      <c r="Z94" s="67"/>
    </row>
    <row r="95" spans="1:26" ht="15">
      <c r="A95" s="67"/>
      <c r="B95" s="17" t="s">
        <v>404</v>
      </c>
      <c r="C95" s="17"/>
      <c r="D95" s="25">
        <v>860000</v>
      </c>
      <c r="E95" s="40"/>
      <c r="F95" s="26"/>
      <c r="G95" s="27">
        <v>16</v>
      </c>
      <c r="H95" s="28">
        <v>-9</v>
      </c>
      <c r="I95" s="40"/>
      <c r="J95" s="40"/>
      <c r="K95" s="25"/>
      <c r="L95" s="40"/>
      <c r="M95" s="27"/>
      <c r="N95" s="25">
        <v>0</v>
      </c>
      <c r="O95" s="30"/>
      <c r="P95" s="17"/>
      <c r="Q95" s="17"/>
      <c r="R95" s="17"/>
      <c r="S95" s="17"/>
      <c r="T95" s="17"/>
      <c r="U95" s="17"/>
      <c r="W95" s="21"/>
      <c r="Z95" s="67"/>
    </row>
    <row r="96" spans="1:26" ht="15">
      <c r="A96" s="67"/>
      <c r="B96" s="17" t="s">
        <v>410</v>
      </c>
      <c r="C96" s="17"/>
      <c r="D96" s="40">
        <v>860000</v>
      </c>
      <c r="E96" s="40"/>
      <c r="F96" s="26"/>
      <c r="G96" s="27">
        <v>15</v>
      </c>
      <c r="H96" s="28">
        <v>-9</v>
      </c>
      <c r="I96" s="40"/>
      <c r="J96" s="40"/>
      <c r="K96" s="25"/>
      <c r="L96" s="40"/>
      <c r="M96" s="27"/>
      <c r="N96" s="40">
        <v>0</v>
      </c>
      <c r="O96" s="30"/>
      <c r="P96" s="17"/>
      <c r="Q96" s="69"/>
      <c r="R96" s="69"/>
      <c r="S96" s="69"/>
      <c r="T96" s="69"/>
      <c r="U96" s="69"/>
      <c r="V96" s="69"/>
      <c r="W96" s="70"/>
      <c r="X96" s="69"/>
      <c r="Y96" s="69"/>
      <c r="Z96" s="67"/>
    </row>
    <row r="97" spans="1:26" ht="15">
      <c r="A97" s="66" t="s">
        <v>133</v>
      </c>
      <c r="B97" s="22" t="s">
        <v>418</v>
      </c>
      <c r="C97" s="17"/>
      <c r="D97" s="25">
        <f>SUM(D86:D96)</f>
        <v>322959578</v>
      </c>
      <c r="E97" s="40"/>
      <c r="F97" s="26"/>
      <c r="G97" s="27"/>
      <c r="H97" s="25"/>
      <c r="I97" s="40"/>
      <c r="J97" s="40"/>
      <c r="K97" s="25"/>
      <c r="L97" s="40"/>
      <c r="M97" s="27"/>
      <c r="N97" s="25">
        <f>SUM(N86:N96)</f>
        <v>6987555.933608532</v>
      </c>
      <c r="O97" s="30">
        <f>N97/D97*100</f>
        <v>2.163600775329392</v>
      </c>
      <c r="P97" s="17"/>
      <c r="Q97" s="25">
        <f>SUM(Q86:Q96)</f>
        <v>117499972</v>
      </c>
      <c r="R97" s="17"/>
      <c r="S97" s="25">
        <f>SUM(S86:S91)</f>
        <v>6254183.635802889</v>
      </c>
      <c r="T97" s="17"/>
      <c r="U97" s="30">
        <f>S97/D97*100</f>
        <v>1.936522110455225</v>
      </c>
      <c r="V97" s="17"/>
      <c r="W97" s="16">
        <f>(O97-U97)/100</f>
        <v>0.0022707866487416697</v>
      </c>
      <c r="X97" s="17"/>
      <c r="Y97" s="30">
        <f>W97/O97</f>
        <v>0.0010495405042531285</v>
      </c>
      <c r="Z97" s="66" t="s">
        <v>133</v>
      </c>
    </row>
    <row r="98" spans="1:26" ht="15">
      <c r="A98" s="67"/>
      <c r="P98" s="17"/>
      <c r="Q98" s="17"/>
      <c r="R98" s="17"/>
      <c r="S98" s="17"/>
      <c r="T98" s="17"/>
      <c r="U98" s="17"/>
      <c r="W98" s="21"/>
      <c r="Z98" s="67"/>
    </row>
    <row r="99" spans="1:26" ht="15">
      <c r="A99" s="67"/>
      <c r="B99" s="17"/>
      <c r="C99" s="17"/>
      <c r="D99" s="40"/>
      <c r="E99" s="40"/>
      <c r="F99" s="26"/>
      <c r="G99" s="27"/>
      <c r="H99" s="25"/>
      <c r="I99" s="40"/>
      <c r="J99" s="40"/>
      <c r="K99" s="25"/>
      <c r="L99" s="40"/>
      <c r="M99" s="27"/>
      <c r="N99" s="40"/>
      <c r="O99" s="30"/>
      <c r="P99" s="17"/>
      <c r="Q99" s="17"/>
      <c r="R99" s="17"/>
      <c r="S99" s="17"/>
      <c r="T99" s="17"/>
      <c r="U99" s="17"/>
      <c r="W99" s="21"/>
      <c r="Z99" s="67"/>
    </row>
    <row r="100" spans="1:26" ht="15">
      <c r="A100" s="72"/>
      <c r="B100" s="22" t="s">
        <v>419</v>
      </c>
      <c r="C100" s="17"/>
      <c r="D100" s="25">
        <f>D58+D69+D83+D97</f>
        <v>972460458</v>
      </c>
      <c r="E100" s="25"/>
      <c r="F100" s="17"/>
      <c r="G100" s="27" t="s">
        <v>253</v>
      </c>
      <c r="H100" s="17"/>
      <c r="I100" s="25" t="s">
        <v>253</v>
      </c>
      <c r="J100" s="25" t="s">
        <v>253</v>
      </c>
      <c r="K100" s="17"/>
      <c r="L100" s="25" t="s">
        <v>253</v>
      </c>
      <c r="M100" s="17"/>
      <c r="N100" s="25">
        <f>N58+N69+N83+N97</f>
        <v>22505254.83247334</v>
      </c>
      <c r="O100" s="30">
        <f>N100/D100*100</f>
        <v>2.3142591194667723</v>
      </c>
      <c r="P100" s="17"/>
      <c r="Q100" s="25"/>
      <c r="R100" s="73"/>
      <c r="S100" s="17"/>
      <c r="T100" s="17"/>
      <c r="U100" s="17"/>
      <c r="W100" s="21"/>
      <c r="Z100" s="72"/>
    </row>
    <row r="101" spans="1:26" ht="15">
      <c r="A101" s="72"/>
      <c r="B101" s="22"/>
      <c r="C101" s="17"/>
      <c r="D101" s="25"/>
      <c r="E101" s="25"/>
      <c r="F101" s="17"/>
      <c r="G101" s="27"/>
      <c r="H101" s="17"/>
      <c r="I101" s="25"/>
      <c r="J101" s="25"/>
      <c r="K101" s="17"/>
      <c r="L101" s="25"/>
      <c r="M101" s="17"/>
      <c r="N101" s="25"/>
      <c r="O101" s="30"/>
      <c r="P101" s="17"/>
      <c r="Q101" s="25"/>
      <c r="R101" s="73"/>
      <c r="S101" s="17"/>
      <c r="T101" s="17"/>
      <c r="U101" s="17"/>
      <c r="W101" s="21"/>
      <c r="Z101" s="72"/>
    </row>
    <row r="102" spans="1:26" ht="15">
      <c r="A102" s="72"/>
      <c r="B102" s="22" t="s">
        <v>420</v>
      </c>
      <c r="C102" s="17"/>
      <c r="D102" s="25"/>
      <c r="E102" s="25"/>
      <c r="F102" s="17"/>
      <c r="G102" s="27"/>
      <c r="H102" s="17"/>
      <c r="I102" s="25"/>
      <c r="J102" s="25"/>
      <c r="K102" s="17"/>
      <c r="L102" s="25"/>
      <c r="M102" s="17"/>
      <c r="N102" s="25"/>
      <c r="O102" s="30"/>
      <c r="P102" s="17"/>
      <c r="Q102" s="69"/>
      <c r="R102" s="69"/>
      <c r="S102" s="69"/>
      <c r="T102" s="69"/>
      <c r="U102" s="69"/>
      <c r="V102" s="69"/>
      <c r="W102" s="70"/>
      <c r="X102" s="69"/>
      <c r="Y102" s="69"/>
      <c r="Z102" s="72"/>
    </row>
    <row r="103" spans="1:26" ht="15">
      <c r="A103" s="66" t="s">
        <v>120</v>
      </c>
      <c r="B103" s="17" t="s">
        <v>421</v>
      </c>
      <c r="C103" s="17"/>
      <c r="D103" s="25">
        <v>114258493</v>
      </c>
      <c r="E103" s="25"/>
      <c r="F103" s="26" t="s">
        <v>243</v>
      </c>
      <c r="G103" s="27">
        <v>18.5</v>
      </c>
      <c r="H103" s="28">
        <v>-9</v>
      </c>
      <c r="I103" s="25">
        <f>ROUND(H103/100*D103,0)</f>
        <v>-10283264</v>
      </c>
      <c r="J103" s="25">
        <v>20805355</v>
      </c>
      <c r="K103" s="25"/>
      <c r="L103" s="25">
        <f>D103-I103-J103</f>
        <v>103736402</v>
      </c>
      <c r="M103" s="27">
        <v>16</v>
      </c>
      <c r="N103" s="25">
        <f>ROUND(+L103/M103,0)</f>
        <v>6483525</v>
      </c>
      <c r="O103" s="30">
        <f>N103/D103*100</f>
        <v>5.674435947619229</v>
      </c>
      <c r="P103" s="17"/>
      <c r="Q103" s="25">
        <f>L103+I103</f>
        <v>93453138</v>
      </c>
      <c r="R103" s="17"/>
      <c r="S103" s="25">
        <f>Q103/M103</f>
        <v>5840821.125</v>
      </c>
      <c r="T103" s="17"/>
      <c r="U103" s="30">
        <f>S103/D103*100</f>
        <v>5.111936077259482</v>
      </c>
      <c r="V103" s="17"/>
      <c r="W103" s="16">
        <f>(O103-U103)/100</f>
        <v>0.005624998703597468</v>
      </c>
      <c r="X103" s="17"/>
      <c r="Y103" s="30">
        <f>W103/O103</f>
        <v>0.0009912877254271407</v>
      </c>
      <c r="Z103" s="66" t="s">
        <v>120</v>
      </c>
    </row>
    <row r="104" spans="1:26" ht="15">
      <c r="A104" s="67"/>
      <c r="B104" s="17"/>
      <c r="C104" s="17"/>
      <c r="D104" s="25"/>
      <c r="E104" s="25"/>
      <c r="F104" s="26"/>
      <c r="G104" s="27"/>
      <c r="H104" s="25"/>
      <c r="I104" s="25"/>
      <c r="J104" s="25"/>
      <c r="K104" s="25"/>
      <c r="L104" s="25"/>
      <c r="M104" s="27"/>
      <c r="N104" s="25"/>
      <c r="O104" s="30"/>
      <c r="P104" s="17"/>
      <c r="Q104" s="17"/>
      <c r="R104" s="17"/>
      <c r="S104" s="17"/>
      <c r="T104" s="17"/>
      <c r="U104" s="17"/>
      <c r="W104" s="21"/>
      <c r="Z104" s="67"/>
    </row>
    <row r="105" spans="1:26" ht="15">
      <c r="A105" s="67"/>
      <c r="B105" s="22" t="s">
        <v>412</v>
      </c>
      <c r="C105" s="17"/>
      <c r="D105" s="25"/>
      <c r="E105" s="25"/>
      <c r="F105" s="26"/>
      <c r="G105" s="27"/>
      <c r="H105" s="25"/>
      <c r="I105" s="25"/>
      <c r="J105" s="25"/>
      <c r="K105" s="25"/>
      <c r="L105" s="25"/>
      <c r="M105" s="27"/>
      <c r="N105" s="25"/>
      <c r="O105" s="30"/>
      <c r="P105" s="17"/>
      <c r="Q105" s="17"/>
      <c r="R105" s="17"/>
      <c r="S105" s="17"/>
      <c r="T105" s="17"/>
      <c r="U105" s="17"/>
      <c r="W105" s="21"/>
      <c r="Z105" s="67"/>
    </row>
    <row r="106" spans="1:26" ht="15">
      <c r="A106" s="67"/>
      <c r="B106" s="51">
        <v>2001</v>
      </c>
      <c r="C106" s="17"/>
      <c r="D106" s="25">
        <v>3200000</v>
      </c>
      <c r="E106" s="25"/>
      <c r="F106" s="26"/>
      <c r="G106" s="27">
        <v>19</v>
      </c>
      <c r="H106" s="28">
        <v>-9</v>
      </c>
      <c r="I106" s="25"/>
      <c r="J106" s="25"/>
      <c r="K106" s="25"/>
      <c r="L106" s="25"/>
      <c r="M106" s="27"/>
      <c r="N106" s="25">
        <f>(1-H106/100)*D106/G106</f>
        <v>183578.94736842107</v>
      </c>
      <c r="O106" s="30">
        <f>N106/D106*100</f>
        <v>5.736842105263158</v>
      </c>
      <c r="P106" s="17"/>
      <c r="Q106" s="17"/>
      <c r="R106" s="17"/>
      <c r="S106" s="17"/>
      <c r="T106" s="17"/>
      <c r="U106" s="17"/>
      <c r="W106" s="21"/>
      <c r="Z106" s="67"/>
    </row>
    <row r="107" spans="1:26" ht="15">
      <c r="A107" s="67"/>
      <c r="B107" s="51">
        <v>2002</v>
      </c>
      <c r="C107" s="17"/>
      <c r="D107" s="25">
        <v>12800000</v>
      </c>
      <c r="E107" s="25"/>
      <c r="F107" s="26"/>
      <c r="G107" s="27">
        <v>18</v>
      </c>
      <c r="H107" s="28">
        <v>-9</v>
      </c>
      <c r="I107" s="25"/>
      <c r="J107" s="25"/>
      <c r="K107" s="25"/>
      <c r="L107" s="25"/>
      <c r="M107" s="27"/>
      <c r="N107" s="25">
        <f>(1-H107/100)*D107/G107</f>
        <v>775111.1111111112</v>
      </c>
      <c r="O107" s="30">
        <f>N107/D107*100</f>
        <v>6.055555555555556</v>
      </c>
      <c r="P107" s="17"/>
      <c r="Q107" s="17"/>
      <c r="R107" s="17"/>
      <c r="S107" s="17"/>
      <c r="T107" s="17"/>
      <c r="U107" s="17"/>
      <c r="W107" s="21"/>
      <c r="Z107" s="67"/>
    </row>
    <row r="108" spans="1:26" ht="15">
      <c r="A108" s="67"/>
      <c r="B108" s="51">
        <v>2003</v>
      </c>
      <c r="C108" s="17"/>
      <c r="D108" s="25">
        <v>14400000</v>
      </c>
      <c r="E108" s="25"/>
      <c r="F108" s="26"/>
      <c r="G108" s="27">
        <v>17</v>
      </c>
      <c r="H108" s="28">
        <v>-9</v>
      </c>
      <c r="I108" s="25"/>
      <c r="J108" s="25"/>
      <c r="K108" s="25"/>
      <c r="L108" s="25"/>
      <c r="M108" s="27"/>
      <c r="N108" s="25">
        <f>(1-H108/100)*D108/G108</f>
        <v>923294.1176470589</v>
      </c>
      <c r="O108" s="30">
        <f>N108/D108*100</f>
        <v>6.411764705882353</v>
      </c>
      <c r="P108" s="17"/>
      <c r="Q108" s="17"/>
      <c r="R108" s="17"/>
      <c r="S108" s="17"/>
      <c r="T108" s="17"/>
      <c r="U108" s="17"/>
      <c r="W108" s="21"/>
      <c r="Z108" s="67"/>
    </row>
    <row r="109" spans="1:26" ht="15">
      <c r="A109" s="67"/>
      <c r="B109" s="51">
        <v>2004</v>
      </c>
      <c r="C109" s="17"/>
      <c r="D109" s="40">
        <v>1600000</v>
      </c>
      <c r="E109" s="25"/>
      <c r="F109" s="26"/>
      <c r="G109" s="27">
        <v>16</v>
      </c>
      <c r="H109" s="28">
        <v>-9</v>
      </c>
      <c r="I109" s="25"/>
      <c r="J109" s="25"/>
      <c r="K109" s="25"/>
      <c r="L109" s="25"/>
      <c r="M109" s="27"/>
      <c r="N109" s="40">
        <f>(1-H109/100)*D109/G109</f>
        <v>109000.00000000001</v>
      </c>
      <c r="O109" s="30">
        <f>N109/D109*100</f>
        <v>6.812500000000001</v>
      </c>
      <c r="P109" s="17"/>
      <c r="Q109" s="17"/>
      <c r="R109" s="17"/>
      <c r="S109" s="17"/>
      <c r="T109" s="17"/>
      <c r="U109" s="17"/>
      <c r="W109" s="21"/>
      <c r="Z109" s="67"/>
    </row>
    <row r="110" spans="1:26" ht="15">
      <c r="A110" s="67"/>
      <c r="B110" s="22" t="s">
        <v>422</v>
      </c>
      <c r="C110" s="17"/>
      <c r="D110" s="25">
        <f>SUM(D106:D109)</f>
        <v>32000000</v>
      </c>
      <c r="E110" s="25"/>
      <c r="F110" s="26"/>
      <c r="G110" s="27"/>
      <c r="H110" s="25"/>
      <c r="I110" s="25"/>
      <c r="J110" s="25"/>
      <c r="K110" s="25"/>
      <c r="L110" s="25"/>
      <c r="M110" s="27"/>
      <c r="N110" s="25">
        <f>SUM(N106:N109)</f>
        <v>1990984.1761265914</v>
      </c>
      <c r="O110" s="30">
        <f>N110/D110*100</f>
        <v>6.221825550395598</v>
      </c>
      <c r="P110" s="17"/>
      <c r="Q110" s="25"/>
      <c r="R110" s="17"/>
      <c r="S110" s="25"/>
      <c r="T110" s="17"/>
      <c r="U110" s="30"/>
      <c r="V110" s="17"/>
      <c r="W110" s="16"/>
      <c r="X110" s="17"/>
      <c r="Y110" s="30"/>
      <c r="Z110" s="67"/>
    </row>
    <row r="111" spans="1:26" ht="15">
      <c r="A111" s="67"/>
      <c r="B111" s="17"/>
      <c r="C111" s="17"/>
      <c r="D111" s="25"/>
      <c r="E111" s="25"/>
      <c r="F111" s="26"/>
      <c r="G111" s="27"/>
      <c r="H111" s="25"/>
      <c r="I111" s="25"/>
      <c r="J111" s="25"/>
      <c r="K111" s="25"/>
      <c r="L111" s="25"/>
      <c r="M111" s="27"/>
      <c r="N111" s="25"/>
      <c r="O111" s="30"/>
      <c r="P111" s="17"/>
      <c r="Q111" s="17"/>
      <c r="R111" s="17"/>
      <c r="S111" s="17"/>
      <c r="T111" s="17"/>
      <c r="U111" s="17"/>
      <c r="W111" s="21"/>
      <c r="Z111" s="67"/>
    </row>
    <row r="112" spans="1:26" ht="15">
      <c r="A112" s="67"/>
      <c r="B112" s="22" t="s">
        <v>423</v>
      </c>
      <c r="C112" s="17"/>
      <c r="D112" s="25">
        <f>D103+D110</f>
        <v>146258493</v>
      </c>
      <c r="E112" s="25"/>
      <c r="F112" s="26"/>
      <c r="G112" s="27"/>
      <c r="H112" s="25"/>
      <c r="I112" s="25"/>
      <c r="J112" s="25"/>
      <c r="K112" s="25"/>
      <c r="L112" s="25"/>
      <c r="M112" s="27"/>
      <c r="N112" s="25">
        <f>N103+N110</f>
        <v>8474509.176126592</v>
      </c>
      <c r="O112" s="30">
        <f>N112/D112*100</f>
        <v>5.794199709227547</v>
      </c>
      <c r="P112" s="17"/>
      <c r="Q112" s="17"/>
      <c r="R112" s="17"/>
      <c r="S112" s="17"/>
      <c r="T112" s="17"/>
      <c r="U112" s="17"/>
      <c r="W112" s="21"/>
      <c r="Z112" s="67"/>
    </row>
    <row r="113" spans="1:26" ht="15">
      <c r="A113" s="72"/>
      <c r="B113" s="22"/>
      <c r="C113" s="17"/>
      <c r="D113" s="25"/>
      <c r="E113" s="25"/>
      <c r="F113" s="17"/>
      <c r="G113" s="27"/>
      <c r="H113" s="17"/>
      <c r="I113" s="25"/>
      <c r="J113" s="25"/>
      <c r="K113" s="17"/>
      <c r="L113" s="25"/>
      <c r="M113" s="17"/>
      <c r="N113" s="25"/>
      <c r="O113" s="30"/>
      <c r="P113" s="17"/>
      <c r="Q113" s="25"/>
      <c r="R113" s="73"/>
      <c r="S113" s="17"/>
      <c r="T113" s="17"/>
      <c r="U113" s="17"/>
      <c r="W113" s="21"/>
      <c r="Z113" s="72"/>
    </row>
    <row r="114" spans="1:26" ht="15">
      <c r="A114" s="72"/>
      <c r="B114" s="22" t="s">
        <v>424</v>
      </c>
      <c r="C114" s="17"/>
      <c r="D114" s="25">
        <f>D100+D103+D110</f>
        <v>1118718951</v>
      </c>
      <c r="E114" s="25"/>
      <c r="F114" s="17"/>
      <c r="G114" s="27" t="s">
        <v>253</v>
      </c>
      <c r="H114" s="17"/>
      <c r="I114" s="25" t="s">
        <v>253</v>
      </c>
      <c r="J114" s="25" t="s">
        <v>253</v>
      </c>
      <c r="K114" s="17"/>
      <c r="L114" s="25" t="s">
        <v>253</v>
      </c>
      <c r="M114" s="17" t="s">
        <v>253</v>
      </c>
      <c r="N114" s="25">
        <f>N100+N103+N110</f>
        <v>30979764.008599933</v>
      </c>
      <c r="O114" s="30">
        <f>N114/D114*100</f>
        <v>2.7692177718905855</v>
      </c>
      <c r="P114" s="17"/>
      <c r="Q114" s="25"/>
      <c r="R114" s="73"/>
      <c r="S114" s="17"/>
      <c r="T114" s="17"/>
      <c r="U114" s="17"/>
      <c r="W114" s="21"/>
      <c r="Z114" s="72"/>
    </row>
    <row r="115" spans="1:26" ht="15">
      <c r="A115" s="72"/>
      <c r="B115" s="22"/>
      <c r="C115" s="17"/>
      <c r="D115" s="25"/>
      <c r="E115" s="25"/>
      <c r="F115" s="17"/>
      <c r="G115" s="27"/>
      <c r="H115" s="17"/>
      <c r="I115" s="25"/>
      <c r="J115" s="25"/>
      <c r="K115" s="17"/>
      <c r="L115" s="25"/>
      <c r="M115" s="17"/>
      <c r="N115" s="25"/>
      <c r="O115" s="30"/>
      <c r="P115" s="17"/>
      <c r="Q115" s="25"/>
      <c r="R115" s="73"/>
      <c r="S115" s="17"/>
      <c r="T115" s="17"/>
      <c r="U115" s="17"/>
      <c r="W115" s="21"/>
      <c r="Z115" s="72"/>
    </row>
    <row r="116" spans="1:26" ht="15">
      <c r="A116" s="72"/>
      <c r="B116" s="22"/>
      <c r="C116" s="17"/>
      <c r="D116" s="25"/>
      <c r="E116" s="25"/>
      <c r="F116" s="17"/>
      <c r="G116" s="27"/>
      <c r="H116" s="17"/>
      <c r="I116" s="25"/>
      <c r="J116" s="25"/>
      <c r="K116" s="17"/>
      <c r="L116" s="25"/>
      <c r="M116" s="17"/>
      <c r="N116" s="25"/>
      <c r="O116" s="30"/>
      <c r="P116" s="17"/>
      <c r="Q116" s="25"/>
      <c r="R116" s="73"/>
      <c r="S116" s="17"/>
      <c r="T116" s="17"/>
      <c r="U116" s="17"/>
      <c r="W116" s="21"/>
      <c r="Z116" s="72"/>
    </row>
    <row r="117" spans="1:26" ht="15">
      <c r="A117" s="72"/>
      <c r="B117" s="22" t="s">
        <v>425</v>
      </c>
      <c r="C117" s="17"/>
      <c r="D117" s="25"/>
      <c r="E117" s="25"/>
      <c r="F117" s="17"/>
      <c r="G117" s="27"/>
      <c r="H117" s="17"/>
      <c r="I117" s="25"/>
      <c r="J117" s="25"/>
      <c r="K117" s="17"/>
      <c r="L117" s="25"/>
      <c r="M117" s="17"/>
      <c r="N117" s="25"/>
      <c r="O117" s="30"/>
      <c r="P117" s="17"/>
      <c r="Q117" s="25"/>
      <c r="R117" s="73"/>
      <c r="S117" s="17"/>
      <c r="T117" s="17"/>
      <c r="U117" s="17"/>
      <c r="W117" s="21"/>
      <c r="Z117" s="72"/>
    </row>
    <row r="118" spans="1:26" ht="15">
      <c r="A118" s="72"/>
      <c r="B118" s="22"/>
      <c r="C118" s="17"/>
      <c r="D118" s="25"/>
      <c r="E118" s="25"/>
      <c r="F118" s="17"/>
      <c r="G118" s="27"/>
      <c r="H118" s="17"/>
      <c r="I118" s="25"/>
      <c r="J118" s="25"/>
      <c r="K118" s="17"/>
      <c r="L118" s="25"/>
      <c r="M118" s="17"/>
      <c r="N118" s="25"/>
      <c r="O118" s="30"/>
      <c r="P118" s="17"/>
      <c r="Q118" s="69"/>
      <c r="R118" s="69"/>
      <c r="S118" s="69"/>
      <c r="T118" s="69"/>
      <c r="U118" s="69"/>
      <c r="V118" s="69"/>
      <c r="W118" s="70"/>
      <c r="X118" s="69"/>
      <c r="Y118" s="69"/>
      <c r="Z118" s="72"/>
    </row>
    <row r="119" spans="1:26" ht="15">
      <c r="A119" s="66" t="s">
        <v>95</v>
      </c>
      <c r="B119" s="17" t="s">
        <v>426</v>
      </c>
      <c r="C119" s="17"/>
      <c r="D119" s="25">
        <v>17856942</v>
      </c>
      <c r="E119" s="25"/>
      <c r="F119" s="26" t="s">
        <v>243</v>
      </c>
      <c r="G119" s="27">
        <v>45.6</v>
      </c>
      <c r="H119" s="28">
        <v>-15</v>
      </c>
      <c r="I119" s="25">
        <f>ROUND(H119/100*D119,0)</f>
        <v>-2678541</v>
      </c>
      <c r="J119" s="25">
        <v>14962034</v>
      </c>
      <c r="K119" s="25"/>
      <c r="L119" s="25">
        <f>D119-I119-J119</f>
        <v>5573449</v>
      </c>
      <c r="M119" s="27">
        <v>18.2</v>
      </c>
      <c r="N119" s="25">
        <f>ROUND(+L119/M119,0)</f>
        <v>306233</v>
      </c>
      <c r="O119" s="30">
        <f>N119/D119*100</f>
        <v>1.7149240894661584</v>
      </c>
      <c r="P119" s="17"/>
      <c r="Q119" s="25">
        <f>D119-J119</f>
        <v>2894908</v>
      </c>
      <c r="R119" s="17"/>
      <c r="S119" s="25">
        <f>Q119/M119</f>
        <v>159060.87912087914</v>
      </c>
      <c r="T119" s="17"/>
      <c r="U119" s="30">
        <f>S119/D119*100</f>
        <v>0.8907509422435215</v>
      </c>
      <c r="V119" s="17"/>
      <c r="W119" s="16">
        <f>(O119-U119)/100</f>
        <v>0.00824173147222637</v>
      </c>
      <c r="X119" s="17"/>
      <c r="Y119" s="30">
        <f>W119/O119</f>
        <v>0.0048058870493748514</v>
      </c>
      <c r="Z119" s="66" t="s">
        <v>95</v>
      </c>
    </row>
    <row r="120" spans="1:26" ht="15">
      <c r="A120" s="67"/>
      <c r="B120" s="17"/>
      <c r="C120" s="17"/>
      <c r="D120" s="25"/>
      <c r="E120" s="25"/>
      <c r="F120" s="26"/>
      <c r="G120" s="27"/>
      <c r="H120" s="25"/>
      <c r="I120" s="25"/>
      <c r="J120" s="25"/>
      <c r="K120" s="25"/>
      <c r="L120" s="25"/>
      <c r="M120" s="27"/>
      <c r="N120" s="25"/>
      <c r="O120" s="30"/>
      <c r="P120" s="17"/>
      <c r="Q120" s="17"/>
      <c r="R120" s="17"/>
      <c r="S120" s="17"/>
      <c r="T120" s="17"/>
      <c r="U120" s="17"/>
      <c r="W120" s="21"/>
      <c r="Z120" s="67"/>
    </row>
    <row r="121" spans="1:26" ht="15">
      <c r="A121" s="67"/>
      <c r="B121" s="17" t="s">
        <v>427</v>
      </c>
      <c r="C121" s="17"/>
      <c r="D121" s="25">
        <v>14643567</v>
      </c>
      <c r="E121" s="25"/>
      <c r="F121" s="26" t="s">
        <v>243</v>
      </c>
      <c r="G121" s="27">
        <v>47</v>
      </c>
      <c r="H121" s="28">
        <v>-15</v>
      </c>
      <c r="I121" s="25">
        <f>ROUND(H121/100*D121,0)</f>
        <v>-2196535</v>
      </c>
      <c r="J121" s="25">
        <v>12503983</v>
      </c>
      <c r="K121" s="25"/>
      <c r="L121" s="25">
        <f>D121-I121-J121</f>
        <v>4336119</v>
      </c>
      <c r="M121" s="27">
        <v>18.4</v>
      </c>
      <c r="N121" s="25">
        <f>ROUND(+L121/M121,0)</f>
        <v>235659</v>
      </c>
      <c r="O121" s="30">
        <f>N121/D121*100</f>
        <v>1.6093005208362143</v>
      </c>
      <c r="P121" s="17"/>
      <c r="Q121" s="25">
        <f>D121-J121</f>
        <v>2139584</v>
      </c>
      <c r="R121" s="17"/>
      <c r="S121" s="25">
        <f>Q121/M121</f>
        <v>116281.7391304348</v>
      </c>
      <c r="T121" s="17"/>
      <c r="U121" s="17"/>
      <c r="W121" s="21"/>
      <c r="Z121" s="67"/>
    </row>
    <row r="122" spans="1:26" ht="15">
      <c r="A122" s="67"/>
      <c r="B122" s="17" t="s">
        <v>244</v>
      </c>
      <c r="C122" s="17"/>
      <c r="D122" s="25"/>
      <c r="E122" s="25"/>
      <c r="F122" s="26"/>
      <c r="G122" s="27"/>
      <c r="H122" s="25"/>
      <c r="I122" s="25"/>
      <c r="J122" s="25"/>
      <c r="K122" s="25"/>
      <c r="L122" s="25"/>
      <c r="M122" s="27"/>
      <c r="N122" s="25"/>
      <c r="O122" s="30"/>
      <c r="P122" s="17"/>
      <c r="Q122" s="17"/>
      <c r="R122" s="17"/>
      <c r="S122" s="17"/>
      <c r="T122" s="17"/>
      <c r="U122" s="17"/>
      <c r="W122" s="21"/>
      <c r="Z122" s="67"/>
    </row>
    <row r="123" spans="1:26" ht="15">
      <c r="A123" s="67"/>
      <c r="B123" s="17" t="s">
        <v>245</v>
      </c>
      <c r="C123" s="17"/>
      <c r="D123" s="25">
        <v>10000</v>
      </c>
      <c r="E123" s="25"/>
      <c r="F123" s="26"/>
      <c r="G123" s="27">
        <v>20</v>
      </c>
      <c r="H123" s="28">
        <v>-15</v>
      </c>
      <c r="I123" s="25"/>
      <c r="J123" s="25"/>
      <c r="K123" s="25"/>
      <c r="L123" s="25"/>
      <c r="M123" s="27"/>
      <c r="N123" s="25">
        <f>(1-H123/100)*D123/G123</f>
        <v>575</v>
      </c>
      <c r="O123" s="30"/>
      <c r="P123" s="17"/>
      <c r="Q123" s="17"/>
      <c r="R123" s="17"/>
      <c r="S123" s="25">
        <f>N123</f>
        <v>575</v>
      </c>
      <c r="T123" s="17"/>
      <c r="U123" s="17"/>
      <c r="W123" s="21"/>
      <c r="Z123" s="67"/>
    </row>
    <row r="124" spans="1:26" ht="15">
      <c r="A124" s="67"/>
      <c r="B124" s="17" t="s">
        <v>250</v>
      </c>
      <c r="C124" s="17"/>
      <c r="D124" s="40">
        <v>1090000</v>
      </c>
      <c r="E124" s="25"/>
      <c r="F124" s="26"/>
      <c r="G124" s="27">
        <v>18</v>
      </c>
      <c r="H124" s="28">
        <v>-15</v>
      </c>
      <c r="I124" s="25"/>
      <c r="J124" s="25"/>
      <c r="K124" s="25"/>
      <c r="L124" s="25"/>
      <c r="M124" s="27"/>
      <c r="N124" s="40">
        <f>(1-H124/100)*D124/G124</f>
        <v>69638.88888888889</v>
      </c>
      <c r="O124" s="30"/>
      <c r="P124" s="17"/>
      <c r="Q124" s="69"/>
      <c r="R124" s="69"/>
      <c r="S124" s="71">
        <f>N124</f>
        <v>69638.88888888889</v>
      </c>
      <c r="T124" s="69"/>
      <c r="U124" s="69"/>
      <c r="V124" s="69"/>
      <c r="W124" s="70"/>
      <c r="X124" s="69"/>
      <c r="Y124" s="69"/>
      <c r="Z124" s="67"/>
    </row>
    <row r="125" spans="1:26" ht="15">
      <c r="A125" s="66" t="s">
        <v>428</v>
      </c>
      <c r="B125" s="22" t="s">
        <v>429</v>
      </c>
      <c r="C125" s="17"/>
      <c r="D125" s="25">
        <f>D124+D123+D121</f>
        <v>15743567</v>
      </c>
      <c r="E125" s="25"/>
      <c r="F125" s="26"/>
      <c r="G125" s="27"/>
      <c r="H125" s="25"/>
      <c r="I125" s="25"/>
      <c r="J125" s="25"/>
      <c r="K125" s="25"/>
      <c r="L125" s="25"/>
      <c r="M125" s="27"/>
      <c r="N125" s="25">
        <f>N124+N123+N121</f>
        <v>305872.8888888889</v>
      </c>
      <c r="O125" s="30">
        <f>N125/D125*100</f>
        <v>1.9428436318712834</v>
      </c>
      <c r="P125" s="17"/>
      <c r="Q125" s="25">
        <f>L121+I121</f>
        <v>2139584</v>
      </c>
      <c r="R125" s="17"/>
      <c r="S125" s="25">
        <f>SUM(S121:S124)</f>
        <v>186495.6280193237</v>
      </c>
      <c r="T125" s="17"/>
      <c r="U125" s="30">
        <f>S125/D125*100</f>
        <v>1.1845830618901276</v>
      </c>
      <c r="V125" s="17"/>
      <c r="W125" s="16">
        <f>(O125-U125)/100</f>
        <v>0.007582605699811558</v>
      </c>
      <c r="X125" s="17"/>
      <c r="Y125" s="30">
        <f>W125/O125</f>
        <v>0.003902838898315373</v>
      </c>
      <c r="Z125" s="66" t="s">
        <v>428</v>
      </c>
    </row>
    <row r="126" spans="1:26" ht="15">
      <c r="A126" s="67"/>
      <c r="B126" s="17"/>
      <c r="C126" s="17"/>
      <c r="D126" s="25"/>
      <c r="E126" s="25"/>
      <c r="F126" s="26"/>
      <c r="G126" s="27"/>
      <c r="H126" s="25"/>
      <c r="I126" s="25"/>
      <c r="J126" s="25"/>
      <c r="K126" s="25"/>
      <c r="L126" s="25"/>
      <c r="M126" s="27"/>
      <c r="N126" s="25"/>
      <c r="O126" s="30"/>
      <c r="P126" s="17"/>
      <c r="Q126" s="69"/>
      <c r="R126" s="69"/>
      <c r="S126" s="69"/>
      <c r="T126" s="69"/>
      <c r="U126" s="69"/>
      <c r="V126" s="69"/>
      <c r="W126" s="70"/>
      <c r="X126" s="69"/>
      <c r="Y126" s="69"/>
      <c r="Z126" s="67"/>
    </row>
    <row r="127" spans="1:26" ht="15">
      <c r="A127" s="66" t="s">
        <v>90</v>
      </c>
      <c r="B127" s="17" t="s">
        <v>430</v>
      </c>
      <c r="C127" s="17"/>
      <c r="D127" s="40">
        <v>32918992</v>
      </c>
      <c r="E127" s="40"/>
      <c r="F127" s="26" t="s">
        <v>243</v>
      </c>
      <c r="G127" s="27">
        <v>32</v>
      </c>
      <c r="H127" s="28">
        <v>-15</v>
      </c>
      <c r="I127" s="25">
        <f>ROUND(H127/100*D127,0)</f>
        <v>-4937849</v>
      </c>
      <c r="J127" s="25">
        <v>18166744</v>
      </c>
      <c r="K127" s="25"/>
      <c r="L127" s="25">
        <f>D127-I127-J127</f>
        <v>19690097</v>
      </c>
      <c r="M127" s="27">
        <v>19.3</v>
      </c>
      <c r="N127" s="40">
        <f>ROUND(+L127/M127,0)</f>
        <v>1020212</v>
      </c>
      <c r="O127" s="30">
        <f>N127/D127*100</f>
        <v>3.0991592938204184</v>
      </c>
      <c r="P127" s="17"/>
      <c r="Q127" s="25">
        <f>L127+I127</f>
        <v>14752248</v>
      </c>
      <c r="R127" s="17"/>
      <c r="S127" s="25">
        <f>Q127/M127</f>
        <v>764365.1813471502</v>
      </c>
      <c r="T127" s="17"/>
      <c r="U127" s="30">
        <f>S127/D127*100</f>
        <v>2.321958039745416</v>
      </c>
      <c r="V127" s="17"/>
      <c r="W127" s="16">
        <f>(O127-U127)/100</f>
        <v>0.007772012540750026</v>
      </c>
      <c r="X127" s="17"/>
      <c r="Y127" s="30">
        <f>W127/O127</f>
        <v>0.0025077809186017197</v>
      </c>
      <c r="Z127" s="66" t="s">
        <v>90</v>
      </c>
    </row>
    <row r="128" spans="1:26" ht="15">
      <c r="A128" s="72"/>
      <c r="B128" s="22" t="s">
        <v>431</v>
      </c>
      <c r="C128" s="17"/>
      <c r="D128" s="25">
        <f>D119+D125+D127</f>
        <v>66519501</v>
      </c>
      <c r="E128" s="25"/>
      <c r="F128" s="17"/>
      <c r="G128" s="27" t="s">
        <v>253</v>
      </c>
      <c r="H128" s="17"/>
      <c r="I128" s="25" t="s">
        <v>253</v>
      </c>
      <c r="J128" s="25" t="s">
        <v>253</v>
      </c>
      <c r="K128" s="17"/>
      <c r="L128" s="25" t="s">
        <v>253</v>
      </c>
      <c r="M128" s="17"/>
      <c r="N128" s="25">
        <f>N119+N125+N127</f>
        <v>1632317.888888889</v>
      </c>
      <c r="O128" s="30">
        <f>N128/D128*100</f>
        <v>2.453893767015614</v>
      </c>
      <c r="P128" s="17"/>
      <c r="Q128" s="25"/>
      <c r="R128" s="73"/>
      <c r="S128" s="17"/>
      <c r="T128" s="17"/>
      <c r="U128" s="17"/>
      <c r="W128" s="21"/>
      <c r="Z128" s="72"/>
    </row>
    <row r="129" spans="1:26" ht="15">
      <c r="A129" s="72"/>
      <c r="B129" s="22"/>
      <c r="C129" s="17"/>
      <c r="D129" s="25"/>
      <c r="E129" s="25"/>
      <c r="F129" s="17"/>
      <c r="G129" s="27"/>
      <c r="H129" s="17"/>
      <c r="I129" s="25"/>
      <c r="J129" s="25"/>
      <c r="K129" s="17"/>
      <c r="L129" s="25"/>
      <c r="M129" s="17"/>
      <c r="N129" s="25"/>
      <c r="O129" s="30"/>
      <c r="P129" s="17"/>
      <c r="Q129" s="25"/>
      <c r="R129" s="73"/>
      <c r="S129" s="17"/>
      <c r="T129" s="17"/>
      <c r="U129" s="17"/>
      <c r="W129" s="21"/>
      <c r="Z129" s="72"/>
    </row>
    <row r="130" spans="1:26" ht="15">
      <c r="A130" s="67"/>
      <c r="B130" s="17" t="s">
        <v>432</v>
      </c>
      <c r="C130" s="17"/>
      <c r="D130" s="25">
        <v>8131876</v>
      </c>
      <c r="E130" s="40"/>
      <c r="F130" s="26" t="s">
        <v>243</v>
      </c>
      <c r="G130" s="27">
        <v>42.5</v>
      </c>
      <c r="H130" s="28">
        <v>-14</v>
      </c>
      <c r="I130" s="25">
        <f>ROUND(H130/100*D130,0)</f>
        <v>-1138463</v>
      </c>
      <c r="J130" s="25">
        <v>6516894</v>
      </c>
      <c r="K130" s="25"/>
      <c r="L130" s="25">
        <f>D130-I130-J130</f>
        <v>2753445</v>
      </c>
      <c r="M130" s="27">
        <v>17.6</v>
      </c>
      <c r="N130" s="25">
        <f>ROUND(+L130/M130,0)</f>
        <v>156446</v>
      </c>
      <c r="O130" s="30">
        <f>N130/D130*100</f>
        <v>1.9238611115073572</v>
      </c>
      <c r="P130" s="17"/>
      <c r="Q130" s="25">
        <f>D130-J130</f>
        <v>1614982</v>
      </c>
      <c r="R130" s="17"/>
      <c r="S130" s="25">
        <f>Q130/M130</f>
        <v>91760.3409090909</v>
      </c>
      <c r="T130" s="17"/>
      <c r="U130" s="17"/>
      <c r="W130" s="21"/>
      <c r="Z130" s="67"/>
    </row>
    <row r="131" spans="1:26" ht="15">
      <c r="A131" s="67"/>
      <c r="B131" s="17" t="s">
        <v>244</v>
      </c>
      <c r="C131" s="17"/>
      <c r="D131" s="25"/>
      <c r="E131" s="40"/>
      <c r="F131" s="26"/>
      <c r="G131" s="27"/>
      <c r="H131" s="25"/>
      <c r="I131" s="25"/>
      <c r="J131" s="25"/>
      <c r="K131" s="25"/>
      <c r="L131" s="25"/>
      <c r="M131" s="27"/>
      <c r="N131" s="25"/>
      <c r="O131" s="30"/>
      <c r="P131" s="17"/>
      <c r="Q131" s="17"/>
      <c r="R131" s="17"/>
      <c r="S131" s="17"/>
      <c r="T131" s="17"/>
      <c r="U131" s="17"/>
      <c r="W131" s="21"/>
      <c r="Z131" s="67"/>
    </row>
    <row r="132" spans="1:26" ht="15">
      <c r="A132" s="67"/>
      <c r="B132" s="17" t="s">
        <v>245</v>
      </c>
      <c r="C132" s="17"/>
      <c r="D132" s="25">
        <v>10000</v>
      </c>
      <c r="E132" s="40"/>
      <c r="F132" s="26"/>
      <c r="G132" s="27">
        <v>20</v>
      </c>
      <c r="H132" s="28">
        <v>-14</v>
      </c>
      <c r="I132" s="25"/>
      <c r="J132" s="25"/>
      <c r="K132" s="25"/>
      <c r="L132" s="25"/>
      <c r="M132" s="27"/>
      <c r="N132" s="25">
        <f>(1-H132/100)*D132/G132</f>
        <v>570.0000000000001</v>
      </c>
      <c r="O132" s="30"/>
      <c r="P132" s="17"/>
      <c r="Q132" s="17"/>
      <c r="R132" s="17"/>
      <c r="S132" s="25">
        <f>N132</f>
        <v>570.0000000000001</v>
      </c>
      <c r="T132" s="17"/>
      <c r="U132" s="17"/>
      <c r="W132" s="21"/>
      <c r="Z132" s="67"/>
    </row>
    <row r="133" spans="1:26" ht="15">
      <c r="A133" s="67"/>
      <c r="B133" s="17" t="s">
        <v>250</v>
      </c>
      <c r="C133" s="17"/>
      <c r="D133" s="40">
        <v>700000</v>
      </c>
      <c r="E133" s="40"/>
      <c r="F133" s="26"/>
      <c r="G133" s="27">
        <v>18</v>
      </c>
      <c r="H133" s="28">
        <v>-14</v>
      </c>
      <c r="I133" s="25"/>
      <c r="J133" s="25"/>
      <c r="K133" s="25"/>
      <c r="L133" s="25"/>
      <c r="M133" s="27"/>
      <c r="N133" s="40">
        <f>(1-H133/100)*D133/G133</f>
        <v>44333.33333333334</v>
      </c>
      <c r="O133" s="30"/>
      <c r="P133" s="17"/>
      <c r="Q133" s="69"/>
      <c r="R133" s="69"/>
      <c r="S133" s="71">
        <f>N133</f>
        <v>44333.33333333334</v>
      </c>
      <c r="T133" s="69"/>
      <c r="U133" s="69"/>
      <c r="V133" s="69"/>
      <c r="W133" s="70"/>
      <c r="X133" s="69"/>
      <c r="Y133" s="69"/>
      <c r="Z133" s="67"/>
    </row>
    <row r="134" spans="1:26" ht="15">
      <c r="A134" s="66" t="s">
        <v>433</v>
      </c>
      <c r="B134" s="22" t="s">
        <v>434</v>
      </c>
      <c r="C134" s="17"/>
      <c r="D134" s="25">
        <f>SUM(D130:D133)</f>
        <v>8841876</v>
      </c>
      <c r="E134" s="40"/>
      <c r="F134" s="26"/>
      <c r="G134" s="27"/>
      <c r="H134" s="25"/>
      <c r="I134" s="25"/>
      <c r="J134" s="25"/>
      <c r="K134" s="25"/>
      <c r="L134" s="25"/>
      <c r="M134" s="27"/>
      <c r="N134" s="25">
        <f>SUM(N130:N133)</f>
        <v>201349.33333333334</v>
      </c>
      <c r="O134" s="30">
        <f>N134/D134*100</f>
        <v>2.277224124533451</v>
      </c>
      <c r="P134" s="17"/>
      <c r="Q134" s="25">
        <f>SUM(Q130:Q133)</f>
        <v>1614982</v>
      </c>
      <c r="R134" s="17"/>
      <c r="S134" s="25">
        <f>SUM(S130:S133)</f>
        <v>136663.67424242425</v>
      </c>
      <c r="T134" s="17"/>
      <c r="U134" s="30">
        <f>S134/D134*100</f>
        <v>1.5456411540087676</v>
      </c>
      <c r="V134" s="17"/>
      <c r="W134" s="16">
        <f>(O134-U134)/100</f>
        <v>0.007315829705246834</v>
      </c>
      <c r="X134" s="17"/>
      <c r="Y134" s="30">
        <f>W134/O134</f>
        <v>0.0032126085554910733</v>
      </c>
      <c r="Z134" s="66" t="s">
        <v>433</v>
      </c>
    </row>
    <row r="135" spans="1:26" ht="15">
      <c r="A135" s="67"/>
      <c r="B135" s="17"/>
      <c r="C135" s="17"/>
      <c r="D135" s="25"/>
      <c r="E135" s="40"/>
      <c r="F135" s="26"/>
      <c r="G135" s="27"/>
      <c r="H135" s="25"/>
      <c r="I135" s="25"/>
      <c r="J135" s="25"/>
      <c r="K135" s="25"/>
      <c r="L135" s="25"/>
      <c r="M135" s="27"/>
      <c r="N135" s="25"/>
      <c r="O135" s="30"/>
      <c r="P135" s="17"/>
      <c r="Q135" s="17"/>
      <c r="R135" s="17"/>
      <c r="S135" s="17"/>
      <c r="T135" s="17"/>
      <c r="U135" s="17"/>
      <c r="W135" s="21"/>
      <c r="Z135" s="67"/>
    </row>
    <row r="136" spans="1:26" ht="15">
      <c r="A136" s="72"/>
      <c r="B136" s="22"/>
      <c r="C136" s="17"/>
      <c r="D136" s="25"/>
      <c r="E136" s="25"/>
      <c r="F136" s="17"/>
      <c r="G136" s="27"/>
      <c r="H136" s="17"/>
      <c r="I136" s="25"/>
      <c r="J136" s="25"/>
      <c r="K136" s="17"/>
      <c r="L136" s="25"/>
      <c r="M136" s="17"/>
      <c r="N136" s="25"/>
      <c r="O136" s="30"/>
      <c r="P136" s="17"/>
      <c r="Q136" s="25"/>
      <c r="R136" s="73"/>
      <c r="S136" s="17"/>
      <c r="T136" s="17"/>
      <c r="U136" s="17"/>
      <c r="W136" s="21"/>
      <c r="Z136" s="72"/>
    </row>
    <row r="137" spans="1:26" ht="15">
      <c r="A137" s="67"/>
      <c r="B137" s="17" t="s">
        <v>435</v>
      </c>
      <c r="C137" s="17"/>
      <c r="D137" s="25">
        <v>1695312</v>
      </c>
      <c r="E137" s="25"/>
      <c r="F137" s="26" t="s">
        <v>243</v>
      </c>
      <c r="G137" s="27">
        <v>21.7</v>
      </c>
      <c r="H137" s="28">
        <v>0</v>
      </c>
      <c r="I137" s="25">
        <f>ROUND(H137/100*D137,0)</f>
        <v>0</v>
      </c>
      <c r="J137" s="25">
        <v>615007</v>
      </c>
      <c r="K137" s="25"/>
      <c r="L137" s="25">
        <f>D137-I137-J137</f>
        <v>1080305</v>
      </c>
      <c r="M137" s="27">
        <v>15.1</v>
      </c>
      <c r="N137" s="25">
        <f>ROUND(+L137/M137,0)</f>
        <v>71543</v>
      </c>
      <c r="O137" s="30">
        <f>N137/D137*100</f>
        <v>4.220049170890078</v>
      </c>
      <c r="P137" s="17"/>
      <c r="Q137" s="17"/>
      <c r="R137" s="17"/>
      <c r="S137" s="17"/>
      <c r="T137" s="17"/>
      <c r="U137" s="17"/>
      <c r="W137" s="21"/>
      <c r="Z137" s="67"/>
    </row>
    <row r="138" spans="1:26" ht="15">
      <c r="A138" s="7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W138" s="21"/>
      <c r="Z138" s="72"/>
    </row>
    <row r="139" spans="1:26" ht="15">
      <c r="A139" s="67"/>
      <c r="B139" s="17" t="s">
        <v>436</v>
      </c>
      <c r="C139" s="17"/>
      <c r="D139" s="25">
        <v>17321691</v>
      </c>
      <c r="E139" s="40"/>
      <c r="F139" s="26" t="s">
        <v>243</v>
      </c>
      <c r="G139" s="27">
        <v>44.4</v>
      </c>
      <c r="H139" s="28">
        <v>-22</v>
      </c>
      <c r="I139" s="25">
        <f>ROUND(H139/100*D139,0)</f>
        <v>-3810772</v>
      </c>
      <c r="J139" s="25">
        <v>15038059</v>
      </c>
      <c r="K139" s="25"/>
      <c r="L139" s="25">
        <f>D139-I139-J139</f>
        <v>6094404</v>
      </c>
      <c r="M139" s="27">
        <v>18.2</v>
      </c>
      <c r="N139" s="25">
        <f>ROUND(+L139/M139,0)</f>
        <v>334857</v>
      </c>
      <c r="O139" s="30">
        <f>N139/D139*100</f>
        <v>1.9331657630886037</v>
      </c>
      <c r="P139" s="17"/>
      <c r="Q139" s="25">
        <f>D139-J139</f>
        <v>2283632</v>
      </c>
      <c r="R139" s="17"/>
      <c r="S139" s="25">
        <f>Q139/M139</f>
        <v>125474.28571428572</v>
      </c>
      <c r="T139" s="17"/>
      <c r="U139" s="17"/>
      <c r="W139" s="21"/>
      <c r="Z139" s="67"/>
    </row>
    <row r="140" spans="1:26" ht="15">
      <c r="A140" s="67"/>
      <c r="B140" s="17" t="s">
        <v>244</v>
      </c>
      <c r="C140" s="17"/>
      <c r="D140" s="25"/>
      <c r="E140" s="40"/>
      <c r="F140" s="26"/>
      <c r="G140" s="27"/>
      <c r="H140" s="25"/>
      <c r="I140" s="25"/>
      <c r="J140" s="25"/>
      <c r="K140" s="25"/>
      <c r="L140" s="25"/>
      <c r="M140" s="27"/>
      <c r="N140" s="25"/>
      <c r="O140" s="30"/>
      <c r="P140" s="17"/>
      <c r="Q140" s="17"/>
      <c r="R140" s="17"/>
      <c r="S140" s="17"/>
      <c r="T140" s="17"/>
      <c r="U140" s="17"/>
      <c r="W140" s="21"/>
      <c r="Z140" s="67"/>
    </row>
    <row r="141" spans="1:26" ht="15">
      <c r="A141" s="67"/>
      <c r="B141" s="17" t="s">
        <v>245</v>
      </c>
      <c r="C141" s="17"/>
      <c r="D141" s="25">
        <v>30000</v>
      </c>
      <c r="E141" s="40"/>
      <c r="F141" s="26"/>
      <c r="G141" s="27">
        <v>20</v>
      </c>
      <c r="H141" s="28">
        <v>-22</v>
      </c>
      <c r="I141" s="25"/>
      <c r="J141" s="25"/>
      <c r="K141" s="25"/>
      <c r="L141" s="25"/>
      <c r="M141" s="27"/>
      <c r="N141" s="25">
        <f>(1-H141/100)*D141/G141</f>
        <v>1830</v>
      </c>
      <c r="O141" s="30"/>
      <c r="P141" s="17"/>
      <c r="Q141" s="17"/>
      <c r="R141" s="17"/>
      <c r="S141" s="25">
        <f>N141</f>
        <v>1830</v>
      </c>
      <c r="T141" s="17"/>
      <c r="U141" s="17"/>
      <c r="W141" s="21"/>
      <c r="Z141" s="67"/>
    </row>
    <row r="142" spans="1:26" ht="15">
      <c r="A142" s="67"/>
      <c r="B142" s="17" t="s">
        <v>246</v>
      </c>
      <c r="C142" s="17"/>
      <c r="D142" s="25">
        <v>1070000</v>
      </c>
      <c r="E142" s="40"/>
      <c r="F142" s="26"/>
      <c r="G142" s="27">
        <v>19</v>
      </c>
      <c r="H142" s="28">
        <v>-22</v>
      </c>
      <c r="I142" s="25"/>
      <c r="J142" s="25"/>
      <c r="K142" s="25"/>
      <c r="L142" s="25"/>
      <c r="M142" s="27"/>
      <c r="N142" s="25">
        <f>(1-H142/100)*D142/G142</f>
        <v>68705.26315789473</v>
      </c>
      <c r="O142" s="30"/>
      <c r="P142" s="17"/>
      <c r="Q142" s="17"/>
      <c r="R142" s="17"/>
      <c r="S142" s="25">
        <f>N142</f>
        <v>68705.26315789473</v>
      </c>
      <c r="T142" s="17"/>
      <c r="U142" s="17"/>
      <c r="W142" s="21"/>
      <c r="Z142" s="67"/>
    </row>
    <row r="143" spans="1:26" ht="15">
      <c r="A143" s="67"/>
      <c r="B143" s="17" t="s">
        <v>399</v>
      </c>
      <c r="C143" s="17"/>
      <c r="D143" s="40"/>
      <c r="E143" s="40"/>
      <c r="F143" s="26"/>
      <c r="G143" s="27"/>
      <c r="H143" s="25"/>
      <c r="I143" s="25"/>
      <c r="J143" s="25"/>
      <c r="K143" s="25"/>
      <c r="L143" s="25"/>
      <c r="M143" s="27"/>
      <c r="N143" s="40"/>
      <c r="O143" s="30"/>
      <c r="P143" s="17"/>
      <c r="Q143" s="17"/>
      <c r="R143" s="17"/>
      <c r="S143" s="17"/>
      <c r="T143" s="17"/>
      <c r="U143" s="17"/>
      <c r="W143" s="21"/>
      <c r="Z143" s="67"/>
    </row>
    <row r="144" spans="1:26" ht="15">
      <c r="A144" s="67"/>
      <c r="B144" s="17" t="s">
        <v>246</v>
      </c>
      <c r="C144" s="17"/>
      <c r="D144" s="40">
        <v>600000</v>
      </c>
      <c r="E144" s="40"/>
      <c r="F144" s="26"/>
      <c r="G144" s="27">
        <v>19</v>
      </c>
      <c r="H144" s="28">
        <v>-22</v>
      </c>
      <c r="I144" s="25"/>
      <c r="J144" s="25"/>
      <c r="K144" s="25"/>
      <c r="L144" s="25"/>
      <c r="M144" s="27"/>
      <c r="N144" s="40">
        <v>0</v>
      </c>
      <c r="O144" s="30"/>
      <c r="P144" s="17"/>
      <c r="Q144" s="69"/>
      <c r="R144" s="69"/>
      <c r="S144" s="69"/>
      <c r="T144" s="69"/>
      <c r="U144" s="69"/>
      <c r="V144" s="69"/>
      <c r="W144" s="70"/>
      <c r="X144" s="69"/>
      <c r="Y144" s="69"/>
      <c r="Z144" s="67"/>
    </row>
    <row r="145" spans="1:26" ht="15">
      <c r="A145" s="66" t="s">
        <v>74</v>
      </c>
      <c r="B145" s="22" t="s">
        <v>437</v>
      </c>
      <c r="C145" s="17"/>
      <c r="D145" s="25">
        <f>SUM(D139:D144)</f>
        <v>19021691</v>
      </c>
      <c r="E145" s="40"/>
      <c r="F145" s="26"/>
      <c r="G145" s="27"/>
      <c r="H145" s="25"/>
      <c r="I145" s="25"/>
      <c r="J145" s="25"/>
      <c r="K145" s="25"/>
      <c r="L145" s="25"/>
      <c r="M145" s="27"/>
      <c r="N145" s="25">
        <f>SUM(N139:N144)</f>
        <v>405392.2631578947</v>
      </c>
      <c r="O145" s="30">
        <f>N145/D145*100</f>
        <v>2.1312104331728166</v>
      </c>
      <c r="P145" s="17"/>
      <c r="Q145" s="25">
        <f>SUM(Q139:Q144)</f>
        <v>2283632</v>
      </c>
      <c r="R145" s="17"/>
      <c r="S145" s="25">
        <f>SUM(S139:S143)</f>
        <v>196009.54887218046</v>
      </c>
      <c r="T145" s="17"/>
      <c r="U145" s="30">
        <f>S145/D145*100</f>
        <v>1.0304528071251944</v>
      </c>
      <c r="V145" s="17"/>
      <c r="W145" s="16">
        <f>(O145-U145)/100</f>
        <v>0.011007576260476222</v>
      </c>
      <c r="X145" s="17"/>
      <c r="Y145" s="30">
        <f>W145/O145</f>
        <v>0.005164941053750761</v>
      </c>
      <c r="Z145" s="66" t="s">
        <v>74</v>
      </c>
    </row>
    <row r="146" spans="1:26" ht="15">
      <c r="A146" s="67"/>
      <c r="P146" s="17"/>
      <c r="Q146" s="17"/>
      <c r="R146" s="17"/>
      <c r="S146" s="17"/>
      <c r="T146" s="17"/>
      <c r="U146" s="17"/>
      <c r="W146" s="21"/>
      <c r="Z146" s="67"/>
    </row>
    <row r="147" spans="1:26" ht="15">
      <c r="A147" s="67"/>
      <c r="B147" s="17"/>
      <c r="C147" s="17"/>
      <c r="D147" s="25"/>
      <c r="E147" s="40"/>
      <c r="F147" s="26"/>
      <c r="G147" s="27"/>
      <c r="H147" s="25"/>
      <c r="I147" s="25"/>
      <c r="J147" s="25"/>
      <c r="K147" s="25"/>
      <c r="L147" s="25"/>
      <c r="M147" s="27"/>
      <c r="N147" s="25"/>
      <c r="O147" s="30"/>
      <c r="P147" s="17"/>
      <c r="Q147" s="17"/>
      <c r="R147" s="17"/>
      <c r="S147" s="17"/>
      <c r="T147" s="17"/>
      <c r="U147" s="17"/>
      <c r="W147" s="21"/>
      <c r="Z147" s="67"/>
    </row>
    <row r="148" spans="1:26" ht="15">
      <c r="A148" s="72"/>
      <c r="B148" s="22"/>
      <c r="C148" s="17"/>
      <c r="D148" s="25"/>
      <c r="E148" s="25"/>
      <c r="F148" s="17"/>
      <c r="G148" s="27"/>
      <c r="H148" s="17"/>
      <c r="I148" s="25"/>
      <c r="J148" s="25"/>
      <c r="K148" s="17"/>
      <c r="L148" s="25"/>
      <c r="M148" s="17"/>
      <c r="N148" s="25"/>
      <c r="O148" s="30"/>
      <c r="P148" s="17"/>
      <c r="Q148" s="25"/>
      <c r="R148" s="73"/>
      <c r="S148" s="17"/>
      <c r="T148" s="17"/>
      <c r="U148" s="17"/>
      <c r="W148" s="21"/>
      <c r="Z148" s="72"/>
    </row>
    <row r="149" spans="1:26" ht="15">
      <c r="A149" s="72"/>
      <c r="B149" s="17" t="s">
        <v>438</v>
      </c>
      <c r="C149" s="17"/>
      <c r="D149" s="25">
        <f>D43+D114+D128+D134+D137+D145</f>
        <v>1465193597</v>
      </c>
      <c r="E149" s="25"/>
      <c r="F149" s="26"/>
      <c r="G149" s="27" t="s">
        <v>263</v>
      </c>
      <c r="H149" s="17"/>
      <c r="I149" s="25" t="s">
        <v>253</v>
      </c>
      <c r="J149" s="25" t="s">
        <v>253</v>
      </c>
      <c r="K149" s="25"/>
      <c r="L149" s="25" t="s">
        <v>253</v>
      </c>
      <c r="M149" s="17"/>
      <c r="N149" s="25">
        <f>N43+N114+N128+N134+N137+N145</f>
        <v>42153127.25868594</v>
      </c>
      <c r="O149" s="30">
        <f>N149/D149*100</f>
        <v>2.8769663848514577</v>
      </c>
      <c r="P149" s="17"/>
      <c r="Q149" s="25"/>
      <c r="R149" s="73"/>
      <c r="S149" s="17"/>
      <c r="T149" s="17"/>
      <c r="U149" s="17"/>
      <c r="W149" s="21"/>
      <c r="Z149" s="72"/>
    </row>
    <row r="150" spans="1:26" ht="15">
      <c r="A150" s="72"/>
      <c r="B150" s="22" t="s">
        <v>439</v>
      </c>
      <c r="C150" s="17"/>
      <c r="D150" s="25"/>
      <c r="E150" s="25"/>
      <c r="F150" s="17"/>
      <c r="G150" s="27"/>
      <c r="H150" s="17"/>
      <c r="I150" s="25"/>
      <c r="J150" s="25"/>
      <c r="K150" s="17"/>
      <c r="L150" s="25"/>
      <c r="M150" s="17"/>
      <c r="N150" s="25"/>
      <c r="O150" s="30"/>
      <c r="P150" s="17"/>
      <c r="Q150" s="25"/>
      <c r="R150" s="73"/>
      <c r="S150" s="17"/>
      <c r="T150" s="17"/>
      <c r="U150" s="17"/>
      <c r="W150" s="21"/>
      <c r="Z150" s="72"/>
    </row>
    <row r="151" spans="1:26" ht="15">
      <c r="A151" s="72"/>
      <c r="B151" s="22"/>
      <c r="C151" s="17"/>
      <c r="D151" s="25"/>
      <c r="E151" s="25"/>
      <c r="F151" s="17"/>
      <c r="G151" s="27"/>
      <c r="H151" s="17"/>
      <c r="I151" s="25"/>
      <c r="J151" s="25"/>
      <c r="K151" s="17"/>
      <c r="L151" s="25"/>
      <c r="M151" s="17"/>
      <c r="N151" s="25"/>
      <c r="O151" s="30"/>
      <c r="P151" s="17"/>
      <c r="Q151" s="25"/>
      <c r="R151" s="73"/>
      <c r="S151" s="17"/>
      <c r="T151" s="17"/>
      <c r="U151" s="17"/>
      <c r="W151" s="21"/>
      <c r="Z151" s="72"/>
    </row>
    <row r="152" spans="1:26" ht="15">
      <c r="A152" s="72"/>
      <c r="B152" s="22"/>
      <c r="C152" s="17"/>
      <c r="D152" s="25"/>
      <c r="E152" s="25"/>
      <c r="F152" s="17"/>
      <c r="G152" s="27"/>
      <c r="H152" s="17"/>
      <c r="I152" s="25"/>
      <c r="J152" s="25"/>
      <c r="K152" s="17"/>
      <c r="L152" s="25"/>
      <c r="M152" s="17"/>
      <c r="N152" s="25"/>
      <c r="O152" s="30"/>
      <c r="P152" s="17"/>
      <c r="Q152" s="25"/>
      <c r="R152" s="73"/>
      <c r="S152" s="17"/>
      <c r="T152" s="17"/>
      <c r="U152" s="17"/>
      <c r="W152" s="21"/>
      <c r="Z152" s="72"/>
    </row>
    <row r="153" spans="1:26" ht="15">
      <c r="A153" s="72"/>
      <c r="B153" s="22"/>
      <c r="C153" s="17"/>
      <c r="D153" s="25"/>
      <c r="E153" s="25"/>
      <c r="F153" s="17"/>
      <c r="G153" s="27"/>
      <c r="H153" s="17"/>
      <c r="I153" s="25"/>
      <c r="J153" s="25"/>
      <c r="K153" s="17"/>
      <c r="L153" s="25"/>
      <c r="M153" s="17"/>
      <c r="N153" s="25"/>
      <c r="O153" s="30"/>
      <c r="P153" s="17"/>
      <c r="Q153" s="25"/>
      <c r="R153" s="73"/>
      <c r="S153" s="17"/>
      <c r="T153" s="17"/>
      <c r="U153" s="17"/>
      <c r="W153" s="21"/>
      <c r="Z153" s="72"/>
    </row>
    <row r="154" spans="1:26" ht="15">
      <c r="A154" s="72"/>
      <c r="C154" s="17"/>
      <c r="D154" s="25"/>
      <c r="E154" s="25"/>
      <c r="F154" s="17"/>
      <c r="G154" s="27"/>
      <c r="H154" s="17"/>
      <c r="I154" s="25"/>
      <c r="J154" s="25"/>
      <c r="K154" s="17"/>
      <c r="L154" s="25"/>
      <c r="M154" s="17"/>
      <c r="N154" s="25"/>
      <c r="O154" s="30"/>
      <c r="P154" s="17"/>
      <c r="Q154" s="25"/>
      <c r="R154" s="73"/>
      <c r="S154" s="17"/>
      <c r="T154" s="17"/>
      <c r="U154" s="17"/>
      <c r="W154" s="21"/>
      <c r="Z154" s="72"/>
    </row>
    <row r="155" spans="1:26" ht="15">
      <c r="A155" s="72"/>
      <c r="B155" s="22" t="s">
        <v>440</v>
      </c>
      <c r="C155" s="17"/>
      <c r="D155" s="25"/>
      <c r="E155" s="25"/>
      <c r="F155" s="17"/>
      <c r="G155" s="27"/>
      <c r="H155" s="17"/>
      <c r="I155" s="25"/>
      <c r="J155" s="25"/>
      <c r="K155" s="17"/>
      <c r="L155" s="25"/>
      <c r="M155" s="17"/>
      <c r="N155" s="25"/>
      <c r="O155" s="30"/>
      <c r="P155" s="17"/>
      <c r="Q155" s="25"/>
      <c r="R155" s="73"/>
      <c r="S155" s="17"/>
      <c r="T155" s="17"/>
      <c r="U155" s="17"/>
      <c r="W155" s="21"/>
      <c r="Z155" s="72"/>
    </row>
    <row r="156" spans="1:26" ht="15">
      <c r="A156" s="72"/>
      <c r="C156" s="17"/>
      <c r="D156" s="25"/>
      <c r="E156" s="25"/>
      <c r="F156" s="17"/>
      <c r="G156" s="27"/>
      <c r="H156" s="17"/>
      <c r="I156" s="25"/>
      <c r="J156" s="25"/>
      <c r="K156" s="17"/>
      <c r="L156" s="25"/>
      <c r="M156" s="17"/>
      <c r="N156" s="25"/>
      <c r="O156" s="30"/>
      <c r="P156" s="17"/>
      <c r="Q156" s="25"/>
      <c r="R156" s="73"/>
      <c r="S156" s="17"/>
      <c r="T156" s="17"/>
      <c r="U156" s="17"/>
      <c r="W156" s="21"/>
      <c r="Z156" s="72"/>
    </row>
    <row r="157" spans="1:26" ht="15">
      <c r="A157" s="74" t="s">
        <v>441</v>
      </c>
      <c r="B157" s="17" t="s">
        <v>442</v>
      </c>
      <c r="C157" s="17"/>
      <c r="D157" s="25">
        <v>9774892</v>
      </c>
      <c r="E157" s="25"/>
      <c r="F157" s="26" t="s">
        <v>243</v>
      </c>
      <c r="G157" s="27">
        <v>60.9</v>
      </c>
      <c r="H157" s="28">
        <v>-10</v>
      </c>
      <c r="I157" s="25">
        <v>-889558</v>
      </c>
      <c r="J157" s="25">
        <v>7168550</v>
      </c>
      <c r="K157" s="17"/>
      <c r="L157" s="25">
        <f>D157-I157-J157</f>
        <v>3495900</v>
      </c>
      <c r="M157" s="17">
        <v>22.5</v>
      </c>
      <c r="N157" s="25">
        <f>ROUND(+L157/M157,0)</f>
        <v>155373</v>
      </c>
      <c r="O157" s="30">
        <f>N157/D157*100</f>
        <v>1.5895111680006284</v>
      </c>
      <c r="P157" s="17"/>
      <c r="Q157" s="25">
        <f>D157-J157</f>
        <v>2606342</v>
      </c>
      <c r="R157" s="17"/>
      <c r="S157" s="25">
        <f>Q157/M157</f>
        <v>115837.42222222222</v>
      </c>
      <c r="T157" s="17"/>
      <c r="U157" s="30">
        <f>S157/D157*100</f>
        <v>1.1850506606336133</v>
      </c>
      <c r="W157" s="16">
        <f>(O157-U157)/100</f>
        <v>0.004044605073670151</v>
      </c>
      <c r="Y157" s="30">
        <f>W157/O157</f>
        <v>0.0025445590789762557</v>
      </c>
      <c r="Z157" s="74" t="s">
        <v>441</v>
      </c>
    </row>
    <row r="158" spans="1:26" ht="15.75" customHeight="1">
      <c r="A158" s="74" t="s">
        <v>443</v>
      </c>
      <c r="B158" s="17" t="s">
        <v>444</v>
      </c>
      <c r="C158" s="17"/>
      <c r="D158" s="40">
        <v>837792</v>
      </c>
      <c r="E158" s="25"/>
      <c r="F158" s="26" t="s">
        <v>243</v>
      </c>
      <c r="G158" s="27">
        <v>49.3</v>
      </c>
      <c r="H158" s="28">
        <v>-30</v>
      </c>
      <c r="I158" s="40">
        <f>ROUND(H158/100*D158,0)</f>
        <v>-251338</v>
      </c>
      <c r="J158" s="40">
        <v>626233</v>
      </c>
      <c r="K158" s="17"/>
      <c r="L158" s="40">
        <f>D158-I158-J158</f>
        <v>462897</v>
      </c>
      <c r="M158" s="17">
        <v>22.5</v>
      </c>
      <c r="N158" s="40">
        <f>ROUND(+L158/M158,0)</f>
        <v>20573</v>
      </c>
      <c r="O158" s="30">
        <f>N158/D158*100</f>
        <v>2.4556214430312058</v>
      </c>
      <c r="P158" s="17"/>
      <c r="Q158" s="32">
        <f>D158-J158</f>
        <v>211559</v>
      </c>
      <c r="R158" s="17"/>
      <c r="S158" s="32">
        <f>Q158/M158</f>
        <v>9402.622222222222</v>
      </c>
      <c r="T158" s="17"/>
      <c r="U158" s="30">
        <f>S158/D158*100</f>
        <v>1.1223098599917667</v>
      </c>
      <c r="W158" s="16">
        <f>(O158-U158)/100</f>
        <v>0.013333115830394392</v>
      </c>
      <c r="Y158" s="30">
        <f>W158/O158</f>
        <v>0.00542962998968443</v>
      </c>
      <c r="Z158" s="74" t="s">
        <v>443</v>
      </c>
    </row>
    <row r="159" spans="1:26" ht="15">
      <c r="A159" s="72"/>
      <c r="B159" s="17" t="s">
        <v>445</v>
      </c>
      <c r="C159" s="17"/>
      <c r="D159" s="25">
        <f>D157+D158</f>
        <v>10612684</v>
      </c>
      <c r="E159" s="25"/>
      <c r="F159" s="17"/>
      <c r="G159" s="27">
        <f>1*R159</f>
        <v>0</v>
      </c>
      <c r="H159" s="17"/>
      <c r="I159" s="25">
        <f>I157+I158</f>
        <v>-1140896</v>
      </c>
      <c r="J159" s="25">
        <f>J157+J158</f>
        <v>7794783</v>
      </c>
      <c r="K159" s="17"/>
      <c r="L159" s="25">
        <f>L157+L158</f>
        <v>3958797</v>
      </c>
      <c r="M159" s="17"/>
      <c r="N159" s="25">
        <f>N157+N158</f>
        <v>175946</v>
      </c>
      <c r="O159" s="30">
        <f>N159/D159*100</f>
        <v>1.6578840941650574</v>
      </c>
      <c r="P159" s="17"/>
      <c r="Q159" s="25">
        <f>SUM(Q157:Q158)</f>
        <v>2817901</v>
      </c>
      <c r="R159" s="17"/>
      <c r="S159" s="25">
        <f>SUM(S157:S158)</f>
        <v>125240.04444444444</v>
      </c>
      <c r="T159" s="17"/>
      <c r="U159" s="30">
        <f>S159/D159*100</f>
        <v>1.1800977438360025</v>
      </c>
      <c r="W159" s="16">
        <f>(O159-U159)/100</f>
        <v>0.004777863503290549</v>
      </c>
      <c r="Y159" s="30">
        <f>W159/O159</f>
        <v>0.0028819044226953477</v>
      </c>
      <c r="Z159" s="72"/>
    </row>
    <row r="160" spans="1:26" ht="15">
      <c r="A160" s="72"/>
      <c r="B160" s="22" t="s">
        <v>439</v>
      </c>
      <c r="C160" s="17"/>
      <c r="D160" s="25"/>
      <c r="E160" s="25"/>
      <c r="F160" s="17"/>
      <c r="G160" s="27"/>
      <c r="H160" s="17"/>
      <c r="I160" s="25"/>
      <c r="J160" s="25"/>
      <c r="K160" s="17"/>
      <c r="L160" s="25"/>
      <c r="M160" s="17"/>
      <c r="N160" s="25"/>
      <c r="O160" s="30"/>
      <c r="P160" s="17"/>
      <c r="Q160"/>
      <c r="R160"/>
      <c r="S160"/>
      <c r="T160" s="17"/>
      <c r="U160" s="17"/>
      <c r="W160" s="21"/>
      <c r="Z160" s="72"/>
    </row>
    <row r="161" spans="1:26" ht="15">
      <c r="A161" s="72"/>
      <c r="B161" s="22"/>
      <c r="C161" s="17"/>
      <c r="D161" s="25"/>
      <c r="E161" s="25"/>
      <c r="F161" s="17"/>
      <c r="G161" s="27"/>
      <c r="H161" s="17"/>
      <c r="I161" s="25"/>
      <c r="J161" s="25"/>
      <c r="K161" s="17"/>
      <c r="L161" s="25"/>
      <c r="M161" s="17"/>
      <c r="N161" s="25"/>
      <c r="O161" s="30"/>
      <c r="P161" s="17"/>
      <c r="Q161"/>
      <c r="R161"/>
      <c r="S161"/>
      <c r="T161" s="17"/>
      <c r="U161" s="17"/>
      <c r="W161" s="21"/>
      <c r="Z161" s="72"/>
    </row>
    <row r="162" spans="1:26" ht="15">
      <c r="A162" s="72"/>
      <c r="B162" s="22"/>
      <c r="C162" s="17"/>
      <c r="D162" s="25"/>
      <c r="E162" s="25"/>
      <c r="F162" s="17"/>
      <c r="G162" s="27"/>
      <c r="H162" s="17"/>
      <c r="I162" s="25"/>
      <c r="J162" s="25"/>
      <c r="K162" s="17"/>
      <c r="L162" s="25"/>
      <c r="M162" s="17"/>
      <c r="N162" s="25"/>
      <c r="O162" s="30"/>
      <c r="P162" s="17"/>
      <c r="Q162"/>
      <c r="R162"/>
      <c r="S162"/>
      <c r="T162" s="17"/>
      <c r="U162" s="17"/>
      <c r="W162" s="21"/>
      <c r="Z162" s="72"/>
    </row>
    <row r="163" spans="1:26" ht="15">
      <c r="A163" s="72"/>
      <c r="B163" s="22" t="s">
        <v>293</v>
      </c>
      <c r="C163" s="17"/>
      <c r="D163" s="25"/>
      <c r="E163" s="25"/>
      <c r="F163" s="17"/>
      <c r="G163" s="27"/>
      <c r="H163" s="17"/>
      <c r="I163" s="25"/>
      <c r="J163" s="25"/>
      <c r="K163" s="17"/>
      <c r="L163" s="25"/>
      <c r="M163" s="17"/>
      <c r="N163" s="25"/>
      <c r="O163" s="30"/>
      <c r="P163" s="17"/>
      <c r="Q163"/>
      <c r="R163"/>
      <c r="S163"/>
      <c r="T163" s="17"/>
      <c r="U163" s="17"/>
      <c r="W163" s="21"/>
      <c r="Z163" s="72"/>
    </row>
    <row r="164" spans="1:26" ht="15">
      <c r="A164" s="72"/>
      <c r="C164" s="17"/>
      <c r="D164" s="25"/>
      <c r="E164" s="25"/>
      <c r="F164" s="17"/>
      <c r="G164" s="27"/>
      <c r="H164" s="17"/>
      <c r="I164" s="25"/>
      <c r="J164" s="25"/>
      <c r="K164" s="17"/>
      <c r="L164" s="25"/>
      <c r="M164" s="17"/>
      <c r="N164" s="25"/>
      <c r="O164" s="30"/>
      <c r="P164" s="17"/>
      <c r="Q164"/>
      <c r="R164"/>
      <c r="S164"/>
      <c r="T164" s="17"/>
      <c r="U164" s="17"/>
      <c r="W164" s="21"/>
      <c r="Z164" s="72"/>
    </row>
    <row r="165" spans="1:26" ht="15">
      <c r="A165" s="72"/>
      <c r="B165" s="22" t="s">
        <v>395</v>
      </c>
      <c r="C165" s="17"/>
      <c r="D165" s="25"/>
      <c r="E165" s="25"/>
      <c r="F165" s="17"/>
      <c r="G165" s="27"/>
      <c r="H165" s="17"/>
      <c r="I165" s="25"/>
      <c r="J165" s="25"/>
      <c r="K165" s="17"/>
      <c r="L165" s="25"/>
      <c r="M165" s="17"/>
      <c r="N165" s="25"/>
      <c r="O165" s="30"/>
      <c r="P165" s="17"/>
      <c r="Q165"/>
      <c r="R165"/>
      <c r="S165"/>
      <c r="T165" s="17"/>
      <c r="U165" s="17"/>
      <c r="W165" s="21"/>
      <c r="Z165" s="72"/>
    </row>
    <row r="166" spans="1:26" ht="15">
      <c r="A166" s="72"/>
      <c r="B166" s="22"/>
      <c r="C166" s="17"/>
      <c r="D166" s="25"/>
      <c r="E166" s="25"/>
      <c r="F166" s="17"/>
      <c r="G166" s="27"/>
      <c r="H166" s="17"/>
      <c r="I166" s="25"/>
      <c r="J166" s="25"/>
      <c r="K166" s="17"/>
      <c r="L166" s="25"/>
      <c r="M166" s="17"/>
      <c r="N166" s="25"/>
      <c r="O166" s="30"/>
      <c r="P166" s="17"/>
      <c r="Q166"/>
      <c r="R166"/>
      <c r="S166"/>
      <c r="T166" s="17"/>
      <c r="U166" s="17"/>
      <c r="W166" s="21"/>
      <c r="Z166" s="72"/>
    </row>
    <row r="167" spans="1:26" ht="15">
      <c r="A167" s="74" t="s">
        <v>446</v>
      </c>
      <c r="B167" s="17" t="s">
        <v>447</v>
      </c>
      <c r="C167" s="17"/>
      <c r="D167" s="25">
        <v>36250643</v>
      </c>
      <c r="E167" s="25"/>
      <c r="F167" s="26" t="s">
        <v>243</v>
      </c>
      <c r="G167" s="27">
        <v>29</v>
      </c>
      <c r="H167" s="27">
        <v>0</v>
      </c>
      <c r="I167" s="25">
        <f aca="true" t="shared" si="1" ref="I167:I172">ROUND(H167/100*D167,0)</f>
        <v>0</v>
      </c>
      <c r="J167" s="25">
        <v>1230724</v>
      </c>
      <c r="K167" s="17"/>
      <c r="L167" s="25">
        <f aca="true" t="shared" si="2" ref="L167:L172">D167-I167-J167</f>
        <v>35019919</v>
      </c>
      <c r="M167" s="17">
        <v>28.5</v>
      </c>
      <c r="N167" s="25">
        <f aca="true" t="shared" si="3" ref="N167:N172">ROUND(+L167/M167,0)</f>
        <v>1228769</v>
      </c>
      <c r="O167" s="30">
        <f aca="true" t="shared" si="4" ref="O167:O173">N167/D167*100</f>
        <v>3.389647460874004</v>
      </c>
      <c r="P167" s="17"/>
      <c r="Q167" s="75">
        <f>L167</f>
        <v>35019919</v>
      </c>
      <c r="R167"/>
      <c r="S167" s="75">
        <f aca="true" t="shared" si="5" ref="S167:S173">N167</f>
        <v>1228769</v>
      </c>
      <c r="T167" s="17"/>
      <c r="U167" s="30">
        <f>S167/D167*100</f>
        <v>3.389647460874004</v>
      </c>
      <c r="W167" s="16">
        <f aca="true" t="shared" si="6" ref="W167:W172">(O167-U167)/100</f>
        <v>0</v>
      </c>
      <c r="Y167" s="30">
        <f>W167/O167</f>
        <v>0</v>
      </c>
      <c r="Z167" s="74" t="s">
        <v>446</v>
      </c>
    </row>
    <row r="168" spans="1:26" ht="15">
      <c r="A168" s="74" t="s">
        <v>448</v>
      </c>
      <c r="B168" s="17" t="s">
        <v>449</v>
      </c>
      <c r="C168" s="17"/>
      <c r="D168" s="25">
        <v>37455942</v>
      </c>
      <c r="E168" s="25"/>
      <c r="F168" s="26" t="s">
        <v>243</v>
      </c>
      <c r="G168" s="27">
        <v>30</v>
      </c>
      <c r="H168" s="27">
        <v>0</v>
      </c>
      <c r="I168" s="25">
        <f t="shared" si="1"/>
        <v>0</v>
      </c>
      <c r="J168" s="25">
        <v>1229257</v>
      </c>
      <c r="K168" s="17"/>
      <c r="L168" s="25">
        <f t="shared" si="2"/>
        <v>36226685</v>
      </c>
      <c r="M168" s="17">
        <v>29.5</v>
      </c>
      <c r="N168" s="25">
        <f t="shared" si="3"/>
        <v>1228023</v>
      </c>
      <c r="O168" s="30">
        <f t="shared" si="4"/>
        <v>3.278579937997555</v>
      </c>
      <c r="P168" s="17"/>
      <c r="Q168" s="75">
        <f aca="true" t="shared" si="7" ref="Q168:Q173">L168</f>
        <v>36226685</v>
      </c>
      <c r="R168"/>
      <c r="S168" s="75">
        <f t="shared" si="5"/>
        <v>1228023</v>
      </c>
      <c r="T168" s="17"/>
      <c r="U168" s="30">
        <f aca="true" t="shared" si="8" ref="U168:U173">S168/D168*100</f>
        <v>3.278579937997555</v>
      </c>
      <c r="W168" s="16">
        <f t="shared" si="6"/>
        <v>0</v>
      </c>
      <c r="Y168" s="30">
        <f aca="true" t="shared" si="9" ref="Y168:Y173">W168/O168</f>
        <v>0</v>
      </c>
      <c r="Z168" s="74" t="s">
        <v>448</v>
      </c>
    </row>
    <row r="169" spans="1:26" ht="15">
      <c r="A169" s="74" t="s">
        <v>450</v>
      </c>
      <c r="B169" s="17" t="s">
        <v>451</v>
      </c>
      <c r="C169" s="17"/>
      <c r="D169" s="25">
        <v>27610211</v>
      </c>
      <c r="E169" s="25"/>
      <c r="F169" s="26" t="s">
        <v>243</v>
      </c>
      <c r="G169" s="27">
        <v>26.4</v>
      </c>
      <c r="H169" s="27">
        <v>0</v>
      </c>
      <c r="I169" s="25">
        <f t="shared" si="1"/>
        <v>0</v>
      </c>
      <c r="J169" s="25">
        <v>3897919</v>
      </c>
      <c r="K169" s="17"/>
      <c r="L169" s="25">
        <f t="shared" si="2"/>
        <v>23712292</v>
      </c>
      <c r="M169" s="17">
        <v>24.5</v>
      </c>
      <c r="N169" s="25">
        <f t="shared" si="3"/>
        <v>967849</v>
      </c>
      <c r="O169" s="30">
        <f t="shared" si="4"/>
        <v>3.5054024034803644</v>
      </c>
      <c r="P169" s="17"/>
      <c r="Q169" s="75">
        <f t="shared" si="7"/>
        <v>23712292</v>
      </c>
      <c r="R169"/>
      <c r="S169" s="75">
        <f t="shared" si="5"/>
        <v>967849</v>
      </c>
      <c r="T169" s="17"/>
      <c r="U169" s="30">
        <f t="shared" si="8"/>
        <v>3.5054024034803644</v>
      </c>
      <c r="W169" s="16">
        <f t="shared" si="6"/>
        <v>0</v>
      </c>
      <c r="Y169" s="30">
        <f t="shared" si="9"/>
        <v>0</v>
      </c>
      <c r="Z169" s="74" t="s">
        <v>450</v>
      </c>
    </row>
    <row r="170" spans="1:26" ht="15">
      <c r="A170" s="74" t="s">
        <v>114</v>
      </c>
      <c r="B170" s="17" t="s">
        <v>452</v>
      </c>
      <c r="C170" s="17"/>
      <c r="D170" s="25">
        <v>36721763</v>
      </c>
      <c r="E170" s="25"/>
      <c r="F170" s="26" t="s">
        <v>243</v>
      </c>
      <c r="G170" s="27">
        <v>26.8</v>
      </c>
      <c r="H170" s="27">
        <v>0</v>
      </c>
      <c r="I170" s="25">
        <f t="shared" si="1"/>
        <v>0</v>
      </c>
      <c r="J170" s="25">
        <v>6242262</v>
      </c>
      <c r="K170" s="17"/>
      <c r="L170" s="25">
        <f t="shared" si="2"/>
        <v>30479501</v>
      </c>
      <c r="M170" s="17">
        <v>24.5</v>
      </c>
      <c r="N170" s="25">
        <f t="shared" si="3"/>
        <v>1244061</v>
      </c>
      <c r="O170" s="30">
        <f t="shared" si="4"/>
        <v>3.387803031134426</v>
      </c>
      <c r="P170" s="17"/>
      <c r="Q170" s="75">
        <f t="shared" si="7"/>
        <v>30479501</v>
      </c>
      <c r="R170"/>
      <c r="S170" s="75">
        <f t="shared" si="5"/>
        <v>1244061</v>
      </c>
      <c r="T170" s="17"/>
      <c r="U170" s="30">
        <f t="shared" si="8"/>
        <v>3.387803031134426</v>
      </c>
      <c r="W170" s="16">
        <f t="shared" si="6"/>
        <v>0</v>
      </c>
      <c r="Y170" s="30">
        <f t="shared" si="9"/>
        <v>0</v>
      </c>
      <c r="Z170" s="74" t="s">
        <v>114</v>
      </c>
    </row>
    <row r="171" spans="1:26" ht="15">
      <c r="A171" s="74" t="s">
        <v>453</v>
      </c>
      <c r="B171" s="17" t="s">
        <v>454</v>
      </c>
      <c r="C171" s="17"/>
      <c r="D171" s="25">
        <v>27659729</v>
      </c>
      <c r="E171" s="25"/>
      <c r="F171" s="26" t="s">
        <v>243</v>
      </c>
      <c r="G171" s="27">
        <v>26.5</v>
      </c>
      <c r="H171" s="27">
        <v>0</v>
      </c>
      <c r="I171" s="25">
        <f t="shared" si="1"/>
        <v>0</v>
      </c>
      <c r="J171" s="25">
        <v>4105124</v>
      </c>
      <c r="K171" s="17"/>
      <c r="L171" s="25">
        <f t="shared" si="2"/>
        <v>23554605</v>
      </c>
      <c r="M171" s="17">
        <v>24.5</v>
      </c>
      <c r="N171" s="25">
        <f t="shared" si="3"/>
        <v>961412</v>
      </c>
      <c r="O171" s="30">
        <f t="shared" si="4"/>
        <v>3.475854734513126</v>
      </c>
      <c r="P171" s="17"/>
      <c r="Q171" s="75">
        <f t="shared" si="7"/>
        <v>23554605</v>
      </c>
      <c r="R171"/>
      <c r="S171" s="75">
        <f t="shared" si="5"/>
        <v>961412</v>
      </c>
      <c r="T171" s="17"/>
      <c r="U171" s="30">
        <f t="shared" si="8"/>
        <v>3.475854734513126</v>
      </c>
      <c r="W171" s="16">
        <f t="shared" si="6"/>
        <v>0</v>
      </c>
      <c r="Y171" s="30">
        <f t="shared" si="9"/>
        <v>0</v>
      </c>
      <c r="Z171" s="74" t="s">
        <v>453</v>
      </c>
    </row>
    <row r="172" spans="1:26" ht="15">
      <c r="A172" s="74" t="s">
        <v>119</v>
      </c>
      <c r="B172" s="17" t="s">
        <v>455</v>
      </c>
      <c r="C172" s="17"/>
      <c r="D172" s="40">
        <v>34693336</v>
      </c>
      <c r="E172" s="25"/>
      <c r="F172" s="26" t="s">
        <v>243</v>
      </c>
      <c r="G172" s="27">
        <v>26.8</v>
      </c>
      <c r="H172" s="27">
        <v>0</v>
      </c>
      <c r="I172" s="40">
        <f t="shared" si="1"/>
        <v>0</v>
      </c>
      <c r="J172" s="40">
        <v>3312496</v>
      </c>
      <c r="K172" s="17"/>
      <c r="L172" s="40">
        <f t="shared" si="2"/>
        <v>31380840</v>
      </c>
      <c r="M172" s="17">
        <v>25.5</v>
      </c>
      <c r="N172" s="40">
        <f t="shared" si="3"/>
        <v>1230621</v>
      </c>
      <c r="O172" s="30">
        <f t="shared" si="4"/>
        <v>3.5471394275834416</v>
      </c>
      <c r="P172" s="17"/>
      <c r="Q172" s="76">
        <f t="shared" si="7"/>
        <v>31380840</v>
      </c>
      <c r="R172"/>
      <c r="S172" s="76">
        <f t="shared" si="5"/>
        <v>1230621</v>
      </c>
      <c r="T172" s="17"/>
      <c r="U172" s="34">
        <f t="shared" si="8"/>
        <v>3.5471394275834416</v>
      </c>
      <c r="W172" s="36">
        <f t="shared" si="6"/>
        <v>0</v>
      </c>
      <c r="Y172" s="34">
        <f t="shared" si="9"/>
        <v>0</v>
      </c>
      <c r="Z172" s="74" t="s">
        <v>119</v>
      </c>
    </row>
    <row r="173" spans="1:26" ht="15">
      <c r="A173" s="17"/>
      <c r="B173" s="22" t="s">
        <v>406</v>
      </c>
      <c r="C173" s="17"/>
      <c r="D173" s="25">
        <f>D167+D168+D169+D170+D171+D172</f>
        <v>200391624</v>
      </c>
      <c r="E173" s="25"/>
      <c r="F173" s="17"/>
      <c r="G173" s="27">
        <f>1*R173</f>
        <v>0</v>
      </c>
      <c r="H173" s="17"/>
      <c r="I173" s="25">
        <f>I167+I168+I169+I170+I171+I172</f>
        <v>0</v>
      </c>
      <c r="J173" s="25">
        <f>J167+J168+J169+J170+J171+J172</f>
        <v>20017782</v>
      </c>
      <c r="K173" s="17"/>
      <c r="L173" s="25">
        <f>L167+L168+L169+L170+L171+L172</f>
        <v>180373842</v>
      </c>
      <c r="M173" s="17"/>
      <c r="N173" s="25">
        <f>N167+N168+N169+N170+N171+N172</f>
        <v>6860735</v>
      </c>
      <c r="O173" s="30">
        <f t="shared" si="4"/>
        <v>3.423663555917886</v>
      </c>
      <c r="P173" s="17"/>
      <c r="Q173" s="77">
        <f t="shared" si="7"/>
        <v>180373842</v>
      </c>
      <c r="R173"/>
      <c r="S173" s="77">
        <f t="shared" si="5"/>
        <v>6860735</v>
      </c>
      <c r="T173" s="17"/>
      <c r="U173" s="30">
        <f t="shared" si="8"/>
        <v>3.423663555917886</v>
      </c>
      <c r="W173" s="16">
        <f>O173-U173</f>
        <v>0</v>
      </c>
      <c r="Y173" s="30">
        <f t="shared" si="9"/>
        <v>0</v>
      </c>
      <c r="Z173" s="17"/>
    </row>
    <row r="174" spans="1:26" ht="15">
      <c r="A174" s="17"/>
      <c r="B174" s="22"/>
      <c r="C174" s="17"/>
      <c r="D174" s="25"/>
      <c r="E174" s="25"/>
      <c r="F174" s="17"/>
      <c r="G174" s="27"/>
      <c r="H174" s="17"/>
      <c r="I174" s="25"/>
      <c r="J174" s="25"/>
      <c r="K174" s="17"/>
      <c r="L174" s="25"/>
      <c r="M174" s="17"/>
      <c r="N174" s="25"/>
      <c r="O174" s="30"/>
      <c r="P174" s="17"/>
      <c r="Q174"/>
      <c r="R174"/>
      <c r="S174"/>
      <c r="T174" s="17"/>
      <c r="U174" s="17"/>
      <c r="W174" s="21"/>
      <c r="Z174" s="17"/>
    </row>
    <row r="175" spans="1:26" ht="15">
      <c r="A175" s="17"/>
      <c r="B175" s="22" t="s">
        <v>311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/>
      <c r="R175"/>
      <c r="S175"/>
      <c r="T175" s="17"/>
      <c r="U175" s="17"/>
      <c r="W175" s="21"/>
      <c r="Z175" s="17"/>
    </row>
    <row r="176" spans="1:26" ht="15">
      <c r="A176" s="30">
        <v>350.1</v>
      </c>
      <c r="B176" s="17" t="s">
        <v>456</v>
      </c>
      <c r="C176" s="17"/>
      <c r="D176" s="25">
        <v>22921429</v>
      </c>
      <c r="E176" s="25"/>
      <c r="F176" s="26" t="s">
        <v>313</v>
      </c>
      <c r="G176" s="27">
        <v>75</v>
      </c>
      <c r="H176" s="28">
        <v>0</v>
      </c>
      <c r="I176" s="25">
        <f aca="true" t="shared" si="10" ref="I176:I184">ROUND(H176/100*D176,0)</f>
        <v>0</v>
      </c>
      <c r="J176" s="53">
        <v>7918958</v>
      </c>
      <c r="K176" s="25"/>
      <c r="L176" s="25">
        <f aca="true" t="shared" si="11" ref="L176:L184">D176-I176-J176</f>
        <v>15002471</v>
      </c>
      <c r="M176" s="27">
        <v>48.8</v>
      </c>
      <c r="N176" s="25">
        <f aca="true" t="shared" si="12" ref="N176:N184">ROUND(+L176/M176,0)</f>
        <v>307428</v>
      </c>
      <c r="O176" s="30">
        <f aca="true" t="shared" si="13" ref="O176:O185">N176/D176*100</f>
        <v>1.341225278755526</v>
      </c>
      <c r="P176" s="17"/>
      <c r="Q176" s="25">
        <f>L176+I176</f>
        <v>15002471</v>
      </c>
      <c r="R176" s="17"/>
      <c r="S176" s="25">
        <f>Q176/M176</f>
        <v>307427.6844262295</v>
      </c>
      <c r="T176" s="17"/>
      <c r="U176" s="30">
        <f>S176/D176*100</f>
        <v>1.3412239019924521</v>
      </c>
      <c r="V176" s="17"/>
      <c r="W176" s="16">
        <f aca="true" t="shared" si="14" ref="W176:W183">(O176-U176)/100</f>
        <v>1.3767630739902615E-08</v>
      </c>
      <c r="X176" s="17"/>
      <c r="Y176" s="30">
        <f>W176/O176</f>
        <v>1.0264965146404857E-08</v>
      </c>
      <c r="Z176" s="30">
        <v>350.1</v>
      </c>
    </row>
    <row r="177" spans="1:26" ht="15">
      <c r="A177" s="30">
        <v>352</v>
      </c>
      <c r="B177" s="17" t="s">
        <v>457</v>
      </c>
      <c r="C177" s="17"/>
      <c r="D177" s="25">
        <v>7376773</v>
      </c>
      <c r="E177" s="25"/>
      <c r="F177" s="26" t="s">
        <v>315</v>
      </c>
      <c r="G177" s="27">
        <v>55</v>
      </c>
      <c r="H177" s="28">
        <v>-45</v>
      </c>
      <c r="I177" s="25">
        <f t="shared" si="10"/>
        <v>-3319548</v>
      </c>
      <c r="J177" s="53">
        <v>3377416</v>
      </c>
      <c r="K177" s="25"/>
      <c r="L177" s="25">
        <f t="shared" si="11"/>
        <v>7318905</v>
      </c>
      <c r="M177" s="27">
        <v>37.4</v>
      </c>
      <c r="N177" s="25">
        <f t="shared" si="12"/>
        <v>195693</v>
      </c>
      <c r="O177" s="30">
        <f t="shared" si="13"/>
        <v>2.6528266492679116</v>
      </c>
      <c r="P177" s="17"/>
      <c r="Q177" s="25">
        <f aca="true" t="shared" si="15" ref="Q177:Q184">L177+I177</f>
        <v>3999357</v>
      </c>
      <c r="R177" s="17"/>
      <c r="S177" s="25">
        <f aca="true" t="shared" si="16" ref="S177:S184">Q177/M177</f>
        <v>106934.67914438504</v>
      </c>
      <c r="T177" s="17"/>
      <c r="U177" s="30">
        <f aca="true" t="shared" si="17" ref="U177:U184">S177/D177*100</f>
        <v>1.449613254256096</v>
      </c>
      <c r="V177" s="17"/>
      <c r="W177" s="16">
        <f t="shared" si="14"/>
        <v>0.012032133950118156</v>
      </c>
      <c r="X177" s="17"/>
      <c r="Y177" s="30">
        <f aca="true" t="shared" si="18" ref="Y177:Y184">W177/O177</f>
        <v>0.0045355899728459865</v>
      </c>
      <c r="Z177" s="30">
        <v>352</v>
      </c>
    </row>
    <row r="178" spans="1:26" ht="15">
      <c r="A178" s="30">
        <v>353.1</v>
      </c>
      <c r="B178" s="17" t="s">
        <v>316</v>
      </c>
      <c r="C178" s="17"/>
      <c r="D178" s="25">
        <v>134181967</v>
      </c>
      <c r="E178" s="25"/>
      <c r="F178" s="26" t="s">
        <v>315</v>
      </c>
      <c r="G178" s="27">
        <v>50</v>
      </c>
      <c r="H178" s="28">
        <v>-10</v>
      </c>
      <c r="I178" s="25">
        <f t="shared" si="10"/>
        <v>-13418197</v>
      </c>
      <c r="J178" s="25">
        <v>53200640</v>
      </c>
      <c r="K178" s="25"/>
      <c r="L178" s="25">
        <f t="shared" si="11"/>
        <v>94399524</v>
      </c>
      <c r="M178" s="27">
        <v>31.8</v>
      </c>
      <c r="N178" s="25">
        <f t="shared" si="12"/>
        <v>2968538</v>
      </c>
      <c r="O178" s="30">
        <f t="shared" si="13"/>
        <v>2.2123226141110304</v>
      </c>
      <c r="P178" s="17"/>
      <c r="Q178" s="25">
        <f t="shared" si="15"/>
        <v>80981327</v>
      </c>
      <c r="R178" s="17"/>
      <c r="S178" s="25">
        <f t="shared" si="16"/>
        <v>2546582.610062893</v>
      </c>
      <c r="T178" s="17"/>
      <c r="U178" s="30">
        <f t="shared" si="17"/>
        <v>1.897857563872866</v>
      </c>
      <c r="V178" s="17"/>
      <c r="W178" s="16">
        <f t="shared" si="14"/>
        <v>0.003144650502381643</v>
      </c>
      <c r="X178" s="17"/>
      <c r="Y178" s="30">
        <f t="shared" si="18"/>
        <v>0.0014214249234374193</v>
      </c>
      <c r="Z178" s="30">
        <v>353.1</v>
      </c>
    </row>
    <row r="179" spans="1:26" ht="15">
      <c r="A179" s="30">
        <v>353.2</v>
      </c>
      <c r="B179" s="17" t="s">
        <v>458</v>
      </c>
      <c r="C179" s="17"/>
      <c r="D179" s="25">
        <v>11419299</v>
      </c>
      <c r="E179" s="25"/>
      <c r="F179" s="26" t="s">
        <v>315</v>
      </c>
      <c r="G179" s="27">
        <v>18</v>
      </c>
      <c r="H179" s="28">
        <v>-10</v>
      </c>
      <c r="I179" s="25">
        <f t="shared" si="10"/>
        <v>-1141930</v>
      </c>
      <c r="J179" s="25">
        <v>6567090</v>
      </c>
      <c r="K179" s="25"/>
      <c r="L179" s="25">
        <f t="shared" si="11"/>
        <v>5994139</v>
      </c>
      <c r="M179" s="27">
        <v>8.5</v>
      </c>
      <c r="N179" s="25">
        <f t="shared" si="12"/>
        <v>705193</v>
      </c>
      <c r="O179" s="30">
        <f t="shared" si="13"/>
        <v>6.1754491234532</v>
      </c>
      <c r="P179" s="17"/>
      <c r="Q179" s="25">
        <f t="shared" si="15"/>
        <v>4852209</v>
      </c>
      <c r="R179" s="17"/>
      <c r="S179" s="25">
        <f t="shared" si="16"/>
        <v>570848.1176470588</v>
      </c>
      <c r="T179" s="17"/>
      <c r="U179" s="30">
        <f t="shared" si="17"/>
        <v>4.9989768868216755</v>
      </c>
      <c r="V179" s="17"/>
      <c r="W179" s="16">
        <f t="shared" si="14"/>
        <v>0.011764722366315246</v>
      </c>
      <c r="X179" s="17"/>
      <c r="Y179" s="30">
        <f t="shared" si="18"/>
        <v>0.0019050796356875537</v>
      </c>
      <c r="Z179" s="30">
        <v>353.2</v>
      </c>
    </row>
    <row r="180" spans="1:26" ht="15">
      <c r="A180" s="30">
        <v>354</v>
      </c>
      <c r="B180" s="17" t="s">
        <v>318</v>
      </c>
      <c r="C180" s="17"/>
      <c r="D180" s="25">
        <v>60000913</v>
      </c>
      <c r="E180" s="25"/>
      <c r="F180" s="26" t="s">
        <v>315</v>
      </c>
      <c r="G180" s="27">
        <v>55</v>
      </c>
      <c r="H180" s="28">
        <v>-55</v>
      </c>
      <c r="I180" s="25">
        <f t="shared" si="10"/>
        <v>-33000502</v>
      </c>
      <c r="J180" s="25">
        <v>33399995</v>
      </c>
      <c r="K180" s="25"/>
      <c r="L180" s="25">
        <f t="shared" si="11"/>
        <v>59601420</v>
      </c>
      <c r="M180" s="27">
        <v>35</v>
      </c>
      <c r="N180" s="25">
        <f t="shared" si="12"/>
        <v>1702898</v>
      </c>
      <c r="O180" s="30">
        <f t="shared" si="13"/>
        <v>2.8381201466051027</v>
      </c>
      <c r="P180" s="17"/>
      <c r="Q180" s="25">
        <f t="shared" si="15"/>
        <v>26600918</v>
      </c>
      <c r="R180" s="17"/>
      <c r="S180" s="25">
        <f t="shared" si="16"/>
        <v>760026.2285714286</v>
      </c>
      <c r="T180" s="17"/>
      <c r="U180" s="30">
        <f t="shared" si="17"/>
        <v>1.2666911061360493</v>
      </c>
      <c r="V180" s="17"/>
      <c r="W180" s="16">
        <f t="shared" si="14"/>
        <v>0.015714290404690533</v>
      </c>
      <c r="X180" s="17"/>
      <c r="Y180" s="30">
        <f t="shared" si="18"/>
        <v>0.005536865810098852</v>
      </c>
      <c r="Z180" s="30">
        <v>354</v>
      </c>
    </row>
    <row r="181" spans="1:26" ht="15">
      <c r="A181" s="30">
        <v>355</v>
      </c>
      <c r="B181" s="17" t="s">
        <v>319</v>
      </c>
      <c r="C181" s="17"/>
      <c r="D181" s="25">
        <v>68210779</v>
      </c>
      <c r="E181" s="25"/>
      <c r="F181" s="26" t="s">
        <v>322</v>
      </c>
      <c r="G181" s="27">
        <v>40</v>
      </c>
      <c r="H181" s="28">
        <v>-60</v>
      </c>
      <c r="I181" s="25">
        <f t="shared" si="10"/>
        <v>-40926467</v>
      </c>
      <c r="J181" s="25">
        <v>39376846</v>
      </c>
      <c r="K181" s="25"/>
      <c r="L181" s="25">
        <f t="shared" si="11"/>
        <v>69760400</v>
      </c>
      <c r="M181" s="27">
        <v>25.4</v>
      </c>
      <c r="N181" s="25">
        <f t="shared" si="12"/>
        <v>2746472</v>
      </c>
      <c r="O181" s="30">
        <f t="shared" si="13"/>
        <v>4.026448664367255</v>
      </c>
      <c r="P181" s="17"/>
      <c r="Q181" s="25">
        <f t="shared" si="15"/>
        <v>28833933</v>
      </c>
      <c r="R181" s="17"/>
      <c r="S181" s="25">
        <f t="shared" si="16"/>
        <v>1135194.2125984253</v>
      </c>
      <c r="T181" s="17"/>
      <c r="U181" s="30">
        <f t="shared" si="17"/>
        <v>1.6642446094896897</v>
      </c>
      <c r="V181" s="17"/>
      <c r="W181" s="16">
        <f t="shared" si="14"/>
        <v>0.02362204054877565</v>
      </c>
      <c r="X181" s="17"/>
      <c r="Y181" s="30">
        <f t="shared" si="18"/>
        <v>0.005866718420583114</v>
      </c>
      <c r="Z181" s="30">
        <v>355</v>
      </c>
    </row>
    <row r="182" spans="1:26" ht="15">
      <c r="A182" s="30">
        <v>356</v>
      </c>
      <c r="B182" s="17" t="s">
        <v>321</v>
      </c>
      <c r="C182" s="17"/>
      <c r="D182" s="25">
        <v>115897447</v>
      </c>
      <c r="E182" s="25"/>
      <c r="F182" s="26" t="s">
        <v>322</v>
      </c>
      <c r="G182" s="27">
        <v>45</v>
      </c>
      <c r="H182" s="28">
        <v>-45</v>
      </c>
      <c r="I182" s="25">
        <f t="shared" si="10"/>
        <v>-52153851</v>
      </c>
      <c r="J182" s="25">
        <v>69126108</v>
      </c>
      <c r="K182" s="25"/>
      <c r="L182" s="25">
        <f t="shared" si="11"/>
        <v>98925190</v>
      </c>
      <c r="M182" s="27">
        <v>26.3</v>
      </c>
      <c r="N182" s="25">
        <f t="shared" si="12"/>
        <v>3761414</v>
      </c>
      <c r="O182" s="30">
        <f t="shared" si="13"/>
        <v>3.2454675209541066</v>
      </c>
      <c r="P182" s="17"/>
      <c r="Q182" s="25">
        <f t="shared" si="15"/>
        <v>46771339</v>
      </c>
      <c r="R182" s="17"/>
      <c r="S182" s="25">
        <f t="shared" si="16"/>
        <v>1778377.9087452472</v>
      </c>
      <c r="T182" s="17"/>
      <c r="U182" s="30">
        <f t="shared" si="17"/>
        <v>1.5344409689587442</v>
      </c>
      <c r="V182" s="17"/>
      <c r="W182" s="16">
        <f t="shared" si="14"/>
        <v>0.017110265519953625</v>
      </c>
      <c r="X182" s="17"/>
      <c r="Y182" s="30">
        <f t="shared" si="18"/>
        <v>0.005272049530455177</v>
      </c>
      <c r="Z182" s="30">
        <v>356</v>
      </c>
    </row>
    <row r="183" spans="1:26" ht="15">
      <c r="A183" s="30">
        <v>357</v>
      </c>
      <c r="B183" s="17" t="s">
        <v>323</v>
      </c>
      <c r="C183" s="17"/>
      <c r="D183" s="25">
        <v>432475</v>
      </c>
      <c r="E183" s="25"/>
      <c r="F183" s="26" t="s">
        <v>322</v>
      </c>
      <c r="G183" s="27">
        <v>55</v>
      </c>
      <c r="H183" s="28">
        <v>-10</v>
      </c>
      <c r="I183" s="25">
        <f t="shared" si="10"/>
        <v>-43248</v>
      </c>
      <c r="J183" s="25">
        <v>69719</v>
      </c>
      <c r="K183" s="25"/>
      <c r="L183" s="25">
        <f t="shared" si="11"/>
        <v>406004</v>
      </c>
      <c r="M183" s="27">
        <v>46.8</v>
      </c>
      <c r="N183" s="25">
        <f t="shared" si="12"/>
        <v>8675</v>
      </c>
      <c r="O183" s="30">
        <f t="shared" si="13"/>
        <v>2.005896294583502</v>
      </c>
      <c r="P183" s="17"/>
      <c r="Q183" s="25">
        <f t="shared" si="15"/>
        <v>362756</v>
      </c>
      <c r="R183" s="17"/>
      <c r="S183" s="25">
        <f t="shared" si="16"/>
        <v>7751.196581196582</v>
      </c>
      <c r="T183" s="17"/>
      <c r="U183" s="30">
        <f t="shared" si="17"/>
        <v>1.7922877810732603</v>
      </c>
      <c r="V183" s="17"/>
      <c r="W183" s="16">
        <f t="shared" si="14"/>
        <v>0.002136085135102417</v>
      </c>
      <c r="X183" s="17"/>
      <c r="Y183" s="30">
        <f t="shared" si="18"/>
        <v>0.0010649030764304528</v>
      </c>
      <c r="Z183" s="30">
        <v>357</v>
      </c>
    </row>
    <row r="184" spans="1:26" ht="15">
      <c r="A184" s="30">
        <v>358</v>
      </c>
      <c r="B184" s="17" t="s">
        <v>324</v>
      </c>
      <c r="C184" s="17"/>
      <c r="D184" s="40">
        <v>1114762</v>
      </c>
      <c r="E184" s="25"/>
      <c r="F184" s="26" t="s">
        <v>320</v>
      </c>
      <c r="G184" s="27">
        <v>30</v>
      </c>
      <c r="H184" s="28">
        <v>-5</v>
      </c>
      <c r="I184" s="40">
        <f t="shared" si="10"/>
        <v>-55738</v>
      </c>
      <c r="J184" s="40">
        <v>449037</v>
      </c>
      <c r="K184" s="25"/>
      <c r="L184" s="40">
        <f t="shared" si="11"/>
        <v>721463</v>
      </c>
      <c r="M184" s="27">
        <v>18.4</v>
      </c>
      <c r="N184" s="40">
        <f t="shared" si="12"/>
        <v>39210</v>
      </c>
      <c r="O184" s="30">
        <f t="shared" si="13"/>
        <v>3.5173427153060475</v>
      </c>
      <c r="P184" s="17"/>
      <c r="Q184" s="32">
        <f t="shared" si="15"/>
        <v>665725</v>
      </c>
      <c r="R184" s="17"/>
      <c r="S184" s="32">
        <f t="shared" si="16"/>
        <v>36180.706521739135</v>
      </c>
      <c r="T184" s="17"/>
      <c r="U184" s="34">
        <f t="shared" si="17"/>
        <v>3.245599197114643</v>
      </c>
      <c r="V184" s="17"/>
      <c r="W184" s="36">
        <f>(O184-U184)/100</f>
        <v>0.002717435181914043</v>
      </c>
      <c r="X184" s="17"/>
      <c r="Y184" s="34">
        <f t="shared" si="18"/>
        <v>0.0007725818613264123</v>
      </c>
      <c r="Z184" s="30">
        <v>358</v>
      </c>
    </row>
    <row r="185" spans="1:26" ht="15">
      <c r="A185" s="17"/>
      <c r="B185" s="22" t="s">
        <v>325</v>
      </c>
      <c r="C185" s="17"/>
      <c r="D185" s="25">
        <f>SUM(D176:D184)</f>
        <v>421555844</v>
      </c>
      <c r="E185" s="25"/>
      <c r="F185" s="17"/>
      <c r="G185" s="27">
        <f>1*R185</f>
        <v>0</v>
      </c>
      <c r="H185" s="17"/>
      <c r="I185" s="25">
        <f>SUM(I176:I184)</f>
        <v>-144059481</v>
      </c>
      <c r="J185" s="25">
        <f>SUM(J176:J184)</f>
        <v>213485809</v>
      </c>
      <c r="K185" s="17"/>
      <c r="L185" s="25">
        <f>SUM(L176:L184)</f>
        <v>352129516</v>
      </c>
      <c r="M185" s="17"/>
      <c r="N185" s="25">
        <f>SUM(N176:N184)</f>
        <v>12435521</v>
      </c>
      <c r="O185" s="30">
        <f t="shared" si="13"/>
        <v>2.9499107121855013</v>
      </c>
      <c r="P185" s="17"/>
      <c r="Q185" s="78">
        <f>SUM(Q176:Q184)</f>
        <v>208070035</v>
      </c>
      <c r="R185" s="79"/>
      <c r="S185" s="78">
        <f>SUM(S176:S184)</f>
        <v>7249323.344298604</v>
      </c>
      <c r="T185" s="17"/>
      <c r="U185" s="30">
        <f>S185/D185*100</f>
        <v>1.7196590789756918</v>
      </c>
      <c r="V185" s="17"/>
      <c r="W185" s="16">
        <f>O185-U185</f>
        <v>1.2302516332098095</v>
      </c>
      <c r="X185" s="17"/>
      <c r="Y185" s="30">
        <f>W185/O185</f>
        <v>0.4170470747225948</v>
      </c>
      <c r="Z185" s="17"/>
    </row>
    <row r="186" spans="1:26" ht="15">
      <c r="A186" s="17"/>
      <c r="B186" s="22"/>
      <c r="C186" s="17"/>
      <c r="D186" s="25"/>
      <c r="E186" s="25"/>
      <c r="F186" s="17"/>
      <c r="G186" s="27"/>
      <c r="H186" s="17"/>
      <c r="I186" s="25"/>
      <c r="J186" s="25"/>
      <c r="K186" s="17"/>
      <c r="L186" s="25"/>
      <c r="M186" s="17"/>
      <c r="N186" s="25"/>
      <c r="O186" s="30"/>
      <c r="P186" s="17"/>
      <c r="Q186"/>
      <c r="R186"/>
      <c r="S186"/>
      <c r="T186" s="17"/>
      <c r="U186" s="17"/>
      <c r="W186" s="21"/>
      <c r="Z186" s="17"/>
    </row>
    <row r="187" spans="1:26" ht="15">
      <c r="A187" s="17"/>
      <c r="B187" s="22" t="s">
        <v>326</v>
      </c>
      <c r="C187" s="17"/>
      <c r="D187" s="25"/>
      <c r="E187" s="25"/>
      <c r="F187" s="17"/>
      <c r="G187" s="27"/>
      <c r="H187" s="17"/>
      <c r="I187" s="25"/>
      <c r="J187" s="25"/>
      <c r="K187" s="17"/>
      <c r="L187" s="25"/>
      <c r="M187" s="17"/>
      <c r="N187" s="25"/>
      <c r="O187" s="30"/>
      <c r="P187" s="17"/>
      <c r="Q187"/>
      <c r="R187"/>
      <c r="S187"/>
      <c r="T187" s="17"/>
      <c r="U187" s="17"/>
      <c r="W187" s="21"/>
      <c r="Z187" s="17"/>
    </row>
    <row r="188" spans="1:26" ht="15">
      <c r="A188" s="30">
        <v>360.1</v>
      </c>
      <c r="B188" s="17" t="s">
        <v>456</v>
      </c>
      <c r="C188" s="17"/>
      <c r="D188" s="25">
        <v>1416333</v>
      </c>
      <c r="E188" s="25"/>
      <c r="F188" s="26" t="s">
        <v>313</v>
      </c>
      <c r="G188" s="27">
        <v>75</v>
      </c>
      <c r="H188" s="28">
        <v>0</v>
      </c>
      <c r="I188" s="25">
        <f aca="true" t="shared" si="19" ref="I188:I199">ROUND(H188/100*D188,0)</f>
        <v>0</v>
      </c>
      <c r="J188" s="25">
        <v>653369</v>
      </c>
      <c r="K188" s="25"/>
      <c r="L188" s="25">
        <f aca="true" t="shared" si="20" ref="L188:L199">D188-I188-J188</f>
        <v>762964</v>
      </c>
      <c r="M188" s="27">
        <v>47.1</v>
      </c>
      <c r="N188" s="25">
        <f aca="true" t="shared" si="21" ref="N188:N199">ROUND(+L188/M188,0)</f>
        <v>16199</v>
      </c>
      <c r="O188" s="30">
        <f aca="true" t="shared" si="22" ref="O188:O200">N188/D188*100</f>
        <v>1.143728205160792</v>
      </c>
      <c r="P188" s="17"/>
      <c r="Q188" s="25">
        <f>L188+I188</f>
        <v>762964</v>
      </c>
      <c r="R188" s="17"/>
      <c r="S188" s="25">
        <f>Q188/M188</f>
        <v>16198.811040339702</v>
      </c>
      <c r="T188" s="17"/>
      <c r="U188" s="30">
        <f>S188/D188*100</f>
        <v>1.143714863689521</v>
      </c>
      <c r="V188" s="17"/>
      <c r="W188" s="16">
        <f>(O188-U188)/100</f>
        <v>1.3341471271077766E-07</v>
      </c>
      <c r="X188" s="17"/>
      <c r="Y188" s="30">
        <f>W188/O188</f>
        <v>1.1664896616938938E-07</v>
      </c>
      <c r="Z188" s="30">
        <v>360.1</v>
      </c>
    </row>
    <row r="189" spans="1:26" ht="15">
      <c r="A189" s="30">
        <v>361</v>
      </c>
      <c r="B189" s="17" t="s">
        <v>457</v>
      </c>
      <c r="C189" s="17"/>
      <c r="D189" s="25">
        <v>3122643</v>
      </c>
      <c r="E189" s="25"/>
      <c r="F189" s="26" t="s">
        <v>340</v>
      </c>
      <c r="G189" s="27">
        <v>53</v>
      </c>
      <c r="H189" s="28">
        <v>-10</v>
      </c>
      <c r="I189" s="25">
        <f t="shared" si="19"/>
        <v>-312264</v>
      </c>
      <c r="J189" s="25">
        <v>1179098</v>
      </c>
      <c r="K189" s="25"/>
      <c r="L189" s="25">
        <f t="shared" si="20"/>
        <v>2255809</v>
      </c>
      <c r="M189" s="27">
        <v>38.3</v>
      </c>
      <c r="N189" s="25">
        <f t="shared" si="21"/>
        <v>58898</v>
      </c>
      <c r="O189" s="30">
        <f t="shared" si="22"/>
        <v>1.8861586162747392</v>
      </c>
      <c r="P189" s="17"/>
      <c r="Q189" s="25">
        <f aca="true" t="shared" si="23" ref="Q189:Q199">L189+I189</f>
        <v>1943545</v>
      </c>
      <c r="R189" s="17"/>
      <c r="S189" s="25">
        <f aca="true" t="shared" si="24" ref="S189:S199">Q189/M189</f>
        <v>50745.30026109661</v>
      </c>
      <c r="T189" s="17"/>
      <c r="U189" s="30">
        <f aca="true" t="shared" si="25" ref="U189:U199">S189/D189*100</f>
        <v>1.6250753051532503</v>
      </c>
      <c r="V189" s="17"/>
      <c r="W189" s="16">
        <f aca="true" t="shared" si="26" ref="W189:W198">(O189-U189)/100</f>
        <v>0.0026108331112148896</v>
      </c>
      <c r="X189" s="17"/>
      <c r="Y189" s="30">
        <f aca="true" t="shared" si="27" ref="Y189:Y199">W189/O189</f>
        <v>0.001384206550121124</v>
      </c>
      <c r="Z189" s="30">
        <v>361</v>
      </c>
    </row>
    <row r="190" spans="1:26" ht="15">
      <c r="A190" s="30">
        <v>362</v>
      </c>
      <c r="B190" s="17" t="s">
        <v>459</v>
      </c>
      <c r="C190" s="17"/>
      <c r="D190" s="25">
        <v>81088044</v>
      </c>
      <c r="E190" s="25"/>
      <c r="F190" s="26" t="s">
        <v>460</v>
      </c>
      <c r="G190" s="27">
        <v>45</v>
      </c>
      <c r="H190" s="28">
        <v>-10</v>
      </c>
      <c r="I190" s="25">
        <f t="shared" si="19"/>
        <v>-8108804</v>
      </c>
      <c r="J190" s="25">
        <v>28317713</v>
      </c>
      <c r="K190" s="25"/>
      <c r="L190" s="25">
        <f t="shared" si="20"/>
        <v>60879135</v>
      </c>
      <c r="M190" s="27">
        <v>33.5</v>
      </c>
      <c r="N190" s="25">
        <f t="shared" si="21"/>
        <v>1817288</v>
      </c>
      <c r="O190" s="30">
        <f t="shared" si="22"/>
        <v>2.2411294074376737</v>
      </c>
      <c r="P190" s="17"/>
      <c r="Q190" s="25">
        <f t="shared" si="23"/>
        <v>52770331</v>
      </c>
      <c r="R190" s="17"/>
      <c r="S190" s="25">
        <f t="shared" si="24"/>
        <v>1575233.7611940298</v>
      </c>
      <c r="T190" s="17"/>
      <c r="U190" s="30">
        <f t="shared" si="25"/>
        <v>1.9426214809103421</v>
      </c>
      <c r="V190" s="17"/>
      <c r="W190" s="16">
        <f t="shared" si="26"/>
        <v>0.002985079265273316</v>
      </c>
      <c r="X190" s="17"/>
      <c r="Y190" s="30">
        <f t="shared" si="27"/>
        <v>0.0013319531015775722</v>
      </c>
      <c r="Z190" s="30">
        <v>362</v>
      </c>
    </row>
    <row r="191" spans="1:26" ht="15">
      <c r="A191" s="30">
        <v>364</v>
      </c>
      <c r="B191" s="17" t="s">
        <v>332</v>
      </c>
      <c r="C191" s="17"/>
      <c r="D191" s="25">
        <v>148608993</v>
      </c>
      <c r="E191" s="25"/>
      <c r="F191" s="26" t="s">
        <v>461</v>
      </c>
      <c r="G191" s="27">
        <v>38</v>
      </c>
      <c r="H191" s="28">
        <v>-45</v>
      </c>
      <c r="I191" s="25">
        <f t="shared" si="19"/>
        <v>-66874047</v>
      </c>
      <c r="J191" s="25">
        <v>65143879</v>
      </c>
      <c r="K191" s="25"/>
      <c r="L191" s="25">
        <f t="shared" si="20"/>
        <v>150339161</v>
      </c>
      <c r="M191" s="27">
        <v>28.7</v>
      </c>
      <c r="N191" s="25">
        <f t="shared" si="21"/>
        <v>5238298</v>
      </c>
      <c r="O191" s="30">
        <f t="shared" si="22"/>
        <v>3.5248862765660487</v>
      </c>
      <c r="P191" s="17"/>
      <c r="Q191" s="25">
        <f t="shared" si="23"/>
        <v>83465114</v>
      </c>
      <c r="R191" s="17"/>
      <c r="S191" s="25">
        <f t="shared" si="24"/>
        <v>2908192.12543554</v>
      </c>
      <c r="T191" s="17"/>
      <c r="U191" s="30">
        <f t="shared" si="25"/>
        <v>1.956942219126362</v>
      </c>
      <c r="V191" s="17"/>
      <c r="W191" s="16">
        <f t="shared" si="26"/>
        <v>0.015679440574396866</v>
      </c>
      <c r="X191" s="17"/>
      <c r="Y191" s="30">
        <f t="shared" si="27"/>
        <v>0.004448211756117082</v>
      </c>
      <c r="Z191" s="30">
        <v>364</v>
      </c>
    </row>
    <row r="192" spans="1:26" ht="15">
      <c r="A192" s="30">
        <v>365</v>
      </c>
      <c r="B192" s="17" t="s">
        <v>321</v>
      </c>
      <c r="C192" s="17"/>
      <c r="D192" s="25">
        <v>140791529</v>
      </c>
      <c r="E192" s="25"/>
      <c r="F192" s="26" t="s">
        <v>460</v>
      </c>
      <c r="G192" s="27">
        <v>44</v>
      </c>
      <c r="H192" s="28">
        <v>-45</v>
      </c>
      <c r="I192" s="25">
        <f t="shared" si="19"/>
        <v>-63356188</v>
      </c>
      <c r="J192" s="25">
        <v>65641365</v>
      </c>
      <c r="K192" s="25"/>
      <c r="L192" s="25">
        <f t="shared" si="20"/>
        <v>138506352</v>
      </c>
      <c r="M192" s="27">
        <v>32.6</v>
      </c>
      <c r="N192" s="25">
        <f t="shared" si="21"/>
        <v>4248661</v>
      </c>
      <c r="O192" s="30">
        <f t="shared" si="22"/>
        <v>3.0176964695084743</v>
      </c>
      <c r="P192" s="17"/>
      <c r="Q192" s="25">
        <f t="shared" si="23"/>
        <v>75150164</v>
      </c>
      <c r="R192" s="17"/>
      <c r="S192" s="25">
        <f t="shared" si="24"/>
        <v>2305219.754601227</v>
      </c>
      <c r="T192" s="17"/>
      <c r="U192" s="30">
        <f t="shared" si="25"/>
        <v>1.6373284465155762</v>
      </c>
      <c r="V192" s="17"/>
      <c r="W192" s="16">
        <f t="shared" si="26"/>
        <v>0.01380368022992898</v>
      </c>
      <c r="X192" s="17"/>
      <c r="Y192" s="30">
        <f t="shared" si="27"/>
        <v>0.004574244086310423</v>
      </c>
      <c r="Z192" s="30">
        <v>365</v>
      </c>
    </row>
    <row r="193" spans="1:26" ht="15">
      <c r="A193" s="30">
        <v>366</v>
      </c>
      <c r="B193" s="17" t="s">
        <v>323</v>
      </c>
      <c r="C193" s="17"/>
      <c r="D193" s="25">
        <v>1545108</v>
      </c>
      <c r="E193" s="25"/>
      <c r="F193" s="26" t="s">
        <v>322</v>
      </c>
      <c r="G193" s="27">
        <v>55</v>
      </c>
      <c r="H193" s="28">
        <v>-10</v>
      </c>
      <c r="I193" s="25">
        <f t="shared" si="19"/>
        <v>-154511</v>
      </c>
      <c r="J193" s="25">
        <v>723065</v>
      </c>
      <c r="K193" s="25"/>
      <c r="L193" s="25">
        <f t="shared" si="20"/>
        <v>976554</v>
      </c>
      <c r="M193" s="27">
        <v>36.1</v>
      </c>
      <c r="N193" s="25">
        <f t="shared" si="21"/>
        <v>27051</v>
      </c>
      <c r="O193" s="30">
        <f t="shared" si="22"/>
        <v>1.7507514037853662</v>
      </c>
      <c r="P193" s="17"/>
      <c r="Q193" s="25">
        <f t="shared" si="23"/>
        <v>822043</v>
      </c>
      <c r="R193" s="17"/>
      <c r="S193" s="25">
        <f t="shared" si="24"/>
        <v>22771.274238227146</v>
      </c>
      <c r="T193" s="17"/>
      <c r="U193" s="30">
        <f t="shared" si="25"/>
        <v>1.4737658622068586</v>
      </c>
      <c r="V193" s="17"/>
      <c r="W193" s="16">
        <f t="shared" si="26"/>
        <v>0.0027698554157850764</v>
      </c>
      <c r="X193" s="17"/>
      <c r="Y193" s="30">
        <f t="shared" si="27"/>
        <v>0.0015820952134016667</v>
      </c>
      <c r="Z193" s="30">
        <v>366</v>
      </c>
    </row>
    <row r="194" spans="1:26" ht="15">
      <c r="A194" s="30">
        <v>367</v>
      </c>
      <c r="B194" s="17" t="s">
        <v>324</v>
      </c>
      <c r="C194" s="17"/>
      <c r="D194" s="25">
        <v>31999710</v>
      </c>
      <c r="E194" s="25"/>
      <c r="F194" s="26" t="s">
        <v>331</v>
      </c>
      <c r="G194" s="27">
        <v>32</v>
      </c>
      <c r="H194" s="28">
        <v>-10</v>
      </c>
      <c r="I194" s="25">
        <f t="shared" si="19"/>
        <v>-3199971</v>
      </c>
      <c r="J194" s="25">
        <v>6323554</v>
      </c>
      <c r="K194" s="25"/>
      <c r="L194" s="25">
        <f t="shared" si="20"/>
        <v>28876127</v>
      </c>
      <c r="M194" s="27">
        <v>27.4</v>
      </c>
      <c r="N194" s="25">
        <f t="shared" si="21"/>
        <v>1053873</v>
      </c>
      <c r="O194" s="30">
        <f t="shared" si="22"/>
        <v>3.2933829712831773</v>
      </c>
      <c r="P194" s="17"/>
      <c r="Q194" s="25">
        <f t="shared" si="23"/>
        <v>25676156</v>
      </c>
      <c r="R194" s="17"/>
      <c r="S194" s="25">
        <f t="shared" si="24"/>
        <v>937085.9854014599</v>
      </c>
      <c r="T194" s="17"/>
      <c r="U194" s="30">
        <f t="shared" si="25"/>
        <v>2.928420243188016</v>
      </c>
      <c r="V194" s="17"/>
      <c r="W194" s="16">
        <f t="shared" si="26"/>
        <v>0.003649627280951613</v>
      </c>
      <c r="X194" s="17"/>
      <c r="Y194" s="30">
        <f t="shared" si="27"/>
        <v>0.001108169718728349</v>
      </c>
      <c r="Z194" s="30">
        <v>367</v>
      </c>
    </row>
    <row r="195" spans="1:26" ht="15">
      <c r="A195" s="30">
        <v>368</v>
      </c>
      <c r="B195" s="17" t="s">
        <v>335</v>
      </c>
      <c r="C195" s="17"/>
      <c r="D195" s="25">
        <v>185510785</v>
      </c>
      <c r="E195" s="25"/>
      <c r="F195" s="26" t="s">
        <v>350</v>
      </c>
      <c r="G195" s="27">
        <v>42</v>
      </c>
      <c r="H195" s="28">
        <v>-10</v>
      </c>
      <c r="I195" s="25">
        <f t="shared" si="19"/>
        <v>-18551079</v>
      </c>
      <c r="J195" s="25">
        <v>63859611</v>
      </c>
      <c r="K195" s="25"/>
      <c r="L195" s="25">
        <f t="shared" si="20"/>
        <v>140202253</v>
      </c>
      <c r="M195" s="27">
        <v>31.4</v>
      </c>
      <c r="N195" s="25">
        <f t="shared" si="21"/>
        <v>4465040</v>
      </c>
      <c r="O195" s="30">
        <f t="shared" si="22"/>
        <v>2.4068897126385402</v>
      </c>
      <c r="P195" s="17"/>
      <c r="Q195" s="25">
        <f t="shared" si="23"/>
        <v>121651174</v>
      </c>
      <c r="R195" s="17"/>
      <c r="S195" s="25">
        <f t="shared" si="24"/>
        <v>3874241.210191083</v>
      </c>
      <c r="T195" s="17"/>
      <c r="U195" s="30">
        <f t="shared" si="25"/>
        <v>2.0884183149734845</v>
      </c>
      <c r="V195" s="17"/>
      <c r="W195" s="16">
        <f t="shared" si="26"/>
        <v>0.0031847139766505573</v>
      </c>
      <c r="X195" s="17"/>
      <c r="Y195" s="30">
        <f t="shared" si="27"/>
        <v>0.0013231657270907238</v>
      </c>
      <c r="Z195" s="30">
        <v>368</v>
      </c>
    </row>
    <row r="196" spans="1:26" ht="15">
      <c r="A196" s="30">
        <v>369</v>
      </c>
      <c r="B196" s="17" t="s">
        <v>462</v>
      </c>
      <c r="C196" s="17"/>
      <c r="D196" s="25">
        <v>72773393</v>
      </c>
      <c r="E196" s="25"/>
      <c r="F196" s="26" t="s">
        <v>331</v>
      </c>
      <c r="G196" s="27">
        <v>36</v>
      </c>
      <c r="H196" s="28">
        <v>-45</v>
      </c>
      <c r="I196" s="25">
        <f t="shared" si="19"/>
        <v>-32748027</v>
      </c>
      <c r="J196" s="25">
        <v>28827439</v>
      </c>
      <c r="K196" s="25"/>
      <c r="L196" s="25">
        <f t="shared" si="20"/>
        <v>76693981</v>
      </c>
      <c r="M196" s="27">
        <v>28.1</v>
      </c>
      <c r="N196" s="25">
        <f t="shared" si="21"/>
        <v>2729323</v>
      </c>
      <c r="O196" s="30">
        <f t="shared" si="22"/>
        <v>3.750440768922235</v>
      </c>
      <c r="P196" s="17"/>
      <c r="Q196" s="25">
        <f t="shared" si="23"/>
        <v>43945954</v>
      </c>
      <c r="R196" s="17"/>
      <c r="S196" s="25">
        <f t="shared" si="24"/>
        <v>1563912.9537366547</v>
      </c>
      <c r="T196" s="17"/>
      <c r="U196" s="30">
        <f t="shared" si="25"/>
        <v>2.1490175038789996</v>
      </c>
      <c r="V196" s="17"/>
      <c r="W196" s="16">
        <f t="shared" si="26"/>
        <v>0.016014232650432354</v>
      </c>
      <c r="X196" s="17"/>
      <c r="Y196" s="30">
        <f t="shared" si="27"/>
        <v>0.004269960155919052</v>
      </c>
      <c r="Z196" s="30">
        <v>369</v>
      </c>
    </row>
    <row r="197" spans="1:26" ht="15">
      <c r="A197" s="30">
        <v>370</v>
      </c>
      <c r="B197" s="17" t="s">
        <v>339</v>
      </c>
      <c r="C197" s="17"/>
      <c r="D197" s="25">
        <v>56069039</v>
      </c>
      <c r="E197" s="25"/>
      <c r="F197" s="26" t="s">
        <v>331</v>
      </c>
      <c r="G197" s="27">
        <v>35</v>
      </c>
      <c r="H197" s="28">
        <v>-10</v>
      </c>
      <c r="I197" s="25">
        <f t="shared" si="19"/>
        <v>-5606904</v>
      </c>
      <c r="J197" s="25">
        <v>24100086</v>
      </c>
      <c r="K197" s="25"/>
      <c r="L197" s="25">
        <f t="shared" si="20"/>
        <v>37575857</v>
      </c>
      <c r="M197" s="27">
        <v>24</v>
      </c>
      <c r="N197" s="25">
        <f t="shared" si="21"/>
        <v>1565661</v>
      </c>
      <c r="O197" s="30">
        <f t="shared" si="22"/>
        <v>2.7923806577102206</v>
      </c>
      <c r="P197" s="17"/>
      <c r="Q197" s="25">
        <f t="shared" si="23"/>
        <v>31968953</v>
      </c>
      <c r="R197" s="17"/>
      <c r="S197" s="25">
        <f t="shared" si="24"/>
        <v>1332039.7083333333</v>
      </c>
      <c r="T197" s="17"/>
      <c r="U197" s="30">
        <f t="shared" si="25"/>
        <v>2.375713463420219</v>
      </c>
      <c r="V197" s="17"/>
      <c r="W197" s="16">
        <f t="shared" si="26"/>
        <v>0.004166671942900018</v>
      </c>
      <c r="X197" s="17"/>
      <c r="Y197" s="30">
        <f t="shared" si="27"/>
        <v>0.0014921575722117806</v>
      </c>
      <c r="Z197" s="30">
        <v>370</v>
      </c>
    </row>
    <row r="198" spans="1:26" ht="15">
      <c r="A198" s="30">
        <v>371</v>
      </c>
      <c r="B198" s="17" t="s">
        <v>463</v>
      </c>
      <c r="C198" s="17"/>
      <c r="D198" s="25">
        <v>17944245</v>
      </c>
      <c r="E198" s="25"/>
      <c r="F198" s="26" t="s">
        <v>464</v>
      </c>
      <c r="G198" s="27">
        <v>15</v>
      </c>
      <c r="H198" s="28">
        <v>0</v>
      </c>
      <c r="I198" s="25">
        <f t="shared" si="19"/>
        <v>0</v>
      </c>
      <c r="J198" s="25">
        <v>4673887</v>
      </c>
      <c r="K198" s="25"/>
      <c r="L198" s="25">
        <f t="shared" si="20"/>
        <v>13270358</v>
      </c>
      <c r="M198" s="27">
        <v>11.8</v>
      </c>
      <c r="N198" s="25">
        <f t="shared" si="21"/>
        <v>1124607</v>
      </c>
      <c r="O198" s="30">
        <f t="shared" si="22"/>
        <v>6.2672294097634085</v>
      </c>
      <c r="P198" s="17"/>
      <c r="Q198" s="25">
        <f t="shared" si="23"/>
        <v>13270358</v>
      </c>
      <c r="R198" s="17"/>
      <c r="S198" s="25">
        <f t="shared" si="24"/>
        <v>1124606.6101694915</v>
      </c>
      <c r="T198" s="17"/>
      <c r="U198" s="30">
        <f t="shared" si="25"/>
        <v>6.267227237309185</v>
      </c>
      <c r="V198" s="17"/>
      <c r="W198" s="16">
        <f t="shared" si="26"/>
        <v>2.1724542236256637E-08</v>
      </c>
      <c r="X198" s="17"/>
      <c r="Y198" s="30">
        <f t="shared" si="27"/>
        <v>3.4663709936025386E-09</v>
      </c>
      <c r="Z198" s="30">
        <v>371</v>
      </c>
    </row>
    <row r="199" spans="1:26" ht="15">
      <c r="A199" s="30">
        <v>373</v>
      </c>
      <c r="B199" s="17" t="s">
        <v>465</v>
      </c>
      <c r="C199" s="17"/>
      <c r="D199" s="40">
        <v>36888092</v>
      </c>
      <c r="E199" s="25"/>
      <c r="F199" s="26" t="s">
        <v>331</v>
      </c>
      <c r="G199" s="27">
        <v>26</v>
      </c>
      <c r="H199" s="28">
        <v>-10</v>
      </c>
      <c r="I199" s="40">
        <f t="shared" si="19"/>
        <v>-3688809</v>
      </c>
      <c r="J199" s="40">
        <v>13435454</v>
      </c>
      <c r="K199" s="25"/>
      <c r="L199" s="40">
        <f t="shared" si="20"/>
        <v>27141447</v>
      </c>
      <c r="M199" s="27">
        <v>19.1</v>
      </c>
      <c r="N199" s="40">
        <f t="shared" si="21"/>
        <v>1421018</v>
      </c>
      <c r="O199" s="30">
        <f t="shared" si="22"/>
        <v>3.852240446591816</v>
      </c>
      <c r="P199" s="17"/>
      <c r="Q199" s="32">
        <f t="shared" si="23"/>
        <v>23452638</v>
      </c>
      <c r="R199" s="17"/>
      <c r="S199" s="32">
        <f t="shared" si="24"/>
        <v>1227886.8062827224</v>
      </c>
      <c r="T199" s="17"/>
      <c r="U199" s="34">
        <f t="shared" si="25"/>
        <v>3.328680719736663</v>
      </c>
      <c r="V199" s="17"/>
      <c r="W199" s="36">
        <f>(O199-U199)/100</f>
        <v>0.005235597268551531</v>
      </c>
      <c r="X199" s="17"/>
      <c r="Y199" s="34">
        <f t="shared" si="27"/>
        <v>0.0013591044850753302</v>
      </c>
      <c r="Z199" s="30">
        <v>373</v>
      </c>
    </row>
    <row r="200" spans="1:26" ht="15">
      <c r="A200" s="17"/>
      <c r="B200" s="22" t="s">
        <v>346</v>
      </c>
      <c r="C200" s="17"/>
      <c r="D200" s="25">
        <f>SUM(D188:D199)</f>
        <v>777757914</v>
      </c>
      <c r="E200" s="25"/>
      <c r="F200" s="17"/>
      <c r="G200" s="27">
        <f>1*R200</f>
        <v>0</v>
      </c>
      <c r="H200" s="17"/>
      <c r="I200" s="25">
        <f>SUM(I188:I199)</f>
        <v>-202600604</v>
      </c>
      <c r="J200" s="25">
        <f>SUM(J188:J199)</f>
        <v>302878520</v>
      </c>
      <c r="K200" s="17"/>
      <c r="L200" s="25">
        <f>SUM(L188:L199)</f>
        <v>677479998</v>
      </c>
      <c r="M200" s="17"/>
      <c r="N200" s="25">
        <f>SUM(N188:N199)</f>
        <v>23765917</v>
      </c>
      <c r="O200" s="30">
        <f t="shared" si="22"/>
        <v>3.055695939855136</v>
      </c>
      <c r="P200" s="17"/>
      <c r="Q200" s="78">
        <f>SUM(Q188:Q199)</f>
        <v>474879394</v>
      </c>
      <c r="R200" s="79"/>
      <c r="S200" s="78">
        <f>SUM(S188:S199)</f>
        <v>16938134.300885204</v>
      </c>
      <c r="U200" s="30">
        <f>S200/D200*100</f>
        <v>2.1778157439469275</v>
      </c>
      <c r="V200" s="17"/>
      <c r="W200" s="16">
        <f>O200-U200</f>
        <v>0.8778801959082085</v>
      </c>
      <c r="X200" s="17"/>
      <c r="Y200" s="30">
        <f>W200/O200</f>
        <v>0.28729304655548515</v>
      </c>
      <c r="Z200" s="17"/>
    </row>
    <row r="201" spans="1:26" ht="15">
      <c r="A201" s="17"/>
      <c r="B201" s="22"/>
      <c r="C201" s="17"/>
      <c r="D201" s="25"/>
      <c r="E201" s="25"/>
      <c r="F201" s="17"/>
      <c r="G201" s="27"/>
      <c r="H201" s="17"/>
      <c r="I201" s="25"/>
      <c r="J201" s="25"/>
      <c r="K201" s="17"/>
      <c r="L201" s="25"/>
      <c r="M201" s="17"/>
      <c r="N201" s="25"/>
      <c r="O201" s="30"/>
      <c r="P201" s="17"/>
      <c r="Q201"/>
      <c r="R201"/>
      <c r="S201"/>
      <c r="T201" s="38"/>
      <c r="U201" s="38"/>
      <c r="W201" s="21"/>
      <c r="Z201" s="17"/>
    </row>
    <row r="202" spans="1:26" ht="15">
      <c r="A202" s="17"/>
      <c r="B202" s="22" t="s">
        <v>347</v>
      </c>
      <c r="C202" s="17"/>
      <c r="D202" s="25"/>
      <c r="E202" s="25"/>
      <c r="F202" s="17"/>
      <c r="G202" s="27"/>
      <c r="H202" s="17"/>
      <c r="I202" s="25"/>
      <c r="J202" s="25"/>
      <c r="K202" s="17"/>
      <c r="L202" s="25"/>
      <c r="M202" s="17"/>
      <c r="N202" s="25"/>
      <c r="O202" s="30"/>
      <c r="P202" s="17"/>
      <c r="Q202"/>
      <c r="R202"/>
      <c r="S202"/>
      <c r="W202" s="21"/>
      <c r="Z202" s="17"/>
    </row>
    <row r="203" spans="1:26" ht="15">
      <c r="A203" s="30">
        <v>390.1</v>
      </c>
      <c r="B203" s="17" t="s">
        <v>466</v>
      </c>
      <c r="C203" s="17"/>
      <c r="D203" s="25">
        <v>31138794</v>
      </c>
      <c r="E203" s="25"/>
      <c r="F203" s="26" t="s">
        <v>467</v>
      </c>
      <c r="G203" s="27">
        <v>50</v>
      </c>
      <c r="H203" s="28">
        <v>0</v>
      </c>
      <c r="I203" s="25">
        <f aca="true" t="shared" si="28" ref="I203:I210">ROUND(H203/100*D203,0)</f>
        <v>0</v>
      </c>
      <c r="J203" s="25">
        <v>10069805</v>
      </c>
      <c r="K203" s="25"/>
      <c r="L203" s="25">
        <f aca="true" t="shared" si="29" ref="L203:L210">D203-I203-J203</f>
        <v>21068989</v>
      </c>
      <c r="M203" s="27">
        <v>38.4</v>
      </c>
      <c r="N203" s="25">
        <f aca="true" t="shared" si="30" ref="N203:N210">ROUND(+L203/M203,0)</f>
        <v>548672</v>
      </c>
      <c r="O203" s="30">
        <f aca="true" t="shared" si="31" ref="O203:O211">N203/D203*100</f>
        <v>1.7620207128124485</v>
      </c>
      <c r="P203" s="17"/>
      <c r="Q203" s="25">
        <f>L203+I203</f>
        <v>21068989</v>
      </c>
      <c r="R203" s="17"/>
      <c r="S203" s="25">
        <f>Q203/M203</f>
        <v>548671.5885416667</v>
      </c>
      <c r="T203" s="17"/>
      <c r="U203" s="30">
        <f>S203/D203*100</f>
        <v>1.7620193914435696</v>
      </c>
      <c r="V203" s="17"/>
      <c r="W203" s="16">
        <f>(O203-U203)/100</f>
        <v>1.321368878981488E-08</v>
      </c>
      <c r="X203" s="17"/>
      <c r="Y203" s="30">
        <f>W203/O203</f>
        <v>7.499167684994949E-09</v>
      </c>
      <c r="Z203" s="30">
        <v>390.1</v>
      </c>
    </row>
    <row r="204" spans="1:26" ht="15">
      <c r="A204" s="30">
        <v>391.1</v>
      </c>
      <c r="B204" s="17" t="s">
        <v>468</v>
      </c>
      <c r="C204" s="17"/>
      <c r="D204" s="25">
        <v>2811209</v>
      </c>
      <c r="E204" s="25"/>
      <c r="F204" s="26" t="s">
        <v>464</v>
      </c>
      <c r="G204" s="27">
        <v>15</v>
      </c>
      <c r="H204" s="28">
        <v>0</v>
      </c>
      <c r="I204" s="25">
        <f t="shared" si="28"/>
        <v>0</v>
      </c>
      <c r="J204" s="25">
        <v>977765</v>
      </c>
      <c r="K204" s="25"/>
      <c r="L204" s="25">
        <f t="shared" si="29"/>
        <v>1833444</v>
      </c>
      <c r="M204" s="27">
        <v>11.2</v>
      </c>
      <c r="N204" s="25">
        <f t="shared" si="30"/>
        <v>163700</v>
      </c>
      <c r="O204" s="30">
        <f t="shared" si="31"/>
        <v>5.823117384726642</v>
      </c>
      <c r="P204" s="17"/>
      <c r="Q204" s="25">
        <f aca="true" t="shared" si="32" ref="Q204:Q210">L204+I204</f>
        <v>1833444</v>
      </c>
      <c r="R204" s="17"/>
      <c r="S204" s="25">
        <f aca="true" t="shared" si="33" ref="S204:S210">Q204/M204</f>
        <v>163700.35714285716</v>
      </c>
      <c r="T204" s="17"/>
      <c r="U204" s="30">
        <f aca="true" t="shared" si="34" ref="U204:U210">S204/D204*100</f>
        <v>5.8231300889708715</v>
      </c>
      <c r="V204" s="17"/>
      <c r="W204" s="16">
        <f aca="true" t="shared" si="35" ref="W204:W209">(O204-U204)/100</f>
        <v>-1.2704244229055916E-07</v>
      </c>
      <c r="X204" s="17"/>
      <c r="Y204" s="30">
        <f aca="true" t="shared" si="36" ref="Y204:Y210">W204/O204</f>
        <v>-2.181691247093467E-08</v>
      </c>
      <c r="Z204" s="30">
        <v>391.1</v>
      </c>
    </row>
    <row r="205" spans="1:26" ht="15">
      <c r="A205" s="30">
        <v>393</v>
      </c>
      <c r="B205" s="17" t="s">
        <v>469</v>
      </c>
      <c r="C205" s="17"/>
      <c r="D205" s="25">
        <v>631744</v>
      </c>
      <c r="E205" s="25"/>
      <c r="F205" s="26" t="s">
        <v>470</v>
      </c>
      <c r="G205" s="27">
        <v>24</v>
      </c>
      <c r="H205" s="28">
        <v>5</v>
      </c>
      <c r="I205" s="25">
        <f t="shared" si="28"/>
        <v>31587</v>
      </c>
      <c r="J205" s="25">
        <v>346442</v>
      </c>
      <c r="K205" s="25"/>
      <c r="L205" s="25">
        <f t="shared" si="29"/>
        <v>253715</v>
      </c>
      <c r="M205" s="27">
        <v>14</v>
      </c>
      <c r="N205" s="25">
        <f t="shared" si="30"/>
        <v>18123</v>
      </c>
      <c r="O205" s="30">
        <f t="shared" si="31"/>
        <v>2.8687253064532467</v>
      </c>
      <c r="P205" s="17"/>
      <c r="Q205" s="25">
        <f t="shared" si="32"/>
        <v>285302</v>
      </c>
      <c r="R205" s="17"/>
      <c r="S205" s="25">
        <f t="shared" si="33"/>
        <v>20378.714285714286</v>
      </c>
      <c r="T205" s="17"/>
      <c r="U205" s="30">
        <f t="shared" si="34"/>
        <v>3.2257867562991156</v>
      </c>
      <c r="V205" s="17"/>
      <c r="W205" s="16">
        <f t="shared" si="35"/>
        <v>-0.0035706144984586886</v>
      </c>
      <c r="X205" s="17"/>
      <c r="Y205" s="30">
        <f t="shared" si="36"/>
        <v>-0.0012446693625306439</v>
      </c>
      <c r="Z205" s="30">
        <v>393</v>
      </c>
    </row>
    <row r="206" spans="1:26" ht="15">
      <c r="A206" s="30">
        <v>394</v>
      </c>
      <c r="B206" s="17" t="s">
        <v>471</v>
      </c>
      <c r="C206" s="17"/>
      <c r="D206" s="25">
        <v>2835759</v>
      </c>
      <c r="E206" s="25"/>
      <c r="F206" s="26" t="s">
        <v>340</v>
      </c>
      <c r="G206" s="27">
        <v>30</v>
      </c>
      <c r="H206" s="28">
        <v>5</v>
      </c>
      <c r="I206" s="25">
        <f t="shared" si="28"/>
        <v>141788</v>
      </c>
      <c r="J206" s="25">
        <v>971102</v>
      </c>
      <c r="K206" s="25"/>
      <c r="L206" s="25">
        <f t="shared" si="29"/>
        <v>1722869</v>
      </c>
      <c r="M206" s="27">
        <v>22.2</v>
      </c>
      <c r="N206" s="25">
        <f t="shared" si="30"/>
        <v>77607</v>
      </c>
      <c r="O206" s="30">
        <f t="shared" si="31"/>
        <v>2.736727627418268</v>
      </c>
      <c r="P206" s="17"/>
      <c r="Q206" s="25">
        <f t="shared" si="32"/>
        <v>1864657</v>
      </c>
      <c r="R206" s="17"/>
      <c r="S206" s="25">
        <f t="shared" si="33"/>
        <v>83993.55855855856</v>
      </c>
      <c r="T206" s="17"/>
      <c r="U206" s="30">
        <f t="shared" si="34"/>
        <v>2.961942765889434</v>
      </c>
      <c r="V206" s="17"/>
      <c r="W206" s="16">
        <f t="shared" si="35"/>
        <v>-0.0022521513847116605</v>
      </c>
      <c r="X206" s="17"/>
      <c r="Y206" s="30">
        <f t="shared" si="36"/>
        <v>-0.0008229358896180181</v>
      </c>
      <c r="Z206" s="30">
        <v>394</v>
      </c>
    </row>
    <row r="207" spans="1:26" ht="15">
      <c r="A207" s="30">
        <v>395</v>
      </c>
      <c r="B207" s="17" t="s">
        <v>352</v>
      </c>
      <c r="C207" s="17"/>
      <c r="D207" s="25">
        <v>3150709</v>
      </c>
      <c r="E207" s="25"/>
      <c r="F207" s="26" t="s">
        <v>472</v>
      </c>
      <c r="G207" s="27">
        <v>27</v>
      </c>
      <c r="H207" s="28">
        <v>3</v>
      </c>
      <c r="I207" s="25">
        <f t="shared" si="28"/>
        <v>94521</v>
      </c>
      <c r="J207" s="25">
        <v>997880</v>
      </c>
      <c r="K207" s="25"/>
      <c r="L207" s="25">
        <f t="shared" si="29"/>
        <v>2058308</v>
      </c>
      <c r="M207" s="27">
        <v>20.7</v>
      </c>
      <c r="N207" s="25">
        <f t="shared" si="30"/>
        <v>99435</v>
      </c>
      <c r="O207" s="30">
        <f t="shared" si="31"/>
        <v>3.1559563260205876</v>
      </c>
      <c r="P207" s="17"/>
      <c r="Q207" s="25">
        <f t="shared" si="32"/>
        <v>2152829</v>
      </c>
      <c r="R207" s="17"/>
      <c r="S207" s="25">
        <f t="shared" si="33"/>
        <v>104001.40096618357</v>
      </c>
      <c r="T207" s="17"/>
      <c r="U207" s="30">
        <f t="shared" si="34"/>
        <v>3.30088881474562</v>
      </c>
      <c r="V207" s="17"/>
      <c r="W207" s="16">
        <f t="shared" si="35"/>
        <v>-0.0014493248872503228</v>
      </c>
      <c r="X207" s="17"/>
      <c r="Y207" s="30">
        <f t="shared" si="36"/>
        <v>-0.0004592347730862953</v>
      </c>
      <c r="Z207" s="30">
        <v>395</v>
      </c>
    </row>
    <row r="208" spans="1:26" ht="15">
      <c r="A208" s="30">
        <v>396</v>
      </c>
      <c r="B208" s="17" t="s">
        <v>473</v>
      </c>
      <c r="C208" s="17"/>
      <c r="D208" s="25">
        <v>203917</v>
      </c>
      <c r="E208" s="25"/>
      <c r="F208" s="26" t="s">
        <v>322</v>
      </c>
      <c r="G208" s="27">
        <v>16</v>
      </c>
      <c r="H208" s="28">
        <v>20</v>
      </c>
      <c r="I208" s="25">
        <f t="shared" si="28"/>
        <v>40783</v>
      </c>
      <c r="J208" s="25">
        <v>96429</v>
      </c>
      <c r="K208" s="25"/>
      <c r="L208" s="25">
        <f t="shared" si="29"/>
        <v>66705</v>
      </c>
      <c r="M208" s="27">
        <v>9.2</v>
      </c>
      <c r="N208" s="25">
        <f t="shared" si="30"/>
        <v>7251</v>
      </c>
      <c r="O208" s="30">
        <f t="shared" si="31"/>
        <v>3.555858511060873</v>
      </c>
      <c r="P208" s="17"/>
      <c r="Q208" s="25">
        <f t="shared" si="32"/>
        <v>107488</v>
      </c>
      <c r="R208" s="17"/>
      <c r="S208" s="25">
        <f t="shared" si="33"/>
        <v>11683.478260869566</v>
      </c>
      <c r="T208" s="17"/>
      <c r="U208" s="30">
        <f t="shared" si="34"/>
        <v>5.729526356738067</v>
      </c>
      <c r="V208" s="17"/>
      <c r="W208" s="16">
        <f t="shared" si="35"/>
        <v>-0.021736678456771946</v>
      </c>
      <c r="X208" s="17"/>
      <c r="Y208" s="30">
        <f t="shared" si="36"/>
        <v>-0.00611291995706739</v>
      </c>
      <c r="Z208" s="30">
        <v>396</v>
      </c>
    </row>
    <row r="209" spans="1:26" ht="15">
      <c r="A209" s="30">
        <v>397</v>
      </c>
      <c r="B209" s="17" t="s">
        <v>474</v>
      </c>
      <c r="C209" s="17"/>
      <c r="D209" s="25">
        <v>3998630</v>
      </c>
      <c r="E209" s="25"/>
      <c r="F209" s="26" t="s">
        <v>322</v>
      </c>
      <c r="G209" s="27">
        <v>18</v>
      </c>
      <c r="H209" s="28">
        <v>0</v>
      </c>
      <c r="I209" s="25">
        <f t="shared" si="28"/>
        <v>0</v>
      </c>
      <c r="J209" s="25">
        <v>2677579</v>
      </c>
      <c r="K209" s="25"/>
      <c r="L209" s="25">
        <f t="shared" si="29"/>
        <v>1321051</v>
      </c>
      <c r="M209" s="27">
        <v>9.3</v>
      </c>
      <c r="N209" s="25">
        <f t="shared" si="30"/>
        <v>142048</v>
      </c>
      <c r="O209" s="30">
        <f t="shared" si="31"/>
        <v>3.5524167027206817</v>
      </c>
      <c r="P209" s="17"/>
      <c r="Q209" s="25">
        <f t="shared" si="32"/>
        <v>1321051</v>
      </c>
      <c r="R209" s="17"/>
      <c r="S209" s="25">
        <f t="shared" si="33"/>
        <v>142048.4946236559</v>
      </c>
      <c r="T209" s="17"/>
      <c r="U209" s="30">
        <f t="shared" si="34"/>
        <v>3.5524290725487453</v>
      </c>
      <c r="V209" s="17"/>
      <c r="W209" s="16">
        <f t="shared" si="35"/>
        <v>-1.236982806362974E-07</v>
      </c>
      <c r="X209" s="17"/>
      <c r="Y209" s="30">
        <f t="shared" si="36"/>
        <v>-3.482088138521612E-08</v>
      </c>
      <c r="Z209" s="30">
        <v>397</v>
      </c>
    </row>
    <row r="210" spans="1:26" ht="15">
      <c r="A210" s="30">
        <v>398</v>
      </c>
      <c r="B210" s="17" t="s">
        <v>475</v>
      </c>
      <c r="C210" s="17"/>
      <c r="D210" s="40">
        <v>542572</v>
      </c>
      <c r="E210" s="25"/>
      <c r="F210" s="26" t="s">
        <v>350</v>
      </c>
      <c r="G210" s="27">
        <v>15</v>
      </c>
      <c r="H210" s="28">
        <v>0</v>
      </c>
      <c r="I210" s="40">
        <f t="shared" si="28"/>
        <v>0</v>
      </c>
      <c r="J210" s="40">
        <v>272191</v>
      </c>
      <c r="K210" s="25"/>
      <c r="L210" s="40">
        <f t="shared" si="29"/>
        <v>270381</v>
      </c>
      <c r="M210" s="27">
        <v>9.6</v>
      </c>
      <c r="N210" s="40">
        <f t="shared" si="30"/>
        <v>28165</v>
      </c>
      <c r="O210" s="30">
        <f t="shared" si="31"/>
        <v>5.1910161232057686</v>
      </c>
      <c r="P210" s="17"/>
      <c r="Q210" s="32">
        <f t="shared" si="32"/>
        <v>270381</v>
      </c>
      <c r="R210" s="17"/>
      <c r="S210" s="32">
        <f t="shared" si="33"/>
        <v>28164.6875</v>
      </c>
      <c r="T210" s="17"/>
      <c r="U210" s="34">
        <f t="shared" si="34"/>
        <v>5.1909585271632155</v>
      </c>
      <c r="V210" s="17"/>
      <c r="W210" s="36">
        <f>(O210-U210)/100</f>
        <v>5.759604255306528E-07</v>
      </c>
      <c r="X210" s="17"/>
      <c r="Y210" s="34">
        <f t="shared" si="36"/>
        <v>1.1095331084715687E-07</v>
      </c>
      <c r="Z210" s="30">
        <v>398</v>
      </c>
    </row>
    <row r="211" spans="1:26" ht="15">
      <c r="A211" s="17"/>
      <c r="B211" s="22" t="s">
        <v>354</v>
      </c>
      <c r="C211" s="17"/>
      <c r="D211" s="25">
        <f>SUM(D203:D210)</f>
        <v>45313334</v>
      </c>
      <c r="E211" s="25"/>
      <c r="F211" s="17"/>
      <c r="G211" s="27">
        <f>1*R211</f>
        <v>0</v>
      </c>
      <c r="H211" s="17"/>
      <c r="I211" s="25">
        <f>SUM(I203:I210)</f>
        <v>308679</v>
      </c>
      <c r="J211" s="25">
        <f>SUM(J203:J210)</f>
        <v>16409193</v>
      </c>
      <c r="K211" s="17"/>
      <c r="L211" s="25">
        <f>SUM(L203:L210)</f>
        <v>28595462</v>
      </c>
      <c r="M211" s="17"/>
      <c r="N211" s="25">
        <f>SUM(N203:N210)</f>
        <v>1085001</v>
      </c>
      <c r="O211" s="30">
        <f t="shared" si="31"/>
        <v>2.3944408945940725</v>
      </c>
      <c r="P211" s="17"/>
      <c r="Q211" s="78">
        <f>SUM(Q203:Q210)</f>
        <v>28904141</v>
      </c>
      <c r="R211"/>
      <c r="S211" s="78">
        <f>SUM(S203:S210)</f>
        <v>1102642.2798795057</v>
      </c>
      <c r="U211" s="78">
        <f>SUM(U203:U210)</f>
        <v>31.546681773798635</v>
      </c>
      <c r="W211" s="80">
        <f>SUM(W203:W210)</f>
        <v>-0.029008430793801224</v>
      </c>
      <c r="Y211" s="78">
        <f>SUM(Y203:Y210)</f>
        <v>-0.008639698167617671</v>
      </c>
      <c r="Z211" s="17"/>
    </row>
    <row r="212" spans="1:26" ht="15">
      <c r="A212" s="17"/>
      <c r="B212" s="22"/>
      <c r="C212" s="17"/>
      <c r="D212" s="25"/>
      <c r="E212" s="25"/>
      <c r="F212" s="17"/>
      <c r="G212" s="27"/>
      <c r="H212" s="17"/>
      <c r="I212" s="25"/>
      <c r="J212" s="25"/>
      <c r="K212" s="17"/>
      <c r="L212" s="25"/>
      <c r="M212" s="17"/>
      <c r="N212" s="25"/>
      <c r="O212" s="30"/>
      <c r="P212" s="17"/>
      <c r="Q212"/>
      <c r="R212"/>
      <c r="S212"/>
      <c r="W212" s="21"/>
      <c r="Z212" s="17"/>
    </row>
    <row r="213" spans="1:26" ht="15">
      <c r="A213" s="17"/>
      <c r="B213" s="22" t="s">
        <v>355</v>
      </c>
      <c r="C213" s="17"/>
      <c r="D213" s="25">
        <f>D149+D159+D173+D185+D200+D211</f>
        <v>2920824997</v>
      </c>
      <c r="E213" s="25"/>
      <c r="F213" s="17"/>
      <c r="G213" s="27"/>
      <c r="H213" s="17"/>
      <c r="I213" s="25"/>
      <c r="J213" s="25"/>
      <c r="K213" s="17"/>
      <c r="L213" s="25"/>
      <c r="M213" s="17"/>
      <c r="N213" s="25">
        <f>N149+N159+N173+N185+N200+N211</f>
        <v>86476247.25868595</v>
      </c>
      <c r="O213" s="30">
        <f>N213/D213*100</f>
        <v>2.9606788269583526</v>
      </c>
      <c r="P213" s="17"/>
      <c r="Q213" s="81">
        <f>Q211+Q200+Q185+Q159+Q145+Q134+Q127+Q125+Q119+Q103+Q97+Q83+Q69+Q58+Q40+Q28+Q21+Q173</f>
        <v>1415265853</v>
      </c>
      <c r="R213"/>
      <c r="S213" s="81">
        <f>S211+S200+S185+S159+S145+S134+S127+S125+S119+S103+S97+S83+S69+S58+S40+S28+S21+S173</f>
        <v>66821744.666870825</v>
      </c>
      <c r="U213" s="30">
        <f>S213/D213*100</f>
        <v>2.2877695423554614</v>
      </c>
      <c r="V213" s="17"/>
      <c r="W213" s="16">
        <f>(O213-U213)/100</f>
        <v>0.006729092846028913</v>
      </c>
      <c r="X213" s="17"/>
      <c r="Y213" s="30">
        <f>W213/O213</f>
        <v>0.0022728209438853697</v>
      </c>
      <c r="Z213" s="17"/>
    </row>
    <row r="214" spans="1:26" ht="15">
      <c r="A214" s="30"/>
      <c r="B214" s="17" t="s">
        <v>476</v>
      </c>
      <c r="C214" s="17"/>
      <c r="D214" s="25">
        <v>11956315</v>
      </c>
      <c r="E214" s="25"/>
      <c r="F214" s="17"/>
      <c r="G214" s="27"/>
      <c r="H214" s="25"/>
      <c r="I214" s="25"/>
      <c r="J214" s="25">
        <v>19717</v>
      </c>
      <c r="K214" s="25"/>
      <c r="L214" s="25"/>
      <c r="M214" s="27"/>
      <c r="N214" s="25"/>
      <c r="O214" s="30"/>
      <c r="P214" s="17"/>
      <c r="Q214"/>
      <c r="R214"/>
      <c r="S214"/>
      <c r="W214" s="21"/>
      <c r="Z214" s="30"/>
    </row>
    <row r="215" spans="1:26" ht="15">
      <c r="A215" s="30">
        <v>310</v>
      </c>
      <c r="B215" s="17" t="s">
        <v>477</v>
      </c>
      <c r="C215" s="17"/>
      <c r="D215" s="25">
        <v>10198525</v>
      </c>
      <c r="E215" s="25"/>
      <c r="F215" s="17"/>
      <c r="G215" s="27"/>
      <c r="H215" s="25"/>
      <c r="I215" s="25"/>
      <c r="J215" s="25"/>
      <c r="K215" s="25"/>
      <c r="L215" s="25"/>
      <c r="M215" s="27"/>
      <c r="N215" s="25"/>
      <c r="O215" s="30"/>
      <c r="P215" s="17"/>
      <c r="Q215" s="25"/>
      <c r="R215" s="17"/>
      <c r="S215" s="25"/>
      <c r="T215" s="17"/>
      <c r="U215" s="30"/>
      <c r="V215" s="17"/>
      <c r="W215" s="16">
        <v>0</v>
      </c>
      <c r="X215" s="17"/>
      <c r="Y215" s="30"/>
      <c r="Z215" s="30">
        <v>310</v>
      </c>
    </row>
    <row r="216" spans="1:26" ht="15">
      <c r="A216" s="30"/>
      <c r="B216" s="17" t="s">
        <v>478</v>
      </c>
      <c r="C216" s="17"/>
      <c r="D216" s="25">
        <v>1673670</v>
      </c>
      <c r="E216" s="25"/>
      <c r="F216" s="17"/>
      <c r="G216" s="27"/>
      <c r="H216" s="25"/>
      <c r="I216" s="25"/>
      <c r="J216" s="25">
        <v>1907984</v>
      </c>
      <c r="K216" s="25"/>
      <c r="L216" s="25"/>
      <c r="M216" s="27"/>
      <c r="N216" s="25"/>
      <c r="O216" s="30"/>
      <c r="P216" s="17"/>
      <c r="Q216"/>
      <c r="R216"/>
      <c r="S216"/>
      <c r="W216" s="21"/>
      <c r="Z216" s="30"/>
    </row>
    <row r="217" spans="1:26" ht="15">
      <c r="A217" s="30"/>
      <c r="B217" s="17" t="s">
        <v>479</v>
      </c>
      <c r="C217" s="17"/>
      <c r="D217" s="25">
        <v>6482245</v>
      </c>
      <c r="E217" s="25"/>
      <c r="F217" s="17"/>
      <c r="G217" s="27"/>
      <c r="H217" s="25"/>
      <c r="I217" s="25"/>
      <c r="J217" s="25">
        <v>7908339</v>
      </c>
      <c r="K217" s="25"/>
      <c r="L217" s="25"/>
      <c r="M217" s="27"/>
      <c r="N217" s="25"/>
      <c r="O217" s="30"/>
      <c r="P217" s="17"/>
      <c r="Q217"/>
      <c r="R217"/>
      <c r="S217"/>
      <c r="W217" s="21"/>
      <c r="Z217" s="30"/>
    </row>
    <row r="218" spans="1:26" ht="15">
      <c r="A218" s="30"/>
      <c r="B218" s="17" t="s">
        <v>480</v>
      </c>
      <c r="C218" s="17"/>
      <c r="D218" s="25">
        <v>4683527</v>
      </c>
      <c r="E218" s="25"/>
      <c r="F218" s="17"/>
      <c r="G218" s="27"/>
      <c r="H218" s="25"/>
      <c r="I218" s="25"/>
      <c r="J218" s="25">
        <v>4683527</v>
      </c>
      <c r="K218" s="25"/>
      <c r="L218" s="25"/>
      <c r="M218" s="27"/>
      <c r="N218" s="25"/>
      <c r="O218" s="30"/>
      <c r="P218" s="17"/>
      <c r="Q218"/>
      <c r="R218"/>
      <c r="S218"/>
      <c r="W218" s="21"/>
      <c r="Z218" s="30"/>
    </row>
    <row r="219" spans="1:26" ht="15">
      <c r="A219" s="30">
        <v>330</v>
      </c>
      <c r="B219" s="17" t="s">
        <v>481</v>
      </c>
      <c r="C219" s="17"/>
      <c r="D219" s="25">
        <v>13480</v>
      </c>
      <c r="E219" s="25"/>
      <c r="F219" s="17"/>
      <c r="G219" s="27"/>
      <c r="H219" s="25"/>
      <c r="I219" s="25"/>
      <c r="J219" s="25"/>
      <c r="K219" s="25"/>
      <c r="L219" s="25"/>
      <c r="M219" s="27"/>
      <c r="N219" s="25"/>
      <c r="O219" s="30"/>
      <c r="P219" s="17"/>
      <c r="Q219"/>
      <c r="R219"/>
      <c r="S219"/>
      <c r="W219" s="16">
        <v>0</v>
      </c>
      <c r="Z219" s="30">
        <v>330</v>
      </c>
    </row>
    <row r="220" spans="1:26" ht="15">
      <c r="A220" s="30">
        <v>340</v>
      </c>
      <c r="B220" s="17" t="s">
        <v>481</v>
      </c>
      <c r="C220" s="17"/>
      <c r="D220" s="25">
        <v>98603</v>
      </c>
      <c r="E220" s="25"/>
      <c r="F220" s="17"/>
      <c r="G220" s="27"/>
      <c r="H220" s="25"/>
      <c r="I220" s="25"/>
      <c r="J220" s="25"/>
      <c r="K220" s="25"/>
      <c r="L220" s="25"/>
      <c r="M220" s="27"/>
      <c r="N220" s="25"/>
      <c r="O220" s="30"/>
      <c r="P220" s="17"/>
      <c r="Q220"/>
      <c r="R220"/>
      <c r="S220"/>
      <c r="W220" s="16">
        <v>0</v>
      </c>
      <c r="Z220" s="30">
        <v>340</v>
      </c>
    </row>
    <row r="221" spans="1:26" ht="15">
      <c r="A221" s="30">
        <v>350</v>
      </c>
      <c r="B221" s="17" t="s">
        <v>481</v>
      </c>
      <c r="C221" s="17"/>
      <c r="D221" s="25">
        <v>1163116</v>
      </c>
      <c r="E221" s="25"/>
      <c r="F221" s="17"/>
      <c r="G221" s="27"/>
      <c r="H221" s="25"/>
      <c r="I221" s="25"/>
      <c r="J221" s="25"/>
      <c r="K221" s="25"/>
      <c r="L221" s="25"/>
      <c r="M221" s="27"/>
      <c r="N221" s="25"/>
      <c r="O221" s="30"/>
      <c r="P221" s="17"/>
      <c r="Q221"/>
      <c r="R221"/>
      <c r="S221"/>
      <c r="W221" s="16">
        <v>0</v>
      </c>
      <c r="Z221" s="30">
        <v>350</v>
      </c>
    </row>
    <row r="222" spans="1:26" ht="15">
      <c r="A222" s="30">
        <v>360</v>
      </c>
      <c r="B222" s="17" t="s">
        <v>481</v>
      </c>
      <c r="C222" s="17"/>
      <c r="D222" s="25">
        <v>1426948</v>
      </c>
      <c r="E222" s="25"/>
      <c r="F222" s="17"/>
      <c r="G222" s="27"/>
      <c r="H222" s="25"/>
      <c r="I222" s="25"/>
      <c r="J222" s="25"/>
      <c r="K222" s="25"/>
      <c r="L222" s="25"/>
      <c r="M222" s="27"/>
      <c r="N222" s="25"/>
      <c r="O222" s="30"/>
      <c r="P222" s="17"/>
      <c r="Q222"/>
      <c r="R222"/>
      <c r="S222"/>
      <c r="W222" s="16">
        <v>0</v>
      </c>
      <c r="Z222" s="30">
        <v>360</v>
      </c>
    </row>
    <row r="223" spans="1:26" ht="15">
      <c r="A223" s="30">
        <v>389</v>
      </c>
      <c r="B223" s="17" t="s">
        <v>477</v>
      </c>
      <c r="C223" s="17"/>
      <c r="D223" s="25">
        <v>3456077</v>
      </c>
      <c r="E223" s="25"/>
      <c r="F223" s="17"/>
      <c r="G223" s="27"/>
      <c r="H223" s="25"/>
      <c r="I223" s="25"/>
      <c r="J223" s="25"/>
      <c r="K223" s="25"/>
      <c r="L223" s="25"/>
      <c r="M223" s="27"/>
      <c r="N223" s="25"/>
      <c r="O223" s="30"/>
      <c r="P223" s="17"/>
      <c r="Q223"/>
      <c r="R223"/>
      <c r="S223"/>
      <c r="W223" s="16">
        <v>0</v>
      </c>
      <c r="Z223" s="30">
        <v>389</v>
      </c>
    </row>
    <row r="224" spans="1:26" ht="15">
      <c r="A224" s="30">
        <v>390</v>
      </c>
      <c r="B224" s="17" t="s">
        <v>482</v>
      </c>
      <c r="C224" s="17"/>
      <c r="D224" s="25">
        <v>583404</v>
      </c>
      <c r="E224" s="25"/>
      <c r="F224" s="17"/>
      <c r="G224" s="27"/>
      <c r="H224" s="25"/>
      <c r="I224" s="25"/>
      <c r="J224" s="25">
        <v>432406</v>
      </c>
      <c r="K224" s="25"/>
      <c r="L224" s="25"/>
      <c r="M224" s="27"/>
      <c r="N224" s="25"/>
      <c r="O224" s="30"/>
      <c r="P224" s="17"/>
      <c r="Q224"/>
      <c r="R224"/>
      <c r="S224"/>
      <c r="W224" s="16">
        <v>0</v>
      </c>
      <c r="Z224" s="30">
        <v>390</v>
      </c>
    </row>
    <row r="225" spans="1:26" ht="15">
      <c r="A225" s="30">
        <v>391</v>
      </c>
      <c r="B225" s="17" t="s">
        <v>483</v>
      </c>
      <c r="C225" s="17"/>
      <c r="D225" s="25">
        <v>7487186</v>
      </c>
      <c r="E225" s="25"/>
      <c r="F225" s="17"/>
      <c r="G225" s="27"/>
      <c r="H225" s="17"/>
      <c r="I225" s="25"/>
      <c r="J225" s="25">
        <v>194197</v>
      </c>
      <c r="K225" s="17"/>
      <c r="L225" s="25"/>
      <c r="M225" s="17"/>
      <c r="N225" s="25"/>
      <c r="O225" s="30"/>
      <c r="P225" s="17"/>
      <c r="Q225"/>
      <c r="R225"/>
      <c r="S225"/>
      <c r="W225" s="16">
        <v>0</v>
      </c>
      <c r="Z225" s="30">
        <v>391</v>
      </c>
    </row>
    <row r="226" spans="1:26" ht="15">
      <c r="A226" s="30">
        <v>392</v>
      </c>
      <c r="B226" s="17" t="s">
        <v>484</v>
      </c>
      <c r="C226" s="17"/>
      <c r="D226" s="40">
        <v>23762286</v>
      </c>
      <c r="E226" s="25"/>
      <c r="F226" s="17"/>
      <c r="G226" s="27"/>
      <c r="H226" s="17"/>
      <c r="I226" s="25"/>
      <c r="J226" s="25">
        <v>17966454</v>
      </c>
      <c r="K226" s="17"/>
      <c r="L226" s="25"/>
      <c r="M226" s="17"/>
      <c r="N226" s="25"/>
      <c r="O226" s="30"/>
      <c r="P226" s="17"/>
      <c r="Q226"/>
      <c r="R226"/>
      <c r="S226"/>
      <c r="W226" s="16">
        <v>0</v>
      </c>
      <c r="Z226" s="30">
        <v>392</v>
      </c>
    </row>
    <row r="227" spans="1:26" ht="15">
      <c r="A227" s="30"/>
      <c r="B227" s="22" t="s">
        <v>485</v>
      </c>
      <c r="C227" s="17"/>
      <c r="D227" s="25">
        <f>SUM(D213:D226)</f>
        <v>2993810379</v>
      </c>
      <c r="E227" s="17"/>
      <c r="F227" s="17"/>
      <c r="G227" s="17"/>
      <c r="H227" s="17"/>
      <c r="I227" s="17"/>
      <c r="J227" s="25"/>
      <c r="K227" s="17"/>
      <c r="L227" s="17"/>
      <c r="M227" s="17"/>
      <c r="N227" s="17"/>
      <c r="O227" s="17"/>
      <c r="P227" s="17"/>
      <c r="Q227"/>
      <c r="R227"/>
      <c r="S227"/>
      <c r="W227" s="21"/>
      <c r="Z227" s="30"/>
    </row>
    <row r="228" spans="1:26" ht="15">
      <c r="A228" s="38"/>
      <c r="P228" s="38"/>
      <c r="Q228"/>
      <c r="R228"/>
      <c r="S228"/>
      <c r="W228" s="21"/>
      <c r="Z228" s="38"/>
    </row>
    <row r="229" spans="1:26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Q229"/>
      <c r="R229"/>
      <c r="S229"/>
      <c r="W229" s="21"/>
      <c r="Z229" s="38"/>
    </row>
    <row r="230" spans="1:23" ht="15.75">
      <c r="A230" s="82" t="s">
        <v>486</v>
      </c>
      <c r="Q230"/>
      <c r="R230"/>
      <c r="S230"/>
      <c r="W230" s="21"/>
    </row>
    <row r="231" spans="1:26" ht="15">
      <c r="A231" s="74" t="s">
        <v>73</v>
      </c>
      <c r="B231" s="17" t="s">
        <v>487</v>
      </c>
      <c r="Q231"/>
      <c r="R231"/>
      <c r="S231"/>
      <c r="W231" s="16">
        <v>0</v>
      </c>
      <c r="Z231" s="74" t="s">
        <v>73</v>
      </c>
    </row>
    <row r="232" spans="1:26" ht="15">
      <c r="A232" s="74" t="s">
        <v>87</v>
      </c>
      <c r="B232" s="17" t="s">
        <v>488</v>
      </c>
      <c r="Q232"/>
      <c r="R232"/>
      <c r="S232"/>
      <c r="W232" s="16">
        <v>0</v>
      </c>
      <c r="Z232" s="74" t="s">
        <v>87</v>
      </c>
    </row>
    <row r="233" spans="1:26" ht="15">
      <c r="A233" s="74" t="s">
        <v>489</v>
      </c>
      <c r="B233" s="17" t="s">
        <v>490</v>
      </c>
      <c r="Q233"/>
      <c r="R233"/>
      <c r="S233"/>
      <c r="W233" s="16">
        <v>0</v>
      </c>
      <c r="Z233" s="74" t="s">
        <v>489</v>
      </c>
    </row>
    <row r="234" spans="1:26" ht="15">
      <c r="A234" s="74" t="s">
        <v>491</v>
      </c>
      <c r="B234" s="17" t="s">
        <v>492</v>
      </c>
      <c r="Q234"/>
      <c r="R234"/>
      <c r="S234"/>
      <c r="W234" s="16">
        <v>0</v>
      </c>
      <c r="Z234" s="74" t="s">
        <v>491</v>
      </c>
    </row>
    <row r="235" spans="1:26" ht="15">
      <c r="A235" s="74" t="s">
        <v>138</v>
      </c>
      <c r="B235" s="17" t="s">
        <v>493</v>
      </c>
      <c r="Q235"/>
      <c r="R235"/>
      <c r="S235"/>
      <c r="W235" s="16">
        <v>0</v>
      </c>
      <c r="Z235" s="74" t="s">
        <v>138</v>
      </c>
    </row>
    <row r="236" spans="1:26" ht="15">
      <c r="A236" s="74" t="s">
        <v>494</v>
      </c>
      <c r="B236" s="17" t="s">
        <v>495</v>
      </c>
      <c r="Q236"/>
      <c r="R236"/>
      <c r="S236"/>
      <c r="W236" s="16">
        <v>0</v>
      </c>
      <c r="Z236" s="74" t="s">
        <v>494</v>
      </c>
    </row>
    <row r="237" spans="1:26" ht="15">
      <c r="A237" s="74" t="s">
        <v>496</v>
      </c>
      <c r="B237" s="17" t="s">
        <v>497</v>
      </c>
      <c r="Q237"/>
      <c r="R237"/>
      <c r="S237"/>
      <c r="W237" s="16">
        <v>0</v>
      </c>
      <c r="Z237" s="74" t="s">
        <v>496</v>
      </c>
    </row>
    <row r="238" spans="1:26" ht="15">
      <c r="A238" s="74" t="s">
        <v>357</v>
      </c>
      <c r="B238" s="17" t="s">
        <v>358</v>
      </c>
      <c r="Q238"/>
      <c r="R238"/>
      <c r="S238"/>
      <c r="W238" s="16">
        <v>0</v>
      </c>
      <c r="Z238" s="74" t="s">
        <v>357</v>
      </c>
    </row>
    <row r="239" spans="1:26" ht="15">
      <c r="A239" s="74" t="s">
        <v>361</v>
      </c>
      <c r="B239" s="17" t="s">
        <v>498</v>
      </c>
      <c r="Q239"/>
      <c r="R239"/>
      <c r="S239"/>
      <c r="W239" s="16">
        <v>0</v>
      </c>
      <c r="Z239" s="74" t="s">
        <v>361</v>
      </c>
    </row>
    <row r="240" spans="1:26" ht="15">
      <c r="A240" s="74" t="s">
        <v>363</v>
      </c>
      <c r="B240" s="17" t="s">
        <v>499</v>
      </c>
      <c r="Q240"/>
      <c r="R240"/>
      <c r="S240"/>
      <c r="W240" s="16">
        <v>0</v>
      </c>
      <c r="Z240" s="74" t="s">
        <v>363</v>
      </c>
    </row>
    <row r="241" spans="1:26" ht="15">
      <c r="A241" s="74" t="s">
        <v>365</v>
      </c>
      <c r="B241" s="17" t="s">
        <v>366</v>
      </c>
      <c r="Q241"/>
      <c r="R241"/>
      <c r="S241"/>
      <c r="W241" s="16">
        <v>0</v>
      </c>
      <c r="Z241" s="74" t="s">
        <v>365</v>
      </c>
    </row>
    <row r="242" spans="17:23" ht="15">
      <c r="Q242"/>
      <c r="R242"/>
      <c r="S242"/>
      <c r="W242" s="21"/>
    </row>
    <row r="243" spans="17:23" ht="15">
      <c r="Q243"/>
      <c r="R243"/>
      <c r="S243"/>
      <c r="W243" s="21"/>
    </row>
    <row r="244" spans="17:23" ht="15">
      <c r="Q244"/>
      <c r="R244"/>
      <c r="S244"/>
      <c r="W244" s="21"/>
    </row>
    <row r="245" spans="17:23" ht="15">
      <c r="Q245"/>
      <c r="R245"/>
      <c r="S245"/>
      <c r="W245" s="21"/>
    </row>
    <row r="246" spans="17:23" ht="15">
      <c r="Q246"/>
      <c r="R246"/>
      <c r="S246"/>
      <c r="W246" s="21"/>
    </row>
    <row r="247" spans="17:23" ht="15">
      <c r="Q247"/>
      <c r="R247"/>
      <c r="S247"/>
      <c r="W247" s="21"/>
    </row>
    <row r="248" spans="17:23" ht="15">
      <c r="Q248"/>
      <c r="R248"/>
      <c r="S248"/>
      <c r="W248" s="21"/>
    </row>
    <row r="249" spans="17:23" ht="15">
      <c r="Q249"/>
      <c r="R249"/>
      <c r="S249"/>
      <c r="W249" s="21"/>
    </row>
    <row r="250" spans="17:23" ht="15">
      <c r="Q250"/>
      <c r="R250"/>
      <c r="S250"/>
      <c r="W250" s="21"/>
    </row>
    <row r="251" spans="17:23" ht="15">
      <c r="Q251"/>
      <c r="R251"/>
      <c r="S251"/>
      <c r="W251" s="21"/>
    </row>
    <row r="252" spans="17:23" ht="15">
      <c r="Q252"/>
      <c r="R252"/>
      <c r="S252"/>
      <c r="W252" s="21"/>
    </row>
    <row r="253" spans="17:23" ht="15">
      <c r="Q253"/>
      <c r="R253"/>
      <c r="S253"/>
      <c r="W253" s="21"/>
    </row>
    <row r="254" spans="17:23" ht="15">
      <c r="Q254"/>
      <c r="R254"/>
      <c r="S254"/>
      <c r="W254" s="21"/>
    </row>
    <row r="255" spans="17:23" ht="15">
      <c r="Q255"/>
      <c r="R255"/>
      <c r="S255"/>
      <c r="W255" s="21"/>
    </row>
    <row r="256" spans="17:23" ht="15">
      <c r="Q256"/>
      <c r="R256"/>
      <c r="S256"/>
      <c r="W256" s="21"/>
    </row>
    <row r="257" spans="17:23" ht="15">
      <c r="Q257"/>
      <c r="R257"/>
      <c r="S257"/>
      <c r="W257" s="21"/>
    </row>
    <row r="258" spans="17:23" ht="15">
      <c r="Q258"/>
      <c r="R258"/>
      <c r="S258"/>
      <c r="W258" s="21"/>
    </row>
    <row r="259" spans="17:23" ht="15">
      <c r="Q259"/>
      <c r="R259"/>
      <c r="S259"/>
      <c r="W259" s="21"/>
    </row>
    <row r="260" spans="17:23" ht="15">
      <c r="Q260"/>
      <c r="R260"/>
      <c r="S260"/>
      <c r="W260" s="21"/>
    </row>
    <row r="261" spans="17:23" ht="15">
      <c r="Q261"/>
      <c r="R261"/>
      <c r="S261"/>
      <c r="W261" s="21"/>
    </row>
    <row r="262" spans="17:23" ht="15">
      <c r="Q262"/>
      <c r="R262"/>
      <c r="S262"/>
      <c r="W262" s="21"/>
    </row>
    <row r="263" spans="17:23" ht="15">
      <c r="Q263"/>
      <c r="R263"/>
      <c r="S263"/>
      <c r="W263" s="21"/>
    </row>
    <row r="264" spans="17:23" ht="15">
      <c r="Q264"/>
      <c r="R264"/>
      <c r="S264"/>
      <c r="W264" s="21"/>
    </row>
    <row r="265" spans="17:23" ht="15">
      <c r="Q265"/>
      <c r="R265"/>
      <c r="S265"/>
      <c r="W265" s="21"/>
    </row>
    <row r="266" spans="17:23" ht="15">
      <c r="Q266"/>
      <c r="R266"/>
      <c r="S266"/>
      <c r="W266" s="21"/>
    </row>
    <row r="267" spans="17:19" ht="15">
      <c r="Q267"/>
      <c r="R267"/>
      <c r="S267"/>
    </row>
    <row r="268" spans="17:19" ht="15">
      <c r="Q268"/>
      <c r="R268"/>
      <c r="S268"/>
    </row>
    <row r="269" spans="17:19" ht="15">
      <c r="Q269"/>
      <c r="R269"/>
      <c r="S269"/>
    </row>
    <row r="270" spans="17:19" ht="15">
      <c r="Q270"/>
      <c r="R270"/>
      <c r="S270"/>
    </row>
    <row r="271" spans="17:19" ht="15">
      <c r="Q271"/>
      <c r="R271"/>
      <c r="S271"/>
    </row>
    <row r="272" spans="17:19" ht="15">
      <c r="Q272"/>
      <c r="R272"/>
      <c r="S272"/>
    </row>
    <row r="273" spans="17:19" ht="15">
      <c r="Q273"/>
      <c r="R273"/>
      <c r="S273"/>
    </row>
  </sheetData>
  <mergeCells count="1">
    <mergeCell ref="Q8:W8"/>
  </mergeCells>
  <printOptions/>
  <pageMargins left="0.75" right="0.75" top="1" bottom="1" header="0.5" footer="0.5"/>
  <pageSetup fitToHeight="30" fitToWidth="2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81"/>
  <sheetViews>
    <sheetView view="pageBreakPreview" zoomScale="60" workbookViewId="0" topLeftCell="A1">
      <selection activeCell="C5" sqref="C5:Q5"/>
    </sheetView>
  </sheetViews>
  <sheetFormatPr defaultColWidth="9.140625" defaultRowHeight="12.75"/>
  <cols>
    <col min="1" max="1" width="12.421875" style="11" customWidth="1"/>
    <col min="2" max="2" width="34.28125" style="11" customWidth="1"/>
    <col min="3" max="3" width="8.57421875" style="11" customWidth="1"/>
    <col min="4" max="4" width="13.7109375" style="11" customWidth="1"/>
    <col min="5" max="5" width="3.421875" style="11" customWidth="1"/>
    <col min="6" max="6" width="12.421875" style="11" customWidth="1"/>
    <col min="7" max="7" width="11.140625" style="11" customWidth="1"/>
    <col min="8" max="8" width="8.57421875" style="11" customWidth="1"/>
    <col min="9" max="9" width="14.57421875" style="11" customWidth="1"/>
    <col min="10" max="10" width="3.140625" style="37" customWidth="1"/>
    <col min="11" max="11" width="17.00390625" style="11" customWidth="1"/>
    <col min="12" max="12" width="3.421875" style="11" customWidth="1"/>
    <col min="13" max="13" width="15.00390625" style="11" customWidth="1"/>
    <col min="14" max="14" width="8.57421875" style="11" customWidth="1"/>
    <col min="15" max="15" width="13.7109375" style="11" customWidth="1"/>
    <col min="16" max="16" width="3.140625" style="37" customWidth="1"/>
    <col min="17" max="17" width="11.140625" style="11" customWidth="1"/>
    <col min="18" max="18" width="4.7109375" style="11" customWidth="1"/>
    <col min="19" max="19" width="14.28125" style="11" customWidth="1"/>
    <col min="20" max="20" width="2.57421875" style="11" customWidth="1"/>
    <col min="21" max="21" width="14.421875" style="11" customWidth="1"/>
    <col min="22" max="22" width="2.57421875" style="11" customWidth="1"/>
    <col min="23" max="23" width="12.8515625" style="11" customWidth="1"/>
    <col min="24" max="24" width="2.57421875" style="11" customWidth="1"/>
    <col min="25" max="25" width="11.28125" style="21" customWidth="1"/>
    <col min="26" max="26" width="2.57421875" style="11" customWidth="1"/>
    <col min="27" max="27" width="11.28125" style="11" customWidth="1"/>
    <col min="28" max="28" width="16.28125" style="0" customWidth="1"/>
    <col min="29" max="29" width="12.421875" style="11" customWidth="1"/>
    <col min="30" max="178" width="12.421875" style="0" customWidth="1"/>
    <col min="179" max="16384" width="12.421875" style="11" customWidth="1"/>
  </cols>
  <sheetData>
    <row r="1" spans="2:29" ht="15.75">
      <c r="B1" s="147"/>
      <c r="C1" s="136" t="s">
        <v>199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47"/>
      <c r="S1" s="147"/>
      <c r="T1" s="147"/>
      <c r="U1" s="147"/>
      <c r="V1" s="147"/>
      <c r="W1" s="147"/>
      <c r="X1" s="147"/>
      <c r="Y1" s="148"/>
      <c r="Z1"/>
      <c r="AA1"/>
      <c r="AC1"/>
    </row>
    <row r="2" spans="2:29" ht="15.75">
      <c r="B2" s="147"/>
      <c r="C2" s="136" t="s">
        <v>200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47"/>
      <c r="S2" s="147"/>
      <c r="T2" s="147"/>
      <c r="U2" s="147"/>
      <c r="V2" s="147"/>
      <c r="W2" s="147"/>
      <c r="X2" s="147"/>
      <c r="Y2" s="148"/>
      <c r="Z2"/>
      <c r="AA2"/>
      <c r="AC2"/>
    </row>
    <row r="3" spans="2:29" ht="15.75">
      <c r="B3" s="147"/>
      <c r="C3" s="136" t="s">
        <v>201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47"/>
      <c r="S3" s="147"/>
      <c r="T3" s="147"/>
      <c r="U3" s="147"/>
      <c r="V3" s="147"/>
      <c r="W3" s="147"/>
      <c r="X3" s="147"/>
      <c r="Y3" s="148"/>
      <c r="Z3"/>
      <c r="AA3"/>
      <c r="AC3"/>
    </row>
    <row r="4" spans="1:2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2"/>
      <c r="Z4" s="10"/>
      <c r="AA4" s="10"/>
      <c r="AC4" s="10"/>
    </row>
    <row r="5" spans="2:178" s="142" customFormat="1" ht="15.75">
      <c r="B5" s="147"/>
      <c r="C5" s="136" t="s">
        <v>202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"/>
      <c r="S5" s="136" t="s">
        <v>203</v>
      </c>
      <c r="T5" s="136"/>
      <c r="U5" s="136"/>
      <c r="V5" s="136"/>
      <c r="W5" s="136"/>
      <c r="X5" s="136"/>
      <c r="Y5" s="136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</row>
    <row r="6" spans="1:178" s="142" customFormat="1" ht="15">
      <c r="A6" s="15"/>
      <c r="B6" s="140"/>
      <c r="C6" s="140"/>
      <c r="D6" s="140"/>
      <c r="E6" s="140"/>
      <c r="F6" s="140"/>
      <c r="G6" s="140"/>
      <c r="H6" s="140"/>
      <c r="I6" s="140"/>
      <c r="J6" s="15"/>
      <c r="K6" s="140"/>
      <c r="L6" s="140"/>
      <c r="M6" s="140"/>
      <c r="N6" s="140"/>
      <c r="O6" s="140"/>
      <c r="P6" s="15"/>
      <c r="Q6" s="140"/>
      <c r="R6" s="15"/>
      <c r="S6" s="15"/>
      <c r="T6" s="15"/>
      <c r="U6" s="15"/>
      <c r="V6" s="15"/>
      <c r="W6" s="15"/>
      <c r="X6" s="15"/>
      <c r="Y6" s="143"/>
      <c r="Z6" s="15"/>
      <c r="AA6" s="144"/>
      <c r="AB6" s="117"/>
      <c r="AC6" s="1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</row>
    <row r="7" spans="1:178" s="142" customFormat="1" ht="15">
      <c r="A7" s="15" t="s">
        <v>204</v>
      </c>
      <c r="B7" s="140" t="s">
        <v>205</v>
      </c>
      <c r="C7" s="140"/>
      <c r="D7" s="141" t="s">
        <v>206</v>
      </c>
      <c r="E7" s="140"/>
      <c r="F7" s="141" t="s">
        <v>207</v>
      </c>
      <c r="G7" s="141" t="s">
        <v>208</v>
      </c>
      <c r="H7" s="141" t="s">
        <v>209</v>
      </c>
      <c r="I7" s="141" t="s">
        <v>210</v>
      </c>
      <c r="J7" s="15"/>
      <c r="K7" s="141" t="s">
        <v>211</v>
      </c>
      <c r="L7" s="140"/>
      <c r="M7" s="141" t="s">
        <v>212</v>
      </c>
      <c r="N7" s="141" t="s">
        <v>213</v>
      </c>
      <c r="O7" s="141" t="s">
        <v>214</v>
      </c>
      <c r="P7" s="19"/>
      <c r="Q7" s="141" t="s">
        <v>215</v>
      </c>
      <c r="R7" s="15"/>
      <c r="S7" s="19" t="s">
        <v>216</v>
      </c>
      <c r="T7" s="15"/>
      <c r="U7" s="19" t="s">
        <v>214</v>
      </c>
      <c r="V7" s="15"/>
      <c r="W7" s="19" t="s">
        <v>215</v>
      </c>
      <c r="X7" s="15"/>
      <c r="Y7" s="145" t="s">
        <v>217</v>
      </c>
      <c r="Z7" s="15"/>
      <c r="AA7" s="141" t="s">
        <v>218</v>
      </c>
      <c r="AB7" s="117"/>
      <c r="AC7" s="15" t="s">
        <v>204</v>
      </c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</row>
    <row r="8" spans="1:178" s="142" customFormat="1" ht="15">
      <c r="A8" s="15" t="s">
        <v>219</v>
      </c>
      <c r="B8" s="140"/>
      <c r="C8" s="140"/>
      <c r="D8" s="141" t="s">
        <v>212</v>
      </c>
      <c r="E8" s="140"/>
      <c r="F8" s="140"/>
      <c r="G8" s="140"/>
      <c r="H8" s="141" t="s">
        <v>220</v>
      </c>
      <c r="I8" s="141" t="s">
        <v>221</v>
      </c>
      <c r="J8" s="15"/>
      <c r="K8" s="141" t="s">
        <v>222</v>
      </c>
      <c r="L8" s="140"/>
      <c r="M8" s="141" t="s">
        <v>223</v>
      </c>
      <c r="N8" s="141" t="s">
        <v>224</v>
      </c>
      <c r="O8" s="141" t="s">
        <v>225</v>
      </c>
      <c r="P8" s="19"/>
      <c r="Q8" s="19" t="s">
        <v>226</v>
      </c>
      <c r="R8" s="15"/>
      <c r="S8" s="141" t="s">
        <v>227</v>
      </c>
      <c r="T8" s="15"/>
      <c r="U8" s="141" t="s">
        <v>228</v>
      </c>
      <c r="V8" s="15"/>
      <c r="W8" s="140" t="s">
        <v>229</v>
      </c>
      <c r="X8" s="15"/>
      <c r="Y8" s="145" t="s">
        <v>230</v>
      </c>
      <c r="Z8" s="15"/>
      <c r="AA8" s="141" t="s">
        <v>231</v>
      </c>
      <c r="AB8" s="117"/>
      <c r="AC8" s="20" t="s">
        <v>232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</row>
    <row r="9" spans="1:178" s="142" customFormat="1" ht="15">
      <c r="A9" s="15"/>
      <c r="B9" s="140"/>
      <c r="C9" s="140"/>
      <c r="D9" s="141" t="s">
        <v>233</v>
      </c>
      <c r="E9" s="140"/>
      <c r="F9" s="140"/>
      <c r="G9" s="140"/>
      <c r="H9" s="140"/>
      <c r="I9" s="140"/>
      <c r="J9" s="15"/>
      <c r="K9" s="141" t="s">
        <v>234</v>
      </c>
      <c r="L9" s="140"/>
      <c r="M9" s="141" t="s">
        <v>235</v>
      </c>
      <c r="N9" s="141" t="s">
        <v>236</v>
      </c>
      <c r="O9" s="140"/>
      <c r="P9" s="15"/>
      <c r="Q9" s="140"/>
      <c r="R9" s="15"/>
      <c r="S9" s="19" t="s">
        <v>237</v>
      </c>
      <c r="T9" s="15"/>
      <c r="U9" s="19" t="s">
        <v>237</v>
      </c>
      <c r="V9" s="15"/>
      <c r="W9" s="19" t="s">
        <v>237</v>
      </c>
      <c r="X9" s="15"/>
      <c r="Y9" s="146"/>
      <c r="Z9" s="15"/>
      <c r="AA9" s="19"/>
      <c r="AB9" s="117"/>
      <c r="AC9" s="19" t="s">
        <v>238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</row>
    <row r="10" spans="1:29" ht="15">
      <c r="A10" s="15"/>
      <c r="B10" s="14"/>
      <c r="C10" s="14"/>
      <c r="D10" s="18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5"/>
      <c r="Q10" s="14"/>
      <c r="R10" s="14"/>
      <c r="S10" s="14"/>
      <c r="T10" s="14"/>
      <c r="U10" s="14"/>
      <c r="V10" s="14"/>
      <c r="W10" s="14"/>
      <c r="X10" s="14"/>
      <c r="Z10" s="14"/>
      <c r="AC10" s="15"/>
    </row>
    <row r="11" spans="1:29" ht="15">
      <c r="A11" s="17"/>
      <c r="B11" s="22" t="s">
        <v>239</v>
      </c>
      <c r="C11" s="17"/>
      <c r="D11" s="17"/>
      <c r="E11" s="17"/>
      <c r="F11" s="17"/>
      <c r="G11" s="17"/>
      <c r="H11" s="17"/>
      <c r="I11" s="17"/>
      <c r="J11" s="23"/>
      <c r="K11" s="17"/>
      <c r="L11" s="17"/>
      <c r="M11" s="17"/>
      <c r="N11" s="17"/>
      <c r="O11" s="17"/>
      <c r="P11" s="23"/>
      <c r="Q11" s="17"/>
      <c r="R11" s="17"/>
      <c r="S11" s="17"/>
      <c r="T11" s="17"/>
      <c r="U11" s="17"/>
      <c r="V11" s="17"/>
      <c r="W11" s="17"/>
      <c r="X11" s="17"/>
      <c r="Y11" s="16"/>
      <c r="Z11" s="17"/>
      <c r="AA11" s="17"/>
      <c r="AC11" s="17"/>
    </row>
    <row r="12" spans="1:29" ht="15">
      <c r="A12" s="17"/>
      <c r="B12" s="22"/>
      <c r="C12" s="17"/>
      <c r="D12" s="17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23"/>
      <c r="Q12" s="17"/>
      <c r="R12" s="17"/>
      <c r="S12" s="17"/>
      <c r="T12" s="17"/>
      <c r="U12" s="17"/>
      <c r="V12" s="17"/>
      <c r="W12" s="17"/>
      <c r="X12" s="17"/>
      <c r="Y12" s="16"/>
      <c r="Z12" s="17"/>
      <c r="AA12" s="17"/>
      <c r="AC12" s="17"/>
    </row>
    <row r="13" spans="1:29" ht="15">
      <c r="A13" s="17"/>
      <c r="B13" s="22" t="s">
        <v>240</v>
      </c>
      <c r="C13" s="17"/>
      <c r="D13" s="17"/>
      <c r="E13" s="17"/>
      <c r="F13" s="17"/>
      <c r="G13" s="17"/>
      <c r="H13" s="17"/>
      <c r="I13" s="17"/>
      <c r="J13" s="23"/>
      <c r="K13" s="17"/>
      <c r="L13" s="17"/>
      <c r="M13" s="17"/>
      <c r="N13" s="17"/>
      <c r="O13" s="17"/>
      <c r="P13" s="23"/>
      <c r="Q13" s="17"/>
      <c r="R13" s="17"/>
      <c r="S13" s="17"/>
      <c r="T13" s="17"/>
      <c r="U13" s="17"/>
      <c r="V13" s="17"/>
      <c r="W13" s="17"/>
      <c r="X13" s="17"/>
      <c r="Y13" s="16"/>
      <c r="Z13" s="17"/>
      <c r="AA13" s="17"/>
      <c r="AC13" s="17"/>
    </row>
    <row r="14" spans="1:29" ht="15">
      <c r="A14" s="17"/>
      <c r="B14" s="22"/>
      <c r="C14" s="17"/>
      <c r="D14" s="17"/>
      <c r="E14" s="17"/>
      <c r="F14" s="17"/>
      <c r="G14" s="17"/>
      <c r="H14" s="17"/>
      <c r="I14" s="17"/>
      <c r="J14" s="23"/>
      <c r="K14" s="17"/>
      <c r="L14" s="17"/>
      <c r="M14" s="17"/>
      <c r="N14" s="17"/>
      <c r="O14" s="17"/>
      <c r="P14" s="23"/>
      <c r="Q14" s="17"/>
      <c r="R14" s="17"/>
      <c r="S14" s="17"/>
      <c r="T14" s="17"/>
      <c r="U14" s="17"/>
      <c r="V14" s="17"/>
      <c r="W14" s="17"/>
      <c r="X14" s="17"/>
      <c r="Y14" s="16"/>
      <c r="Z14" s="17"/>
      <c r="AA14" s="17"/>
      <c r="AC14" s="17"/>
    </row>
    <row r="15" spans="1:29" ht="15">
      <c r="A15" s="24" t="s">
        <v>241</v>
      </c>
      <c r="B15" s="17" t="s">
        <v>242</v>
      </c>
      <c r="C15" s="17"/>
      <c r="D15" s="25">
        <v>42468316</v>
      </c>
      <c r="E15" s="25"/>
      <c r="F15" s="26" t="s">
        <v>243</v>
      </c>
      <c r="G15" s="27">
        <v>30.8</v>
      </c>
      <c r="H15" s="28">
        <v>-10</v>
      </c>
      <c r="I15" s="25">
        <f>ROUND(H15/100*D15,0)</f>
        <v>-4246832</v>
      </c>
      <c r="J15" s="29"/>
      <c r="K15" s="25">
        <v>23256595</v>
      </c>
      <c r="L15" s="25"/>
      <c r="M15" s="25">
        <f>D15-I15-K15</f>
        <v>23458553</v>
      </c>
      <c r="N15" s="27">
        <v>19</v>
      </c>
      <c r="O15" s="25">
        <f>ROUND(+M15/N15,0)</f>
        <v>1234661</v>
      </c>
      <c r="P15" s="29"/>
      <c r="Q15" s="30">
        <f>O15/D15*100</f>
        <v>2.9072520794090355</v>
      </c>
      <c r="R15" s="17"/>
      <c r="S15" s="25">
        <f>D15-K15</f>
        <v>19211721</v>
      </c>
      <c r="T15" s="17"/>
      <c r="U15" s="25">
        <f>S15/N15</f>
        <v>1011143.2105263158</v>
      </c>
      <c r="V15" s="17"/>
      <c r="W15" s="30">
        <f>U15/D15*100</f>
        <v>2.3809354967743857</v>
      </c>
      <c r="X15" s="17"/>
      <c r="Y15" s="16">
        <f>(Q15-W15)/100</f>
        <v>0.005263165826346498</v>
      </c>
      <c r="Z15" s="17"/>
      <c r="AA15" s="30">
        <f>Y15/Q15</f>
        <v>0.0018103575756720604</v>
      </c>
      <c r="AC15" s="24" t="s">
        <v>241</v>
      </c>
    </row>
    <row r="16" spans="1:29" ht="15">
      <c r="A16" s="17"/>
      <c r="B16" s="17" t="s">
        <v>244</v>
      </c>
      <c r="C16" s="17"/>
      <c r="D16" s="25"/>
      <c r="E16" s="25"/>
      <c r="F16" s="26"/>
      <c r="G16" s="27"/>
      <c r="H16" s="25"/>
      <c r="I16" s="25"/>
      <c r="J16" s="29"/>
      <c r="K16" s="25"/>
      <c r="L16" s="25"/>
      <c r="M16" s="25"/>
      <c r="N16" s="27"/>
      <c r="O16" s="25"/>
      <c r="P16" s="29"/>
      <c r="Q16" s="30"/>
      <c r="R16" s="17"/>
      <c r="S16" s="17"/>
      <c r="T16" s="17"/>
      <c r="U16" s="25"/>
      <c r="V16" s="17"/>
      <c r="W16" s="30"/>
      <c r="X16" s="17"/>
      <c r="Y16" s="16"/>
      <c r="Z16" s="17"/>
      <c r="AA16" s="30"/>
      <c r="AC16" s="17"/>
    </row>
    <row r="17" spans="1:29" ht="15">
      <c r="A17" s="17"/>
      <c r="B17" s="17" t="s">
        <v>245</v>
      </c>
      <c r="C17" s="17"/>
      <c r="D17" s="25">
        <v>300000</v>
      </c>
      <c r="E17" s="25"/>
      <c r="F17" s="26"/>
      <c r="G17" s="27">
        <v>20</v>
      </c>
      <c r="H17" s="28">
        <v>-10</v>
      </c>
      <c r="I17" s="25"/>
      <c r="J17" s="29"/>
      <c r="K17" s="25"/>
      <c r="L17" s="25"/>
      <c r="M17" s="25"/>
      <c r="N17" s="27"/>
      <c r="O17" s="25">
        <f>(1-H17/100)*D17/G17</f>
        <v>16500</v>
      </c>
      <c r="P17" s="29"/>
      <c r="Q17" s="30"/>
      <c r="R17" s="17"/>
      <c r="S17" s="17"/>
      <c r="T17" s="17"/>
      <c r="U17" s="25">
        <f>O17</f>
        <v>16500</v>
      </c>
      <c r="V17" s="17"/>
      <c r="W17" s="30"/>
      <c r="X17" s="17"/>
      <c r="Y17" s="16"/>
      <c r="Z17" s="17"/>
      <c r="AA17" s="30"/>
      <c r="AC17" s="17"/>
    </row>
    <row r="18" spans="1:29" ht="15">
      <c r="A18" s="17"/>
      <c r="B18" s="17" t="s">
        <v>246</v>
      </c>
      <c r="C18" s="17"/>
      <c r="D18" s="31">
        <v>200000</v>
      </c>
      <c r="E18" s="25"/>
      <c r="F18" s="26"/>
      <c r="G18" s="27">
        <v>19</v>
      </c>
      <c r="H18" s="28">
        <v>-10</v>
      </c>
      <c r="I18" s="32"/>
      <c r="J18" s="29"/>
      <c r="K18" s="32"/>
      <c r="L18" s="29"/>
      <c r="M18" s="32"/>
      <c r="N18" s="33"/>
      <c r="O18" s="31">
        <f>(1-H18/100)*D18/G18</f>
        <v>11578.947368421053</v>
      </c>
      <c r="P18" s="29"/>
      <c r="Q18" s="34"/>
      <c r="R18" s="17"/>
      <c r="S18" s="35"/>
      <c r="T18" s="17"/>
      <c r="U18" s="31">
        <f>O18</f>
        <v>11578.947368421053</v>
      </c>
      <c r="V18" s="17"/>
      <c r="W18" s="34"/>
      <c r="X18" s="17"/>
      <c r="Y18" s="36"/>
      <c r="Z18" s="17"/>
      <c r="AA18" s="34"/>
      <c r="AC18" s="17"/>
    </row>
    <row r="19" spans="1:29" ht="15">
      <c r="A19" s="17"/>
      <c r="B19" s="22" t="s">
        <v>247</v>
      </c>
      <c r="C19" s="17"/>
      <c r="D19" s="25">
        <f>SUM(D15:D18)</f>
        <v>42968316</v>
      </c>
      <c r="E19" s="25"/>
      <c r="F19" s="26"/>
      <c r="G19" s="27"/>
      <c r="H19" s="25"/>
      <c r="I19" s="25"/>
      <c r="J19" s="29"/>
      <c r="K19" s="25"/>
      <c r="L19" s="25"/>
      <c r="M19" s="25"/>
      <c r="N19" s="27"/>
      <c r="O19" s="25">
        <f>SUM(O15:O18)</f>
        <v>1262739.9473684211</v>
      </c>
      <c r="P19" s="29"/>
      <c r="Q19" s="30">
        <f>O19/D19*100</f>
        <v>2.9387699237931995</v>
      </c>
      <c r="R19" s="17"/>
      <c r="S19" s="25"/>
      <c r="T19" s="17"/>
      <c r="U19" s="25">
        <f>SUM(U15:U18)</f>
        <v>1039222.1578947369</v>
      </c>
      <c r="V19" s="17"/>
      <c r="W19" s="30">
        <f>U19/D19*100</f>
        <v>2.4185778141613388</v>
      </c>
      <c r="X19" s="17"/>
      <c r="Y19" s="16">
        <f>(Q19-W19)/100</f>
        <v>0.005201921096318607</v>
      </c>
      <c r="Z19" s="17"/>
      <c r="AA19" s="30">
        <f>Y19/Q19</f>
        <v>0.0017701015156723324</v>
      </c>
      <c r="AC19" s="17"/>
    </row>
    <row r="20" spans="1:29" ht="15">
      <c r="A20" s="17"/>
      <c r="R20" s="17"/>
      <c r="S20" s="17"/>
      <c r="T20" s="17"/>
      <c r="V20" s="17"/>
      <c r="X20" s="17"/>
      <c r="Z20" s="17"/>
      <c r="AC20" s="17"/>
    </row>
    <row r="21" spans="1:29" ht="15">
      <c r="A21" s="17"/>
      <c r="B21" s="17"/>
      <c r="C21" s="17"/>
      <c r="D21" s="25"/>
      <c r="E21" s="25"/>
      <c r="F21" s="26"/>
      <c r="G21" s="27"/>
      <c r="H21" s="25"/>
      <c r="I21" s="25"/>
      <c r="J21" s="29"/>
      <c r="K21" s="25"/>
      <c r="L21" s="25"/>
      <c r="M21" s="25"/>
      <c r="N21" s="27"/>
      <c r="O21" s="25"/>
      <c r="P21" s="29"/>
      <c r="Q21" s="30"/>
      <c r="R21" s="17"/>
      <c r="S21" s="17"/>
      <c r="T21" s="17"/>
      <c r="U21" s="25"/>
      <c r="V21" s="17"/>
      <c r="W21" s="30"/>
      <c r="X21" s="17"/>
      <c r="Y21" s="16"/>
      <c r="Z21" s="17"/>
      <c r="AA21" s="30"/>
      <c r="AC21" s="17"/>
    </row>
    <row r="22" spans="1:29" ht="15">
      <c r="A22" s="24" t="s">
        <v>248</v>
      </c>
      <c r="B22" s="17" t="s">
        <v>249</v>
      </c>
      <c r="D22" s="25">
        <v>37061501</v>
      </c>
      <c r="G22" s="17">
        <v>31.5</v>
      </c>
      <c r="H22" s="28">
        <v>-10</v>
      </c>
      <c r="I22" s="25">
        <f>ROUND(H22/100*D22,0)</f>
        <v>-3706150</v>
      </c>
      <c r="J22" s="29"/>
      <c r="K22" s="25">
        <v>21406211</v>
      </c>
      <c r="M22" s="25">
        <f>D22-I22-K22</f>
        <v>19361440</v>
      </c>
      <c r="N22" s="27">
        <v>19</v>
      </c>
      <c r="O22" s="25">
        <f>ROUND(+M22/N22,0)</f>
        <v>1019023</v>
      </c>
      <c r="P22" s="29"/>
      <c r="Q22" s="30">
        <f>O22/D22*100</f>
        <v>2.7495459506618474</v>
      </c>
      <c r="R22" s="17"/>
      <c r="S22" s="25">
        <f>D22-K22</f>
        <v>15655290</v>
      </c>
      <c r="T22" s="17"/>
      <c r="U22" s="25">
        <f>S22/N22</f>
        <v>823962.6315789474</v>
      </c>
      <c r="V22" s="17"/>
      <c r="W22" s="30">
        <f>U22/D22*100</f>
        <v>2.2232306014236913</v>
      </c>
      <c r="X22" s="17"/>
      <c r="Y22" s="16">
        <f>(Q22-W22)/100</f>
        <v>0.0052631534923815605</v>
      </c>
      <c r="Z22" s="17"/>
      <c r="AA22" s="30">
        <f>Y22/Q22</f>
        <v>0.0019141900469474456</v>
      </c>
      <c r="AC22" s="24" t="s">
        <v>248</v>
      </c>
    </row>
    <row r="23" spans="1:29" ht="15">
      <c r="A23" s="17"/>
      <c r="B23" s="17" t="s">
        <v>244</v>
      </c>
      <c r="C23" s="17"/>
      <c r="D23" s="25"/>
      <c r="E23" s="25"/>
      <c r="F23" s="26"/>
      <c r="G23" s="27"/>
      <c r="H23" s="25"/>
      <c r="I23" s="25"/>
      <c r="J23" s="29"/>
      <c r="K23" s="25"/>
      <c r="L23" s="25"/>
      <c r="M23" s="25"/>
      <c r="N23" s="27"/>
      <c r="O23" s="25"/>
      <c r="P23" s="29"/>
      <c r="Q23" s="30"/>
      <c r="R23" s="17"/>
      <c r="S23" s="17"/>
      <c r="T23" s="17"/>
      <c r="U23" s="25"/>
      <c r="V23" s="17"/>
      <c r="W23" s="30"/>
      <c r="X23" s="17"/>
      <c r="Y23" s="16"/>
      <c r="Z23" s="17"/>
      <c r="AA23" s="30"/>
      <c r="AC23" s="17"/>
    </row>
    <row r="24" spans="1:29" ht="15">
      <c r="A24" s="17"/>
      <c r="B24" s="17" t="s">
        <v>245</v>
      </c>
      <c r="C24" s="17"/>
      <c r="D24" s="25">
        <v>200000</v>
      </c>
      <c r="E24" s="25"/>
      <c r="F24" s="26"/>
      <c r="G24" s="27">
        <v>20</v>
      </c>
      <c r="H24" s="28">
        <v>-10</v>
      </c>
      <c r="I24" s="25"/>
      <c r="J24" s="29"/>
      <c r="K24" s="25"/>
      <c r="L24" s="25"/>
      <c r="M24" s="25"/>
      <c r="N24" s="27"/>
      <c r="O24" s="25">
        <f>(1-H24/100)*D24/G24</f>
        <v>11000.000000000002</v>
      </c>
      <c r="P24" s="29"/>
      <c r="Q24" s="30"/>
      <c r="R24" s="17"/>
      <c r="S24" s="17"/>
      <c r="T24" s="17"/>
      <c r="U24" s="25">
        <f>O24</f>
        <v>11000.000000000002</v>
      </c>
      <c r="V24" s="17"/>
      <c r="W24" s="30"/>
      <c r="X24" s="17"/>
      <c r="Y24" s="16"/>
      <c r="Z24" s="17"/>
      <c r="AA24" s="30"/>
      <c r="AC24" s="17"/>
    </row>
    <row r="25" spans="1:29" ht="15">
      <c r="A25" s="17"/>
      <c r="B25" s="17" t="s">
        <v>246</v>
      </c>
      <c r="C25" s="17"/>
      <c r="D25" s="25">
        <v>300000</v>
      </c>
      <c r="E25" s="25"/>
      <c r="F25" s="26"/>
      <c r="G25" s="27">
        <v>19</v>
      </c>
      <c r="H25" s="28">
        <v>-10</v>
      </c>
      <c r="I25" s="25"/>
      <c r="J25" s="29"/>
      <c r="K25" s="25"/>
      <c r="L25" s="25"/>
      <c r="M25" s="25"/>
      <c r="N25" s="27"/>
      <c r="O25" s="25">
        <f>(1-H25/100)*D25/G25</f>
        <v>17368.42105263158</v>
      </c>
      <c r="P25" s="29"/>
      <c r="Q25" s="30"/>
      <c r="R25" s="17"/>
      <c r="S25" s="17"/>
      <c r="T25" s="17"/>
      <c r="U25" s="25">
        <f>O25</f>
        <v>17368.42105263158</v>
      </c>
      <c r="V25" s="17"/>
      <c r="W25" s="30"/>
      <c r="X25" s="17"/>
      <c r="Y25" s="16"/>
      <c r="Z25" s="17"/>
      <c r="AA25" s="30"/>
      <c r="AC25" s="17"/>
    </row>
    <row r="26" spans="1:29" ht="15">
      <c r="A26" s="17"/>
      <c r="B26" s="17" t="s">
        <v>250</v>
      </c>
      <c r="C26" s="17"/>
      <c r="D26" s="31">
        <v>900000</v>
      </c>
      <c r="E26" s="25"/>
      <c r="F26" s="26"/>
      <c r="G26" s="27">
        <v>18</v>
      </c>
      <c r="H26" s="28">
        <v>-10</v>
      </c>
      <c r="I26" s="32"/>
      <c r="J26" s="29"/>
      <c r="K26" s="32"/>
      <c r="L26" s="29"/>
      <c r="M26" s="32"/>
      <c r="N26" s="33"/>
      <c r="O26" s="31">
        <f>(1-H26/100)*D26/G26</f>
        <v>55000.00000000001</v>
      </c>
      <c r="P26" s="29"/>
      <c r="Q26" s="34"/>
      <c r="R26" s="17"/>
      <c r="S26" s="35"/>
      <c r="T26" s="17"/>
      <c r="U26" s="31">
        <f>O26</f>
        <v>55000.00000000001</v>
      </c>
      <c r="V26" s="17"/>
      <c r="W26" s="34"/>
      <c r="X26" s="17"/>
      <c r="Y26" s="36"/>
      <c r="Z26" s="17"/>
      <c r="AA26" s="34"/>
      <c r="AC26" s="17"/>
    </row>
    <row r="27" spans="1:29" ht="15">
      <c r="A27" s="17"/>
      <c r="B27" s="22" t="s">
        <v>251</v>
      </c>
      <c r="C27" s="17"/>
      <c r="D27" s="25">
        <f>SUM(D22:D26)</f>
        <v>38461501</v>
      </c>
      <c r="E27" s="25"/>
      <c r="F27" s="26"/>
      <c r="G27" s="27"/>
      <c r="H27" s="25"/>
      <c r="I27" s="25"/>
      <c r="J27" s="29"/>
      <c r="K27" s="25"/>
      <c r="L27" s="25"/>
      <c r="M27" s="25"/>
      <c r="N27" s="27"/>
      <c r="O27" s="25">
        <f>SUM(O22:O26)</f>
        <v>1102391.4210526317</v>
      </c>
      <c r="P27" s="29"/>
      <c r="Q27" s="30">
        <f>O27/D27*100</f>
        <v>2.866220486435596</v>
      </c>
      <c r="R27" s="17"/>
      <c r="S27" s="25"/>
      <c r="T27" s="17"/>
      <c r="U27" s="25">
        <f>SUM(U22:U26)</f>
        <v>907331.052631579</v>
      </c>
      <c r="V27" s="17"/>
      <c r="W27" s="30">
        <f>U27/D27*100</f>
        <v>2.3590630345695014</v>
      </c>
      <c r="X27" s="17"/>
      <c r="Y27" s="16">
        <f>(Q27-W27)/100</f>
        <v>0.005071574518660946</v>
      </c>
      <c r="Z27" s="17"/>
      <c r="AA27" s="30">
        <f>Y27/Q27</f>
        <v>0.0017694293033847885</v>
      </c>
      <c r="AC27" s="17"/>
    </row>
    <row r="28" spans="1:29" ht="15">
      <c r="A28" s="17"/>
      <c r="R28" s="17"/>
      <c r="S28" s="17"/>
      <c r="T28" s="17"/>
      <c r="V28" s="17"/>
      <c r="X28" s="17"/>
      <c r="Z28" s="17"/>
      <c r="AC28" s="17"/>
    </row>
    <row r="29" spans="1:29" ht="15">
      <c r="A29" s="17"/>
      <c r="R29" s="38"/>
      <c r="S29" s="38"/>
      <c r="T29" s="38"/>
      <c r="V29" s="38"/>
      <c r="X29" s="38"/>
      <c r="Z29" s="38"/>
      <c r="AC29" s="17"/>
    </row>
    <row r="30" spans="1:29" ht="15">
      <c r="A30" s="39" t="s">
        <v>11</v>
      </c>
      <c r="B30" s="17" t="s">
        <v>252</v>
      </c>
      <c r="C30" s="17"/>
      <c r="D30" s="25">
        <v>70641349</v>
      </c>
      <c r="E30" s="25"/>
      <c r="F30" s="26" t="s">
        <v>243</v>
      </c>
      <c r="G30" s="27">
        <v>32</v>
      </c>
      <c r="H30" s="28">
        <v>-10</v>
      </c>
      <c r="I30" s="25">
        <f>ROUND(H30/100*D30,0)</f>
        <v>-7064135</v>
      </c>
      <c r="J30" s="29"/>
      <c r="K30" s="25">
        <v>36244619</v>
      </c>
      <c r="L30" s="25"/>
      <c r="M30" s="25">
        <f>D30-I30-K30</f>
        <v>41460865</v>
      </c>
      <c r="N30" s="27">
        <v>19.3</v>
      </c>
      <c r="O30" s="25">
        <f>ROUND(+M30/N30,0)</f>
        <v>2148231</v>
      </c>
      <c r="P30" s="29"/>
      <c r="Q30" s="30">
        <f>O30/D30*100</f>
        <v>3.041039037915315</v>
      </c>
      <c r="R30" s="17"/>
      <c r="S30" s="25">
        <f>D30-K30</f>
        <v>34396730</v>
      </c>
      <c r="T30" s="17"/>
      <c r="U30" s="25">
        <f>S30/N30</f>
        <v>1782213.9896373057</v>
      </c>
      <c r="V30" s="17"/>
      <c r="W30" s="30">
        <f>U30/D30*100</f>
        <v>2.522904806981115</v>
      </c>
      <c r="X30" s="17"/>
      <c r="Y30" s="16">
        <f>(Q30-W30)/100</f>
        <v>0.005181342309342001</v>
      </c>
      <c r="Z30" s="17"/>
      <c r="AA30" s="30"/>
      <c r="AC30" s="39" t="s">
        <v>11</v>
      </c>
    </row>
    <row r="31" spans="1:29" ht="15">
      <c r="A31" s="30"/>
      <c r="B31" s="17" t="s">
        <v>244</v>
      </c>
      <c r="C31" s="17"/>
      <c r="D31" s="40"/>
      <c r="E31" s="25"/>
      <c r="F31" s="26"/>
      <c r="G31" s="27"/>
      <c r="H31" s="25"/>
      <c r="I31" s="40"/>
      <c r="J31" s="41"/>
      <c r="K31" s="40"/>
      <c r="L31" s="25"/>
      <c r="M31" s="40"/>
      <c r="N31" s="27"/>
      <c r="O31" s="40"/>
      <c r="P31" s="41"/>
      <c r="Q31" s="30"/>
      <c r="R31" s="17"/>
      <c r="S31" s="17"/>
      <c r="T31" s="17"/>
      <c r="U31" s="40"/>
      <c r="V31" s="17"/>
      <c r="W31" s="30"/>
      <c r="X31" s="17"/>
      <c r="Y31" s="16"/>
      <c r="Z31" s="17"/>
      <c r="AA31" s="30"/>
      <c r="AC31" s="30"/>
    </row>
    <row r="32" spans="1:29" ht="15">
      <c r="A32" s="17"/>
      <c r="B32" s="17" t="s">
        <v>246</v>
      </c>
      <c r="C32" s="17"/>
      <c r="D32" s="31">
        <v>500000</v>
      </c>
      <c r="E32" s="25"/>
      <c r="F32" s="26"/>
      <c r="G32" s="27">
        <v>19</v>
      </c>
      <c r="H32" s="28">
        <v>-10</v>
      </c>
      <c r="I32" s="32"/>
      <c r="J32" s="29"/>
      <c r="K32" s="32"/>
      <c r="L32" s="29"/>
      <c r="M32" s="32"/>
      <c r="N32" s="33"/>
      <c r="O32" s="31">
        <f>(1-H32/100)*D32/G32</f>
        <v>28947.36842105263</v>
      </c>
      <c r="P32" s="29"/>
      <c r="Q32" s="34" t="s">
        <v>253</v>
      </c>
      <c r="R32" s="17"/>
      <c r="S32" s="35"/>
      <c r="T32" s="17"/>
      <c r="U32" s="31">
        <f>O32</f>
        <v>28947.36842105263</v>
      </c>
      <c r="V32" s="17"/>
      <c r="W32" s="34"/>
      <c r="X32" s="17"/>
      <c r="Y32" s="36"/>
      <c r="Z32" s="17"/>
      <c r="AA32" s="34"/>
      <c r="AC32" s="17"/>
    </row>
    <row r="33" spans="1:29" ht="15">
      <c r="A33" s="30"/>
      <c r="B33" s="22" t="s">
        <v>254</v>
      </c>
      <c r="C33" s="17"/>
      <c r="D33" s="25">
        <f>SUM(D30:D32)</f>
        <v>71141349</v>
      </c>
      <c r="E33" s="25"/>
      <c r="F33" s="26"/>
      <c r="G33" s="27"/>
      <c r="H33" s="25"/>
      <c r="I33" s="40"/>
      <c r="J33" s="41"/>
      <c r="K33" s="40"/>
      <c r="L33" s="25"/>
      <c r="M33" s="40"/>
      <c r="N33" s="27"/>
      <c r="O33" s="25">
        <f>SUM(O30:O32)</f>
        <v>2177178.3684210526</v>
      </c>
      <c r="P33" s="41"/>
      <c r="Q33" s="30">
        <f>O33/D33*100</f>
        <v>3.0603557551615346</v>
      </c>
      <c r="R33" s="17"/>
      <c r="S33" s="25"/>
      <c r="T33" s="17"/>
      <c r="U33" s="25">
        <f>SUM(U30:U32)</f>
        <v>1811161.3580583583</v>
      </c>
      <c r="V33" s="17"/>
      <c r="W33" s="30">
        <f>U33/D33*100</f>
        <v>2.5458631070635986</v>
      </c>
      <c r="X33" s="17"/>
      <c r="Y33" s="16">
        <f>(Q33-W33)/100</f>
        <v>0.005144926480979359</v>
      </c>
      <c r="Z33" s="17"/>
      <c r="AA33" s="30">
        <f>Y33/Q33</f>
        <v>0.0016811530725805422</v>
      </c>
      <c r="AC33" s="30"/>
    </row>
    <row r="34" spans="1:29" ht="15">
      <c r="A34" s="17"/>
      <c r="R34" s="38"/>
      <c r="S34" s="38"/>
      <c r="T34" s="38"/>
      <c r="V34" s="38"/>
      <c r="X34" s="38"/>
      <c r="Z34" s="38"/>
      <c r="AC34" s="17"/>
    </row>
    <row r="35" spans="1:29" ht="15">
      <c r="A35" s="17"/>
      <c r="B35" s="22"/>
      <c r="C35" s="17"/>
      <c r="D35" s="25"/>
      <c r="E35" s="25"/>
      <c r="F35" s="17"/>
      <c r="G35" s="27"/>
      <c r="H35" s="25"/>
      <c r="I35" s="25"/>
      <c r="J35" s="29"/>
      <c r="K35" s="25"/>
      <c r="L35" s="17"/>
      <c r="M35" s="25"/>
      <c r="N35" s="17"/>
      <c r="O35" s="25"/>
      <c r="P35" s="29"/>
      <c r="Q35" s="30"/>
      <c r="R35" s="17"/>
      <c r="S35" s="17"/>
      <c r="T35" s="17"/>
      <c r="U35" s="25"/>
      <c r="V35" s="17"/>
      <c r="W35" s="30"/>
      <c r="X35" s="17"/>
      <c r="Y35" s="16"/>
      <c r="Z35" s="17"/>
      <c r="AA35" s="30"/>
      <c r="AC35" s="17"/>
    </row>
    <row r="36" spans="1:29" ht="15">
      <c r="A36" s="38"/>
      <c r="B36" s="22" t="s">
        <v>255</v>
      </c>
      <c r="C36" s="17"/>
      <c r="D36" s="25">
        <f>D19+D27+D33</f>
        <v>152571166</v>
      </c>
      <c r="E36" s="25"/>
      <c r="F36" s="17"/>
      <c r="G36" s="27" t="s">
        <v>253</v>
      </c>
      <c r="H36" s="25"/>
      <c r="I36" s="25" t="s">
        <v>253</v>
      </c>
      <c r="J36" s="29"/>
      <c r="K36" s="25" t="s">
        <v>253</v>
      </c>
      <c r="L36" s="17" t="s">
        <v>253</v>
      </c>
      <c r="M36" s="25" t="s">
        <v>253</v>
      </c>
      <c r="N36" s="17"/>
      <c r="O36" s="25">
        <f>O19+O27+O33</f>
        <v>4542309.736842105</v>
      </c>
      <c r="P36" s="29"/>
      <c r="Q36" s="30">
        <f>O36/D36*100</f>
        <v>2.9771744268128</v>
      </c>
      <c r="R36" s="17"/>
      <c r="S36" s="25"/>
      <c r="T36" s="17"/>
      <c r="U36" s="25">
        <f>U19+U27+U33</f>
        <v>3757714.568584674</v>
      </c>
      <c r="V36" s="17"/>
      <c r="W36" s="30">
        <f>U36/D36*100</f>
        <v>2.46292577234723</v>
      </c>
      <c r="X36" s="17"/>
      <c r="Y36" s="16">
        <f>(Q36-W36)/100</f>
        <v>0.0051424865446557</v>
      </c>
      <c r="Z36" s="17"/>
      <c r="AA36" s="30">
        <f>Y36/Q36</f>
        <v>0.0017273044193655003</v>
      </c>
      <c r="AC36" s="38"/>
    </row>
    <row r="37" spans="1:29" ht="15">
      <c r="A37" s="17"/>
      <c r="B37" s="22"/>
      <c r="C37" s="17"/>
      <c r="D37" s="25"/>
      <c r="E37" s="25"/>
      <c r="F37" s="17"/>
      <c r="G37" s="27"/>
      <c r="H37" s="17"/>
      <c r="I37" s="25"/>
      <c r="J37" s="29"/>
      <c r="K37" s="25"/>
      <c r="L37" s="17"/>
      <c r="M37" s="25"/>
      <c r="N37" s="17"/>
      <c r="O37" s="25"/>
      <c r="P37" s="29"/>
      <c r="Q37" s="30"/>
      <c r="R37" s="17"/>
      <c r="S37" s="17"/>
      <c r="T37" s="17"/>
      <c r="U37" s="25"/>
      <c r="V37" s="17"/>
      <c r="W37" s="30"/>
      <c r="X37" s="17"/>
      <c r="Y37" s="16"/>
      <c r="Z37" s="17"/>
      <c r="AA37" s="30"/>
      <c r="AC37" s="17"/>
    </row>
    <row r="38" spans="1:29" ht="15">
      <c r="A38" s="17"/>
      <c r="B38" s="22" t="s">
        <v>256</v>
      </c>
      <c r="C38" s="17"/>
      <c r="D38" s="25"/>
      <c r="E38" s="17"/>
      <c r="F38" s="17"/>
      <c r="G38" s="17"/>
      <c r="H38" s="17"/>
      <c r="I38" s="17"/>
      <c r="J38" s="23"/>
      <c r="K38" s="17"/>
      <c r="L38" s="17"/>
      <c r="M38" s="17"/>
      <c r="N38" s="17"/>
      <c r="O38" s="17"/>
      <c r="P38" s="23"/>
      <c r="Q38" s="17"/>
      <c r="R38" s="17"/>
      <c r="S38" s="17"/>
      <c r="T38" s="17"/>
      <c r="U38" s="17"/>
      <c r="V38" s="17"/>
      <c r="W38" s="17"/>
      <c r="X38" s="17"/>
      <c r="Y38" s="16"/>
      <c r="Z38" s="17"/>
      <c r="AA38" s="17"/>
      <c r="AC38" s="17"/>
    </row>
    <row r="39" spans="1:29" ht="15">
      <c r="A39" s="17"/>
      <c r="C39" s="17"/>
      <c r="D39" s="17"/>
      <c r="E39" s="17"/>
      <c r="F39" s="17"/>
      <c r="G39" s="17"/>
      <c r="H39" s="17"/>
      <c r="I39" s="17"/>
      <c r="J39" s="23"/>
      <c r="K39" s="17"/>
      <c r="L39" s="17"/>
      <c r="M39" s="17"/>
      <c r="N39" s="17"/>
      <c r="O39" s="17"/>
      <c r="P39" s="23"/>
      <c r="Q39" s="17"/>
      <c r="R39" s="17"/>
      <c r="S39" s="17"/>
      <c r="T39" s="17"/>
      <c r="U39" s="17"/>
      <c r="V39" s="17"/>
      <c r="W39" s="17"/>
      <c r="X39" s="17"/>
      <c r="Y39" s="16"/>
      <c r="Z39" s="17"/>
      <c r="AA39" s="17"/>
      <c r="AC39" s="17"/>
    </row>
    <row r="40" spans="1:29" ht="15">
      <c r="A40" s="39" t="s">
        <v>257</v>
      </c>
      <c r="B40" s="17" t="s">
        <v>242</v>
      </c>
      <c r="C40" s="17"/>
      <c r="D40" s="25">
        <v>18364208</v>
      </c>
      <c r="E40" s="25"/>
      <c r="F40" s="26" t="s">
        <v>243</v>
      </c>
      <c r="G40" s="27">
        <v>23.3</v>
      </c>
      <c r="H40" s="28">
        <v>-10</v>
      </c>
      <c r="I40" s="25">
        <f>ROUND(H40/100*D40,0)</f>
        <v>-1836421</v>
      </c>
      <c r="J40" s="29"/>
      <c r="K40" s="25">
        <v>20200629</v>
      </c>
      <c r="L40" s="25"/>
      <c r="M40" s="42" t="s">
        <v>258</v>
      </c>
      <c r="N40" s="43"/>
      <c r="O40" s="42"/>
      <c r="P40" s="29"/>
      <c r="Q40" s="30"/>
      <c r="R40" s="17"/>
      <c r="S40" s="17"/>
      <c r="T40" s="17"/>
      <c r="U40" s="42"/>
      <c r="V40" s="17"/>
      <c r="W40" s="30"/>
      <c r="X40" s="17"/>
      <c r="Y40" s="16"/>
      <c r="Z40" s="17"/>
      <c r="AA40" s="30"/>
      <c r="AC40" s="39" t="s">
        <v>257</v>
      </c>
    </row>
    <row r="41" spans="1:29" ht="15">
      <c r="A41" s="39" t="s">
        <v>259</v>
      </c>
      <c r="B41" s="17" t="s">
        <v>249</v>
      </c>
      <c r="C41" s="17"/>
      <c r="D41" s="25">
        <v>31250742</v>
      </c>
      <c r="E41" s="25"/>
      <c r="F41" s="26" t="s">
        <v>243</v>
      </c>
      <c r="G41" s="27">
        <v>26.2</v>
      </c>
      <c r="H41" s="28">
        <v>-10</v>
      </c>
      <c r="I41" s="25">
        <f>ROUND(H41/100*D41,0)</f>
        <v>-3125074</v>
      </c>
      <c r="J41" s="29"/>
      <c r="K41" s="25">
        <v>27173390</v>
      </c>
      <c r="L41" s="25"/>
      <c r="M41" s="25">
        <f>D41-I41-K41</f>
        <v>7202426</v>
      </c>
      <c r="N41" s="27">
        <v>13</v>
      </c>
      <c r="O41" s="25">
        <f>ROUND(+M41/N41,0)</f>
        <v>554033</v>
      </c>
      <c r="P41" s="29"/>
      <c r="Q41" s="30">
        <f>O41/D41*100</f>
        <v>1.7728635051289343</v>
      </c>
      <c r="R41" s="17"/>
      <c r="S41" s="25">
        <f>D41-K41</f>
        <v>4077352</v>
      </c>
      <c r="T41" s="17"/>
      <c r="U41" s="25">
        <f>S41/N41</f>
        <v>313642.46153846156</v>
      </c>
      <c r="V41" s="17"/>
      <c r="W41" s="30">
        <f>U41/D41*100</f>
        <v>1.0036320466837605</v>
      </c>
      <c r="X41" s="17"/>
      <c r="Y41" s="16">
        <f>(Q41-W41)/100</f>
        <v>0.007692314584451738</v>
      </c>
      <c r="Z41" s="17"/>
      <c r="AA41" s="30">
        <f>Y41/Q41</f>
        <v>0.004338920939033207</v>
      </c>
      <c r="AC41" s="39" t="s">
        <v>259</v>
      </c>
    </row>
    <row r="42" spans="1:29" ht="15">
      <c r="A42" s="24" t="s">
        <v>260</v>
      </c>
      <c r="B42" s="17" t="s">
        <v>252</v>
      </c>
      <c r="C42" s="17"/>
      <c r="D42" s="31">
        <v>29778214</v>
      </c>
      <c r="E42" s="25"/>
      <c r="F42" s="26" t="s">
        <v>243</v>
      </c>
      <c r="G42" s="27">
        <v>25.9</v>
      </c>
      <c r="H42" s="28">
        <v>-10</v>
      </c>
      <c r="I42" s="32">
        <f>ROUND(H42/100*D42,0)</f>
        <v>-2977821</v>
      </c>
      <c r="J42" s="29"/>
      <c r="K42" s="32">
        <v>24364345</v>
      </c>
      <c r="L42" s="29"/>
      <c r="M42" s="32">
        <f>D42-I42-K42</f>
        <v>8391690</v>
      </c>
      <c r="N42" s="33">
        <v>12.9</v>
      </c>
      <c r="O42" s="31">
        <f>ROUND(+M42/N42,0)</f>
        <v>650519</v>
      </c>
      <c r="P42" s="29"/>
      <c r="Q42" s="34">
        <f>O42/D42*100</f>
        <v>2.1845467293639573</v>
      </c>
      <c r="R42" s="17"/>
      <c r="S42" s="35">
        <f>D42-K42</f>
        <v>5413869</v>
      </c>
      <c r="T42" s="17"/>
      <c r="U42" s="31">
        <f>S42/N42</f>
        <v>419679.76744186046</v>
      </c>
      <c r="V42" s="17"/>
      <c r="W42" s="34">
        <f>U42/D42*100</f>
        <v>1.4093517073987731</v>
      </c>
      <c r="X42" s="17"/>
      <c r="Y42" s="36">
        <f>(Q42-W42)/100</f>
        <v>0.007751950219651842</v>
      </c>
      <c r="Z42" s="17"/>
      <c r="AA42" s="34">
        <f>Y42/Q42</f>
        <v>0.0035485394363291393</v>
      </c>
      <c r="AC42" s="24" t="s">
        <v>260</v>
      </c>
    </row>
    <row r="43" spans="1:29" ht="15">
      <c r="A43" s="30"/>
      <c r="B43" s="22" t="s">
        <v>261</v>
      </c>
      <c r="C43" s="17"/>
      <c r="D43" s="25">
        <f>SUM(D40:D42)</f>
        <v>79393164</v>
      </c>
      <c r="E43" s="40"/>
      <c r="F43" s="26"/>
      <c r="G43" s="27">
        <f>1*Y43</f>
        <v>0.005935394778065251</v>
      </c>
      <c r="H43" s="25"/>
      <c r="I43" s="25">
        <f>SUM(I40:I42)</f>
        <v>-7939316</v>
      </c>
      <c r="J43" s="29"/>
      <c r="K43" s="25">
        <f>SUM(K40:K42)</f>
        <v>71738364</v>
      </c>
      <c r="L43" s="25"/>
      <c r="M43" s="25">
        <f>SUM(M40:M42)</f>
        <v>15594116</v>
      </c>
      <c r="N43" s="27"/>
      <c r="O43" s="25">
        <f>SUM(O40:O42)</f>
        <v>1204552</v>
      </c>
      <c r="P43" s="29"/>
      <c r="Q43" s="30">
        <f>O43/D43*100</f>
        <v>1.5171986343811668</v>
      </c>
      <c r="R43" s="17"/>
      <c r="S43" s="25">
        <f>D43-K43</f>
        <v>7654800</v>
      </c>
      <c r="T43" s="17"/>
      <c r="U43" s="25">
        <f>SUM(U41:U42)</f>
        <v>733322.228980322</v>
      </c>
      <c r="V43" s="17"/>
      <c r="W43" s="30">
        <f>U43/D43*100</f>
        <v>0.9236591565746416</v>
      </c>
      <c r="X43" s="17"/>
      <c r="Y43" s="16">
        <f>(Q43-W43)/100</f>
        <v>0.005935394778065251</v>
      </c>
      <c r="Z43" s="17"/>
      <c r="AA43" s="30"/>
      <c r="AC43" s="30"/>
    </row>
    <row r="44" spans="1:29" ht="15">
      <c r="A44" s="17"/>
      <c r="B44" s="22"/>
      <c r="C44" s="17"/>
      <c r="D44" s="25"/>
      <c r="E44" s="25"/>
      <c r="F44" s="17"/>
      <c r="G44" s="27"/>
      <c r="H44" s="17"/>
      <c r="I44" s="25"/>
      <c r="J44" s="29"/>
      <c r="K44" s="25"/>
      <c r="L44" s="17"/>
      <c r="M44" s="25"/>
      <c r="N44" s="17"/>
      <c r="O44" s="25"/>
      <c r="P44" s="29"/>
      <c r="Q44" s="30"/>
      <c r="R44" s="17"/>
      <c r="S44" s="17"/>
      <c r="T44" s="17"/>
      <c r="U44" s="25"/>
      <c r="V44" s="17"/>
      <c r="W44" s="30"/>
      <c r="X44" s="17"/>
      <c r="Y44" s="16"/>
      <c r="Z44" s="17"/>
      <c r="AA44" s="30"/>
      <c r="AC44" s="17"/>
    </row>
    <row r="45" spans="1:29" ht="15">
      <c r="A45" s="17"/>
      <c r="B45" s="22" t="s">
        <v>262</v>
      </c>
      <c r="C45" s="17"/>
      <c r="D45" s="25">
        <f>D36+D43</f>
        <v>231964330</v>
      </c>
      <c r="E45" s="25"/>
      <c r="F45" s="17"/>
      <c r="G45" s="27" t="s">
        <v>253</v>
      </c>
      <c r="H45" s="17"/>
      <c r="I45" s="25" t="s">
        <v>253</v>
      </c>
      <c r="J45" s="29"/>
      <c r="K45" s="25" t="s">
        <v>253</v>
      </c>
      <c r="L45" s="17" t="s">
        <v>263</v>
      </c>
      <c r="M45" s="25" t="s">
        <v>253</v>
      </c>
      <c r="N45" s="17"/>
      <c r="O45" s="25">
        <f>O36+O43</f>
        <v>5746861.736842105</v>
      </c>
      <c r="P45" s="29"/>
      <c r="Q45" s="30">
        <f>O45/D45*100</f>
        <v>2.4774764882351112</v>
      </c>
      <c r="R45" s="17"/>
      <c r="S45" s="17"/>
      <c r="T45" s="17"/>
      <c r="U45" s="25">
        <f>U36+U43</f>
        <v>4491036.797564996</v>
      </c>
      <c r="V45" s="17"/>
      <c r="W45" s="30">
        <f>U45/D45*100</f>
        <v>1.9360893968331234</v>
      </c>
      <c r="X45" s="17"/>
      <c r="Y45" s="16">
        <f>(Q45-W45)/100</f>
        <v>0.005413870914019878</v>
      </c>
      <c r="Z45" s="17"/>
      <c r="AA45" s="30">
        <f>Y45/Q45</f>
        <v>0.0021852360414837185</v>
      </c>
      <c r="AC45" s="17"/>
    </row>
    <row r="46" spans="1:29" ht="15">
      <c r="A46" s="17"/>
      <c r="B46" s="22"/>
      <c r="C46" s="17"/>
      <c r="D46" s="25"/>
      <c r="E46" s="25"/>
      <c r="F46" s="17"/>
      <c r="G46" s="27"/>
      <c r="H46" s="17"/>
      <c r="I46" s="25"/>
      <c r="J46" s="29"/>
      <c r="K46" s="25"/>
      <c r="L46" s="17"/>
      <c r="M46" s="25"/>
      <c r="N46" s="17"/>
      <c r="O46" s="25"/>
      <c r="P46" s="29"/>
      <c r="Q46" s="30"/>
      <c r="R46" s="17"/>
      <c r="S46" s="17"/>
      <c r="T46" s="17"/>
      <c r="U46" s="25"/>
      <c r="V46" s="17"/>
      <c r="W46" s="30"/>
      <c r="X46" s="17"/>
      <c r="Y46" s="16"/>
      <c r="Z46" s="17"/>
      <c r="AA46" s="30"/>
      <c r="AC46" s="17"/>
    </row>
    <row r="47" spans="1:29" ht="15">
      <c r="A47" s="17"/>
      <c r="B47" s="22"/>
      <c r="C47" s="17"/>
      <c r="D47" s="25"/>
      <c r="E47" s="25"/>
      <c r="F47" s="17"/>
      <c r="G47" s="27"/>
      <c r="H47" s="17"/>
      <c r="I47" s="25"/>
      <c r="J47" s="29"/>
      <c r="K47" s="25"/>
      <c r="L47" s="17"/>
      <c r="M47" s="25"/>
      <c r="N47" s="17"/>
      <c r="O47" s="25"/>
      <c r="P47" s="29"/>
      <c r="Q47" s="30"/>
      <c r="R47" s="17"/>
      <c r="S47" s="17"/>
      <c r="T47" s="17"/>
      <c r="U47" s="25"/>
      <c r="V47" s="17"/>
      <c r="W47" s="30"/>
      <c r="X47" s="17"/>
      <c r="Y47" s="16"/>
      <c r="Z47" s="17"/>
      <c r="AA47" s="30"/>
      <c r="AC47" s="17"/>
    </row>
    <row r="48" spans="1:29" ht="15">
      <c r="A48" s="17"/>
      <c r="B48" s="22" t="s">
        <v>264</v>
      </c>
      <c r="C48" s="17"/>
      <c r="D48" s="25"/>
      <c r="E48" s="25"/>
      <c r="F48" s="17"/>
      <c r="G48" s="27"/>
      <c r="H48" s="17"/>
      <c r="I48" s="25"/>
      <c r="J48" s="29"/>
      <c r="K48" s="25"/>
      <c r="L48" s="17"/>
      <c r="M48" s="25"/>
      <c r="N48" s="17"/>
      <c r="O48" s="25"/>
      <c r="P48" s="29"/>
      <c r="Q48" s="30"/>
      <c r="R48" s="17"/>
      <c r="S48" s="17"/>
      <c r="T48" s="17"/>
      <c r="U48" s="25"/>
      <c r="V48" s="17"/>
      <c r="W48" s="30"/>
      <c r="X48" s="17"/>
      <c r="Y48" s="16"/>
      <c r="Z48" s="17"/>
      <c r="AA48" s="30"/>
      <c r="AC48" s="17"/>
    </row>
    <row r="49" spans="1:29" ht="15">
      <c r="A49" s="17"/>
      <c r="B49" s="22"/>
      <c r="C49" s="17"/>
      <c r="D49" s="17"/>
      <c r="E49" s="17"/>
      <c r="F49" s="17"/>
      <c r="G49" s="17"/>
      <c r="H49" s="17"/>
      <c r="I49" s="17"/>
      <c r="J49" s="23"/>
      <c r="K49" s="17"/>
      <c r="L49" s="17"/>
      <c r="M49" s="17"/>
      <c r="N49" s="17"/>
      <c r="O49" s="17"/>
      <c r="P49" s="23"/>
      <c r="Q49" s="17"/>
      <c r="R49" s="17"/>
      <c r="S49" s="17"/>
      <c r="T49" s="17"/>
      <c r="U49" s="17"/>
      <c r="V49" s="17"/>
      <c r="W49" s="17"/>
      <c r="X49" s="17"/>
      <c r="Y49" s="16"/>
      <c r="Z49" s="17"/>
      <c r="AA49" s="17"/>
      <c r="AC49" s="17"/>
    </row>
    <row r="50" spans="1:29" ht="15">
      <c r="A50" s="17"/>
      <c r="B50" s="22" t="s">
        <v>265</v>
      </c>
      <c r="C50" s="17"/>
      <c r="D50" s="17"/>
      <c r="E50" s="17"/>
      <c r="F50" s="17"/>
      <c r="G50" s="17"/>
      <c r="H50" s="17"/>
      <c r="I50" s="17"/>
      <c r="J50" s="23"/>
      <c r="K50" s="17"/>
      <c r="L50" s="17"/>
      <c r="M50" s="17"/>
      <c r="N50" s="17"/>
      <c r="O50" s="17"/>
      <c r="P50" s="23"/>
      <c r="Q50" s="17"/>
      <c r="R50" s="17"/>
      <c r="S50" s="17"/>
      <c r="T50" s="17"/>
      <c r="U50" s="17"/>
      <c r="V50" s="17"/>
      <c r="W50" s="17"/>
      <c r="X50" s="17"/>
      <c r="Y50" s="16"/>
      <c r="Z50" s="17"/>
      <c r="AA50" s="17"/>
      <c r="AC50" s="17"/>
    </row>
    <row r="51" spans="1:29" ht="15">
      <c r="A51" s="17"/>
      <c r="B51" s="22"/>
      <c r="C51" s="17"/>
      <c r="D51" s="17"/>
      <c r="E51" s="17"/>
      <c r="F51" s="17"/>
      <c r="G51" s="17"/>
      <c r="H51" s="17"/>
      <c r="I51" s="17"/>
      <c r="J51" s="23"/>
      <c r="K51" s="17"/>
      <c r="L51" s="17"/>
      <c r="M51" s="17"/>
      <c r="N51" s="17"/>
      <c r="O51" s="17"/>
      <c r="P51" s="23"/>
      <c r="Q51" s="17"/>
      <c r="R51" s="17"/>
      <c r="S51" s="17"/>
      <c r="T51" s="17"/>
      <c r="U51" s="17"/>
      <c r="V51" s="17"/>
      <c r="W51" s="17"/>
      <c r="X51" s="17"/>
      <c r="Y51" s="16"/>
      <c r="Z51" s="17"/>
      <c r="AA51" s="17"/>
      <c r="AC51" s="17"/>
    </row>
    <row r="52" spans="1:29" ht="15">
      <c r="A52" s="24" t="s">
        <v>24</v>
      </c>
      <c r="B52" s="17" t="s">
        <v>266</v>
      </c>
      <c r="C52" s="17"/>
      <c r="D52" s="25">
        <v>79004270</v>
      </c>
      <c r="E52" s="25"/>
      <c r="F52" s="26" t="s">
        <v>243</v>
      </c>
      <c r="G52" s="27">
        <v>36.1</v>
      </c>
      <c r="H52" s="28">
        <v>-7.5</v>
      </c>
      <c r="I52" s="25">
        <f>ROUND(H52/100*D52,0)</f>
        <v>-5925320</v>
      </c>
      <c r="J52" s="29"/>
      <c r="K52" s="25">
        <v>48711263</v>
      </c>
      <c r="L52" s="25"/>
      <c r="M52" s="25">
        <f>D52-I52-K52</f>
        <v>36218327</v>
      </c>
      <c r="N52" s="27">
        <f>18.9+1</f>
        <v>19.9</v>
      </c>
      <c r="O52" s="25">
        <f>ROUND(+M52/N52,0)</f>
        <v>1820016</v>
      </c>
      <c r="P52" s="29"/>
      <c r="Q52" s="30">
        <f>O52/D52*100</f>
        <v>2.3036932054431993</v>
      </c>
      <c r="R52" s="17"/>
      <c r="S52" s="25">
        <f>D52-K52</f>
        <v>30293007</v>
      </c>
      <c r="T52" s="17"/>
      <c r="U52" s="25">
        <f>S52/N52</f>
        <v>1522261.6582914575</v>
      </c>
      <c r="V52" s="17"/>
      <c r="W52" s="30">
        <f>U52/D52*100</f>
        <v>1.92680934624351</v>
      </c>
      <c r="X52" s="17"/>
      <c r="Y52" s="16">
        <f>(Q52-W52)/100</f>
        <v>0.0037688385919968925</v>
      </c>
      <c r="Z52" s="17"/>
      <c r="AA52" s="30">
        <f>Y52/Q52</f>
        <v>0.0016359984841261964</v>
      </c>
      <c r="AC52" s="24" t="s">
        <v>24</v>
      </c>
    </row>
    <row r="53" spans="1:29" ht="15">
      <c r="A53" s="17"/>
      <c r="B53" s="17" t="s">
        <v>244</v>
      </c>
      <c r="C53" s="17"/>
      <c r="D53" s="25"/>
      <c r="E53" s="25"/>
      <c r="F53" s="26"/>
      <c r="G53" s="27"/>
      <c r="H53" s="25"/>
      <c r="I53" s="25"/>
      <c r="J53" s="29"/>
      <c r="K53" s="25"/>
      <c r="L53" s="25"/>
      <c r="M53" s="25"/>
      <c r="N53" s="27"/>
      <c r="O53" s="25"/>
      <c r="P53" s="29"/>
      <c r="Q53" s="30"/>
      <c r="R53" s="17"/>
      <c r="S53" s="17"/>
      <c r="T53" s="17"/>
      <c r="U53" s="25"/>
      <c r="V53" s="17"/>
      <c r="W53" s="30"/>
      <c r="X53" s="17"/>
      <c r="Y53" s="16"/>
      <c r="Z53" s="17"/>
      <c r="AA53" s="30"/>
      <c r="AC53" s="17"/>
    </row>
    <row r="54" spans="1:29" ht="15">
      <c r="A54" s="17"/>
      <c r="B54" s="17" t="s">
        <v>245</v>
      </c>
      <c r="C54" s="17"/>
      <c r="D54" s="25">
        <v>200000</v>
      </c>
      <c r="E54" s="25"/>
      <c r="F54" s="26"/>
      <c r="G54" s="27">
        <v>20</v>
      </c>
      <c r="H54" s="28">
        <v>-7.5</v>
      </c>
      <c r="I54" s="25"/>
      <c r="J54" s="29"/>
      <c r="K54" s="25"/>
      <c r="L54" s="25"/>
      <c r="M54" s="25"/>
      <c r="N54" s="27"/>
      <c r="O54" s="25">
        <f>(1-H54/100)*D54/G54</f>
        <v>10750</v>
      </c>
      <c r="P54" s="29"/>
      <c r="Q54" s="30"/>
      <c r="R54" s="17"/>
      <c r="S54" s="17"/>
      <c r="T54" s="17"/>
      <c r="U54" s="25">
        <f>O54</f>
        <v>10750</v>
      </c>
      <c r="V54" s="17"/>
      <c r="W54" s="30"/>
      <c r="X54" s="17"/>
      <c r="Y54" s="16"/>
      <c r="Z54" s="17"/>
      <c r="AA54" s="30"/>
      <c r="AC54" s="17"/>
    </row>
    <row r="55" spans="1:29" ht="15">
      <c r="A55" s="17"/>
      <c r="B55" s="17" t="s">
        <v>246</v>
      </c>
      <c r="C55" s="17"/>
      <c r="D55" s="25">
        <v>300000</v>
      </c>
      <c r="E55" s="25"/>
      <c r="F55" s="26"/>
      <c r="G55" s="27">
        <v>19</v>
      </c>
      <c r="H55" s="28">
        <v>-7.5</v>
      </c>
      <c r="I55" s="25"/>
      <c r="J55" s="29"/>
      <c r="K55" s="25"/>
      <c r="L55" s="25"/>
      <c r="M55" s="25"/>
      <c r="N55" s="27"/>
      <c r="O55" s="25">
        <f>(1-H55/100)*D55/G55</f>
        <v>16973.684210526317</v>
      </c>
      <c r="P55" s="29"/>
      <c r="Q55" s="30"/>
      <c r="R55" s="17"/>
      <c r="S55" s="17"/>
      <c r="T55" s="17"/>
      <c r="U55" s="25">
        <f>O55</f>
        <v>16973.684210526317</v>
      </c>
      <c r="V55" s="17"/>
      <c r="W55" s="30"/>
      <c r="X55" s="17"/>
      <c r="Y55" s="16"/>
      <c r="Z55" s="17"/>
      <c r="AA55" s="30"/>
      <c r="AC55" s="17"/>
    </row>
    <row r="56" spans="1:29" ht="15">
      <c r="A56" s="17"/>
      <c r="B56" s="17" t="s">
        <v>250</v>
      </c>
      <c r="C56" s="17"/>
      <c r="D56" s="31">
        <v>1500000</v>
      </c>
      <c r="E56" s="25"/>
      <c r="F56" s="26"/>
      <c r="G56" s="27">
        <v>18</v>
      </c>
      <c r="H56" s="28">
        <v>-7.5</v>
      </c>
      <c r="I56" s="32"/>
      <c r="J56" s="29"/>
      <c r="K56" s="32"/>
      <c r="L56" s="29"/>
      <c r="M56" s="32"/>
      <c r="N56" s="33"/>
      <c r="O56" s="31">
        <f>(1-H56/100)*D56/G56</f>
        <v>89583.33333333333</v>
      </c>
      <c r="P56" s="29"/>
      <c r="Q56" s="34"/>
      <c r="R56" s="17"/>
      <c r="S56" s="35"/>
      <c r="T56" s="17"/>
      <c r="U56" s="31">
        <f>O56</f>
        <v>89583.33333333333</v>
      </c>
      <c r="V56" s="17"/>
      <c r="W56" s="34"/>
      <c r="X56" s="17"/>
      <c r="Y56" s="36"/>
      <c r="Z56" s="17"/>
      <c r="AA56" s="34"/>
      <c r="AC56" s="17"/>
    </row>
    <row r="57" spans="1:29" ht="15">
      <c r="A57" s="17"/>
      <c r="B57" s="22" t="s">
        <v>267</v>
      </c>
      <c r="C57" s="17"/>
      <c r="D57" s="25">
        <f>SUM(D52:D56)</f>
        <v>81004270</v>
      </c>
      <c r="E57" s="25"/>
      <c r="F57" s="26"/>
      <c r="G57" s="27"/>
      <c r="H57" s="25"/>
      <c r="I57" s="25"/>
      <c r="J57" s="29"/>
      <c r="K57" s="25"/>
      <c r="L57" s="25"/>
      <c r="M57" s="25"/>
      <c r="N57" s="27"/>
      <c r="O57" s="25">
        <f>SUM(O52:O56)</f>
        <v>1937323.0175438595</v>
      </c>
      <c r="P57" s="29"/>
      <c r="Q57" s="30">
        <f>O57/D57*100</f>
        <v>2.3916307344586394</v>
      </c>
      <c r="R57" s="17"/>
      <c r="S57" s="17"/>
      <c r="T57" s="17"/>
      <c r="U57" s="25">
        <f>SUM(U52:U56)</f>
        <v>1639568.675835317</v>
      </c>
      <c r="V57" s="17"/>
      <c r="W57" s="30">
        <f>U57/D57*100</f>
        <v>2.0240521590223786</v>
      </c>
      <c r="X57" s="17"/>
      <c r="Y57" s="16">
        <f>(Q57-W57)/100</f>
        <v>0.0036757857543626084</v>
      </c>
      <c r="Z57" s="17"/>
      <c r="AA57" s="30">
        <f>Y57/Q57</f>
        <v>0.0015369369950811599</v>
      </c>
      <c r="AC57" s="17"/>
    </row>
    <row r="58" spans="1:29" ht="15">
      <c r="A58" s="17"/>
      <c r="B58" s="17"/>
      <c r="C58" s="17"/>
      <c r="D58" s="25"/>
      <c r="E58" s="25"/>
      <c r="F58" s="26"/>
      <c r="G58" s="27"/>
      <c r="H58" s="25"/>
      <c r="I58" s="25"/>
      <c r="J58" s="29"/>
      <c r="K58" s="25"/>
      <c r="L58" s="25"/>
      <c r="M58" s="25"/>
      <c r="N58" s="27"/>
      <c r="O58" s="25"/>
      <c r="P58" s="29"/>
      <c r="Q58" s="30"/>
      <c r="R58" s="17"/>
      <c r="S58" s="17"/>
      <c r="T58" s="17"/>
      <c r="U58" s="25"/>
      <c r="V58" s="17"/>
      <c r="W58" s="30"/>
      <c r="X58" s="17"/>
      <c r="Y58" s="16"/>
      <c r="Z58" s="17"/>
      <c r="AA58" s="30"/>
      <c r="AC58" s="17"/>
    </row>
    <row r="59" spans="1:29" ht="15">
      <c r="A59" s="24" t="s">
        <v>268</v>
      </c>
      <c r="B59" s="17" t="s">
        <v>269</v>
      </c>
      <c r="C59" s="17"/>
      <c r="D59" s="25">
        <v>62517114</v>
      </c>
      <c r="E59" s="25"/>
      <c r="F59" s="26" t="s">
        <v>243</v>
      </c>
      <c r="G59" s="27">
        <v>37.1</v>
      </c>
      <c r="H59" s="28">
        <v>-7.5</v>
      </c>
      <c r="I59" s="25">
        <f>ROUND(H59/100*D59,0)</f>
        <v>-4688784</v>
      </c>
      <c r="J59" s="29"/>
      <c r="K59" s="25">
        <v>38495530</v>
      </c>
      <c r="L59" s="25"/>
      <c r="M59" s="25">
        <f>D59-I59-K59</f>
        <v>28710368</v>
      </c>
      <c r="N59" s="27">
        <f>19+2</f>
        <v>21</v>
      </c>
      <c r="O59" s="25">
        <f>ROUND(+M59/N59,0)</f>
        <v>1367160</v>
      </c>
      <c r="P59" s="29"/>
      <c r="Q59" s="30">
        <f>O59/D59*100</f>
        <v>2.186857186017896</v>
      </c>
      <c r="R59" s="17"/>
      <c r="S59" s="25">
        <f>D59-K59</f>
        <v>24021584</v>
      </c>
      <c r="T59" s="17"/>
      <c r="U59" s="25">
        <f>S59/N59</f>
        <v>1143884.9523809524</v>
      </c>
      <c r="V59" s="17"/>
      <c r="W59" s="30">
        <f>U59/D59*100</f>
        <v>1.829714903955663</v>
      </c>
      <c r="X59" s="17"/>
      <c r="Y59" s="16">
        <f>(Q59-W59)/100</f>
        <v>0.00357142282062233</v>
      </c>
      <c r="Z59" s="17"/>
      <c r="AA59" s="30">
        <f>Y59/Q59</f>
        <v>0.001633130340406739</v>
      </c>
      <c r="AC59" s="24" t="s">
        <v>268</v>
      </c>
    </row>
    <row r="60" spans="1:29" ht="15">
      <c r="A60" s="17"/>
      <c r="B60" s="17" t="s">
        <v>244</v>
      </c>
      <c r="C60" s="17"/>
      <c r="D60" s="25"/>
      <c r="E60" s="25"/>
      <c r="F60" s="26"/>
      <c r="G60" s="27"/>
      <c r="H60" s="25"/>
      <c r="I60" s="25"/>
      <c r="J60" s="29"/>
      <c r="K60" s="25"/>
      <c r="L60" s="25"/>
      <c r="M60" s="25"/>
      <c r="N60" s="27"/>
      <c r="O60" s="25"/>
      <c r="P60" s="29"/>
      <c r="Q60" s="30"/>
      <c r="R60" s="17"/>
      <c r="S60" s="17"/>
      <c r="T60" s="17"/>
      <c r="U60" s="25"/>
      <c r="V60" s="17"/>
      <c r="W60" s="30"/>
      <c r="X60" s="17"/>
      <c r="Y60" s="16"/>
      <c r="Z60" s="17"/>
      <c r="AA60" s="30"/>
      <c r="AC60" s="17"/>
    </row>
    <row r="61" spans="1:29" ht="15">
      <c r="A61" s="17"/>
      <c r="B61" s="17" t="s">
        <v>245</v>
      </c>
      <c r="C61" s="17"/>
      <c r="D61" s="25">
        <v>200000</v>
      </c>
      <c r="E61" s="25"/>
      <c r="F61" s="26"/>
      <c r="G61" s="27">
        <v>20</v>
      </c>
      <c r="H61" s="28">
        <v>-7.5</v>
      </c>
      <c r="I61" s="25"/>
      <c r="J61" s="29"/>
      <c r="K61" s="25"/>
      <c r="L61" s="25"/>
      <c r="M61" s="25"/>
      <c r="N61" s="27"/>
      <c r="O61" s="25">
        <f>(1-H61/100)*D61/G61</f>
        <v>10750</v>
      </c>
      <c r="P61" s="29"/>
      <c r="Q61" s="30"/>
      <c r="R61" s="17"/>
      <c r="S61" s="17"/>
      <c r="T61" s="17"/>
      <c r="U61" s="25">
        <f>O61</f>
        <v>10750</v>
      </c>
      <c r="V61" s="17"/>
      <c r="W61" s="30"/>
      <c r="X61" s="17"/>
      <c r="Y61" s="16"/>
      <c r="Z61" s="17"/>
      <c r="AA61" s="30"/>
      <c r="AC61" s="17"/>
    </row>
    <row r="62" spans="1:29" ht="15">
      <c r="A62" s="17"/>
      <c r="B62" s="17" t="s">
        <v>246</v>
      </c>
      <c r="C62" s="17"/>
      <c r="D62" s="31">
        <v>1800000</v>
      </c>
      <c r="E62" s="25"/>
      <c r="F62" s="26"/>
      <c r="G62" s="27">
        <v>19</v>
      </c>
      <c r="H62" s="28">
        <v>-7.5</v>
      </c>
      <c r="I62" s="32"/>
      <c r="J62" s="29"/>
      <c r="K62" s="32"/>
      <c r="L62" s="29"/>
      <c r="M62" s="32"/>
      <c r="N62" s="33"/>
      <c r="O62" s="31">
        <f>(1-H62/100)*D62/G62</f>
        <v>101842.1052631579</v>
      </c>
      <c r="P62" s="29"/>
      <c r="Q62" s="34"/>
      <c r="R62" s="17"/>
      <c r="S62" s="35"/>
      <c r="T62" s="17"/>
      <c r="U62" s="31">
        <f>O62</f>
        <v>101842.1052631579</v>
      </c>
      <c r="V62" s="17"/>
      <c r="W62" s="34"/>
      <c r="X62" s="17"/>
      <c r="Y62" s="36"/>
      <c r="Z62" s="17"/>
      <c r="AA62" s="34"/>
      <c r="AC62" s="17"/>
    </row>
    <row r="63" spans="1:29" ht="15">
      <c r="A63" s="17"/>
      <c r="B63" s="22" t="s">
        <v>270</v>
      </c>
      <c r="C63" s="17"/>
      <c r="D63" s="25">
        <f>SUM(D59:D62)</f>
        <v>64517114</v>
      </c>
      <c r="E63" s="25"/>
      <c r="F63" s="26"/>
      <c r="G63" s="27"/>
      <c r="H63" s="25"/>
      <c r="I63" s="25"/>
      <c r="J63" s="29"/>
      <c r="K63" s="25"/>
      <c r="L63" s="25"/>
      <c r="M63" s="25"/>
      <c r="N63" s="27"/>
      <c r="O63" s="25">
        <f>SUM(O59:O62)</f>
        <v>1479752.105263158</v>
      </c>
      <c r="P63" s="29"/>
      <c r="Q63" s="30">
        <f>O63/D63*100</f>
        <v>2.2935807470606298</v>
      </c>
      <c r="R63" s="17"/>
      <c r="S63" s="17"/>
      <c r="T63" s="17"/>
      <c r="U63" s="25">
        <f>SUM(U59:U62)</f>
        <v>1256477.0576441104</v>
      </c>
      <c r="V63" s="17"/>
      <c r="W63" s="30">
        <f>U63/D63*100</f>
        <v>1.9475097067176785</v>
      </c>
      <c r="X63" s="17"/>
      <c r="Y63" s="16">
        <f>(Q63-W63)/100</f>
        <v>0.003460710403429512</v>
      </c>
      <c r="Z63" s="17"/>
      <c r="AA63" s="30">
        <f>Y63/Q63</f>
        <v>0.0015088679166254048</v>
      </c>
      <c r="AC63" s="17"/>
    </row>
    <row r="64" spans="1:29" ht="15">
      <c r="A64" s="17"/>
      <c r="R64" s="17"/>
      <c r="S64" s="17"/>
      <c r="T64" s="17"/>
      <c r="V64" s="17"/>
      <c r="X64" s="17"/>
      <c r="Z64" s="17"/>
      <c r="AC64" s="17"/>
    </row>
    <row r="65" spans="1:29" ht="15">
      <c r="A65" s="17"/>
      <c r="B65" s="17"/>
      <c r="C65" s="17"/>
      <c r="D65" s="25"/>
      <c r="E65" s="25"/>
      <c r="F65" s="26"/>
      <c r="G65" s="27"/>
      <c r="H65" s="25"/>
      <c r="I65" s="25"/>
      <c r="J65" s="29"/>
      <c r="K65" s="25"/>
      <c r="L65" s="25"/>
      <c r="M65" s="25"/>
      <c r="N65" s="27"/>
      <c r="O65" s="25"/>
      <c r="P65" s="29"/>
      <c r="Q65" s="30"/>
      <c r="R65" s="17"/>
      <c r="S65" s="17"/>
      <c r="T65" s="17"/>
      <c r="U65" s="25"/>
      <c r="V65" s="17"/>
      <c r="W65" s="30"/>
      <c r="X65" s="17"/>
      <c r="Y65" s="16"/>
      <c r="Z65" s="17"/>
      <c r="AA65" s="30"/>
      <c r="AC65" s="17"/>
    </row>
    <row r="66" spans="1:29" ht="15">
      <c r="A66" s="24" t="s">
        <v>27</v>
      </c>
      <c r="B66" s="17" t="s">
        <v>271</v>
      </c>
      <c r="C66" s="17"/>
      <c r="D66" s="25">
        <v>129452951</v>
      </c>
      <c r="E66" s="25"/>
      <c r="F66" s="26" t="s">
        <v>243</v>
      </c>
      <c r="G66" s="27">
        <v>37.4</v>
      </c>
      <c r="H66" s="28">
        <v>-7.5</v>
      </c>
      <c r="I66" s="25">
        <f>ROUND(H66/100*D66,0)</f>
        <v>-9708971</v>
      </c>
      <c r="J66" s="29"/>
      <c r="K66" s="25">
        <v>72394062</v>
      </c>
      <c r="L66" s="25"/>
      <c r="M66" s="25">
        <f>D66-I66-K66</f>
        <v>66767860</v>
      </c>
      <c r="N66" s="27">
        <f>19.3+6</f>
        <v>25.3</v>
      </c>
      <c r="O66" s="25">
        <f>ROUND(+M66/N66,0)</f>
        <v>2639046</v>
      </c>
      <c r="P66" s="29"/>
      <c r="Q66" s="30">
        <f>O66/D66*100</f>
        <v>2.0386140135190893</v>
      </c>
      <c r="R66" s="17"/>
      <c r="S66" s="25">
        <f>D66-K66</f>
        <v>57058889</v>
      </c>
      <c r="T66" s="17"/>
      <c r="U66" s="25">
        <f>S66/N66</f>
        <v>2255292.0553359683</v>
      </c>
      <c r="V66" s="17"/>
      <c r="W66" s="30">
        <f>U66/D66*100</f>
        <v>1.7421712196703558</v>
      </c>
      <c r="X66" s="17"/>
      <c r="Y66" s="16">
        <f>(Q66-W66)/100</f>
        <v>0.002964427938487335</v>
      </c>
      <c r="Z66" s="17"/>
      <c r="AA66" s="30">
        <f>Y66/Q66</f>
        <v>0.0014541388996782624</v>
      </c>
      <c r="AC66" s="24" t="s">
        <v>27</v>
      </c>
    </row>
    <row r="67" spans="1:29" ht="15">
      <c r="A67" s="17"/>
      <c r="B67" s="17" t="s">
        <v>244</v>
      </c>
      <c r="C67" s="17"/>
      <c r="D67" s="25"/>
      <c r="E67" s="25"/>
      <c r="F67" s="26"/>
      <c r="G67" s="27"/>
      <c r="H67" s="25"/>
      <c r="I67" s="25"/>
      <c r="J67" s="29"/>
      <c r="K67" s="25"/>
      <c r="L67" s="25"/>
      <c r="M67" s="25"/>
      <c r="N67" s="27"/>
      <c r="O67" s="25"/>
      <c r="P67" s="29"/>
      <c r="Q67" s="30"/>
      <c r="R67" s="17"/>
      <c r="S67" s="17"/>
      <c r="T67" s="17"/>
      <c r="U67" s="25"/>
      <c r="V67" s="17"/>
      <c r="W67" s="30"/>
      <c r="X67" s="17"/>
      <c r="Y67" s="16"/>
      <c r="Z67" s="17"/>
      <c r="AA67" s="30"/>
      <c r="AC67" s="17"/>
    </row>
    <row r="68" spans="1:29" ht="15">
      <c r="A68" s="17"/>
      <c r="B68" s="17" t="s">
        <v>245</v>
      </c>
      <c r="C68" s="17"/>
      <c r="D68" s="25">
        <v>2000000</v>
      </c>
      <c r="E68" s="25"/>
      <c r="F68" s="26"/>
      <c r="G68" s="27">
        <v>20</v>
      </c>
      <c r="H68" s="28">
        <v>-7.5</v>
      </c>
      <c r="I68" s="25"/>
      <c r="J68" s="29"/>
      <c r="K68" s="25"/>
      <c r="L68" s="25"/>
      <c r="M68" s="25"/>
      <c r="N68" s="27"/>
      <c r="O68" s="25">
        <f>(1-H68/100)*D68/G68</f>
        <v>107500</v>
      </c>
      <c r="P68" s="29"/>
      <c r="Q68" s="30"/>
      <c r="R68" s="17"/>
      <c r="S68" s="17"/>
      <c r="T68" s="17"/>
      <c r="U68" s="25">
        <f>O68</f>
        <v>107500</v>
      </c>
      <c r="V68" s="17"/>
      <c r="W68" s="30"/>
      <c r="X68" s="17"/>
      <c r="Y68" s="16"/>
      <c r="Z68" s="17"/>
      <c r="AA68" s="30"/>
      <c r="AC68" s="17"/>
    </row>
    <row r="69" spans="1:29" ht="15">
      <c r="A69" s="17"/>
      <c r="B69" s="17" t="s">
        <v>246</v>
      </c>
      <c r="C69" s="17"/>
      <c r="D69" s="25">
        <v>21000000</v>
      </c>
      <c r="E69" s="25"/>
      <c r="F69" s="26"/>
      <c r="G69" s="27">
        <v>19</v>
      </c>
      <c r="H69" s="28">
        <v>-7.5</v>
      </c>
      <c r="I69" s="25"/>
      <c r="J69" s="29"/>
      <c r="K69" s="25"/>
      <c r="L69" s="25"/>
      <c r="M69" s="25"/>
      <c r="N69" s="27"/>
      <c r="O69" s="25">
        <f>(1-H69/100)*D69/G69</f>
        <v>1188157.894736842</v>
      </c>
      <c r="P69" s="29"/>
      <c r="Q69" s="30"/>
      <c r="R69" s="17"/>
      <c r="S69" s="17"/>
      <c r="T69" s="17"/>
      <c r="U69" s="25">
        <f>O69</f>
        <v>1188157.894736842</v>
      </c>
      <c r="V69" s="17"/>
      <c r="W69" s="30"/>
      <c r="X69" s="17"/>
      <c r="Y69" s="16"/>
      <c r="Z69" s="17"/>
      <c r="AA69" s="30"/>
      <c r="AC69" s="17"/>
    </row>
    <row r="70" spans="1:29" ht="15">
      <c r="A70" s="17"/>
      <c r="B70" s="17" t="s">
        <v>250</v>
      </c>
      <c r="C70" s="17"/>
      <c r="D70" s="31">
        <v>23000000</v>
      </c>
      <c r="E70" s="25"/>
      <c r="F70" s="26"/>
      <c r="G70" s="27">
        <v>18</v>
      </c>
      <c r="H70" s="28">
        <v>-7.5</v>
      </c>
      <c r="I70" s="32"/>
      <c r="J70" s="29"/>
      <c r="K70" s="32"/>
      <c r="L70" s="29"/>
      <c r="M70" s="32"/>
      <c r="N70" s="33"/>
      <c r="O70" s="31">
        <f>(1-H70/100)*D70/G70</f>
        <v>1373611.111111111</v>
      </c>
      <c r="P70" s="29"/>
      <c r="Q70" s="34"/>
      <c r="R70" s="17"/>
      <c r="S70" s="35"/>
      <c r="T70" s="17"/>
      <c r="U70" s="31">
        <f>O70</f>
        <v>1373611.111111111</v>
      </c>
      <c r="V70" s="17"/>
      <c r="W70" s="34"/>
      <c r="X70" s="17"/>
      <c r="Y70" s="36"/>
      <c r="Z70" s="17"/>
      <c r="AA70" s="34"/>
      <c r="AC70" s="17"/>
    </row>
    <row r="71" spans="1:178" s="37" customFormat="1" ht="15">
      <c r="A71" s="23"/>
      <c r="B71" s="23" t="s">
        <v>272</v>
      </c>
      <c r="C71" s="23"/>
      <c r="D71" s="44">
        <f>SUM(D66:D70)</f>
        <v>175452951</v>
      </c>
      <c r="E71" s="29"/>
      <c r="F71" s="45"/>
      <c r="G71" s="33"/>
      <c r="H71" s="46"/>
      <c r="I71" s="29"/>
      <c r="J71" s="29"/>
      <c r="K71" s="29"/>
      <c r="L71" s="29"/>
      <c r="M71" s="29"/>
      <c r="N71" s="33"/>
      <c r="O71" s="44">
        <f>SUM(O66:O70)</f>
        <v>5308315.005847953</v>
      </c>
      <c r="P71" s="29"/>
      <c r="Q71" s="47">
        <f>O71/D71*100</f>
        <v>3.0254920054596024</v>
      </c>
      <c r="R71" s="23"/>
      <c r="S71" s="23"/>
      <c r="T71" s="23"/>
      <c r="U71" s="44">
        <f>SUM(U66:U70)</f>
        <v>4924561.061183921</v>
      </c>
      <c r="V71" s="23"/>
      <c r="W71" s="47">
        <f>U71/D71*100</f>
        <v>2.8067701529761795</v>
      </c>
      <c r="X71" s="23"/>
      <c r="Y71" s="48">
        <f>(Q71-W71)/100</f>
        <v>0.002187218524834229</v>
      </c>
      <c r="Z71" s="23"/>
      <c r="AA71" s="47">
        <f>Y71/Q71</f>
        <v>0.0007229298642625131</v>
      </c>
      <c r="AB71" s="49"/>
      <c r="AC71" s="23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</row>
    <row r="72" spans="1:178" ht="15">
      <c r="A72" s="17"/>
      <c r="B72" s="17"/>
      <c r="C72" s="17"/>
      <c r="D72" s="25"/>
      <c r="E72" s="25"/>
      <c r="F72" s="26"/>
      <c r="G72" s="27"/>
      <c r="H72" s="25"/>
      <c r="I72" s="25"/>
      <c r="J72" s="29"/>
      <c r="K72" s="25"/>
      <c r="L72" s="25"/>
      <c r="M72" s="25"/>
      <c r="N72" s="27"/>
      <c r="O72" s="25"/>
      <c r="P72" s="29"/>
      <c r="Q72" s="30"/>
      <c r="R72" s="17"/>
      <c r="S72" s="17"/>
      <c r="T72" s="17"/>
      <c r="U72" s="25"/>
      <c r="V72" s="17"/>
      <c r="W72" s="30"/>
      <c r="X72" s="17"/>
      <c r="Y72" s="16"/>
      <c r="Z72" s="17"/>
      <c r="AA72" s="30"/>
      <c r="AB72" s="50"/>
      <c r="AC72" s="17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</row>
    <row r="73" spans="1:29" ht="15">
      <c r="A73" s="24" t="s">
        <v>34</v>
      </c>
      <c r="B73" s="17" t="s">
        <v>273</v>
      </c>
      <c r="C73" s="17"/>
      <c r="D73" s="25">
        <v>249236600</v>
      </c>
      <c r="E73" s="25"/>
      <c r="F73" s="26" t="s">
        <v>243</v>
      </c>
      <c r="G73" s="27">
        <v>33</v>
      </c>
      <c r="H73" s="28">
        <v>-7.5</v>
      </c>
      <c r="I73" s="25">
        <f>ROUND(H73/100*D73,0)</f>
        <v>-18692745</v>
      </c>
      <c r="J73" s="29"/>
      <c r="K73" s="25">
        <v>101613573</v>
      </c>
      <c r="L73" s="25"/>
      <c r="M73" s="25">
        <f>D73-I73-K73</f>
        <v>166315772</v>
      </c>
      <c r="N73" s="27">
        <f>19.7+10</f>
        <v>29.7</v>
      </c>
      <c r="O73" s="25">
        <f>ROUND(+M73/N73,0)</f>
        <v>5599858</v>
      </c>
      <c r="P73" s="29"/>
      <c r="Q73" s="30">
        <f>O73/D73*100</f>
        <v>2.246804040819045</v>
      </c>
      <c r="R73" s="17"/>
      <c r="S73" s="25">
        <f>D73-K73</f>
        <v>147623027</v>
      </c>
      <c r="T73" s="17"/>
      <c r="U73" s="25">
        <f>S73/N73</f>
        <v>4970472.28956229</v>
      </c>
      <c r="V73" s="17"/>
      <c r="W73" s="30">
        <f>U73/D73*100</f>
        <v>1.9942786450955798</v>
      </c>
      <c r="X73" s="17"/>
      <c r="Y73" s="16">
        <f>(Q73-W73)/100</f>
        <v>0.002525253957234652</v>
      </c>
      <c r="Z73" s="17"/>
      <c r="AA73" s="30">
        <f>Y73/Q73</f>
        <v>0.0011239315540460314</v>
      </c>
      <c r="AC73" s="24" t="s">
        <v>34</v>
      </c>
    </row>
    <row r="74" spans="1:29" ht="15">
      <c r="A74" s="17"/>
      <c r="B74" s="17" t="s">
        <v>244</v>
      </c>
      <c r="C74" s="17"/>
      <c r="D74" s="40"/>
      <c r="E74" s="25"/>
      <c r="F74" s="26"/>
      <c r="G74" s="27"/>
      <c r="H74" s="25"/>
      <c r="I74" s="40"/>
      <c r="J74" s="41"/>
      <c r="K74" s="40"/>
      <c r="L74" s="25"/>
      <c r="M74" s="40"/>
      <c r="N74" s="27"/>
      <c r="O74" s="40"/>
      <c r="P74" s="41"/>
      <c r="Q74" s="30"/>
      <c r="R74" s="17"/>
      <c r="S74" s="17"/>
      <c r="T74" s="17"/>
      <c r="U74" s="40"/>
      <c r="V74" s="17"/>
      <c r="W74" s="30"/>
      <c r="X74" s="17"/>
      <c r="Y74" s="16"/>
      <c r="Z74" s="17"/>
      <c r="AA74" s="30"/>
      <c r="AC74" s="17"/>
    </row>
    <row r="75" spans="1:29" ht="15">
      <c r="A75" s="17"/>
      <c r="B75" s="17" t="s">
        <v>245</v>
      </c>
      <c r="C75" s="17"/>
      <c r="D75" s="25">
        <v>3500000</v>
      </c>
      <c r="E75" s="25"/>
      <c r="F75" s="26"/>
      <c r="G75" s="27">
        <v>20</v>
      </c>
      <c r="H75" s="28">
        <v>-7.5</v>
      </c>
      <c r="I75" s="40"/>
      <c r="J75" s="41"/>
      <c r="K75" s="40"/>
      <c r="L75" s="25"/>
      <c r="M75" s="40"/>
      <c r="N75" s="27"/>
      <c r="O75" s="25">
        <f>(1-H75/100)*D75/G75</f>
        <v>188125</v>
      </c>
      <c r="P75" s="41"/>
      <c r="Q75" s="30"/>
      <c r="R75" s="17"/>
      <c r="S75" s="17"/>
      <c r="T75" s="17"/>
      <c r="U75" s="25">
        <f>O75</f>
        <v>188125</v>
      </c>
      <c r="V75" s="17"/>
      <c r="W75" s="30"/>
      <c r="X75" s="17"/>
      <c r="Y75" s="16"/>
      <c r="Z75" s="17"/>
      <c r="AA75" s="30"/>
      <c r="AC75" s="17"/>
    </row>
    <row r="76" spans="1:29" ht="15">
      <c r="A76" s="17"/>
      <c r="B76" s="17" t="s">
        <v>246</v>
      </c>
      <c r="C76" s="17"/>
      <c r="D76" s="25">
        <v>43000000</v>
      </c>
      <c r="E76" s="25"/>
      <c r="F76" s="26"/>
      <c r="G76" s="27">
        <v>19</v>
      </c>
      <c r="H76" s="28">
        <v>-7.5</v>
      </c>
      <c r="I76" s="40"/>
      <c r="J76" s="41"/>
      <c r="K76" s="40"/>
      <c r="L76" s="25"/>
      <c r="M76" s="40"/>
      <c r="N76" s="27"/>
      <c r="O76" s="25">
        <f>(1-H76/100)*D76/G76</f>
        <v>2432894.736842105</v>
      </c>
      <c r="P76" s="41"/>
      <c r="Q76" s="30"/>
      <c r="R76" s="17"/>
      <c r="S76" s="17"/>
      <c r="T76" s="17"/>
      <c r="U76" s="25">
        <f>O76</f>
        <v>2432894.736842105</v>
      </c>
      <c r="V76" s="17"/>
      <c r="W76" s="30"/>
      <c r="X76" s="17"/>
      <c r="Y76" s="16"/>
      <c r="Z76" s="17"/>
      <c r="AA76" s="30"/>
      <c r="AC76" s="17"/>
    </row>
    <row r="77" spans="1:29" ht="15">
      <c r="A77" s="17"/>
      <c r="B77" s="17" t="s">
        <v>250</v>
      </c>
      <c r="C77" s="17"/>
      <c r="D77" s="31">
        <v>4000000</v>
      </c>
      <c r="E77" s="25"/>
      <c r="F77" s="26"/>
      <c r="G77" s="27">
        <v>18</v>
      </c>
      <c r="H77" s="28">
        <v>-7.5</v>
      </c>
      <c r="I77" s="32"/>
      <c r="J77" s="29"/>
      <c r="K77" s="32"/>
      <c r="L77" s="29"/>
      <c r="M77" s="32"/>
      <c r="N77" s="33"/>
      <c r="O77" s="31">
        <f>(1-H77/100)*D77/G77</f>
        <v>238888.88888888888</v>
      </c>
      <c r="P77" s="29"/>
      <c r="Q77" s="34"/>
      <c r="R77" s="17"/>
      <c r="S77" s="35"/>
      <c r="T77" s="17"/>
      <c r="U77" s="31">
        <f>O77</f>
        <v>238888.88888888888</v>
      </c>
      <c r="V77" s="17"/>
      <c r="W77" s="34"/>
      <c r="X77" s="17"/>
      <c r="Y77" s="36"/>
      <c r="Z77" s="17"/>
      <c r="AA77" s="34"/>
      <c r="AC77" s="17"/>
    </row>
    <row r="78" spans="1:29" ht="15">
      <c r="A78" s="17"/>
      <c r="B78" s="22" t="s">
        <v>274</v>
      </c>
      <c r="C78" s="17"/>
      <c r="D78" s="25">
        <f>SUM(D73:D77)</f>
        <v>299736600</v>
      </c>
      <c r="E78" s="25"/>
      <c r="F78" s="26"/>
      <c r="G78" s="27"/>
      <c r="H78" s="25"/>
      <c r="I78" s="40"/>
      <c r="J78" s="41"/>
      <c r="K78" s="40"/>
      <c r="L78" s="25"/>
      <c r="M78" s="40"/>
      <c r="N78" s="27"/>
      <c r="O78" s="25">
        <f>SUM(O73:O77)</f>
        <v>8459766.625730993</v>
      </c>
      <c r="P78" s="41"/>
      <c r="Q78" s="30">
        <f>O78/D78*100</f>
        <v>2.8224002760193425</v>
      </c>
      <c r="R78" s="17"/>
      <c r="S78" s="17"/>
      <c r="T78" s="17"/>
      <c r="U78" s="25">
        <f>SUM(U73:U77)</f>
        <v>7830380.915293284</v>
      </c>
      <c r="V78" s="17"/>
      <c r="W78" s="30">
        <f>U78/D78*100</f>
        <v>2.6124206771189384</v>
      </c>
      <c r="X78" s="17"/>
      <c r="Y78" s="16">
        <f>(Q78-W78)/100</f>
        <v>0.0020997959890040408</v>
      </c>
      <c r="Z78" s="17"/>
      <c r="AA78" s="30">
        <f>Y78/Q78</f>
        <v>0.0007439752634823122</v>
      </c>
      <c r="AC78" s="17"/>
    </row>
    <row r="79" spans="1:29" ht="15">
      <c r="A79" s="17"/>
      <c r="B79" s="17"/>
      <c r="C79" s="17"/>
      <c r="D79" s="40"/>
      <c r="E79" s="25"/>
      <c r="F79" s="26"/>
      <c r="G79" s="27"/>
      <c r="H79" s="25"/>
      <c r="I79" s="40"/>
      <c r="J79" s="41"/>
      <c r="K79" s="40"/>
      <c r="L79" s="25"/>
      <c r="M79" s="40"/>
      <c r="N79" s="27"/>
      <c r="O79" s="40"/>
      <c r="P79" s="41"/>
      <c r="Q79" s="30"/>
      <c r="R79" s="17"/>
      <c r="S79" s="17"/>
      <c r="T79" s="17"/>
      <c r="U79" s="40"/>
      <c r="V79" s="17"/>
      <c r="W79" s="30"/>
      <c r="X79" s="17"/>
      <c r="Y79" s="16"/>
      <c r="Z79" s="17"/>
      <c r="AA79" s="30"/>
      <c r="AC79" s="17"/>
    </row>
    <row r="80" spans="1:29" ht="15">
      <c r="A80" s="17"/>
      <c r="B80" s="22" t="s">
        <v>275</v>
      </c>
      <c r="C80" s="17"/>
      <c r="D80" s="25">
        <f>D57+D63+D71+D78</f>
        <v>620710935</v>
      </c>
      <c r="E80" s="25"/>
      <c r="F80" s="17"/>
      <c r="G80" s="27" t="s">
        <v>253</v>
      </c>
      <c r="H80" s="17"/>
      <c r="I80" s="25" t="s">
        <v>253</v>
      </c>
      <c r="J80" s="29"/>
      <c r="K80" s="25" t="s">
        <v>253</v>
      </c>
      <c r="L80" s="17" t="s">
        <v>253</v>
      </c>
      <c r="M80" s="25" t="s">
        <v>253</v>
      </c>
      <c r="N80" s="17"/>
      <c r="O80" s="25">
        <f>O57+O63+O71+O78</f>
        <v>17185156.754385963</v>
      </c>
      <c r="P80" s="29"/>
      <c r="Q80" s="30">
        <f>O80/D80*100</f>
        <v>2.768624779324367</v>
      </c>
      <c r="R80" s="17"/>
      <c r="S80" s="17"/>
      <c r="T80" s="17"/>
      <c r="U80" s="25">
        <f>U57+U63+U71+U78</f>
        <v>15650987.709956631</v>
      </c>
      <c r="V80" s="17"/>
      <c r="W80" s="30">
        <f>U80/D80*100</f>
        <v>2.52146157372862</v>
      </c>
      <c r="X80" s="17"/>
      <c r="Y80" s="16">
        <f>(Q80-W80)/100</f>
        <v>0.0024716320559574666</v>
      </c>
      <c r="Z80" s="17"/>
      <c r="AA80" s="30">
        <f>Y80/Q80</f>
        <v>0.0008927291536271752</v>
      </c>
      <c r="AC80" s="17"/>
    </row>
    <row r="81" spans="1:29" ht="15">
      <c r="A81" s="17"/>
      <c r="B81" s="22"/>
      <c r="C81" s="17"/>
      <c r="D81" s="25"/>
      <c r="E81" s="25"/>
      <c r="F81" s="17"/>
      <c r="G81" s="27"/>
      <c r="H81" s="17"/>
      <c r="I81" s="25"/>
      <c r="J81" s="29"/>
      <c r="K81" s="25"/>
      <c r="L81" s="17"/>
      <c r="M81" s="25"/>
      <c r="N81" s="17"/>
      <c r="O81" s="25"/>
      <c r="P81" s="29"/>
      <c r="Q81" s="30"/>
      <c r="R81" s="17"/>
      <c r="S81" s="17"/>
      <c r="T81" s="17"/>
      <c r="U81" s="25"/>
      <c r="V81" s="17"/>
      <c r="W81" s="30"/>
      <c r="X81" s="17"/>
      <c r="Y81" s="16"/>
      <c r="Z81" s="17"/>
      <c r="AA81" s="30"/>
      <c r="AC81" s="17"/>
    </row>
    <row r="82" spans="1:29" ht="15">
      <c r="A82" s="17"/>
      <c r="B82" s="22" t="s">
        <v>276</v>
      </c>
      <c r="C82" s="17"/>
      <c r="D82" s="25"/>
      <c r="E82" s="25"/>
      <c r="F82" s="17"/>
      <c r="G82" s="27"/>
      <c r="H82" s="17"/>
      <c r="I82" s="25"/>
      <c r="J82" s="29"/>
      <c r="K82" s="25"/>
      <c r="L82" s="17"/>
      <c r="M82" s="25"/>
      <c r="N82" s="17"/>
      <c r="O82" s="25"/>
      <c r="P82" s="29"/>
      <c r="Q82" s="30"/>
      <c r="R82" s="17"/>
      <c r="S82" s="17"/>
      <c r="T82" s="17"/>
      <c r="U82" s="25"/>
      <c r="V82" s="17"/>
      <c r="W82" s="30"/>
      <c r="X82" s="17"/>
      <c r="Y82" s="16"/>
      <c r="Z82" s="17"/>
      <c r="AA82" s="30"/>
      <c r="AC82" s="17"/>
    </row>
    <row r="83" spans="1:29" ht="15">
      <c r="A83" s="17"/>
      <c r="B83" s="22"/>
      <c r="C83" s="17"/>
      <c r="D83" s="25"/>
      <c r="E83" s="25"/>
      <c r="F83" s="17"/>
      <c r="G83" s="27"/>
      <c r="H83" s="17"/>
      <c r="I83" s="25"/>
      <c r="J83" s="29"/>
      <c r="K83" s="25"/>
      <c r="L83" s="17"/>
      <c r="M83" s="25"/>
      <c r="N83" s="17"/>
      <c r="O83" s="25"/>
      <c r="P83" s="29"/>
      <c r="Q83" s="30"/>
      <c r="R83" s="17"/>
      <c r="S83" s="17"/>
      <c r="T83" s="17"/>
      <c r="U83" s="25"/>
      <c r="V83" s="17"/>
      <c r="W83" s="30"/>
      <c r="X83" s="17"/>
      <c r="Y83" s="16"/>
      <c r="Z83" s="17"/>
      <c r="AA83" s="30"/>
      <c r="AC83" s="17"/>
    </row>
    <row r="84" spans="1:29" ht="15">
      <c r="A84" s="24" t="s">
        <v>277</v>
      </c>
      <c r="B84" s="17" t="s">
        <v>278</v>
      </c>
      <c r="C84" s="17"/>
      <c r="D84" s="25">
        <v>40265952</v>
      </c>
      <c r="E84" s="25"/>
      <c r="F84" s="26" t="s">
        <v>243</v>
      </c>
      <c r="G84" s="27">
        <v>25.8</v>
      </c>
      <c r="H84" s="28">
        <v>-7.5</v>
      </c>
      <c r="I84" s="25">
        <f>ROUND(H84/100*D84,0)</f>
        <v>-3019946</v>
      </c>
      <c r="J84" s="29"/>
      <c r="K84" s="25">
        <v>22251408</v>
      </c>
      <c r="L84" s="25"/>
      <c r="M84" s="25">
        <f>D84-I84-K84</f>
        <v>21034490</v>
      </c>
      <c r="N84" s="27">
        <v>13.4</v>
      </c>
      <c r="O84" s="25">
        <f>ROUND(+M84/N84,0)</f>
        <v>1569738</v>
      </c>
      <c r="P84" s="29"/>
      <c r="Q84" s="30">
        <f>O84/D84*100</f>
        <v>3.8984251508569825</v>
      </c>
      <c r="R84" s="17"/>
      <c r="S84" s="25">
        <f>D84-K84</f>
        <v>18014544</v>
      </c>
      <c r="T84" s="17"/>
      <c r="U84" s="25">
        <f>S84/N84</f>
        <v>1344368.9552238805</v>
      </c>
      <c r="V84" s="17"/>
      <c r="W84" s="30">
        <f>U84/D84*100</f>
        <v>3.33872388072156</v>
      </c>
      <c r="X84" s="17"/>
      <c r="Y84" s="16">
        <f>(Q84-W84)/100</f>
        <v>0.005597012701354225</v>
      </c>
      <c r="Z84" s="17"/>
      <c r="AA84" s="30">
        <f>Y84/Q84</f>
        <v>0.0014357112128018787</v>
      </c>
      <c r="AC84" s="24" t="s">
        <v>277</v>
      </c>
    </row>
    <row r="85" spans="1:29" ht="15">
      <c r="A85" s="24" t="s">
        <v>279</v>
      </c>
      <c r="B85" s="17" t="s">
        <v>280</v>
      </c>
      <c r="C85" s="17"/>
      <c r="D85" s="25">
        <v>35126006</v>
      </c>
      <c r="E85" s="25"/>
      <c r="F85" s="26" t="s">
        <v>243</v>
      </c>
      <c r="G85" s="27">
        <v>25.4</v>
      </c>
      <c r="H85" s="28">
        <v>-7.5</v>
      </c>
      <c r="I85" s="25">
        <f>ROUND(H85/100*D85,0)</f>
        <v>-2634450</v>
      </c>
      <c r="J85" s="29"/>
      <c r="K85" s="25">
        <v>18852860</v>
      </c>
      <c r="L85" s="25"/>
      <c r="M85" s="25">
        <f>D85-I85-K85</f>
        <v>18907596</v>
      </c>
      <c r="N85" s="27">
        <v>13.5</v>
      </c>
      <c r="O85" s="25">
        <f>ROUND(+M85/N85,0)</f>
        <v>1400563</v>
      </c>
      <c r="P85" s="29"/>
      <c r="Q85" s="30">
        <f>O85/D85*100</f>
        <v>3.98725377431183</v>
      </c>
      <c r="R85" s="17"/>
      <c r="S85" s="25">
        <f>D85-K85</f>
        <v>16273146</v>
      </c>
      <c r="T85" s="17"/>
      <c r="U85" s="25">
        <f>S85/N85</f>
        <v>1205418.2222222222</v>
      </c>
      <c r="V85" s="17"/>
      <c r="W85" s="30">
        <f>U85/D85*100</f>
        <v>3.431697364688209</v>
      </c>
      <c r="X85" s="17"/>
      <c r="Y85" s="16">
        <f>(Q85-W85)/100</f>
        <v>0.00555556409623621</v>
      </c>
      <c r="Z85" s="17"/>
      <c r="AA85" s="30">
        <f>Y85/Q85</f>
        <v>0.0013933309517513864</v>
      </c>
      <c r="AC85" s="24" t="s">
        <v>279</v>
      </c>
    </row>
    <row r="86" spans="1:29" ht="15">
      <c r="A86" s="24" t="s">
        <v>281</v>
      </c>
      <c r="B86" s="17" t="s">
        <v>282</v>
      </c>
      <c r="C86" s="17"/>
      <c r="D86" s="25">
        <v>43847083</v>
      </c>
      <c r="E86" s="25"/>
      <c r="F86" s="26" t="s">
        <v>243</v>
      </c>
      <c r="G86" s="27">
        <v>22.4</v>
      </c>
      <c r="H86" s="28">
        <v>-7.5</v>
      </c>
      <c r="I86" s="25">
        <f>ROUND(H86/100*D86,0)</f>
        <v>-3288531</v>
      </c>
      <c r="J86" s="29"/>
      <c r="K86" s="25">
        <v>20250795</v>
      </c>
      <c r="L86" s="25"/>
      <c r="M86" s="25">
        <f>D86-I86-K86</f>
        <v>26884819</v>
      </c>
      <c r="N86" s="27">
        <v>13.5</v>
      </c>
      <c r="O86" s="25">
        <f>ROUND(+M86/N86,0)</f>
        <v>1991468</v>
      </c>
      <c r="P86" s="29"/>
      <c r="Q86" s="30">
        <f>O86/D86*100</f>
        <v>4.541848314060026</v>
      </c>
      <c r="R86" s="17"/>
      <c r="S86" s="25">
        <f>D86-K86</f>
        <v>23596288</v>
      </c>
      <c r="T86" s="17"/>
      <c r="U86" s="25">
        <f>S86/N86</f>
        <v>1747873.1851851852</v>
      </c>
      <c r="V86" s="17"/>
      <c r="W86" s="30">
        <f>U86/D86*100</f>
        <v>3.986292965452651</v>
      </c>
      <c r="X86" s="17"/>
      <c r="Y86" s="16">
        <f>(Q86-W86)/100</f>
        <v>0.00555555348607375</v>
      </c>
      <c r="Z86" s="17"/>
      <c r="AA86" s="30">
        <f>Y86/Q86</f>
        <v>0.0012231922120506833</v>
      </c>
      <c r="AC86" s="24" t="s">
        <v>281</v>
      </c>
    </row>
    <row r="87" spans="1:29" ht="15">
      <c r="A87" s="24" t="s">
        <v>37</v>
      </c>
      <c r="B87" s="17" t="s">
        <v>283</v>
      </c>
      <c r="C87" s="17"/>
      <c r="D87" s="31">
        <v>113601807</v>
      </c>
      <c r="E87" s="25"/>
      <c r="F87" s="26" t="s">
        <v>243</v>
      </c>
      <c r="G87" s="27">
        <v>21.7</v>
      </c>
      <c r="H87" s="28">
        <v>-7.5</v>
      </c>
      <c r="I87" s="32">
        <f>ROUND(H87/100*D87,0)</f>
        <v>-8520136</v>
      </c>
      <c r="J87" s="29"/>
      <c r="K87" s="32">
        <v>25550492</v>
      </c>
      <c r="L87" s="29"/>
      <c r="M87" s="32">
        <f>D87-I87-K87</f>
        <v>96571451</v>
      </c>
      <c r="N87" s="33">
        <v>15.8</v>
      </c>
      <c r="O87" s="31">
        <f>ROUND(+M87/N87,0)</f>
        <v>6112117</v>
      </c>
      <c r="P87" s="29"/>
      <c r="Q87" s="34">
        <f>O87/D87*100</f>
        <v>5.380299100347937</v>
      </c>
      <c r="R87" s="17"/>
      <c r="S87" s="35">
        <f>D87-K87</f>
        <v>88051315</v>
      </c>
      <c r="T87" s="17"/>
      <c r="U87" s="31">
        <f>S87/N87</f>
        <v>5572868.037974684</v>
      </c>
      <c r="V87" s="17"/>
      <c r="W87" s="34">
        <f>U87/D87*100</f>
        <v>4.905615663291943</v>
      </c>
      <c r="X87" s="17"/>
      <c r="Y87" s="36">
        <f>(Q87-W87)/100</f>
        <v>0.004746834370559938</v>
      </c>
      <c r="Z87" s="17"/>
      <c r="AA87" s="34">
        <f>Y87/Q87</f>
        <v>0.0008822621720515438</v>
      </c>
      <c r="AC87" s="24" t="s">
        <v>37</v>
      </c>
    </row>
    <row r="88" spans="1:29" ht="15">
      <c r="A88" s="17"/>
      <c r="B88" s="22" t="s">
        <v>284</v>
      </c>
      <c r="C88" s="17"/>
      <c r="D88" s="25">
        <f>SUM(D84:D87)</f>
        <v>232840848</v>
      </c>
      <c r="E88" s="25"/>
      <c r="F88" s="17"/>
      <c r="G88" s="27">
        <f>1*Y88</f>
        <v>0.005168155028339489</v>
      </c>
      <c r="H88" s="25"/>
      <c r="I88" s="25">
        <f>SUM(I84:I87)</f>
        <v>-17463063</v>
      </c>
      <c r="J88" s="29"/>
      <c r="K88" s="25">
        <f>SUM(K84:K87)</f>
        <v>86905555</v>
      </c>
      <c r="L88" s="17"/>
      <c r="M88" s="25">
        <f>SUM(M84:M87)</f>
        <v>163398356</v>
      </c>
      <c r="N88" s="17"/>
      <c r="O88" s="25">
        <f>SUM(O84:O87)</f>
        <v>11073886</v>
      </c>
      <c r="P88" s="29"/>
      <c r="Q88" s="30">
        <f>O88/D88*100</f>
        <v>4.755989378633426</v>
      </c>
      <c r="R88" s="17"/>
      <c r="S88" s="25">
        <f>D88-K88</f>
        <v>145935293</v>
      </c>
      <c r="T88" s="17"/>
      <c r="U88" s="25">
        <f>SUM(U84:U87)</f>
        <v>9870528.400605971</v>
      </c>
      <c r="V88" s="17"/>
      <c r="W88" s="30">
        <f>U88/D88*100</f>
        <v>4.2391738757994775</v>
      </c>
      <c r="X88" s="17"/>
      <c r="Y88" s="16">
        <f>(Q88-W88)/100</f>
        <v>0.005168155028339489</v>
      </c>
      <c r="Z88" s="17"/>
      <c r="AA88" s="30">
        <f>Y88/Q88</f>
        <v>0.0010866624411647642</v>
      </c>
      <c r="AC88" s="17"/>
    </row>
    <row r="89" spans="1:29" ht="15">
      <c r="A89" s="17"/>
      <c r="C89" s="17"/>
      <c r="D89" s="25"/>
      <c r="E89" s="25"/>
      <c r="F89" s="17"/>
      <c r="G89" s="27"/>
      <c r="H89" s="17"/>
      <c r="I89" s="25"/>
      <c r="J89" s="29"/>
      <c r="K89" s="25"/>
      <c r="L89" s="17"/>
      <c r="M89" s="25"/>
      <c r="N89" s="17"/>
      <c r="O89" s="25"/>
      <c r="P89" s="29"/>
      <c r="Q89" s="30"/>
      <c r="R89" s="17"/>
      <c r="S89" s="17"/>
      <c r="T89" s="17"/>
      <c r="U89" s="25"/>
      <c r="V89" s="17"/>
      <c r="W89" s="30"/>
      <c r="X89" s="17"/>
      <c r="Y89" s="16"/>
      <c r="Z89" s="17"/>
      <c r="AA89" s="30"/>
      <c r="AC89" s="17"/>
    </row>
    <row r="90" spans="1:29" ht="15">
      <c r="A90" s="17"/>
      <c r="B90" s="22" t="s">
        <v>285</v>
      </c>
      <c r="C90" s="17"/>
      <c r="D90" s="25">
        <f>D80+D88</f>
        <v>853551783</v>
      </c>
      <c r="E90" s="25"/>
      <c r="F90" s="17"/>
      <c r="G90" s="27" t="s">
        <v>253</v>
      </c>
      <c r="H90" s="17"/>
      <c r="I90" s="25" t="s">
        <v>253</v>
      </c>
      <c r="J90" s="29"/>
      <c r="K90" s="25" t="s">
        <v>253</v>
      </c>
      <c r="L90" s="17"/>
      <c r="M90" s="25" t="s">
        <v>253</v>
      </c>
      <c r="N90" s="17"/>
      <c r="O90" s="25">
        <f>O80+O88</f>
        <v>28259042.754385963</v>
      </c>
      <c r="P90" s="29"/>
      <c r="Q90" s="30">
        <f>O90/D90*100</f>
        <v>3.3107590326931535</v>
      </c>
      <c r="R90" s="17"/>
      <c r="S90" s="25">
        <f>S80+S88</f>
        <v>145935293</v>
      </c>
      <c r="T90" s="17"/>
      <c r="U90" s="25">
        <f>U80+U88</f>
        <v>25521516.1105626</v>
      </c>
      <c r="V90" s="17"/>
      <c r="W90" s="30">
        <f>U90/D90*100</f>
        <v>2.990037232522845</v>
      </c>
      <c r="X90" s="17"/>
      <c r="Y90" s="16">
        <f>(Q90-W90)/100</f>
        <v>0.003207218001703085</v>
      </c>
      <c r="Z90" s="17"/>
      <c r="AA90" s="30">
        <f>Y90/Q90</f>
        <v>0.0009687258933774342</v>
      </c>
      <c r="AC90" s="17"/>
    </row>
    <row r="91" spans="1:29" ht="15">
      <c r="A91" s="17"/>
      <c r="B91" s="22"/>
      <c r="C91" s="17"/>
      <c r="D91" s="25"/>
      <c r="E91" s="25"/>
      <c r="F91" s="17"/>
      <c r="G91" s="27"/>
      <c r="H91" s="17"/>
      <c r="I91" s="25"/>
      <c r="J91" s="29"/>
      <c r="K91" s="25"/>
      <c r="L91" s="17"/>
      <c r="M91" s="25"/>
      <c r="N91" s="17"/>
      <c r="O91" s="25"/>
      <c r="P91" s="29"/>
      <c r="Q91" s="30"/>
      <c r="R91" s="17"/>
      <c r="S91" s="17"/>
      <c r="T91" s="17"/>
      <c r="U91" s="25"/>
      <c r="V91" s="17"/>
      <c r="W91" s="30"/>
      <c r="X91" s="17"/>
      <c r="Y91" s="16"/>
      <c r="Z91" s="17"/>
      <c r="AA91" s="30"/>
      <c r="AC91" s="17"/>
    </row>
    <row r="92" spans="1:29" ht="15">
      <c r="A92" s="17"/>
      <c r="B92" s="22"/>
      <c r="C92" s="17"/>
      <c r="D92" s="25"/>
      <c r="E92" s="25"/>
      <c r="F92" s="17"/>
      <c r="G92" s="27"/>
      <c r="H92" s="17"/>
      <c r="I92" s="25"/>
      <c r="J92" s="29"/>
      <c r="K92" s="25"/>
      <c r="L92" s="17"/>
      <c r="M92" s="25"/>
      <c r="N92" s="17"/>
      <c r="O92" s="25"/>
      <c r="P92" s="29"/>
      <c r="Q92" s="30"/>
      <c r="R92" s="17"/>
      <c r="S92" s="17"/>
      <c r="T92" s="17"/>
      <c r="U92" s="25"/>
      <c r="V92" s="17"/>
      <c r="W92" s="30"/>
      <c r="X92" s="17"/>
      <c r="Y92" s="16"/>
      <c r="Z92" s="17"/>
      <c r="AA92" s="30"/>
      <c r="AC92" s="17"/>
    </row>
    <row r="93" spans="1:29" ht="15">
      <c r="A93" s="17"/>
      <c r="B93" s="22" t="s">
        <v>286</v>
      </c>
      <c r="C93" s="17"/>
      <c r="D93" s="25"/>
      <c r="E93" s="25"/>
      <c r="F93" s="17"/>
      <c r="G93" s="27"/>
      <c r="H93" s="17"/>
      <c r="I93" s="25"/>
      <c r="J93" s="29"/>
      <c r="K93" s="25"/>
      <c r="L93" s="17"/>
      <c r="M93" s="25"/>
      <c r="N93" s="17"/>
      <c r="O93" s="25"/>
      <c r="P93" s="29"/>
      <c r="Q93" s="30"/>
      <c r="R93" s="17"/>
      <c r="S93" s="17"/>
      <c r="T93" s="17"/>
      <c r="U93" s="25"/>
      <c r="V93" s="17"/>
      <c r="W93" s="30"/>
      <c r="X93" s="17"/>
      <c r="Y93" s="16"/>
      <c r="Z93" s="17"/>
      <c r="AA93" s="30"/>
      <c r="AC93" s="17"/>
    </row>
    <row r="94" spans="1:29" ht="15">
      <c r="A94" s="17"/>
      <c r="B94" s="22"/>
      <c r="C94" s="17"/>
      <c r="D94" s="25"/>
      <c r="E94" s="25"/>
      <c r="F94" s="17"/>
      <c r="G94" s="27"/>
      <c r="H94" s="17"/>
      <c r="I94" s="25"/>
      <c r="J94" s="29"/>
      <c r="K94" s="25"/>
      <c r="L94" s="17"/>
      <c r="M94" s="25"/>
      <c r="N94" s="17"/>
      <c r="O94" s="25"/>
      <c r="P94" s="29"/>
      <c r="Q94" s="30"/>
      <c r="R94" s="17"/>
      <c r="S94" s="17"/>
      <c r="T94" s="17"/>
      <c r="U94" s="25"/>
      <c r="V94" s="17"/>
      <c r="W94" s="30"/>
      <c r="X94" s="17"/>
      <c r="Y94" s="16"/>
      <c r="Z94" s="17"/>
      <c r="AA94" s="30"/>
      <c r="AC94" s="17"/>
    </row>
    <row r="95" spans="1:29" ht="15">
      <c r="A95" s="24" t="s">
        <v>40</v>
      </c>
      <c r="B95" s="17" t="s">
        <v>287</v>
      </c>
      <c r="C95" s="17"/>
      <c r="D95" s="25">
        <v>485195999</v>
      </c>
      <c r="E95" s="25"/>
      <c r="F95" s="26" t="s">
        <v>243</v>
      </c>
      <c r="G95" s="27">
        <v>38.3</v>
      </c>
      <c r="H95" s="28">
        <v>-3</v>
      </c>
      <c r="I95" s="25">
        <f>ROUND(H95/100*D95,0)</f>
        <v>-14555880</v>
      </c>
      <c r="J95" s="29"/>
      <c r="K95" s="25">
        <v>115753922</v>
      </c>
      <c r="L95" s="25"/>
      <c r="M95" s="25">
        <f>D95-I95-K95</f>
        <v>383997957</v>
      </c>
      <c r="N95" s="27">
        <v>34.3</v>
      </c>
      <c r="O95" s="25">
        <f>ROUND(+M95/N95,0)</f>
        <v>11195276</v>
      </c>
      <c r="P95" s="29"/>
      <c r="Q95" s="30">
        <f>O95/D95*100</f>
        <v>2.3073718709704365</v>
      </c>
      <c r="R95" s="17"/>
      <c r="S95" s="25">
        <f>D95-K95</f>
        <v>369442077</v>
      </c>
      <c r="T95" s="17"/>
      <c r="U95" s="25">
        <f>S95/N95</f>
        <v>10770906.034985423</v>
      </c>
      <c r="V95" s="17"/>
      <c r="W95" s="30">
        <f>U95/D95*100</f>
        <v>2.2199082550524953</v>
      </c>
      <c r="X95" s="17"/>
      <c r="Y95" s="16">
        <f>(Q95-W95)/100</f>
        <v>0.0008746361591794117</v>
      </c>
      <c r="Z95" s="17"/>
      <c r="AA95" s="30">
        <f>Y95/Q95</f>
        <v>0.0003790616372607318</v>
      </c>
      <c r="AC95" s="24" t="s">
        <v>40</v>
      </c>
    </row>
    <row r="96" spans="1:29" ht="15">
      <c r="A96" s="17"/>
      <c r="B96" s="17" t="s">
        <v>244</v>
      </c>
      <c r="C96" s="17"/>
      <c r="D96" s="25"/>
      <c r="E96" s="25"/>
      <c r="F96" s="26"/>
      <c r="G96" s="27"/>
      <c r="H96" s="25"/>
      <c r="I96" s="25"/>
      <c r="J96" s="29"/>
      <c r="K96" s="25"/>
      <c r="L96" s="25"/>
      <c r="M96" s="25"/>
      <c r="N96" s="27"/>
      <c r="O96" s="25"/>
      <c r="P96" s="29"/>
      <c r="Q96" s="30"/>
      <c r="R96" s="17"/>
      <c r="S96" s="17"/>
      <c r="T96" s="17"/>
      <c r="U96" s="25"/>
      <c r="V96" s="17"/>
      <c r="W96" s="30"/>
      <c r="X96" s="17"/>
      <c r="Y96" s="16"/>
      <c r="Z96" s="17"/>
      <c r="AA96" s="30"/>
      <c r="AC96" s="17"/>
    </row>
    <row r="97" spans="1:29" ht="15">
      <c r="A97" s="17"/>
      <c r="B97" s="17" t="s">
        <v>245</v>
      </c>
      <c r="C97" s="17"/>
      <c r="D97" s="25">
        <v>4200000</v>
      </c>
      <c r="E97" s="25"/>
      <c r="F97" s="26"/>
      <c r="G97" s="27">
        <v>30</v>
      </c>
      <c r="H97" s="28">
        <v>-3</v>
      </c>
      <c r="I97" s="25"/>
      <c r="J97" s="29"/>
      <c r="K97" s="25"/>
      <c r="L97" s="25"/>
      <c r="M97" s="25"/>
      <c r="N97" s="27"/>
      <c r="O97" s="25">
        <f>(1-H97/100)*D97/G97</f>
        <v>144200</v>
      </c>
      <c r="P97" s="29"/>
      <c r="Q97" s="30"/>
      <c r="R97" s="17"/>
      <c r="S97" s="17"/>
      <c r="T97" s="17"/>
      <c r="U97" s="25">
        <f>O97</f>
        <v>144200</v>
      </c>
      <c r="V97" s="17"/>
      <c r="W97" s="30"/>
      <c r="X97" s="17"/>
      <c r="Y97" s="16"/>
      <c r="Z97" s="17"/>
      <c r="AA97" s="30"/>
      <c r="AC97" s="17"/>
    </row>
    <row r="98" spans="1:29" ht="15">
      <c r="A98" s="17"/>
      <c r="B98" s="17" t="s">
        <v>246</v>
      </c>
      <c r="C98" s="17"/>
      <c r="D98" s="25">
        <v>30000000</v>
      </c>
      <c r="E98" s="25"/>
      <c r="F98" s="26"/>
      <c r="G98" s="27">
        <v>29</v>
      </c>
      <c r="H98" s="28">
        <v>-3</v>
      </c>
      <c r="I98" s="25"/>
      <c r="J98" s="29"/>
      <c r="K98" s="25"/>
      <c r="L98" s="25"/>
      <c r="M98" s="25"/>
      <c r="N98" s="27"/>
      <c r="O98" s="25">
        <f>(1-H98/100)*D98/G98</f>
        <v>1065517.2413793104</v>
      </c>
      <c r="P98" s="29"/>
      <c r="Q98" s="30"/>
      <c r="R98" s="17"/>
      <c r="S98" s="17"/>
      <c r="T98" s="17"/>
      <c r="U98" s="25">
        <f>O98</f>
        <v>1065517.2413793104</v>
      </c>
      <c r="V98" s="17"/>
      <c r="W98" s="30"/>
      <c r="X98" s="17"/>
      <c r="Y98" s="16"/>
      <c r="Z98" s="17"/>
      <c r="AA98" s="30"/>
      <c r="AC98" s="17"/>
    </row>
    <row r="99" spans="1:29" ht="15">
      <c r="A99" s="17"/>
      <c r="B99" s="17" t="s">
        <v>250</v>
      </c>
      <c r="C99" s="17"/>
      <c r="D99" s="31">
        <v>2800000</v>
      </c>
      <c r="E99" s="25"/>
      <c r="F99" s="26"/>
      <c r="G99" s="27">
        <v>28</v>
      </c>
      <c r="H99" s="28">
        <v>-3</v>
      </c>
      <c r="I99" s="32"/>
      <c r="J99" s="29"/>
      <c r="K99" s="32"/>
      <c r="L99" s="29"/>
      <c r="M99" s="32"/>
      <c r="N99" s="33"/>
      <c r="O99" s="31">
        <f>(1-H99/100)*D99/G99</f>
        <v>103000</v>
      </c>
      <c r="P99" s="29"/>
      <c r="Q99" s="34"/>
      <c r="R99" s="17"/>
      <c r="S99" s="35"/>
      <c r="T99" s="17"/>
      <c r="U99" s="31">
        <f>O99</f>
        <v>103000</v>
      </c>
      <c r="V99" s="17"/>
      <c r="W99" s="34"/>
      <c r="X99" s="17"/>
      <c r="Y99" s="36"/>
      <c r="Z99" s="17"/>
      <c r="AA99" s="34"/>
      <c r="AC99" s="17"/>
    </row>
    <row r="100" spans="1:29" ht="15">
      <c r="A100" s="17"/>
      <c r="B100" s="17"/>
      <c r="C100" s="17"/>
      <c r="D100" s="40"/>
      <c r="E100" s="25"/>
      <c r="F100" s="26"/>
      <c r="G100" s="27"/>
      <c r="H100" s="25"/>
      <c r="I100" s="25"/>
      <c r="J100" s="29"/>
      <c r="K100" s="25"/>
      <c r="L100" s="25"/>
      <c r="M100" s="25"/>
      <c r="N100" s="27"/>
      <c r="O100" s="40"/>
      <c r="P100" s="29"/>
      <c r="Q100" s="30"/>
      <c r="R100" s="17"/>
      <c r="S100" s="17"/>
      <c r="T100" s="17"/>
      <c r="U100" s="40"/>
      <c r="V100" s="17"/>
      <c r="W100" s="30"/>
      <c r="X100" s="17"/>
      <c r="Y100" s="16"/>
      <c r="Z100" s="17"/>
      <c r="AA100" s="30"/>
      <c r="AC100" s="17"/>
    </row>
    <row r="101" spans="1:29" ht="15">
      <c r="A101" s="17"/>
      <c r="B101" s="22" t="s">
        <v>288</v>
      </c>
      <c r="C101" s="17"/>
      <c r="D101" s="25">
        <f>SUM(D95:D99)</f>
        <v>522195999</v>
      </c>
      <c r="E101" s="25"/>
      <c r="F101" s="26"/>
      <c r="G101" s="27"/>
      <c r="H101" s="25"/>
      <c r="I101" s="25"/>
      <c r="J101" s="29"/>
      <c r="K101" s="25"/>
      <c r="L101" s="25"/>
      <c r="M101" s="25"/>
      <c r="N101" s="27"/>
      <c r="O101" s="25">
        <f>SUM(O95:O99)</f>
        <v>12507993.24137931</v>
      </c>
      <c r="P101" s="29"/>
      <c r="Q101" s="30">
        <f>O101/D101*100</f>
        <v>2.395267919580385</v>
      </c>
      <c r="R101" s="17"/>
      <c r="S101" s="25">
        <f>D101-K101</f>
        <v>522195999</v>
      </c>
      <c r="T101" s="17"/>
      <c r="U101" s="25">
        <f>SUM(U95:U100)</f>
        <v>12083623.276364733</v>
      </c>
      <c r="V101" s="17"/>
      <c r="W101" s="30">
        <f>U101/D101*100</f>
        <v>2.314001505087122</v>
      </c>
      <c r="X101" s="17"/>
      <c r="Y101" s="16">
        <f>(Q101-W101)/100</f>
        <v>0.000812664144932631</v>
      </c>
      <c r="Z101" s="17"/>
      <c r="AA101" s="30">
        <f>Y101/Q101</f>
        <v>0.0003392790168855088</v>
      </c>
      <c r="AC101" s="17"/>
    </row>
    <row r="102" spans="1:29" ht="15">
      <c r="A102" s="17"/>
      <c r="B102" s="17"/>
      <c r="C102" s="17"/>
      <c r="D102" s="25"/>
      <c r="E102" s="25"/>
      <c r="F102" s="26"/>
      <c r="G102" s="27"/>
      <c r="H102" s="25"/>
      <c r="I102" s="25"/>
      <c r="J102" s="29"/>
      <c r="K102" s="25"/>
      <c r="L102" s="25"/>
      <c r="M102" s="25"/>
      <c r="N102" s="27"/>
      <c r="O102" s="25"/>
      <c r="P102" s="29"/>
      <c r="Q102" s="30"/>
      <c r="R102" s="17"/>
      <c r="S102" s="17"/>
      <c r="T102" s="17"/>
      <c r="U102" s="25"/>
      <c r="V102" s="17"/>
      <c r="W102" s="30"/>
      <c r="X102" s="17"/>
      <c r="Y102" s="16"/>
      <c r="Z102" s="17"/>
      <c r="AA102" s="30"/>
      <c r="AC102" s="17"/>
    </row>
    <row r="103" spans="1:29" ht="15">
      <c r="A103" s="17"/>
      <c r="B103" s="17"/>
      <c r="C103" s="17"/>
      <c r="D103" s="25"/>
      <c r="E103" s="25"/>
      <c r="F103" s="26"/>
      <c r="G103" s="27"/>
      <c r="H103" s="25"/>
      <c r="I103" s="25"/>
      <c r="J103" s="29"/>
      <c r="K103" s="25"/>
      <c r="L103" s="25"/>
      <c r="M103" s="25"/>
      <c r="N103" s="27"/>
      <c r="O103" s="25"/>
      <c r="P103" s="29"/>
      <c r="Q103" s="30"/>
      <c r="R103" s="17"/>
      <c r="S103" s="17"/>
      <c r="T103" s="17"/>
      <c r="U103" s="25"/>
      <c r="V103" s="17"/>
      <c r="W103" s="30"/>
      <c r="X103" s="17"/>
      <c r="Y103" s="16"/>
      <c r="Z103" s="17"/>
      <c r="AA103" s="30"/>
      <c r="AC103" s="17"/>
    </row>
    <row r="104" spans="1:29" ht="15">
      <c r="A104" s="24" t="s">
        <v>289</v>
      </c>
      <c r="B104" s="17" t="s">
        <v>290</v>
      </c>
      <c r="C104" s="17"/>
      <c r="D104" s="31">
        <v>57722892</v>
      </c>
      <c r="E104" s="25"/>
      <c r="F104" s="26" t="s">
        <v>243</v>
      </c>
      <c r="G104" s="27">
        <v>26</v>
      </c>
      <c r="H104" s="28">
        <v>-3</v>
      </c>
      <c r="I104" s="32">
        <f>ROUND(H104/100*D104,0)</f>
        <v>-1731687</v>
      </c>
      <c r="J104" s="29"/>
      <c r="K104" s="32">
        <v>25217887</v>
      </c>
      <c r="L104" s="29"/>
      <c r="M104" s="32">
        <f>D104-I104-K104</f>
        <v>34236692</v>
      </c>
      <c r="N104" s="33">
        <v>17.1</v>
      </c>
      <c r="O104" s="31">
        <f>ROUND(+M104/N104,0)</f>
        <v>2002146</v>
      </c>
      <c r="P104" s="29"/>
      <c r="Q104" s="34">
        <f>O104/D104*100</f>
        <v>3.468547625784238</v>
      </c>
      <c r="R104" s="17"/>
      <c r="S104" s="35">
        <f>D104-K104</f>
        <v>32505005</v>
      </c>
      <c r="T104" s="17"/>
      <c r="U104" s="31">
        <f>S104/N104</f>
        <v>1900877.4853801169</v>
      </c>
      <c r="V104" s="17"/>
      <c r="W104" s="34">
        <f>U104/D104*100</f>
        <v>3.293108538948667</v>
      </c>
      <c r="X104" s="17"/>
      <c r="Y104" s="36">
        <f>(Q104-W104)/100</f>
        <v>0.0017543908683557063</v>
      </c>
      <c r="Z104" s="17"/>
      <c r="AA104" s="34">
        <f>Y104/Q104</f>
        <v>0.000505799849860513</v>
      </c>
      <c r="AC104" s="24" t="s">
        <v>289</v>
      </c>
    </row>
    <row r="105" spans="1:29" ht="15">
      <c r="A105" s="17"/>
      <c r="B105" s="22" t="s">
        <v>291</v>
      </c>
      <c r="C105" s="17"/>
      <c r="D105" s="25">
        <f>D101+D104</f>
        <v>579918891</v>
      </c>
      <c r="E105" s="25"/>
      <c r="F105" s="17"/>
      <c r="G105" s="27" t="s">
        <v>253</v>
      </c>
      <c r="H105" s="17"/>
      <c r="I105" s="25" t="s">
        <v>253</v>
      </c>
      <c r="J105" s="29"/>
      <c r="K105" s="25" t="s">
        <v>253</v>
      </c>
      <c r="L105" s="17"/>
      <c r="M105" s="25" t="s">
        <v>253</v>
      </c>
      <c r="N105" s="17"/>
      <c r="O105" s="25">
        <f>O101+O104</f>
        <v>14510139.24137931</v>
      </c>
      <c r="P105" s="29"/>
      <c r="Q105" s="30">
        <f>O105/D105*100</f>
        <v>2.5020980462213136</v>
      </c>
      <c r="R105" s="17"/>
      <c r="S105" s="25">
        <f>S101+S104</f>
        <v>554701004</v>
      </c>
      <c r="T105" s="17"/>
      <c r="U105" s="25">
        <f>U101+U104</f>
        <v>13984500.76174485</v>
      </c>
      <c r="V105" s="17"/>
      <c r="W105" s="30">
        <f>U105/D105*100</f>
        <v>2.411458046767587</v>
      </c>
      <c r="X105" s="17"/>
      <c r="Y105" s="16">
        <f>(Q105-W105)/100</f>
        <v>0.0009063999945372681</v>
      </c>
      <c r="Z105" s="17"/>
      <c r="AA105" s="30">
        <f>Y105/Q105</f>
        <v>0.000362255985893966</v>
      </c>
      <c r="AC105" s="17"/>
    </row>
    <row r="106" spans="1:29" ht="15">
      <c r="A106" s="17"/>
      <c r="B106" s="22"/>
      <c r="C106" s="17"/>
      <c r="D106" s="25"/>
      <c r="E106" s="25"/>
      <c r="F106" s="17"/>
      <c r="G106" s="27"/>
      <c r="H106" s="17"/>
      <c r="I106" s="25"/>
      <c r="J106" s="29"/>
      <c r="K106" s="25"/>
      <c r="L106" s="17"/>
      <c r="M106" s="25"/>
      <c r="N106" s="17"/>
      <c r="O106" s="25"/>
      <c r="P106" s="29"/>
      <c r="Q106" s="30"/>
      <c r="R106" s="17"/>
      <c r="S106" s="25"/>
      <c r="T106" s="17"/>
      <c r="U106" s="25"/>
      <c r="V106" s="17"/>
      <c r="W106" s="30"/>
      <c r="X106" s="17"/>
      <c r="Y106" s="16"/>
      <c r="Z106" s="17"/>
      <c r="AA106" s="30"/>
      <c r="AC106" s="17"/>
    </row>
    <row r="107" spans="1:29" ht="15">
      <c r="A107" s="17"/>
      <c r="B107" s="22" t="s">
        <v>292</v>
      </c>
      <c r="C107" s="17"/>
      <c r="D107" s="25">
        <f>D45+D90+D105</f>
        <v>1665435004</v>
      </c>
      <c r="E107" s="25"/>
      <c r="F107" s="17"/>
      <c r="G107" s="27" t="s">
        <v>253</v>
      </c>
      <c r="H107" s="17"/>
      <c r="I107" s="25" t="s">
        <v>253</v>
      </c>
      <c r="J107" s="29"/>
      <c r="K107" s="25" t="s">
        <v>253</v>
      </c>
      <c r="L107" s="17"/>
      <c r="M107" s="25" t="s">
        <v>253</v>
      </c>
      <c r="N107" s="17"/>
      <c r="O107" s="25">
        <f>O45+O90+O105</f>
        <v>48516043.73260738</v>
      </c>
      <c r="P107" s="29"/>
      <c r="Q107" s="30">
        <f>O107/D107*100</f>
        <v>2.9131154092524034</v>
      </c>
      <c r="R107" s="17"/>
      <c r="S107" s="25">
        <f>S45+S90+S105</f>
        <v>700636297</v>
      </c>
      <c r="T107" s="17"/>
      <c r="U107" s="25">
        <f>U45+U90+U105</f>
        <v>43997053.66987245</v>
      </c>
      <c r="V107" s="17"/>
      <c r="W107" s="30">
        <f>U107/D107*100</f>
        <v>2.6417754859361926</v>
      </c>
      <c r="X107" s="17"/>
      <c r="Y107" s="16">
        <f>(Q107-W107)/100</f>
        <v>0.002713399233162108</v>
      </c>
      <c r="Z107" s="17"/>
      <c r="AA107" s="30">
        <f>Y107/Q107</f>
        <v>0.0009314424085444837</v>
      </c>
      <c r="AC107" s="17"/>
    </row>
    <row r="108" spans="1:29" ht="15">
      <c r="A108" s="17"/>
      <c r="B108" s="22"/>
      <c r="C108" s="17"/>
      <c r="D108" s="25"/>
      <c r="E108" s="25"/>
      <c r="F108" s="17"/>
      <c r="G108" s="27"/>
      <c r="H108" s="17"/>
      <c r="I108" s="25"/>
      <c r="J108" s="29"/>
      <c r="K108" s="25"/>
      <c r="L108" s="17"/>
      <c r="M108" s="25"/>
      <c r="N108" s="17"/>
      <c r="O108" s="25"/>
      <c r="P108" s="29"/>
      <c r="Q108" s="30"/>
      <c r="R108" s="17"/>
      <c r="S108" s="17"/>
      <c r="T108" s="17"/>
      <c r="U108" s="25"/>
      <c r="V108" s="17"/>
      <c r="W108" s="30"/>
      <c r="X108" s="17"/>
      <c r="Y108" s="16"/>
      <c r="Z108" s="17"/>
      <c r="AA108" s="30"/>
      <c r="AC108" s="17"/>
    </row>
    <row r="109" spans="1:29" ht="15">
      <c r="A109" s="17"/>
      <c r="B109" s="22"/>
      <c r="C109" s="17"/>
      <c r="D109" s="25"/>
      <c r="E109" s="25"/>
      <c r="F109" s="17"/>
      <c r="G109" s="27"/>
      <c r="H109" s="17"/>
      <c r="I109" s="25"/>
      <c r="J109" s="29"/>
      <c r="K109" s="25"/>
      <c r="L109" s="17"/>
      <c r="M109" s="25"/>
      <c r="N109" s="17"/>
      <c r="O109" s="25"/>
      <c r="P109" s="29"/>
      <c r="Q109" s="30"/>
      <c r="R109" s="17"/>
      <c r="S109" s="17"/>
      <c r="T109" s="17"/>
      <c r="U109" s="25"/>
      <c r="V109" s="17"/>
      <c r="W109" s="30"/>
      <c r="X109" s="17"/>
      <c r="Y109" s="16"/>
      <c r="Z109" s="17"/>
      <c r="AA109" s="30"/>
      <c r="AC109" s="17"/>
    </row>
    <row r="110" spans="1:29" ht="15">
      <c r="A110" s="17"/>
      <c r="B110" s="22" t="s">
        <v>293</v>
      </c>
      <c r="C110" s="17"/>
      <c r="D110" s="25"/>
      <c r="E110" s="25"/>
      <c r="F110" s="17"/>
      <c r="G110" s="27"/>
      <c r="H110" s="17"/>
      <c r="I110" s="25"/>
      <c r="J110" s="29"/>
      <c r="K110" s="25"/>
      <c r="L110" s="17"/>
      <c r="M110" s="25"/>
      <c r="N110" s="17"/>
      <c r="O110" s="25"/>
      <c r="P110" s="29"/>
      <c r="Q110" s="30"/>
      <c r="R110" s="17"/>
      <c r="S110" s="17"/>
      <c r="T110" s="17"/>
      <c r="U110" s="25"/>
      <c r="V110" s="17"/>
      <c r="W110" s="30"/>
      <c r="X110" s="17"/>
      <c r="Y110" s="16"/>
      <c r="Z110" s="17"/>
      <c r="AA110" s="30"/>
      <c r="AC110" s="17"/>
    </row>
    <row r="111" spans="1:29" ht="15">
      <c r="A111" s="17"/>
      <c r="B111" s="22"/>
      <c r="C111" s="17"/>
      <c r="D111" s="25"/>
      <c r="E111" s="25"/>
      <c r="F111" s="17"/>
      <c r="G111" s="27"/>
      <c r="H111" s="17"/>
      <c r="I111" s="25"/>
      <c r="J111" s="29"/>
      <c r="K111" s="25"/>
      <c r="L111" s="17"/>
      <c r="M111" s="25"/>
      <c r="N111" s="17"/>
      <c r="O111" s="25"/>
      <c r="P111" s="29"/>
      <c r="Q111" s="30"/>
      <c r="R111" s="17"/>
      <c r="S111" s="17"/>
      <c r="T111" s="17"/>
      <c r="U111" s="25"/>
      <c r="V111" s="17"/>
      <c r="W111" s="30"/>
      <c r="X111" s="17"/>
      <c r="Y111" s="16"/>
      <c r="Z111" s="17"/>
      <c r="AA111" s="30"/>
      <c r="AC111" s="17"/>
    </row>
    <row r="112" spans="1:29" ht="15">
      <c r="A112" s="24" t="s">
        <v>294</v>
      </c>
      <c r="B112" s="17" t="s">
        <v>295</v>
      </c>
      <c r="C112" s="17"/>
      <c r="D112" s="25">
        <v>3559629</v>
      </c>
      <c r="E112" s="25"/>
      <c r="F112" s="26" t="s">
        <v>243</v>
      </c>
      <c r="G112" s="27">
        <v>40.8</v>
      </c>
      <c r="H112" s="28">
        <v>0</v>
      </c>
      <c r="I112" s="25">
        <f aca="true" t="shared" si="0" ref="I112:I119">ROUND(H112/100*D112,0)</f>
        <v>0</v>
      </c>
      <c r="J112" s="29"/>
      <c r="K112" s="25">
        <v>3074962</v>
      </c>
      <c r="L112" s="25"/>
      <c r="M112" s="25">
        <f aca="true" t="shared" si="1" ref="M112:M119">D112-I112-K112</f>
        <v>484667</v>
      </c>
      <c r="N112" s="27">
        <v>10.5</v>
      </c>
      <c r="O112" s="25">
        <f aca="true" t="shared" si="2" ref="O112:O119">ROUND(+M112/N112,0)</f>
        <v>46159</v>
      </c>
      <c r="P112" s="29"/>
      <c r="Q112" s="30">
        <f aca="true" t="shared" si="3" ref="Q112:Q120">O112/D112*100</f>
        <v>1.296736260997986</v>
      </c>
      <c r="R112" s="17"/>
      <c r="S112" s="25">
        <f aca="true" t="shared" si="4" ref="S112:S119">D112-K112</f>
        <v>484667</v>
      </c>
      <c r="T112" s="17"/>
      <c r="U112" s="25">
        <f aca="true" t="shared" si="5" ref="U112:U119">S112/N112</f>
        <v>46158.76190476191</v>
      </c>
      <c r="V112" s="17"/>
      <c r="W112" s="30">
        <f aca="true" t="shared" si="6" ref="W112:W119">U112/D112*100</f>
        <v>1.2967295722324408</v>
      </c>
      <c r="X112" s="17"/>
      <c r="Y112" s="16">
        <f aca="true" t="shared" si="7" ref="Y112:Y120">(Q112-W112)/100</f>
        <v>6.688765545215248E-08</v>
      </c>
      <c r="Z112" s="17"/>
      <c r="AA112" s="30">
        <f aca="true" t="shared" si="8" ref="AA112:AA120">Y112/Q112</f>
        <v>5.1581541647238906E-08</v>
      </c>
      <c r="AC112" s="24" t="s">
        <v>294</v>
      </c>
    </row>
    <row r="113" spans="1:29" ht="15">
      <c r="A113" s="24" t="s">
        <v>296</v>
      </c>
      <c r="B113" s="17" t="s">
        <v>297</v>
      </c>
      <c r="C113" s="17"/>
      <c r="D113" s="25">
        <v>1889560</v>
      </c>
      <c r="E113" s="25"/>
      <c r="F113" s="26" t="s">
        <v>243</v>
      </c>
      <c r="G113" s="27">
        <v>29.9</v>
      </c>
      <c r="H113" s="28">
        <v>0</v>
      </c>
      <c r="I113" s="25">
        <f t="shared" si="0"/>
        <v>0</v>
      </c>
      <c r="J113" s="29"/>
      <c r="K113" s="25">
        <v>1644039</v>
      </c>
      <c r="L113" s="25"/>
      <c r="M113" s="25">
        <f t="shared" si="1"/>
        <v>245521</v>
      </c>
      <c r="N113" s="27">
        <v>10.5</v>
      </c>
      <c r="O113" s="25">
        <f t="shared" si="2"/>
        <v>23383</v>
      </c>
      <c r="P113" s="29"/>
      <c r="Q113" s="30">
        <f t="shared" si="3"/>
        <v>1.237483858676094</v>
      </c>
      <c r="R113" s="17"/>
      <c r="S113" s="25">
        <f t="shared" si="4"/>
        <v>245521</v>
      </c>
      <c r="T113" s="17"/>
      <c r="U113" s="25">
        <f t="shared" si="5"/>
        <v>23382.95238095238</v>
      </c>
      <c r="V113" s="17"/>
      <c r="W113" s="30">
        <f t="shared" si="6"/>
        <v>1.2374813385630719</v>
      </c>
      <c r="X113" s="17"/>
      <c r="Y113" s="16">
        <f t="shared" si="7"/>
        <v>2.5201130220420254E-08</v>
      </c>
      <c r="Z113" s="17"/>
      <c r="AA113" s="30">
        <f t="shared" si="8"/>
        <v>2.0364815301414402E-08</v>
      </c>
      <c r="AC113" s="24" t="s">
        <v>296</v>
      </c>
    </row>
    <row r="114" spans="1:29" ht="15">
      <c r="A114" s="24" t="s">
        <v>298</v>
      </c>
      <c r="B114" s="17" t="s">
        <v>299</v>
      </c>
      <c r="C114" s="17"/>
      <c r="D114" s="25">
        <v>1592575</v>
      </c>
      <c r="E114" s="25"/>
      <c r="F114" s="26" t="s">
        <v>243</v>
      </c>
      <c r="G114" s="27">
        <v>29.8</v>
      </c>
      <c r="H114" s="28">
        <v>0</v>
      </c>
      <c r="I114" s="25">
        <f t="shared" si="0"/>
        <v>0</v>
      </c>
      <c r="J114" s="29"/>
      <c r="K114" s="25">
        <v>1382409</v>
      </c>
      <c r="L114" s="25"/>
      <c r="M114" s="25">
        <f t="shared" si="1"/>
        <v>210166</v>
      </c>
      <c r="N114" s="27">
        <v>10.5</v>
      </c>
      <c r="O114" s="25">
        <f t="shared" si="2"/>
        <v>20016</v>
      </c>
      <c r="P114" s="29"/>
      <c r="Q114" s="30">
        <f t="shared" si="3"/>
        <v>1.2568324882658588</v>
      </c>
      <c r="R114" s="17"/>
      <c r="S114" s="25">
        <f t="shared" si="4"/>
        <v>210166</v>
      </c>
      <c r="T114" s="17"/>
      <c r="U114" s="25">
        <f t="shared" si="5"/>
        <v>20015.809523809523</v>
      </c>
      <c r="V114" s="17"/>
      <c r="W114" s="30">
        <f t="shared" si="6"/>
        <v>1.256820528000849</v>
      </c>
      <c r="X114" s="17"/>
      <c r="Y114" s="16">
        <f t="shared" si="7"/>
        <v>1.196026500971392E-07</v>
      </c>
      <c r="Z114" s="17"/>
      <c r="AA114" s="30">
        <f t="shared" si="8"/>
        <v>9.516196566669239E-08</v>
      </c>
      <c r="AC114" s="24" t="s">
        <v>298</v>
      </c>
    </row>
    <row r="115" spans="1:29" ht="15">
      <c r="A115" s="24" t="s">
        <v>300</v>
      </c>
      <c r="B115" s="17" t="s">
        <v>301</v>
      </c>
      <c r="C115" s="17"/>
      <c r="D115" s="25">
        <v>3161146</v>
      </c>
      <c r="E115" s="25"/>
      <c r="F115" s="26" t="s">
        <v>243</v>
      </c>
      <c r="G115" s="27">
        <v>29.2</v>
      </c>
      <c r="H115" s="28">
        <v>0</v>
      </c>
      <c r="I115" s="25">
        <f t="shared" si="0"/>
        <v>0</v>
      </c>
      <c r="J115" s="29"/>
      <c r="K115" s="25">
        <v>2714827</v>
      </c>
      <c r="L115" s="25"/>
      <c r="M115" s="25">
        <f t="shared" si="1"/>
        <v>446319</v>
      </c>
      <c r="N115" s="27">
        <v>10.5</v>
      </c>
      <c r="O115" s="25">
        <f t="shared" si="2"/>
        <v>42507</v>
      </c>
      <c r="P115" s="29"/>
      <c r="Q115" s="30">
        <f t="shared" si="3"/>
        <v>1.3446705720014198</v>
      </c>
      <c r="R115" s="17"/>
      <c r="S115" s="25">
        <f t="shared" si="4"/>
        <v>446319</v>
      </c>
      <c r="T115" s="17"/>
      <c r="U115" s="25">
        <f t="shared" si="5"/>
        <v>42506.57142857143</v>
      </c>
      <c r="V115" s="17"/>
      <c r="W115" s="30">
        <f t="shared" si="6"/>
        <v>1.3446570145311678</v>
      </c>
      <c r="X115" s="17"/>
      <c r="Y115" s="16">
        <f t="shared" si="7"/>
        <v>1.355747025200138E-07</v>
      </c>
      <c r="Z115" s="17"/>
      <c r="AA115" s="30">
        <f t="shared" si="8"/>
        <v>1.0082372987327535E-07</v>
      </c>
      <c r="AC115" s="24" t="s">
        <v>300</v>
      </c>
    </row>
    <row r="116" spans="1:29" ht="15">
      <c r="A116" s="24" t="s">
        <v>302</v>
      </c>
      <c r="B116" s="17" t="s">
        <v>303</v>
      </c>
      <c r="C116" s="17"/>
      <c r="D116" s="25">
        <v>2061814</v>
      </c>
      <c r="E116" s="25"/>
      <c r="F116" s="26" t="s">
        <v>243</v>
      </c>
      <c r="G116" s="27">
        <v>35.9</v>
      </c>
      <c r="H116" s="28">
        <v>0</v>
      </c>
      <c r="I116" s="25">
        <f t="shared" si="0"/>
        <v>0</v>
      </c>
      <c r="J116" s="29"/>
      <c r="K116" s="25">
        <v>1955790</v>
      </c>
      <c r="L116" s="25"/>
      <c r="M116" s="25">
        <f t="shared" si="1"/>
        <v>106024</v>
      </c>
      <c r="N116" s="27">
        <v>10.5</v>
      </c>
      <c r="O116" s="25">
        <f t="shared" si="2"/>
        <v>10098</v>
      </c>
      <c r="P116" s="29"/>
      <c r="Q116" s="30">
        <f t="shared" si="3"/>
        <v>0.48976289810817075</v>
      </c>
      <c r="R116" s="17"/>
      <c r="S116" s="25">
        <f t="shared" si="4"/>
        <v>106024</v>
      </c>
      <c r="T116" s="17"/>
      <c r="U116" s="25">
        <f t="shared" si="5"/>
        <v>10097.52380952381</v>
      </c>
      <c r="V116" s="17"/>
      <c r="W116" s="30">
        <f t="shared" si="6"/>
        <v>0.4897398024033113</v>
      </c>
      <c r="X116" s="17"/>
      <c r="Y116" s="16">
        <f t="shared" si="7"/>
        <v>2.3095704859477095E-07</v>
      </c>
      <c r="Z116" s="17"/>
      <c r="AA116" s="30">
        <f t="shared" si="8"/>
        <v>4.7156909902097354E-07</v>
      </c>
      <c r="AC116" s="24" t="s">
        <v>302</v>
      </c>
    </row>
    <row r="117" spans="1:29" ht="15">
      <c r="A117" s="24" t="s">
        <v>304</v>
      </c>
      <c r="B117" s="17" t="s">
        <v>305</v>
      </c>
      <c r="C117" s="17"/>
      <c r="D117" s="25">
        <v>22207671</v>
      </c>
      <c r="E117" s="25"/>
      <c r="F117" s="26" t="s">
        <v>243</v>
      </c>
      <c r="G117" s="27">
        <v>29</v>
      </c>
      <c r="H117" s="28">
        <v>0</v>
      </c>
      <c r="I117" s="25">
        <f t="shared" si="0"/>
        <v>0</v>
      </c>
      <c r="J117" s="29"/>
      <c r="K117" s="25">
        <v>388507</v>
      </c>
      <c r="L117" s="25"/>
      <c r="M117" s="25">
        <f t="shared" si="1"/>
        <v>21819164</v>
      </c>
      <c r="N117" s="27">
        <v>28.5</v>
      </c>
      <c r="O117" s="25">
        <f t="shared" si="2"/>
        <v>765585</v>
      </c>
      <c r="P117" s="29"/>
      <c r="Q117" s="30">
        <f t="shared" si="3"/>
        <v>3.447389868122596</v>
      </c>
      <c r="R117" s="17"/>
      <c r="S117" s="25">
        <f t="shared" si="4"/>
        <v>21819164</v>
      </c>
      <c r="T117" s="17"/>
      <c r="U117" s="25">
        <f t="shared" si="5"/>
        <v>765584.701754386</v>
      </c>
      <c r="V117" s="17"/>
      <c r="W117" s="30">
        <f t="shared" si="6"/>
        <v>3.44738852513794</v>
      </c>
      <c r="X117" s="17"/>
      <c r="Y117" s="16">
        <f t="shared" si="7"/>
        <v>1.342984655927637E-08</v>
      </c>
      <c r="Z117" s="17"/>
      <c r="AA117" s="30">
        <f t="shared" si="8"/>
        <v>3.895656445318177E-09</v>
      </c>
      <c r="AC117" s="24" t="s">
        <v>304</v>
      </c>
    </row>
    <row r="118" spans="1:29" ht="15">
      <c r="A118" s="24" t="s">
        <v>306</v>
      </c>
      <c r="B118" s="17" t="s">
        <v>307</v>
      </c>
      <c r="C118" s="17"/>
      <c r="D118" s="25">
        <v>22371850</v>
      </c>
      <c r="E118" s="25"/>
      <c r="F118" s="26" t="s">
        <v>243</v>
      </c>
      <c r="G118" s="27">
        <v>30</v>
      </c>
      <c r="H118" s="28">
        <v>0</v>
      </c>
      <c r="I118" s="25">
        <f t="shared" si="0"/>
        <v>0</v>
      </c>
      <c r="J118" s="29"/>
      <c r="K118" s="25">
        <v>378333</v>
      </c>
      <c r="L118" s="25"/>
      <c r="M118" s="25">
        <f t="shared" si="1"/>
        <v>21993517</v>
      </c>
      <c r="N118" s="27">
        <v>29.5</v>
      </c>
      <c r="O118" s="25">
        <f t="shared" si="2"/>
        <v>745543</v>
      </c>
      <c r="P118" s="29"/>
      <c r="Q118" s="30">
        <f t="shared" si="3"/>
        <v>3.3325049113059495</v>
      </c>
      <c r="R118" s="17"/>
      <c r="S118" s="25">
        <f t="shared" si="4"/>
        <v>21993517</v>
      </c>
      <c r="T118" s="17"/>
      <c r="U118" s="25">
        <f t="shared" si="5"/>
        <v>745542.9491525424</v>
      </c>
      <c r="V118" s="17"/>
      <c r="W118" s="30">
        <f t="shared" si="6"/>
        <v>3.332504684022745</v>
      </c>
      <c r="X118" s="17"/>
      <c r="Y118" s="16">
        <f t="shared" si="7"/>
        <v>2.27283204701223E-09</v>
      </c>
      <c r="Z118" s="17"/>
      <c r="AA118" s="30">
        <f t="shared" si="8"/>
        <v>6.820191140008095E-10</v>
      </c>
      <c r="AC118" s="24" t="s">
        <v>306</v>
      </c>
    </row>
    <row r="119" spans="1:29" ht="15">
      <c r="A119" s="51" t="s">
        <v>308</v>
      </c>
      <c r="B119" s="17" t="s">
        <v>309</v>
      </c>
      <c r="C119" s="17"/>
      <c r="D119" s="31">
        <v>248122</v>
      </c>
      <c r="E119" s="25"/>
      <c r="F119" s="26" t="s">
        <v>243</v>
      </c>
      <c r="G119" s="27">
        <v>30</v>
      </c>
      <c r="H119" s="28">
        <v>0</v>
      </c>
      <c r="I119" s="32">
        <f t="shared" si="0"/>
        <v>0</v>
      </c>
      <c r="J119" s="29"/>
      <c r="K119" s="32">
        <v>4196</v>
      </c>
      <c r="L119" s="29"/>
      <c r="M119" s="32">
        <f t="shared" si="1"/>
        <v>243926</v>
      </c>
      <c r="N119" s="33">
        <v>29.5</v>
      </c>
      <c r="O119" s="31">
        <f t="shared" si="2"/>
        <v>8269</v>
      </c>
      <c r="P119" s="29"/>
      <c r="Q119" s="34">
        <f t="shared" si="3"/>
        <v>3.3326347522589694</v>
      </c>
      <c r="R119" s="17"/>
      <c r="S119" s="35">
        <f t="shared" si="4"/>
        <v>243926</v>
      </c>
      <c r="T119" s="17"/>
      <c r="U119" s="31">
        <f t="shared" si="5"/>
        <v>8268.677966101695</v>
      </c>
      <c r="V119" s="17"/>
      <c r="W119" s="34">
        <f t="shared" si="6"/>
        <v>3.332504963728204</v>
      </c>
      <c r="X119" s="17"/>
      <c r="Y119" s="52">
        <f t="shared" si="7"/>
        <v>1.2978853076539565E-06</v>
      </c>
      <c r="Z119" s="17"/>
      <c r="AA119" s="34">
        <f t="shared" si="8"/>
        <v>3.894472104313883E-07</v>
      </c>
      <c r="AC119" s="51" t="s">
        <v>308</v>
      </c>
    </row>
    <row r="120" spans="1:29" ht="15">
      <c r="A120" s="17"/>
      <c r="B120" s="22" t="s">
        <v>310</v>
      </c>
      <c r="C120" s="17"/>
      <c r="D120" s="25">
        <f>SUM(D112:D119)</f>
        <v>57092367</v>
      </c>
      <c r="E120" s="25"/>
      <c r="F120" s="17"/>
      <c r="G120" s="27">
        <f>1*Y120</f>
        <v>3.594314720078984E-08</v>
      </c>
      <c r="H120" s="17"/>
      <c r="I120" s="25">
        <f>SUM(I112:I119)</f>
        <v>0</v>
      </c>
      <c r="J120" s="29"/>
      <c r="K120" s="25">
        <f>SUM(K112:K119)</f>
        <v>11543063</v>
      </c>
      <c r="L120" s="17"/>
      <c r="M120" s="25">
        <f>SUM(M112:M119)</f>
        <v>45549304</v>
      </c>
      <c r="N120" s="17"/>
      <c r="O120" s="25">
        <f>SUM(O112:O119)</f>
        <v>1661560</v>
      </c>
      <c r="P120" s="29"/>
      <c r="Q120" s="30">
        <f t="shared" si="3"/>
        <v>2.9103014769032085</v>
      </c>
      <c r="R120" s="17"/>
      <c r="S120" s="25">
        <f>SUM(S112:S119)</f>
        <v>45549304</v>
      </c>
      <c r="T120" s="17"/>
      <c r="U120" s="25">
        <f>SUM(U112:U119)</f>
        <v>1661557.947920649</v>
      </c>
      <c r="V120" s="17"/>
      <c r="W120" s="30">
        <f>U120/D120*100</f>
        <v>2.9102978825884884</v>
      </c>
      <c r="X120" s="17"/>
      <c r="Y120" s="16">
        <f t="shared" si="7"/>
        <v>3.594314720078984E-08</v>
      </c>
      <c r="Z120" s="17"/>
      <c r="AA120" s="30">
        <f t="shared" si="8"/>
        <v>1.235031747949226E-08</v>
      </c>
      <c r="AC120" s="17"/>
    </row>
    <row r="121" spans="1:29" ht="15">
      <c r="A121" s="17"/>
      <c r="B121" s="17"/>
      <c r="C121" s="17"/>
      <c r="D121" s="25"/>
      <c r="E121" s="25"/>
      <c r="F121" s="17"/>
      <c r="G121" s="27"/>
      <c r="H121" s="17"/>
      <c r="I121" s="25"/>
      <c r="J121" s="29"/>
      <c r="K121" s="25"/>
      <c r="L121" s="17"/>
      <c r="M121" s="25"/>
      <c r="N121" s="17"/>
      <c r="O121" s="25"/>
      <c r="P121" s="29"/>
      <c r="Q121" s="30"/>
      <c r="R121" s="17"/>
      <c r="S121" s="17"/>
      <c r="T121" s="17"/>
      <c r="U121" s="25"/>
      <c r="V121" s="17"/>
      <c r="W121" s="30"/>
      <c r="X121" s="17"/>
      <c r="Y121" s="16"/>
      <c r="Z121" s="17"/>
      <c r="AA121" s="30"/>
      <c r="AC121" s="17"/>
    </row>
    <row r="122" spans="1:29" ht="15">
      <c r="A122" s="17"/>
      <c r="B122" s="17"/>
      <c r="C122" s="17"/>
      <c r="D122" s="25"/>
      <c r="E122" s="25"/>
      <c r="F122" s="17"/>
      <c r="G122" s="27"/>
      <c r="H122" s="17"/>
      <c r="I122" s="25"/>
      <c r="J122" s="29"/>
      <c r="K122" s="25"/>
      <c r="L122" s="17"/>
      <c r="M122" s="25"/>
      <c r="N122" s="17"/>
      <c r="O122" s="25"/>
      <c r="P122" s="29"/>
      <c r="Q122" s="30"/>
      <c r="R122" s="17"/>
      <c r="S122" s="17"/>
      <c r="T122" s="17"/>
      <c r="U122" s="25"/>
      <c r="V122" s="17"/>
      <c r="W122" s="30"/>
      <c r="X122" s="17"/>
      <c r="Y122" s="16"/>
      <c r="Z122" s="17"/>
      <c r="AA122" s="30"/>
      <c r="AC122" s="17"/>
    </row>
    <row r="123" spans="1:29" ht="15">
      <c r="A123" s="17"/>
      <c r="B123" s="22" t="s">
        <v>311</v>
      </c>
      <c r="C123" s="17"/>
      <c r="D123" s="17"/>
      <c r="E123" s="17"/>
      <c r="F123" s="17"/>
      <c r="G123" s="17"/>
      <c r="H123" s="17"/>
      <c r="I123" s="17"/>
      <c r="J123" s="23"/>
      <c r="K123" s="17"/>
      <c r="L123" s="17"/>
      <c r="M123" s="17"/>
      <c r="N123" s="17"/>
      <c r="O123" s="17"/>
      <c r="P123" s="23"/>
      <c r="Q123" s="17"/>
      <c r="R123" s="17"/>
      <c r="S123" s="17"/>
      <c r="T123" s="17"/>
      <c r="U123" s="17"/>
      <c r="V123" s="17"/>
      <c r="W123" s="17"/>
      <c r="X123" s="17"/>
      <c r="Y123" s="16"/>
      <c r="Z123" s="17"/>
      <c r="AA123" s="17"/>
      <c r="AC123" s="17"/>
    </row>
    <row r="124" spans="1:29" ht="15">
      <c r="A124" s="30">
        <v>350.4</v>
      </c>
      <c r="B124" s="17" t="s">
        <v>312</v>
      </c>
      <c r="C124" s="17"/>
      <c r="D124" s="25">
        <v>2127674</v>
      </c>
      <c r="E124" s="25"/>
      <c r="F124" s="26" t="s">
        <v>313</v>
      </c>
      <c r="G124" s="27">
        <v>70</v>
      </c>
      <c r="H124" s="28">
        <v>0</v>
      </c>
      <c r="I124" s="25">
        <f aca="true" t="shared" si="9" ref="I124:I131">ROUND(H124/100*D124,0)</f>
        <v>0</v>
      </c>
      <c r="J124" s="29"/>
      <c r="K124" s="53">
        <v>1081238</v>
      </c>
      <c r="L124" s="25"/>
      <c r="M124" s="25">
        <f aca="true" t="shared" si="10" ref="M124:M131">D124-I124-K124</f>
        <v>1046436</v>
      </c>
      <c r="N124" s="27">
        <v>37.5</v>
      </c>
      <c r="O124" s="25">
        <f aca="true" t="shared" si="11" ref="O124:O131">ROUND(+M124/N124,0)</f>
        <v>27905</v>
      </c>
      <c r="P124" s="29"/>
      <c r="Q124" s="30">
        <f aca="true" t="shared" si="12" ref="Q124:Q132">O124/D124*100</f>
        <v>1.3115261078529887</v>
      </c>
      <c r="R124" s="17"/>
      <c r="S124" s="25">
        <f aca="true" t="shared" si="13" ref="S124:S132">D124-K124</f>
        <v>1046436</v>
      </c>
      <c r="T124" s="17"/>
      <c r="U124" s="25">
        <f aca="true" t="shared" si="14" ref="U124:U131">S124/N124</f>
        <v>27904.96</v>
      </c>
      <c r="V124" s="17"/>
      <c r="W124" s="30">
        <f aca="true" t="shared" si="15" ref="W124:W132">U124/D124*100</f>
        <v>1.311524227865735</v>
      </c>
      <c r="X124" s="17"/>
      <c r="Y124" s="16">
        <f aca="true" t="shared" si="16" ref="Y124:Y132">(Q124-W124)/100</f>
        <v>1.8799872536501284E-08</v>
      </c>
      <c r="Z124" s="17"/>
      <c r="AA124" s="30">
        <f aca="true" t="shared" si="17" ref="AA124:AA132">Y124/Q124</f>
        <v>1.4334348682755001E-08</v>
      </c>
      <c r="AC124" s="30">
        <v>350.4</v>
      </c>
    </row>
    <row r="125" spans="1:29" ht="15">
      <c r="A125" s="30">
        <v>352.1</v>
      </c>
      <c r="B125" s="17" t="s">
        <v>314</v>
      </c>
      <c r="C125" s="17"/>
      <c r="D125" s="25">
        <v>1956161</v>
      </c>
      <c r="E125" s="25"/>
      <c r="F125" s="26" t="s">
        <v>315</v>
      </c>
      <c r="G125" s="27">
        <v>50</v>
      </c>
      <c r="H125" s="28">
        <v>-10</v>
      </c>
      <c r="I125" s="25">
        <f t="shared" si="9"/>
        <v>-195616</v>
      </c>
      <c r="J125" s="29"/>
      <c r="K125" s="53">
        <v>1082608</v>
      </c>
      <c r="L125" s="25"/>
      <c r="M125" s="25">
        <f t="shared" si="10"/>
        <v>1069169</v>
      </c>
      <c r="N125" s="27">
        <v>27</v>
      </c>
      <c r="O125" s="25">
        <f t="shared" si="11"/>
        <v>39599</v>
      </c>
      <c r="P125" s="29"/>
      <c r="Q125" s="30">
        <f t="shared" si="12"/>
        <v>2.024322128904523</v>
      </c>
      <c r="R125" s="17"/>
      <c r="S125" s="25">
        <f t="shared" si="13"/>
        <v>873553</v>
      </c>
      <c r="T125" s="17"/>
      <c r="U125" s="25">
        <f t="shared" si="14"/>
        <v>32353.814814814814</v>
      </c>
      <c r="V125" s="17"/>
      <c r="W125" s="30">
        <f t="shared" si="15"/>
        <v>1.653944374456643</v>
      </c>
      <c r="X125" s="17"/>
      <c r="Y125" s="16">
        <f t="shared" si="16"/>
        <v>0.003703777544478797</v>
      </c>
      <c r="Z125" s="17"/>
      <c r="AA125" s="30">
        <f t="shared" si="17"/>
        <v>0.001829638421471549</v>
      </c>
      <c r="AC125" s="30">
        <v>352.1</v>
      </c>
    </row>
    <row r="126" spans="1:29" ht="15">
      <c r="A126" s="30">
        <v>353.2</v>
      </c>
      <c r="B126" s="17" t="s">
        <v>316</v>
      </c>
      <c r="C126" s="17"/>
      <c r="D126" s="25">
        <v>94874337</v>
      </c>
      <c r="E126" s="25"/>
      <c r="F126" s="26" t="s">
        <v>317</v>
      </c>
      <c r="G126" s="27">
        <v>44</v>
      </c>
      <c r="H126" s="28">
        <v>0</v>
      </c>
      <c r="I126" s="25">
        <f t="shared" si="9"/>
        <v>0</v>
      </c>
      <c r="J126" s="29"/>
      <c r="K126" s="25">
        <v>47351479</v>
      </c>
      <c r="L126" s="25"/>
      <c r="M126" s="25">
        <f t="shared" si="10"/>
        <v>47522858</v>
      </c>
      <c r="N126" s="27">
        <v>23.9</v>
      </c>
      <c r="O126" s="25">
        <f t="shared" si="11"/>
        <v>1988404</v>
      </c>
      <c r="P126" s="29"/>
      <c r="Q126" s="30">
        <f t="shared" si="12"/>
        <v>2.095829138705865</v>
      </c>
      <c r="R126" s="17"/>
      <c r="S126" s="25">
        <f t="shared" si="13"/>
        <v>47522858</v>
      </c>
      <c r="T126" s="17"/>
      <c r="U126" s="25">
        <f t="shared" si="14"/>
        <v>1988404.1004184103</v>
      </c>
      <c r="V126" s="17"/>
      <c r="W126" s="30">
        <f t="shared" si="15"/>
        <v>2.0958292445494617</v>
      </c>
      <c r="X126" s="17"/>
      <c r="Y126" s="16">
        <f t="shared" si="16"/>
        <v>-1.0584359655396725E-09</v>
      </c>
      <c r="Z126" s="17"/>
      <c r="AA126" s="30">
        <f t="shared" si="17"/>
        <v>-5.050201593214019E-10</v>
      </c>
      <c r="AC126" s="30">
        <v>353.2</v>
      </c>
    </row>
    <row r="127" spans="1:29" ht="15">
      <c r="A127" s="30">
        <v>354.2</v>
      </c>
      <c r="B127" s="17" t="s">
        <v>318</v>
      </c>
      <c r="C127" s="17"/>
      <c r="D127" s="25">
        <v>17608805</v>
      </c>
      <c r="E127" s="25"/>
      <c r="F127" s="26" t="s">
        <v>315</v>
      </c>
      <c r="G127" s="27">
        <v>45</v>
      </c>
      <c r="H127" s="28">
        <v>-25</v>
      </c>
      <c r="I127" s="25">
        <f t="shared" si="9"/>
        <v>-4402201</v>
      </c>
      <c r="J127" s="29"/>
      <c r="K127" s="25">
        <v>14137690</v>
      </c>
      <c r="L127" s="25"/>
      <c r="M127" s="25">
        <f t="shared" si="10"/>
        <v>7873316</v>
      </c>
      <c r="N127" s="27">
        <v>18.6</v>
      </c>
      <c r="O127" s="25">
        <f t="shared" si="11"/>
        <v>423297</v>
      </c>
      <c r="P127" s="29"/>
      <c r="Q127" s="30">
        <f t="shared" si="12"/>
        <v>2.403893961004168</v>
      </c>
      <c r="R127" s="17"/>
      <c r="S127" s="25">
        <f t="shared" si="13"/>
        <v>3471115</v>
      </c>
      <c r="T127" s="17"/>
      <c r="U127" s="25">
        <f t="shared" si="14"/>
        <v>186619.08602150535</v>
      </c>
      <c r="V127" s="17"/>
      <c r="W127" s="30">
        <f t="shared" si="15"/>
        <v>1.059805512194072</v>
      </c>
      <c r="X127" s="17"/>
      <c r="Y127" s="16">
        <f t="shared" si="16"/>
        <v>0.013440884488100959</v>
      </c>
      <c r="Z127" s="17"/>
      <c r="AA127" s="30">
        <f t="shared" si="17"/>
        <v>0.005591296748583019</v>
      </c>
      <c r="AC127" s="30">
        <v>354.2</v>
      </c>
    </row>
    <row r="128" spans="1:29" ht="15">
      <c r="A128" s="30">
        <v>355.2</v>
      </c>
      <c r="B128" s="17" t="s">
        <v>319</v>
      </c>
      <c r="C128" s="17"/>
      <c r="D128" s="25">
        <v>21962776</v>
      </c>
      <c r="E128" s="25"/>
      <c r="F128" s="26" t="s">
        <v>320</v>
      </c>
      <c r="G128" s="27">
        <v>39</v>
      </c>
      <c r="H128" s="28">
        <v>-20</v>
      </c>
      <c r="I128" s="25">
        <f t="shared" si="9"/>
        <v>-4392555</v>
      </c>
      <c r="J128" s="29"/>
      <c r="K128" s="25">
        <v>9199615</v>
      </c>
      <c r="L128" s="25"/>
      <c r="M128" s="25">
        <f t="shared" si="10"/>
        <v>17155716</v>
      </c>
      <c r="N128" s="27">
        <v>26.5</v>
      </c>
      <c r="O128" s="25">
        <f t="shared" si="11"/>
        <v>647386</v>
      </c>
      <c r="P128" s="29"/>
      <c r="Q128" s="30">
        <f t="shared" si="12"/>
        <v>2.9476510619604737</v>
      </c>
      <c r="R128" s="17"/>
      <c r="S128" s="25">
        <f t="shared" si="13"/>
        <v>12763161</v>
      </c>
      <c r="T128" s="17"/>
      <c r="U128" s="25">
        <f t="shared" si="14"/>
        <v>481628.71698113205</v>
      </c>
      <c r="V128" s="17"/>
      <c r="W128" s="30">
        <f t="shared" si="15"/>
        <v>2.1929318815669387</v>
      </c>
      <c r="X128" s="17"/>
      <c r="Y128" s="16">
        <f t="shared" si="16"/>
        <v>0.007547191803935349</v>
      </c>
      <c r="Z128" s="17"/>
      <c r="AA128" s="30">
        <f t="shared" si="17"/>
        <v>0.0025604088290273187</v>
      </c>
      <c r="AC128" s="30">
        <v>355.2</v>
      </c>
    </row>
    <row r="129" spans="1:29" ht="15">
      <c r="A129" s="30">
        <v>356.2</v>
      </c>
      <c r="B129" s="17" t="s">
        <v>321</v>
      </c>
      <c r="C129" s="17"/>
      <c r="D129" s="25">
        <v>23136372</v>
      </c>
      <c r="E129" s="25"/>
      <c r="F129" s="26" t="s">
        <v>322</v>
      </c>
      <c r="G129" s="27">
        <v>39</v>
      </c>
      <c r="H129" s="28">
        <v>-25</v>
      </c>
      <c r="I129" s="25">
        <f t="shared" si="9"/>
        <v>-5784093</v>
      </c>
      <c r="J129" s="29"/>
      <c r="K129" s="25">
        <v>15738240</v>
      </c>
      <c r="L129" s="25"/>
      <c r="M129" s="25">
        <f t="shared" si="10"/>
        <v>13182225</v>
      </c>
      <c r="N129" s="27">
        <v>19.6</v>
      </c>
      <c r="O129" s="25">
        <f t="shared" si="11"/>
        <v>672563</v>
      </c>
      <c r="P129" s="29"/>
      <c r="Q129" s="30">
        <f t="shared" si="12"/>
        <v>2.9069510120255675</v>
      </c>
      <c r="R129" s="17"/>
      <c r="S129" s="25">
        <f t="shared" si="13"/>
        <v>7398132</v>
      </c>
      <c r="T129" s="17"/>
      <c r="U129" s="25">
        <f t="shared" si="14"/>
        <v>377455.71428571426</v>
      </c>
      <c r="V129" s="17"/>
      <c r="W129" s="30">
        <f t="shared" si="15"/>
        <v>1.6314386468445192</v>
      </c>
      <c r="X129" s="17"/>
      <c r="Y129" s="16">
        <f t="shared" si="16"/>
        <v>0.012755123651810482</v>
      </c>
      <c r="Z129" s="17"/>
      <c r="AA129" s="30">
        <f t="shared" si="17"/>
        <v>0.00438780137644036</v>
      </c>
      <c r="AC129" s="30">
        <v>356.2</v>
      </c>
    </row>
    <row r="130" spans="1:29" ht="15">
      <c r="A130" s="30">
        <v>357</v>
      </c>
      <c r="B130" s="17" t="s">
        <v>323</v>
      </c>
      <c r="C130" s="17"/>
      <c r="D130" s="25">
        <v>1351011</v>
      </c>
      <c r="E130" s="25"/>
      <c r="F130" s="26" t="s">
        <v>315</v>
      </c>
      <c r="G130" s="27">
        <v>50</v>
      </c>
      <c r="H130" s="28">
        <v>0</v>
      </c>
      <c r="I130" s="25">
        <f t="shared" si="9"/>
        <v>0</v>
      </c>
      <c r="J130" s="29"/>
      <c r="K130" s="25">
        <v>143260</v>
      </c>
      <c r="L130" s="25"/>
      <c r="M130" s="25">
        <f t="shared" si="10"/>
        <v>1207751</v>
      </c>
      <c r="N130" s="27">
        <v>45.2</v>
      </c>
      <c r="O130" s="25">
        <f t="shared" si="11"/>
        <v>26720</v>
      </c>
      <c r="P130" s="29"/>
      <c r="Q130" s="30">
        <f t="shared" si="12"/>
        <v>1.9777781231981089</v>
      </c>
      <c r="R130" s="17"/>
      <c r="S130" s="25">
        <f t="shared" si="13"/>
        <v>1207751</v>
      </c>
      <c r="T130" s="17"/>
      <c r="U130" s="25">
        <f t="shared" si="14"/>
        <v>26720.154867256635</v>
      </c>
      <c r="V130" s="17"/>
      <c r="W130" s="30">
        <f t="shared" si="15"/>
        <v>1.977789586262187</v>
      </c>
      <c r="X130" s="17"/>
      <c r="Y130" s="16">
        <f t="shared" si="16"/>
        <v>-1.1463064078176544E-07</v>
      </c>
      <c r="Z130" s="17"/>
      <c r="AA130" s="30">
        <f t="shared" si="17"/>
        <v>-5.7959302632190756E-08</v>
      </c>
      <c r="AC130" s="30">
        <v>357</v>
      </c>
    </row>
    <row r="131" spans="1:29" ht="15">
      <c r="A131" s="17">
        <v>358</v>
      </c>
      <c r="B131" s="17" t="s">
        <v>324</v>
      </c>
      <c r="C131" s="17"/>
      <c r="D131" s="31">
        <v>4874292</v>
      </c>
      <c r="E131" s="25"/>
      <c r="F131" s="26" t="s">
        <v>322</v>
      </c>
      <c r="G131" s="27">
        <v>40</v>
      </c>
      <c r="H131" s="28">
        <v>0</v>
      </c>
      <c r="I131" s="32">
        <f t="shared" si="9"/>
        <v>0</v>
      </c>
      <c r="J131" s="29"/>
      <c r="K131" s="32">
        <v>569907</v>
      </c>
      <c r="L131" s="29"/>
      <c r="M131" s="32">
        <f t="shared" si="10"/>
        <v>4304385</v>
      </c>
      <c r="N131" s="33">
        <v>35.7</v>
      </c>
      <c r="O131" s="31">
        <f t="shared" si="11"/>
        <v>120571</v>
      </c>
      <c r="P131" s="29"/>
      <c r="Q131" s="34">
        <f t="shared" si="12"/>
        <v>2.47361052641081</v>
      </c>
      <c r="R131" s="17"/>
      <c r="S131" s="35">
        <f t="shared" si="13"/>
        <v>4304385</v>
      </c>
      <c r="T131" s="17"/>
      <c r="U131" s="31">
        <f t="shared" si="14"/>
        <v>120571.00840336134</v>
      </c>
      <c r="V131" s="17"/>
      <c r="W131" s="34">
        <f t="shared" si="15"/>
        <v>2.473610698812491</v>
      </c>
      <c r="X131" s="17"/>
      <c r="Y131" s="52">
        <f t="shared" si="16"/>
        <v>-1.7240168093124453E-09</v>
      </c>
      <c r="Z131" s="17"/>
      <c r="AA131" s="34">
        <f t="shared" si="17"/>
        <v>-6.969637260615884E-10</v>
      </c>
      <c r="AC131" s="17">
        <v>358</v>
      </c>
    </row>
    <row r="132" spans="1:29" ht="15">
      <c r="A132" s="17"/>
      <c r="B132" s="22" t="s">
        <v>325</v>
      </c>
      <c r="C132" s="17"/>
      <c r="D132" s="25">
        <f>SUM(D124:D131)</f>
        <v>167891428</v>
      </c>
      <c r="E132" s="25"/>
      <c r="F132" s="17"/>
      <c r="G132" s="27">
        <f>1*Y132</f>
        <v>0.004197876285904281</v>
      </c>
      <c r="H132" s="17"/>
      <c r="I132" s="25">
        <f>SUM(I124:I131)</f>
        <v>-14774465</v>
      </c>
      <c r="J132" s="29"/>
      <c r="K132" s="25">
        <f>SUM(K124:K131)</f>
        <v>89304037</v>
      </c>
      <c r="L132" s="17"/>
      <c r="M132" s="25">
        <f>SUM(M124:M131)</f>
        <v>93361856</v>
      </c>
      <c r="N132" s="17"/>
      <c r="O132" s="25">
        <f>SUM(O124:O131)</f>
        <v>3946445</v>
      </c>
      <c r="P132" s="29"/>
      <c r="Q132" s="30">
        <f t="shared" si="12"/>
        <v>2.35059350379699</v>
      </c>
      <c r="R132" s="17"/>
      <c r="S132" s="25">
        <f t="shared" si="13"/>
        <v>78587391</v>
      </c>
      <c r="T132" s="17"/>
      <c r="U132" s="25">
        <f>SUM(U124:U131)</f>
        <v>3241657.5557921943</v>
      </c>
      <c r="V132" s="17"/>
      <c r="W132" s="30">
        <f t="shared" si="15"/>
        <v>1.9308058752065618</v>
      </c>
      <c r="X132" s="17"/>
      <c r="Y132" s="16">
        <f t="shared" si="16"/>
        <v>0.004197876285904281</v>
      </c>
      <c r="Z132" s="17"/>
      <c r="AA132" s="30">
        <f t="shared" si="17"/>
        <v>0.0017858793020244952</v>
      </c>
      <c r="AC132" s="17"/>
    </row>
    <row r="133" spans="1:29" ht="15">
      <c r="A133" s="38"/>
      <c r="R133" s="38"/>
      <c r="S133" s="38"/>
      <c r="T133" s="38"/>
      <c r="V133" s="38"/>
      <c r="X133" s="38"/>
      <c r="Z133" s="38"/>
      <c r="AC133" s="38"/>
    </row>
    <row r="134" spans="1:29" ht="15">
      <c r="A134" s="38"/>
      <c r="R134" s="38"/>
      <c r="S134" s="38"/>
      <c r="T134" s="38"/>
      <c r="V134" s="38"/>
      <c r="X134" s="38"/>
      <c r="Z134" s="38"/>
      <c r="AC134" s="38"/>
    </row>
    <row r="135" spans="1:29" ht="15">
      <c r="A135" s="17"/>
      <c r="B135" s="22" t="s">
        <v>326</v>
      </c>
      <c r="C135" s="17"/>
      <c r="D135" s="25"/>
      <c r="E135" s="25"/>
      <c r="F135" s="17"/>
      <c r="G135" s="27"/>
      <c r="H135" s="17"/>
      <c r="I135" s="25"/>
      <c r="J135" s="29"/>
      <c r="K135" s="25"/>
      <c r="L135" s="17"/>
      <c r="M135" s="25"/>
      <c r="N135" s="17"/>
      <c r="O135" s="25"/>
      <c r="P135" s="29"/>
      <c r="Q135" s="30"/>
      <c r="R135" s="17"/>
      <c r="S135" s="17"/>
      <c r="T135" s="17"/>
      <c r="U135" s="25"/>
      <c r="V135" s="17"/>
      <c r="W135" s="30"/>
      <c r="X135" s="17"/>
      <c r="Y135" s="16"/>
      <c r="Z135" s="17"/>
      <c r="AA135" s="30"/>
      <c r="AC135" s="17"/>
    </row>
    <row r="136" spans="1:29" ht="15">
      <c r="A136" s="30">
        <v>361.1</v>
      </c>
      <c r="B136" s="17" t="s">
        <v>327</v>
      </c>
      <c r="C136" s="17"/>
      <c r="D136" s="25">
        <v>5303823</v>
      </c>
      <c r="E136" s="25"/>
      <c r="F136" s="26" t="s">
        <v>322</v>
      </c>
      <c r="G136" s="27">
        <v>48</v>
      </c>
      <c r="H136" s="28">
        <v>-10</v>
      </c>
      <c r="I136" s="25">
        <f aca="true" t="shared" si="18" ref="I136:I151">ROUND(H136/100*D136,0)</f>
        <v>-530382</v>
      </c>
      <c r="J136" s="29"/>
      <c r="K136" s="25">
        <v>2874073</v>
      </c>
      <c r="L136" s="25"/>
      <c r="M136" s="25">
        <f aca="true" t="shared" si="19" ref="M136:M151">D136-I136-K136</f>
        <v>2960132</v>
      </c>
      <c r="N136" s="27">
        <v>25.3</v>
      </c>
      <c r="O136" s="25">
        <f aca="true" t="shared" si="20" ref="O136:O149">ROUND(+M136/N136,0)</f>
        <v>117001</v>
      </c>
      <c r="P136" s="29"/>
      <c r="Q136" s="30">
        <f aca="true" t="shared" si="21" ref="Q136:Q152">O136/D136*100</f>
        <v>2.205974822312132</v>
      </c>
      <c r="R136" s="17"/>
      <c r="S136" s="25">
        <f aca="true" t="shared" si="22" ref="S136:S152">D136-K136</f>
        <v>2429750</v>
      </c>
      <c r="T136" s="17"/>
      <c r="U136" s="25">
        <f aca="true" t="shared" si="23" ref="U136:U149">S136/N136</f>
        <v>96037.54940711462</v>
      </c>
      <c r="V136" s="17"/>
      <c r="W136" s="30">
        <f aca="true" t="shared" si="24" ref="W136:W152">U136/D136*100</f>
        <v>1.8107231219276099</v>
      </c>
      <c r="X136" s="17"/>
      <c r="Y136" s="16">
        <f>(Q136-W136)/100</f>
        <v>0.003952517003845222</v>
      </c>
      <c r="Z136" s="17"/>
      <c r="AA136" s="30">
        <f aca="true" t="shared" si="25" ref="AA136:AA152">Y136/Q136</f>
        <v>0.0017917325999679812</v>
      </c>
      <c r="AC136" s="30">
        <v>361.1</v>
      </c>
    </row>
    <row r="137" spans="1:29" ht="15">
      <c r="A137" s="30">
        <v>361.3</v>
      </c>
      <c r="B137" s="17" t="s">
        <v>328</v>
      </c>
      <c r="C137" s="17"/>
      <c r="D137" s="25">
        <v>349798</v>
      </c>
      <c r="E137" s="25"/>
      <c r="F137" s="26" t="s">
        <v>322</v>
      </c>
      <c r="G137" s="27">
        <v>48</v>
      </c>
      <c r="H137" s="28">
        <v>-10</v>
      </c>
      <c r="I137" s="25">
        <f t="shared" si="18"/>
        <v>-34980</v>
      </c>
      <c r="J137" s="29"/>
      <c r="K137" s="25">
        <v>173397</v>
      </c>
      <c r="L137" s="25"/>
      <c r="M137" s="25">
        <f t="shared" si="19"/>
        <v>211381</v>
      </c>
      <c r="N137" s="27">
        <v>27.2</v>
      </c>
      <c r="O137" s="25">
        <f t="shared" si="20"/>
        <v>7771</v>
      </c>
      <c r="P137" s="29"/>
      <c r="Q137" s="30">
        <f t="shared" si="21"/>
        <v>2.221567876317189</v>
      </c>
      <c r="R137" s="17"/>
      <c r="S137" s="25">
        <f t="shared" si="22"/>
        <v>176401</v>
      </c>
      <c r="T137" s="17"/>
      <c r="U137" s="25">
        <f t="shared" si="23"/>
        <v>6485.330882352941</v>
      </c>
      <c r="V137" s="17"/>
      <c r="W137" s="30">
        <f t="shared" si="24"/>
        <v>1.8540217160626822</v>
      </c>
      <c r="X137" s="17"/>
      <c r="Y137" s="16">
        <f aca="true" t="shared" si="26" ref="Y137:Y150">(Q137-W137)/100</f>
        <v>0.003675461602545067</v>
      </c>
      <c r="Z137" s="17"/>
      <c r="AA137" s="30">
        <f t="shared" si="25"/>
        <v>0.0016544448818003594</v>
      </c>
      <c r="AC137" s="30">
        <v>361.3</v>
      </c>
    </row>
    <row r="138" spans="1:29" ht="15">
      <c r="A138" s="30">
        <v>362.1</v>
      </c>
      <c r="B138" s="17" t="s">
        <v>329</v>
      </c>
      <c r="C138" s="17"/>
      <c r="D138" s="25">
        <v>71298623</v>
      </c>
      <c r="E138" s="25"/>
      <c r="F138" s="26" t="s">
        <v>320</v>
      </c>
      <c r="G138" s="27">
        <v>40</v>
      </c>
      <c r="H138" s="28">
        <v>-5</v>
      </c>
      <c r="I138" s="25">
        <f t="shared" si="18"/>
        <v>-3564931</v>
      </c>
      <c r="J138" s="29"/>
      <c r="K138" s="25">
        <v>26525718</v>
      </c>
      <c r="L138" s="25"/>
      <c r="M138" s="25">
        <f t="shared" si="19"/>
        <v>48337836</v>
      </c>
      <c r="N138" s="27">
        <v>26.4</v>
      </c>
      <c r="O138" s="25">
        <f t="shared" si="20"/>
        <v>1830979</v>
      </c>
      <c r="P138" s="29"/>
      <c r="Q138" s="30">
        <f t="shared" si="21"/>
        <v>2.5680425833749974</v>
      </c>
      <c r="R138" s="17"/>
      <c r="S138" s="25">
        <f t="shared" si="22"/>
        <v>44772905</v>
      </c>
      <c r="T138" s="17"/>
      <c r="U138" s="25">
        <f t="shared" si="23"/>
        <v>1695943.3712121213</v>
      </c>
      <c r="V138" s="17"/>
      <c r="W138" s="30">
        <f t="shared" si="24"/>
        <v>2.3786481419313263</v>
      </c>
      <c r="X138" s="17"/>
      <c r="Y138" s="16">
        <f t="shared" si="26"/>
        <v>0.00189394441443671</v>
      </c>
      <c r="Z138" s="17"/>
      <c r="AA138" s="30">
        <f t="shared" si="25"/>
        <v>0.0007375050658029324</v>
      </c>
      <c r="AC138" s="30">
        <v>362.1</v>
      </c>
    </row>
    <row r="139" spans="1:29" ht="15">
      <c r="A139" s="30">
        <v>362.2</v>
      </c>
      <c r="B139" s="17" t="s">
        <v>330</v>
      </c>
      <c r="C139" s="17"/>
      <c r="D139" s="25">
        <v>2562044</v>
      </c>
      <c r="E139" s="25"/>
      <c r="F139" s="26" t="s">
        <v>331</v>
      </c>
      <c r="G139" s="27">
        <v>30</v>
      </c>
      <c r="H139" s="28">
        <v>-5</v>
      </c>
      <c r="I139" s="25">
        <f t="shared" si="18"/>
        <v>-128102</v>
      </c>
      <c r="J139" s="29"/>
      <c r="K139" s="25">
        <v>1863297</v>
      </c>
      <c r="L139" s="25"/>
      <c r="M139" s="25">
        <f t="shared" si="19"/>
        <v>826849</v>
      </c>
      <c r="N139" s="27">
        <v>10</v>
      </c>
      <c r="O139" s="25">
        <f t="shared" si="20"/>
        <v>82685</v>
      </c>
      <c r="P139" s="29"/>
      <c r="Q139" s="30">
        <f t="shared" si="21"/>
        <v>3.227306010357355</v>
      </c>
      <c r="R139" s="17"/>
      <c r="S139" s="25">
        <f t="shared" si="22"/>
        <v>698747</v>
      </c>
      <c r="T139" s="17"/>
      <c r="U139" s="25">
        <f t="shared" si="23"/>
        <v>69874.7</v>
      </c>
      <c r="V139" s="17"/>
      <c r="W139" s="30">
        <f t="shared" si="24"/>
        <v>2.727302887850482</v>
      </c>
      <c r="X139" s="17"/>
      <c r="Y139" s="16">
        <f t="shared" si="26"/>
        <v>0.00500003122506873</v>
      </c>
      <c r="Z139" s="17"/>
      <c r="AA139" s="30">
        <f t="shared" si="25"/>
        <v>0.0015492894720928816</v>
      </c>
      <c r="AC139" s="30">
        <v>362.2</v>
      </c>
    </row>
    <row r="140" spans="1:29" ht="15">
      <c r="A140" s="30">
        <v>364</v>
      </c>
      <c r="B140" s="17" t="s">
        <v>332</v>
      </c>
      <c r="C140" s="17"/>
      <c r="D140" s="25">
        <v>82950558</v>
      </c>
      <c r="E140" s="25"/>
      <c r="F140" s="26" t="s">
        <v>315</v>
      </c>
      <c r="G140" s="27">
        <v>40</v>
      </c>
      <c r="H140" s="28">
        <v>-45</v>
      </c>
      <c r="I140" s="25">
        <f t="shared" si="18"/>
        <v>-37327751</v>
      </c>
      <c r="J140" s="29"/>
      <c r="K140" s="25">
        <v>42633320</v>
      </c>
      <c r="L140" s="25"/>
      <c r="M140" s="25">
        <f t="shared" si="19"/>
        <v>77644989</v>
      </c>
      <c r="N140" s="27">
        <v>26.4</v>
      </c>
      <c r="O140" s="25">
        <f t="shared" si="20"/>
        <v>2941098</v>
      </c>
      <c r="P140" s="29"/>
      <c r="Q140" s="30">
        <f t="shared" si="21"/>
        <v>3.5456036353607168</v>
      </c>
      <c r="R140" s="17"/>
      <c r="S140" s="25">
        <f t="shared" si="22"/>
        <v>40317238</v>
      </c>
      <c r="T140" s="17"/>
      <c r="U140" s="25">
        <f t="shared" si="23"/>
        <v>1527168.1060606062</v>
      </c>
      <c r="V140" s="17"/>
      <c r="W140" s="30">
        <f t="shared" si="24"/>
        <v>1.841058267577424</v>
      </c>
      <c r="X140" s="17"/>
      <c r="Y140" s="16">
        <f t="shared" si="26"/>
        <v>0.017045453677832927</v>
      </c>
      <c r="Z140" s="17"/>
      <c r="AA140" s="30">
        <f t="shared" si="25"/>
        <v>0.004807489903224557</v>
      </c>
      <c r="AC140" s="30">
        <v>364</v>
      </c>
    </row>
    <row r="141" spans="1:29" ht="15">
      <c r="A141" s="30">
        <v>365</v>
      </c>
      <c r="B141" s="17" t="s">
        <v>333</v>
      </c>
      <c r="C141" s="17"/>
      <c r="D141" s="25">
        <v>108597726</v>
      </c>
      <c r="E141" s="25"/>
      <c r="F141" s="26" t="s">
        <v>322</v>
      </c>
      <c r="G141" s="27">
        <v>32</v>
      </c>
      <c r="H141" s="28">
        <v>-25</v>
      </c>
      <c r="I141" s="25">
        <f t="shared" si="18"/>
        <v>-27149432</v>
      </c>
      <c r="J141" s="29"/>
      <c r="K141" s="25">
        <v>49766083</v>
      </c>
      <c r="L141" s="25"/>
      <c r="M141" s="25">
        <f t="shared" si="19"/>
        <v>85981075</v>
      </c>
      <c r="N141" s="27">
        <v>20.7</v>
      </c>
      <c r="O141" s="25">
        <f t="shared" si="20"/>
        <v>4153675</v>
      </c>
      <c r="P141" s="29"/>
      <c r="Q141" s="30">
        <f t="shared" si="21"/>
        <v>3.8248268660800506</v>
      </c>
      <c r="R141" s="17"/>
      <c r="S141" s="25">
        <f t="shared" si="22"/>
        <v>58831643</v>
      </c>
      <c r="T141" s="17"/>
      <c r="U141" s="25">
        <f t="shared" si="23"/>
        <v>2842108.357487923</v>
      </c>
      <c r="V141" s="17"/>
      <c r="W141" s="30">
        <f t="shared" si="24"/>
        <v>2.6170974864500596</v>
      </c>
      <c r="X141" s="17"/>
      <c r="Y141" s="16">
        <f t="shared" si="26"/>
        <v>0.01207729379629991</v>
      </c>
      <c r="Z141" s="17"/>
      <c r="AA141" s="30">
        <f t="shared" si="25"/>
        <v>0.0031576053555275206</v>
      </c>
      <c r="AC141" s="30">
        <v>365</v>
      </c>
    </row>
    <row r="142" spans="1:29" ht="15">
      <c r="A142" s="30">
        <v>366</v>
      </c>
      <c r="B142" s="17" t="s">
        <v>323</v>
      </c>
      <c r="C142" s="17"/>
      <c r="D142" s="25">
        <v>45391880</v>
      </c>
      <c r="E142" s="25"/>
      <c r="F142" s="26" t="s">
        <v>334</v>
      </c>
      <c r="G142" s="27">
        <v>70</v>
      </c>
      <c r="H142" s="28">
        <v>-5</v>
      </c>
      <c r="I142" s="25">
        <f t="shared" si="18"/>
        <v>-2269594</v>
      </c>
      <c r="J142" s="29"/>
      <c r="K142" s="25">
        <v>7648812</v>
      </c>
      <c r="L142" s="25"/>
      <c r="M142" s="25">
        <f t="shared" si="19"/>
        <v>40012662</v>
      </c>
      <c r="N142" s="27">
        <v>59.2</v>
      </c>
      <c r="O142" s="25">
        <f t="shared" si="20"/>
        <v>675890</v>
      </c>
      <c r="P142" s="29"/>
      <c r="Q142" s="30">
        <f t="shared" si="21"/>
        <v>1.4890108098629093</v>
      </c>
      <c r="R142" s="17"/>
      <c r="S142" s="25">
        <f t="shared" si="22"/>
        <v>37743068</v>
      </c>
      <c r="T142" s="17"/>
      <c r="U142" s="25">
        <f t="shared" si="23"/>
        <v>637551.8243243243</v>
      </c>
      <c r="V142" s="17"/>
      <c r="W142" s="30">
        <f t="shared" si="24"/>
        <v>1.4045503828533303</v>
      </c>
      <c r="X142" s="17"/>
      <c r="Y142" s="16">
        <f t="shared" si="26"/>
        <v>0.0008446042700957901</v>
      </c>
      <c r="Z142" s="17"/>
      <c r="AA142" s="30">
        <f t="shared" si="25"/>
        <v>0.0005672250762058278</v>
      </c>
      <c r="AC142" s="30">
        <v>366</v>
      </c>
    </row>
    <row r="143" spans="1:29" ht="15">
      <c r="A143" s="30">
        <v>367</v>
      </c>
      <c r="B143" s="17" t="s">
        <v>324</v>
      </c>
      <c r="C143" s="17"/>
      <c r="D143" s="25">
        <v>60520829</v>
      </c>
      <c r="E143" s="25"/>
      <c r="F143" s="26" t="s">
        <v>315</v>
      </c>
      <c r="G143" s="27">
        <v>35</v>
      </c>
      <c r="H143" s="28">
        <v>-10</v>
      </c>
      <c r="I143" s="25">
        <f t="shared" si="18"/>
        <v>-6052083</v>
      </c>
      <c r="J143" s="29"/>
      <c r="K143" s="25">
        <v>22586092</v>
      </c>
      <c r="L143" s="25"/>
      <c r="M143" s="25">
        <f t="shared" si="19"/>
        <v>43986820</v>
      </c>
      <c r="N143" s="27">
        <v>23.6</v>
      </c>
      <c r="O143" s="25">
        <f t="shared" si="20"/>
        <v>1863848</v>
      </c>
      <c r="P143" s="29"/>
      <c r="Q143" s="30">
        <f t="shared" si="21"/>
        <v>3.0796802205072242</v>
      </c>
      <c r="R143" s="17"/>
      <c r="S143" s="25">
        <f t="shared" si="22"/>
        <v>37934737</v>
      </c>
      <c r="T143" s="17"/>
      <c r="U143" s="25">
        <f t="shared" si="23"/>
        <v>1607404.1101694915</v>
      </c>
      <c r="V143" s="17"/>
      <c r="W143" s="30">
        <f t="shared" si="24"/>
        <v>2.6559519040452857</v>
      </c>
      <c r="X143" s="17"/>
      <c r="Y143" s="16">
        <f t="shared" si="26"/>
        <v>0.0042372831646193855</v>
      </c>
      <c r="Z143" s="17"/>
      <c r="AA143" s="30">
        <f t="shared" si="25"/>
        <v>0.0013758841377113835</v>
      </c>
      <c r="AC143" s="30">
        <v>367</v>
      </c>
    </row>
    <row r="144" spans="1:29" ht="15">
      <c r="A144" s="30">
        <v>368</v>
      </c>
      <c r="B144" s="17" t="s">
        <v>335</v>
      </c>
      <c r="C144" s="17"/>
      <c r="D144" s="25">
        <v>85618247</v>
      </c>
      <c r="E144" s="25"/>
      <c r="F144" s="26" t="s">
        <v>320</v>
      </c>
      <c r="G144" s="27">
        <v>40</v>
      </c>
      <c r="H144" s="28">
        <v>-10</v>
      </c>
      <c r="I144" s="25">
        <f t="shared" si="18"/>
        <v>-8561825</v>
      </c>
      <c r="J144" s="29"/>
      <c r="K144" s="25">
        <v>29828097</v>
      </c>
      <c r="L144" s="25"/>
      <c r="M144" s="25">
        <f t="shared" si="19"/>
        <v>64351975</v>
      </c>
      <c r="N144" s="27">
        <v>27.8</v>
      </c>
      <c r="O144" s="25">
        <f t="shared" si="20"/>
        <v>2314819</v>
      </c>
      <c r="P144" s="29"/>
      <c r="Q144" s="30">
        <f t="shared" si="21"/>
        <v>2.7036514774706846</v>
      </c>
      <c r="R144" s="17"/>
      <c r="S144" s="25">
        <f t="shared" si="22"/>
        <v>55790150</v>
      </c>
      <c r="T144" s="17"/>
      <c r="U144" s="25">
        <f t="shared" si="23"/>
        <v>2006839.928057554</v>
      </c>
      <c r="V144" s="17"/>
      <c r="W144" s="30">
        <f t="shared" si="24"/>
        <v>2.343939520342613</v>
      </c>
      <c r="X144" s="17"/>
      <c r="Y144" s="16">
        <f t="shared" si="26"/>
        <v>0.0035971195712807135</v>
      </c>
      <c r="Z144" s="17"/>
      <c r="AA144" s="30">
        <f t="shared" si="25"/>
        <v>0.0013304671853066967</v>
      </c>
      <c r="AC144" s="30">
        <v>368</v>
      </c>
    </row>
    <row r="145" spans="1:29" ht="15">
      <c r="A145" s="30">
        <v>369.1</v>
      </c>
      <c r="B145" s="17" t="s">
        <v>336</v>
      </c>
      <c r="C145" s="17"/>
      <c r="D145" s="25">
        <v>2340944</v>
      </c>
      <c r="E145" s="25"/>
      <c r="F145" s="26" t="s">
        <v>337</v>
      </c>
      <c r="G145" s="27">
        <v>32</v>
      </c>
      <c r="H145" s="28">
        <v>-5</v>
      </c>
      <c r="I145" s="25">
        <f t="shared" si="18"/>
        <v>-117047</v>
      </c>
      <c r="J145" s="29"/>
      <c r="K145" s="25">
        <v>900630</v>
      </c>
      <c r="L145" s="25"/>
      <c r="M145" s="25">
        <f t="shared" si="19"/>
        <v>1557361</v>
      </c>
      <c r="N145" s="27">
        <v>20.7</v>
      </c>
      <c r="O145" s="25">
        <f t="shared" si="20"/>
        <v>75235</v>
      </c>
      <c r="P145" s="29"/>
      <c r="Q145" s="30">
        <f t="shared" si="21"/>
        <v>3.213874402805023</v>
      </c>
      <c r="R145" s="17"/>
      <c r="S145" s="25">
        <f t="shared" si="22"/>
        <v>1440314</v>
      </c>
      <c r="T145" s="17"/>
      <c r="U145" s="25">
        <f t="shared" si="23"/>
        <v>69580.38647342996</v>
      </c>
      <c r="V145" s="17"/>
      <c r="W145" s="30">
        <f t="shared" si="24"/>
        <v>2.9723216989996324</v>
      </c>
      <c r="X145" s="17"/>
      <c r="Y145" s="16">
        <f t="shared" si="26"/>
        <v>0.002415527038053904</v>
      </c>
      <c r="Z145" s="17"/>
      <c r="AA145" s="30">
        <f t="shared" si="25"/>
        <v>0.0007515934773137579</v>
      </c>
      <c r="AC145" s="30">
        <v>369.1</v>
      </c>
    </row>
    <row r="146" spans="1:29" ht="15">
      <c r="A146" s="30">
        <v>369.2</v>
      </c>
      <c r="B146" s="17" t="s">
        <v>338</v>
      </c>
      <c r="C146" s="17"/>
      <c r="D146" s="25">
        <v>20165987</v>
      </c>
      <c r="E146" s="25"/>
      <c r="F146" s="26" t="s">
        <v>317</v>
      </c>
      <c r="G146" s="27">
        <v>35</v>
      </c>
      <c r="H146" s="28">
        <v>-60</v>
      </c>
      <c r="I146" s="25">
        <f t="shared" si="18"/>
        <v>-12099592</v>
      </c>
      <c r="J146" s="29"/>
      <c r="K146" s="25">
        <v>12662690</v>
      </c>
      <c r="L146" s="25"/>
      <c r="M146" s="25">
        <f t="shared" si="19"/>
        <v>19602889</v>
      </c>
      <c r="N146" s="27">
        <v>21.8</v>
      </c>
      <c r="O146" s="25">
        <f t="shared" si="20"/>
        <v>899215</v>
      </c>
      <c r="P146" s="29"/>
      <c r="Q146" s="30">
        <f t="shared" si="21"/>
        <v>4.459067637006807</v>
      </c>
      <c r="R146" s="17"/>
      <c r="S146" s="25">
        <f t="shared" si="22"/>
        <v>7503297</v>
      </c>
      <c r="T146" s="17"/>
      <c r="U146" s="25">
        <f t="shared" si="23"/>
        <v>344187.93577981653</v>
      </c>
      <c r="V146" s="17"/>
      <c r="W146" s="30">
        <f t="shared" si="24"/>
        <v>1.7067745594590362</v>
      </c>
      <c r="X146" s="17"/>
      <c r="Y146" s="16">
        <f t="shared" si="26"/>
        <v>0.02752293077547771</v>
      </c>
      <c r="Z146" s="17"/>
      <c r="AA146" s="30">
        <f t="shared" si="25"/>
        <v>0.00617235104196642</v>
      </c>
      <c r="AC146" s="30">
        <v>369.2</v>
      </c>
    </row>
    <row r="147" spans="1:29" ht="15">
      <c r="A147" s="30">
        <v>370</v>
      </c>
      <c r="B147" s="17" t="s">
        <v>339</v>
      </c>
      <c r="C147" s="17"/>
      <c r="D147" s="25">
        <v>30301866</v>
      </c>
      <c r="E147" s="25"/>
      <c r="F147" s="26" t="s">
        <v>340</v>
      </c>
      <c r="G147" s="27">
        <v>32</v>
      </c>
      <c r="H147" s="28">
        <v>-10</v>
      </c>
      <c r="I147" s="25">
        <f t="shared" si="18"/>
        <v>-3030187</v>
      </c>
      <c r="J147" s="29"/>
      <c r="K147" s="25">
        <v>11654478</v>
      </c>
      <c r="L147" s="25"/>
      <c r="M147" s="25">
        <f t="shared" si="19"/>
        <v>21677575</v>
      </c>
      <c r="N147" s="27">
        <v>21.2</v>
      </c>
      <c r="O147" s="25">
        <f t="shared" si="20"/>
        <v>1022527</v>
      </c>
      <c r="P147" s="29"/>
      <c r="Q147" s="30">
        <f t="shared" si="21"/>
        <v>3.3744687538384603</v>
      </c>
      <c r="R147" s="17"/>
      <c r="S147" s="25">
        <f t="shared" si="22"/>
        <v>18647388</v>
      </c>
      <c r="T147" s="17"/>
      <c r="U147" s="25">
        <f t="shared" si="23"/>
        <v>879593.7735849057</v>
      </c>
      <c r="V147" s="17"/>
      <c r="W147" s="30">
        <f t="shared" si="24"/>
        <v>2.902770983096901</v>
      </c>
      <c r="X147" s="17"/>
      <c r="Y147" s="16">
        <f t="shared" si="26"/>
        <v>0.004716977707415593</v>
      </c>
      <c r="Z147" s="17"/>
      <c r="AA147" s="30">
        <f t="shared" si="25"/>
        <v>0.00139784305368068</v>
      </c>
      <c r="AC147" s="30">
        <v>370</v>
      </c>
    </row>
    <row r="148" spans="1:29" ht="15">
      <c r="A148" s="30">
        <v>373.1</v>
      </c>
      <c r="B148" s="17" t="s">
        <v>341</v>
      </c>
      <c r="C148" s="17"/>
      <c r="D148" s="25">
        <v>20936271</v>
      </c>
      <c r="E148" s="25"/>
      <c r="F148" s="26" t="s">
        <v>317</v>
      </c>
      <c r="G148" s="27">
        <v>18</v>
      </c>
      <c r="H148" s="28">
        <v>-10</v>
      </c>
      <c r="I148" s="25">
        <f t="shared" si="18"/>
        <v>-2093627</v>
      </c>
      <c r="J148" s="29"/>
      <c r="K148" s="25">
        <v>9623080</v>
      </c>
      <c r="L148" s="25"/>
      <c r="M148" s="25">
        <f t="shared" si="19"/>
        <v>13406818</v>
      </c>
      <c r="N148" s="27">
        <v>10.8</v>
      </c>
      <c r="O148" s="25">
        <f t="shared" si="20"/>
        <v>1241372</v>
      </c>
      <c r="P148" s="29"/>
      <c r="Q148" s="30">
        <f t="shared" si="21"/>
        <v>5.929288935933243</v>
      </c>
      <c r="R148" s="17"/>
      <c r="S148" s="25">
        <f t="shared" si="22"/>
        <v>11313191</v>
      </c>
      <c r="T148" s="17"/>
      <c r="U148" s="25">
        <f t="shared" si="23"/>
        <v>1047517.6851851852</v>
      </c>
      <c r="V148" s="17"/>
      <c r="W148" s="30">
        <f t="shared" si="24"/>
        <v>5.003363231136936</v>
      </c>
      <c r="X148" s="17"/>
      <c r="Y148" s="16">
        <f t="shared" si="26"/>
        <v>0.00925925704796307</v>
      </c>
      <c r="Z148" s="17"/>
      <c r="AA148" s="30">
        <f t="shared" si="25"/>
        <v>0.0015616133988426903</v>
      </c>
      <c r="AC148" s="30">
        <v>373.1</v>
      </c>
    </row>
    <row r="149" spans="1:29" ht="15">
      <c r="A149" s="30">
        <v>373.2</v>
      </c>
      <c r="B149" s="17" t="s">
        <v>342</v>
      </c>
      <c r="C149" s="17"/>
      <c r="D149" s="25">
        <v>24234877</v>
      </c>
      <c r="E149" s="25"/>
      <c r="F149" s="26" t="s">
        <v>322</v>
      </c>
      <c r="G149" s="27">
        <v>25</v>
      </c>
      <c r="H149" s="28">
        <v>-10</v>
      </c>
      <c r="I149" s="25">
        <f t="shared" si="18"/>
        <v>-2423488</v>
      </c>
      <c r="J149" s="29"/>
      <c r="K149" s="25">
        <v>7945534</v>
      </c>
      <c r="L149" s="25"/>
      <c r="M149" s="25">
        <f t="shared" si="19"/>
        <v>18712831</v>
      </c>
      <c r="N149" s="27">
        <v>17.8</v>
      </c>
      <c r="O149" s="25">
        <f t="shared" si="20"/>
        <v>1051283</v>
      </c>
      <c r="P149" s="29"/>
      <c r="Q149" s="30">
        <f t="shared" si="21"/>
        <v>4.337892864073542</v>
      </c>
      <c r="R149" s="17"/>
      <c r="S149" s="25">
        <f t="shared" si="22"/>
        <v>16289343</v>
      </c>
      <c r="T149" s="17"/>
      <c r="U149" s="25">
        <f t="shared" si="23"/>
        <v>915131.6292134831</v>
      </c>
      <c r="V149" s="17"/>
      <c r="W149" s="30">
        <f t="shared" si="24"/>
        <v>3.77609355811248</v>
      </c>
      <c r="X149" s="17"/>
      <c r="Y149" s="16">
        <f t="shared" si="26"/>
        <v>0.005617993059610615</v>
      </c>
      <c r="Z149" s="17"/>
      <c r="AA149" s="30">
        <f t="shared" si="25"/>
        <v>0.0012950972362961916</v>
      </c>
      <c r="AC149" s="30">
        <v>373.2</v>
      </c>
    </row>
    <row r="150" spans="1:29" ht="15">
      <c r="A150" s="30">
        <v>373.4</v>
      </c>
      <c r="B150" s="17" t="s">
        <v>343</v>
      </c>
      <c r="C150" s="17"/>
      <c r="D150" s="25">
        <v>84847</v>
      </c>
      <c r="E150" s="25"/>
      <c r="F150" s="26" t="s">
        <v>344</v>
      </c>
      <c r="G150" s="54"/>
      <c r="H150" s="28">
        <v>0</v>
      </c>
      <c r="I150" s="25">
        <f t="shared" si="18"/>
        <v>0</v>
      </c>
      <c r="J150" s="29"/>
      <c r="K150" s="25">
        <v>84847</v>
      </c>
      <c r="L150" s="40"/>
      <c r="M150" s="25">
        <f t="shared" si="19"/>
        <v>0</v>
      </c>
      <c r="N150" s="27"/>
      <c r="O150" s="25"/>
      <c r="P150" s="29"/>
      <c r="Q150" s="30">
        <f t="shared" si="21"/>
        <v>0</v>
      </c>
      <c r="R150" s="17"/>
      <c r="S150" s="25">
        <f t="shared" si="22"/>
        <v>0</v>
      </c>
      <c r="T150" s="17"/>
      <c r="U150" s="25">
        <v>0</v>
      </c>
      <c r="V150" s="17"/>
      <c r="W150" s="30">
        <f t="shared" si="24"/>
        <v>0</v>
      </c>
      <c r="X150" s="17"/>
      <c r="Y150" s="16">
        <f t="shared" si="26"/>
        <v>0</v>
      </c>
      <c r="Z150" s="17"/>
      <c r="AA150" s="30">
        <v>0</v>
      </c>
      <c r="AC150" s="30">
        <v>373.4</v>
      </c>
    </row>
    <row r="151" spans="1:29" ht="15">
      <c r="A151" s="17">
        <v>373.5</v>
      </c>
      <c r="B151" s="17" t="s">
        <v>345</v>
      </c>
      <c r="C151" s="17"/>
      <c r="D151" s="31">
        <v>2699</v>
      </c>
      <c r="E151" s="25"/>
      <c r="F151" s="26" t="s">
        <v>344</v>
      </c>
      <c r="G151" s="27"/>
      <c r="H151" s="28">
        <v>0</v>
      </c>
      <c r="I151" s="32">
        <f t="shared" si="18"/>
        <v>0</v>
      </c>
      <c r="J151" s="29"/>
      <c r="K151" s="32">
        <v>2699</v>
      </c>
      <c r="L151" s="29"/>
      <c r="M151" s="32">
        <f t="shared" si="19"/>
        <v>0</v>
      </c>
      <c r="N151" s="33"/>
      <c r="O151" s="31"/>
      <c r="P151" s="29"/>
      <c r="Q151" s="34">
        <f t="shared" si="21"/>
        <v>0</v>
      </c>
      <c r="R151" s="17"/>
      <c r="S151" s="35">
        <f t="shared" si="22"/>
        <v>0</v>
      </c>
      <c r="T151" s="17"/>
      <c r="U151" s="31">
        <v>0</v>
      </c>
      <c r="V151" s="17"/>
      <c r="W151" s="34">
        <f t="shared" si="24"/>
        <v>0</v>
      </c>
      <c r="X151" s="17"/>
      <c r="Y151" s="36">
        <f>(Q151-W151)/100</f>
        <v>0</v>
      </c>
      <c r="Z151" s="17"/>
      <c r="AA151" s="34">
        <v>0</v>
      </c>
      <c r="AC151" s="17">
        <v>373.5</v>
      </c>
    </row>
    <row r="152" spans="1:29" ht="15">
      <c r="A152" s="17"/>
      <c r="B152" s="22" t="s">
        <v>346</v>
      </c>
      <c r="C152" s="17"/>
      <c r="D152" s="25">
        <f>SUM(D136:D151)</f>
        <v>560661019</v>
      </c>
      <c r="E152" s="25"/>
      <c r="F152" s="17"/>
      <c r="G152" s="27">
        <f>1*Y152</f>
        <v>0.008083268068546938</v>
      </c>
      <c r="H152" s="17"/>
      <c r="I152" s="25">
        <f>SUM(I136:I151)</f>
        <v>-105383021</v>
      </c>
      <c r="J152" s="29"/>
      <c r="K152" s="25">
        <f>SUM(K136:K151)</f>
        <v>226772847</v>
      </c>
      <c r="L152" s="17"/>
      <c r="M152" s="25">
        <f>SUM(M136:M151)</f>
        <v>439271193</v>
      </c>
      <c r="N152" s="17"/>
      <c r="O152" s="25">
        <f>SUM(O136:O151)</f>
        <v>18277398</v>
      </c>
      <c r="P152" s="29"/>
      <c r="Q152" s="30">
        <f t="shared" si="21"/>
        <v>3.259973028372782</v>
      </c>
      <c r="R152" s="17"/>
      <c r="S152" s="25">
        <f t="shared" si="22"/>
        <v>333888172</v>
      </c>
      <c r="T152" s="17"/>
      <c r="U152" s="25">
        <f>SUM(U136:U151)</f>
        <v>13745424.687838309</v>
      </c>
      <c r="V152" s="17"/>
      <c r="W152" s="30">
        <f t="shared" si="24"/>
        <v>2.451646221518088</v>
      </c>
      <c r="X152" s="17"/>
      <c r="Y152" s="16">
        <f>(Q152-W152)/100</f>
        <v>0.008083268068546938</v>
      </c>
      <c r="Z152" s="17"/>
      <c r="AA152" s="30">
        <f t="shared" si="25"/>
        <v>0.0024795505969513213</v>
      </c>
      <c r="AC152" s="17"/>
    </row>
    <row r="153" spans="1:29" ht="15">
      <c r="A153" s="17"/>
      <c r="B153" s="22"/>
      <c r="C153" s="17"/>
      <c r="D153" s="25"/>
      <c r="E153" s="25"/>
      <c r="F153" s="17"/>
      <c r="G153" s="27"/>
      <c r="H153" s="17"/>
      <c r="I153" s="25"/>
      <c r="J153" s="29"/>
      <c r="K153" s="25"/>
      <c r="L153" s="17"/>
      <c r="M153" s="25"/>
      <c r="N153" s="17"/>
      <c r="O153" s="25"/>
      <c r="P153" s="29"/>
      <c r="Q153" s="30"/>
      <c r="R153" s="17"/>
      <c r="S153" s="17"/>
      <c r="T153" s="17"/>
      <c r="U153" s="25"/>
      <c r="V153" s="17"/>
      <c r="W153" s="30"/>
      <c r="X153" s="17"/>
      <c r="Y153" s="16"/>
      <c r="Z153" s="17"/>
      <c r="AA153" s="30"/>
      <c r="AC153" s="17"/>
    </row>
    <row r="154" spans="1:29" ht="15">
      <c r="A154" s="17"/>
      <c r="B154" s="22" t="s">
        <v>347</v>
      </c>
      <c r="C154" s="17"/>
      <c r="D154" s="17"/>
      <c r="E154" s="17"/>
      <c r="F154" s="17"/>
      <c r="G154" s="17"/>
      <c r="H154" s="17"/>
      <c r="I154" s="17"/>
      <c r="J154" s="23"/>
      <c r="K154" s="17"/>
      <c r="L154" s="17"/>
      <c r="M154" s="17"/>
      <c r="N154" s="17"/>
      <c r="O154" s="17"/>
      <c r="P154" s="23"/>
      <c r="Q154" s="17"/>
      <c r="R154" s="17"/>
      <c r="S154" s="17"/>
      <c r="T154" s="17"/>
      <c r="U154" s="17"/>
      <c r="V154" s="17"/>
      <c r="W154" s="17"/>
      <c r="X154" s="17"/>
      <c r="Y154" s="16"/>
      <c r="Z154" s="17"/>
      <c r="AA154" s="17"/>
      <c r="AC154" s="17"/>
    </row>
    <row r="155" spans="1:29" ht="15">
      <c r="A155" s="30">
        <v>392.2</v>
      </c>
      <c r="B155" s="17" t="s">
        <v>348</v>
      </c>
      <c r="C155" s="17"/>
      <c r="D155" s="25">
        <v>509511</v>
      </c>
      <c r="E155" s="25"/>
      <c r="F155" s="26" t="s">
        <v>334</v>
      </c>
      <c r="G155" s="27">
        <v>33</v>
      </c>
      <c r="H155" s="28">
        <v>10</v>
      </c>
      <c r="I155" s="25">
        <f>ROUND(H155/100*D155,0)</f>
        <v>50951</v>
      </c>
      <c r="J155" s="29"/>
      <c r="K155" s="25">
        <v>151447</v>
      </c>
      <c r="L155" s="25"/>
      <c r="M155" s="25">
        <f>D155-I155-K155</f>
        <v>307113</v>
      </c>
      <c r="N155" s="27">
        <v>23.2</v>
      </c>
      <c r="O155" s="25">
        <f>ROUND(+M155/N155,0)</f>
        <v>13238</v>
      </c>
      <c r="P155" s="29"/>
      <c r="Q155" s="30">
        <f aca="true" t="shared" si="27" ref="Q155:Q160">O155/D155*100</f>
        <v>2.5981774681999017</v>
      </c>
      <c r="R155" s="17"/>
      <c r="S155" s="25">
        <f aca="true" t="shared" si="28" ref="S155:S160">D155-K155</f>
        <v>358064</v>
      </c>
      <c r="T155" s="17"/>
      <c r="U155" s="25">
        <f>S155/N155</f>
        <v>15433.793103448277</v>
      </c>
      <c r="V155" s="17"/>
      <c r="W155" s="30">
        <f aca="true" t="shared" si="29" ref="W155:W160">U155/D155*100</f>
        <v>3.029138350977364</v>
      </c>
      <c r="X155" s="17"/>
      <c r="Y155" s="16">
        <f aca="true" t="shared" si="30" ref="Y155:Y160">(Q155-W155)/100</f>
        <v>-0.004309608827774624</v>
      </c>
      <c r="Z155" s="17"/>
      <c r="AA155" s="30">
        <f aca="true" t="shared" si="31" ref="AA155:AA160">Y155/Q155</f>
        <v>-0.0016587045652275846</v>
      </c>
      <c r="AC155" s="30">
        <v>392.2</v>
      </c>
    </row>
    <row r="156" spans="1:29" ht="15">
      <c r="A156" s="30">
        <v>394.1</v>
      </c>
      <c r="B156" s="17" t="s">
        <v>349</v>
      </c>
      <c r="C156" s="17"/>
      <c r="D156" s="25">
        <v>63952</v>
      </c>
      <c r="E156" s="25"/>
      <c r="F156" s="26" t="s">
        <v>350</v>
      </c>
      <c r="G156" s="27">
        <v>33</v>
      </c>
      <c r="H156" s="28">
        <v>0</v>
      </c>
      <c r="I156" s="25">
        <f>ROUND(H156/100*D156,0)</f>
        <v>0</v>
      </c>
      <c r="J156" s="29"/>
      <c r="K156" s="25">
        <v>30119</v>
      </c>
      <c r="L156" s="25"/>
      <c r="M156" s="25">
        <f>D156-I156-K156</f>
        <v>33833</v>
      </c>
      <c r="N156" s="27">
        <v>19</v>
      </c>
      <c r="O156" s="25">
        <f>ROUND(+M156/N156,0)</f>
        <v>1781</v>
      </c>
      <c r="P156" s="29"/>
      <c r="Q156" s="30">
        <f t="shared" si="27"/>
        <v>2.7849011758819113</v>
      </c>
      <c r="R156" s="17"/>
      <c r="S156" s="25">
        <f t="shared" si="28"/>
        <v>33833</v>
      </c>
      <c r="T156" s="17"/>
      <c r="U156" s="25">
        <f>S156/N156</f>
        <v>1780.6842105263158</v>
      </c>
      <c r="V156" s="17"/>
      <c r="W156" s="30">
        <f t="shared" si="29"/>
        <v>2.784407384485733</v>
      </c>
      <c r="X156" s="17"/>
      <c r="Y156" s="16">
        <f t="shared" si="30"/>
        <v>4.937913961784446E-06</v>
      </c>
      <c r="Z156" s="17"/>
      <c r="AA156" s="30">
        <f t="shared" si="31"/>
        <v>1.7731020420215547E-06</v>
      </c>
      <c r="AC156" s="30">
        <v>394.1</v>
      </c>
    </row>
    <row r="157" spans="1:29" ht="15">
      <c r="A157" s="30">
        <v>394.3</v>
      </c>
      <c r="B157" s="17" t="s">
        <v>351</v>
      </c>
      <c r="C157" s="17"/>
      <c r="D157" s="25">
        <v>1778454</v>
      </c>
      <c r="E157" s="25"/>
      <c r="F157" s="26" t="s">
        <v>320</v>
      </c>
      <c r="G157" s="27">
        <v>25</v>
      </c>
      <c r="H157" s="28">
        <v>10</v>
      </c>
      <c r="I157" s="25">
        <f>ROUND(H157/100*D157,0)</f>
        <v>177845</v>
      </c>
      <c r="J157" s="29"/>
      <c r="K157" s="25">
        <v>394407</v>
      </c>
      <c r="L157" s="25"/>
      <c r="M157" s="25">
        <f>D157-I157-K157</f>
        <v>1206202</v>
      </c>
      <c r="N157" s="27">
        <v>19.4</v>
      </c>
      <c r="O157" s="25">
        <f>ROUND(+M157/N157,0)</f>
        <v>62175</v>
      </c>
      <c r="P157" s="29"/>
      <c r="Q157" s="30">
        <f t="shared" si="27"/>
        <v>3.4960139536923647</v>
      </c>
      <c r="R157" s="17"/>
      <c r="S157" s="25">
        <f t="shared" si="28"/>
        <v>1384047</v>
      </c>
      <c r="T157" s="17"/>
      <c r="U157" s="25">
        <f>S157/N157</f>
        <v>71342.6288659794</v>
      </c>
      <c r="V157" s="17"/>
      <c r="W157" s="30">
        <f t="shared" si="29"/>
        <v>4.0114970005397605</v>
      </c>
      <c r="X157" s="17"/>
      <c r="Y157" s="16">
        <f t="shared" si="30"/>
        <v>-0.005154830468473958</v>
      </c>
      <c r="Z157" s="17"/>
      <c r="AA157" s="30">
        <f t="shared" si="31"/>
        <v>-0.0014744879559275247</v>
      </c>
      <c r="AC157" s="30">
        <v>394.3</v>
      </c>
    </row>
    <row r="158" spans="1:29" ht="15">
      <c r="A158" s="30">
        <v>395</v>
      </c>
      <c r="B158" s="17" t="s">
        <v>352</v>
      </c>
      <c r="C158" s="17"/>
      <c r="D158" s="25">
        <v>1552488</v>
      </c>
      <c r="E158" s="25"/>
      <c r="F158" s="26" t="s">
        <v>334</v>
      </c>
      <c r="G158" s="27">
        <v>33</v>
      </c>
      <c r="H158" s="28">
        <v>5</v>
      </c>
      <c r="I158" s="25">
        <f>ROUND(H158/100*D158,0)</f>
        <v>77624</v>
      </c>
      <c r="J158" s="29"/>
      <c r="K158" s="25">
        <v>580979</v>
      </c>
      <c r="L158" s="25"/>
      <c r="M158" s="25">
        <f>D158-I158-K158</f>
        <v>893885</v>
      </c>
      <c r="N158" s="27">
        <v>21.3</v>
      </c>
      <c r="O158" s="25">
        <f>ROUND(+M158/N158,0)</f>
        <v>41966</v>
      </c>
      <c r="P158" s="29"/>
      <c r="Q158" s="30">
        <f t="shared" si="27"/>
        <v>2.7031448874323023</v>
      </c>
      <c r="R158" s="17"/>
      <c r="S158" s="25">
        <f t="shared" si="28"/>
        <v>971509</v>
      </c>
      <c r="T158" s="17"/>
      <c r="U158" s="25">
        <f>S158/N158</f>
        <v>45610.751173708915</v>
      </c>
      <c r="V158" s="17"/>
      <c r="W158" s="30">
        <f t="shared" si="29"/>
        <v>2.9379132833045354</v>
      </c>
      <c r="X158" s="17"/>
      <c r="Y158" s="16">
        <f t="shared" si="30"/>
        <v>-0.002347683958722331</v>
      </c>
      <c r="Z158" s="17"/>
      <c r="AA158" s="30">
        <f t="shared" si="31"/>
        <v>-0.0008685009707165119</v>
      </c>
      <c r="AC158" s="30">
        <v>395</v>
      </c>
    </row>
    <row r="159" spans="1:29" ht="15">
      <c r="A159" s="17">
        <v>396.2</v>
      </c>
      <c r="B159" s="17" t="s">
        <v>353</v>
      </c>
      <c r="C159" s="17"/>
      <c r="D159" s="31">
        <v>145467</v>
      </c>
      <c r="E159" s="25"/>
      <c r="F159" s="26" t="s">
        <v>320</v>
      </c>
      <c r="G159" s="27">
        <v>37</v>
      </c>
      <c r="H159" s="28">
        <v>10</v>
      </c>
      <c r="I159" s="32">
        <f>ROUND(H159/100*D159,0)</f>
        <v>14547</v>
      </c>
      <c r="J159" s="29"/>
      <c r="K159" s="32">
        <v>78627</v>
      </c>
      <c r="L159" s="29"/>
      <c r="M159" s="32">
        <f>D159-I159-K159</f>
        <v>52293</v>
      </c>
      <c r="N159" s="33">
        <v>17</v>
      </c>
      <c r="O159" s="31">
        <f>ROUND(+M159/N159,0)</f>
        <v>3076</v>
      </c>
      <c r="P159" s="29"/>
      <c r="Q159" s="34">
        <f t="shared" si="27"/>
        <v>2.1145689400345096</v>
      </c>
      <c r="R159" s="17"/>
      <c r="S159" s="35">
        <f t="shared" si="28"/>
        <v>66840</v>
      </c>
      <c r="T159" s="17"/>
      <c r="U159" s="31">
        <f>S159/N159</f>
        <v>3931.764705882353</v>
      </c>
      <c r="V159" s="17"/>
      <c r="W159" s="34">
        <f t="shared" si="29"/>
        <v>2.7028568031803455</v>
      </c>
      <c r="X159" s="17"/>
      <c r="Y159" s="36">
        <f t="shared" si="30"/>
        <v>-0.005882878631458359</v>
      </c>
      <c r="Z159" s="17"/>
      <c r="AA159" s="34">
        <f t="shared" si="31"/>
        <v>-0.002782069915092175</v>
      </c>
      <c r="AC159" s="17">
        <v>396.2</v>
      </c>
    </row>
    <row r="160" spans="1:29" ht="15">
      <c r="A160" s="17"/>
      <c r="B160" s="22" t="s">
        <v>354</v>
      </c>
      <c r="C160" s="17"/>
      <c r="D160" s="25">
        <f>SUM(D155:D159)</f>
        <v>4049872</v>
      </c>
      <c r="E160" s="25"/>
      <c r="F160" s="17"/>
      <c r="G160" s="27">
        <f>1*Y160</f>
        <v>-0.003917067517083317</v>
      </c>
      <c r="H160" s="17"/>
      <c r="I160" s="25">
        <f>SUM(I155:I159)</f>
        <v>320967</v>
      </c>
      <c r="J160" s="29"/>
      <c r="K160" s="25">
        <f>SUM(K155:K159)</f>
        <v>1235579</v>
      </c>
      <c r="L160" s="17"/>
      <c r="M160" s="25">
        <f>SUM(M155:M159)</f>
        <v>2493326</v>
      </c>
      <c r="N160" s="17"/>
      <c r="O160" s="25">
        <f>SUM(O155:O159)</f>
        <v>122236</v>
      </c>
      <c r="P160" s="29"/>
      <c r="Q160" s="30">
        <f t="shared" si="27"/>
        <v>3.0182682316873226</v>
      </c>
      <c r="R160" s="17"/>
      <c r="S160" s="25">
        <f t="shared" si="28"/>
        <v>2814293</v>
      </c>
      <c r="T160" s="17"/>
      <c r="U160" s="25">
        <f>SUM(U155:U159)</f>
        <v>138099.62205954525</v>
      </c>
      <c r="V160" s="17"/>
      <c r="W160" s="30">
        <f t="shared" si="29"/>
        <v>3.4099749833956543</v>
      </c>
      <c r="X160" s="17"/>
      <c r="Y160" s="16">
        <f t="shared" si="30"/>
        <v>-0.003917067517083317</v>
      </c>
      <c r="Z160" s="17"/>
      <c r="AA160" s="30">
        <f t="shared" si="31"/>
        <v>-0.0012977864180393048</v>
      </c>
      <c r="AC160" s="17"/>
    </row>
    <row r="161" spans="1:29" ht="15">
      <c r="A161" s="17"/>
      <c r="B161" s="22"/>
      <c r="C161" s="17"/>
      <c r="D161" s="25"/>
      <c r="E161" s="25"/>
      <c r="F161" s="17"/>
      <c r="G161" s="27"/>
      <c r="H161" s="17"/>
      <c r="I161" s="25"/>
      <c r="J161" s="29"/>
      <c r="K161" s="25"/>
      <c r="L161" s="17"/>
      <c r="M161" s="25"/>
      <c r="N161" s="17"/>
      <c r="O161" s="25"/>
      <c r="P161" s="29"/>
      <c r="Q161" s="30"/>
      <c r="R161" s="17"/>
      <c r="S161" s="17"/>
      <c r="T161" s="17"/>
      <c r="U161" s="25"/>
      <c r="V161" s="17"/>
      <c r="W161" s="30"/>
      <c r="X161" s="17"/>
      <c r="Y161" s="16"/>
      <c r="Z161" s="17"/>
      <c r="AA161" s="30"/>
      <c r="AC161" s="17"/>
    </row>
    <row r="162" spans="1:29" ht="15">
      <c r="A162" s="17"/>
      <c r="B162" s="22"/>
      <c r="C162" s="17"/>
      <c r="D162" s="25"/>
      <c r="E162" s="25"/>
      <c r="F162" s="17"/>
      <c r="G162" s="27"/>
      <c r="H162" s="17"/>
      <c r="I162" s="25"/>
      <c r="J162" s="29"/>
      <c r="K162" s="25"/>
      <c r="L162" s="17"/>
      <c r="M162" s="25"/>
      <c r="N162" s="17"/>
      <c r="O162" s="25"/>
      <c r="P162" s="29"/>
      <c r="Q162" s="30"/>
      <c r="R162" s="17"/>
      <c r="S162" s="17"/>
      <c r="T162" s="17"/>
      <c r="U162" s="25"/>
      <c r="V162" s="17"/>
      <c r="W162" s="30"/>
      <c r="X162" s="17"/>
      <c r="Y162" s="16"/>
      <c r="Z162" s="17"/>
      <c r="AA162" s="30"/>
      <c r="AC162" s="17"/>
    </row>
    <row r="163" spans="1:29" ht="15">
      <c r="A163" s="17"/>
      <c r="B163" s="22" t="s">
        <v>355</v>
      </c>
      <c r="C163" s="17"/>
      <c r="D163" s="25">
        <f>D107+D120+D132+D152+D160</f>
        <v>2455129690</v>
      </c>
      <c r="E163" s="25"/>
      <c r="F163" s="17"/>
      <c r="G163" s="27"/>
      <c r="H163" s="17"/>
      <c r="I163" s="25"/>
      <c r="J163" s="29"/>
      <c r="K163" s="25"/>
      <c r="L163" s="17"/>
      <c r="M163" s="25"/>
      <c r="N163" s="17"/>
      <c r="O163" s="25">
        <f>O107+O120+O132+O152+O160</f>
        <v>72523682.73260738</v>
      </c>
      <c r="P163" s="29"/>
      <c r="Q163" s="30">
        <f>O163/D163*100</f>
        <v>2.9539654474467856</v>
      </c>
      <c r="R163" s="17"/>
      <c r="S163" s="25">
        <f>S107+S120+S132+S152+S160</f>
        <v>1161475457</v>
      </c>
      <c r="T163" s="17"/>
      <c r="U163" s="25">
        <f>U107+U120+U132+U152+U160</f>
        <v>62783793.48348315</v>
      </c>
      <c r="V163" s="17"/>
      <c r="W163" s="30">
        <f>U163/D163*100</f>
        <v>2.557249571752079</v>
      </c>
      <c r="X163" s="17"/>
      <c r="Y163" s="16">
        <f>(Q163-W163)/100</f>
        <v>0.003967158756947064</v>
      </c>
      <c r="Z163" s="17"/>
      <c r="AA163" s="30">
        <f>Y163/Q163</f>
        <v>0.0013429942995359058</v>
      </c>
      <c r="AC163" s="17"/>
    </row>
    <row r="164" spans="1:29" ht="15">
      <c r="A164" s="30"/>
      <c r="B164" s="17"/>
      <c r="C164" s="17"/>
      <c r="D164" s="25"/>
      <c r="E164" s="25"/>
      <c r="F164" s="17"/>
      <c r="G164" s="27"/>
      <c r="H164" s="25"/>
      <c r="I164" s="25"/>
      <c r="J164" s="29"/>
      <c r="K164" s="25"/>
      <c r="L164" s="25"/>
      <c r="M164" s="25"/>
      <c r="N164" s="27"/>
      <c r="O164" s="25"/>
      <c r="P164" s="29"/>
      <c r="Q164" s="30"/>
      <c r="R164" s="17"/>
      <c r="S164" s="17"/>
      <c r="T164" s="17"/>
      <c r="U164" s="25"/>
      <c r="V164" s="17"/>
      <c r="W164" s="30"/>
      <c r="X164" s="17"/>
      <c r="Y164" s="16"/>
      <c r="Z164" s="17"/>
      <c r="AA164" s="30"/>
      <c r="AC164" s="30"/>
    </row>
    <row r="165" spans="1:29" ht="15">
      <c r="A165" s="38"/>
      <c r="B165" s="22"/>
      <c r="C165" s="17"/>
      <c r="D165" s="25"/>
      <c r="E165" s="17"/>
      <c r="F165" s="17"/>
      <c r="G165" s="17"/>
      <c r="H165" s="17"/>
      <c r="I165" s="17"/>
      <c r="J165" s="23"/>
      <c r="K165" s="25"/>
      <c r="L165" s="17"/>
      <c r="M165" s="17"/>
      <c r="N165" s="17"/>
      <c r="O165" s="17"/>
      <c r="P165" s="23"/>
      <c r="Q165" s="17"/>
      <c r="R165" s="17"/>
      <c r="S165" s="17"/>
      <c r="T165" s="17"/>
      <c r="U165" s="17"/>
      <c r="V165" s="17"/>
      <c r="W165" s="17"/>
      <c r="X165" s="17"/>
      <c r="Y165" s="16"/>
      <c r="Z165" s="17"/>
      <c r="AA165" s="17"/>
      <c r="AC165" s="38"/>
    </row>
    <row r="166" spans="1:29" ht="15">
      <c r="A166" s="38"/>
      <c r="B166" s="55" t="s">
        <v>356</v>
      </c>
      <c r="R166" s="38"/>
      <c r="S166" s="38"/>
      <c r="T166" s="38"/>
      <c r="U166" s="38"/>
      <c r="V166" s="38"/>
      <c r="X166" s="38"/>
      <c r="Z166" s="38"/>
      <c r="AC166" s="38"/>
    </row>
    <row r="167" spans="1:29" ht="15">
      <c r="A167" s="17" t="s">
        <v>357</v>
      </c>
      <c r="B167" s="56" t="s">
        <v>358</v>
      </c>
      <c r="C167" s="38"/>
      <c r="D167" s="38"/>
      <c r="E167" s="38"/>
      <c r="F167" s="38"/>
      <c r="G167" s="38"/>
      <c r="H167" s="38"/>
      <c r="I167" s="38"/>
      <c r="J167" s="57"/>
      <c r="K167" s="38"/>
      <c r="L167" s="38"/>
      <c r="M167" s="38"/>
      <c r="N167" s="38"/>
      <c r="O167" s="38"/>
      <c r="P167" s="57"/>
      <c r="Q167" s="38"/>
      <c r="W167" s="38"/>
      <c r="Y167" s="16">
        <v>0</v>
      </c>
      <c r="AA167" s="38"/>
      <c r="AC167" s="17" t="s">
        <v>357</v>
      </c>
    </row>
    <row r="168" spans="1:29" ht="15">
      <c r="A168" s="17" t="s">
        <v>359</v>
      </c>
      <c r="B168" s="56" t="s">
        <v>360</v>
      </c>
      <c r="Y168" s="16">
        <v>0</v>
      </c>
      <c r="AC168" s="17" t="s">
        <v>359</v>
      </c>
    </row>
    <row r="169" spans="1:29" ht="15">
      <c r="A169" s="17" t="s">
        <v>361</v>
      </c>
      <c r="B169" s="56" t="s">
        <v>362</v>
      </c>
      <c r="K169" s="25"/>
      <c r="Y169" s="16">
        <v>0</v>
      </c>
      <c r="AC169" s="17" t="s">
        <v>361</v>
      </c>
    </row>
    <row r="170" spans="1:29" ht="15">
      <c r="A170" s="17" t="s">
        <v>363</v>
      </c>
      <c r="B170" s="56" t="s">
        <v>364</v>
      </c>
      <c r="K170" s="38"/>
      <c r="Y170" s="16">
        <v>0</v>
      </c>
      <c r="AC170" s="17" t="s">
        <v>363</v>
      </c>
    </row>
    <row r="171" spans="1:29" ht="15">
      <c r="A171" s="17" t="s">
        <v>365</v>
      </c>
      <c r="B171" s="56" t="s">
        <v>366</v>
      </c>
      <c r="Y171" s="16">
        <v>0</v>
      </c>
      <c r="AC171" s="17" t="s">
        <v>365</v>
      </c>
    </row>
    <row r="172" spans="1:29" ht="15">
      <c r="A172" s="17" t="s">
        <v>6</v>
      </c>
      <c r="B172" s="56" t="s">
        <v>367</v>
      </c>
      <c r="Y172" s="16">
        <v>0</v>
      </c>
      <c r="AC172" s="17" t="s">
        <v>6</v>
      </c>
    </row>
    <row r="173" spans="1:29" ht="15">
      <c r="A173" s="17" t="s">
        <v>368</v>
      </c>
      <c r="B173" s="56" t="s">
        <v>369</v>
      </c>
      <c r="Y173" s="16">
        <v>0</v>
      </c>
      <c r="AC173" s="17" t="s">
        <v>368</v>
      </c>
    </row>
    <row r="174" spans="1:29" ht="15">
      <c r="A174" s="17" t="s">
        <v>370</v>
      </c>
      <c r="B174" s="56" t="s">
        <v>371</v>
      </c>
      <c r="Y174" s="16">
        <v>0</v>
      </c>
      <c r="AC174" s="17" t="s">
        <v>370</v>
      </c>
    </row>
    <row r="175" spans="1:29" ht="15">
      <c r="A175" s="17" t="s">
        <v>372</v>
      </c>
      <c r="B175" s="56" t="s">
        <v>373</v>
      </c>
      <c r="Y175" s="16">
        <v>0</v>
      </c>
      <c r="AC175" s="17" t="s">
        <v>372</v>
      </c>
    </row>
    <row r="176" spans="1:29" ht="15">
      <c r="A176" s="17" t="s">
        <v>374</v>
      </c>
      <c r="B176" s="56" t="s">
        <v>375</v>
      </c>
      <c r="Y176" s="16">
        <v>0</v>
      </c>
      <c r="AC176" s="17" t="s">
        <v>374</v>
      </c>
    </row>
    <row r="177" spans="1:29" ht="15">
      <c r="A177" s="24" t="s">
        <v>376</v>
      </c>
      <c r="B177" s="58" t="s">
        <v>377</v>
      </c>
      <c r="Y177" s="16">
        <v>0</v>
      </c>
      <c r="AC177" s="24" t="s">
        <v>376</v>
      </c>
    </row>
    <row r="178" spans="1:29" ht="15">
      <c r="A178" s="17" t="s">
        <v>378</v>
      </c>
      <c r="B178" s="59" t="s">
        <v>379</v>
      </c>
      <c r="Y178" s="16">
        <v>0</v>
      </c>
      <c r="AC178" s="17" t="s">
        <v>378</v>
      </c>
    </row>
    <row r="179" spans="1:29" ht="15">
      <c r="A179" s="17" t="s">
        <v>380</v>
      </c>
      <c r="B179" s="56" t="s">
        <v>381</v>
      </c>
      <c r="Y179" s="16">
        <v>0</v>
      </c>
      <c r="AC179" s="17" t="s">
        <v>380</v>
      </c>
    </row>
    <row r="180" spans="1:29" ht="15">
      <c r="A180" s="17" t="s">
        <v>382</v>
      </c>
      <c r="B180" s="60" t="s">
        <v>383</v>
      </c>
      <c r="Y180" s="16">
        <v>0</v>
      </c>
      <c r="AC180" s="17" t="s">
        <v>382</v>
      </c>
    </row>
    <row r="181" spans="1:29" ht="15">
      <c r="A181" s="17" t="s">
        <v>384</v>
      </c>
      <c r="B181" t="s">
        <v>385</v>
      </c>
      <c r="Y181" s="16">
        <v>0</v>
      </c>
      <c r="AC181" s="17" t="s">
        <v>384</v>
      </c>
    </row>
  </sheetData>
  <mergeCells count="5">
    <mergeCell ref="S5:Y5"/>
    <mergeCell ref="C1:Q1"/>
    <mergeCell ref="C2:Q2"/>
    <mergeCell ref="C3:Q3"/>
    <mergeCell ref="C5:Q5"/>
  </mergeCells>
  <printOptions/>
  <pageMargins left="0.75" right="0.75" top="1" bottom="1" header="0.5" footer="0.5"/>
  <pageSetup horizontalDpi="600" verticalDpi="600" orientation="landscape" scale="63" r:id="rId3"/>
  <colBreaks count="1" manualBreakCount="1">
    <brk id="17" max="1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30" sqref="B30"/>
    </sheetView>
  </sheetViews>
  <sheetFormatPr defaultColWidth="9.140625" defaultRowHeight="12.75" outlineLevelRow="2"/>
  <cols>
    <col min="1" max="1" width="8.421875" style="1" bestFit="1" customWidth="1"/>
    <col min="2" max="2" width="25.421875" style="8" customWidth="1"/>
    <col min="3" max="3" width="15.28125" style="1" bestFit="1" customWidth="1"/>
    <col min="4" max="4" width="14.00390625" style="8" bestFit="1" customWidth="1"/>
    <col min="5" max="5" width="18.00390625" style="0" bestFit="1" customWidth="1"/>
    <col min="6" max="6" width="8.00390625" style="83" bestFit="1" customWidth="1"/>
    <col min="7" max="7" width="15.140625" style="4" bestFit="1" customWidth="1"/>
    <col min="8" max="8" width="14.7109375" style="4" bestFit="1" customWidth="1"/>
  </cols>
  <sheetData>
    <row r="1" spans="1:8" ht="12.75">
      <c r="A1" s="138" t="s">
        <v>72</v>
      </c>
      <c r="B1" s="138"/>
      <c r="C1" s="138"/>
      <c r="D1" s="138"/>
      <c r="E1" s="138"/>
      <c r="F1" s="138"/>
      <c r="G1" s="138"/>
      <c r="H1" s="138"/>
    </row>
    <row r="2" spans="1:8" ht="12.75">
      <c r="A2" s="139" t="s">
        <v>506</v>
      </c>
      <c r="B2" s="139"/>
      <c r="C2" s="139"/>
      <c r="D2" s="139"/>
      <c r="E2" s="139"/>
      <c r="F2" s="139"/>
      <c r="G2" s="139"/>
      <c r="H2" s="139"/>
    </row>
    <row r="3" spans="1:8" ht="12.75">
      <c r="A3" s="91"/>
      <c r="B3" s="91"/>
      <c r="C3" s="91"/>
      <c r="D3" s="91"/>
      <c r="E3" s="91"/>
      <c r="F3" s="91"/>
      <c r="G3" s="91" t="s">
        <v>505</v>
      </c>
      <c r="H3" s="133" t="s">
        <v>507</v>
      </c>
    </row>
    <row r="4" spans="1:8" ht="12.75">
      <c r="A4" s="91" t="s">
        <v>1</v>
      </c>
      <c r="B4" s="95" t="s">
        <v>2</v>
      </c>
      <c r="C4" s="91" t="s">
        <v>3</v>
      </c>
      <c r="D4" s="91" t="s">
        <v>4</v>
      </c>
      <c r="E4" s="92" t="s">
        <v>5</v>
      </c>
      <c r="F4" s="97" t="s">
        <v>500</v>
      </c>
      <c r="G4" s="94" t="s">
        <v>501</v>
      </c>
      <c r="H4" s="133" t="s">
        <v>501</v>
      </c>
    </row>
    <row r="5" spans="1:8" ht="12.75" outlineLevel="2">
      <c r="A5" s="6" t="s">
        <v>74</v>
      </c>
      <c r="B5" s="2" t="s">
        <v>75</v>
      </c>
      <c r="C5" s="6" t="s">
        <v>76</v>
      </c>
      <c r="D5" s="98" t="s">
        <v>9</v>
      </c>
      <c r="E5" s="100">
        <v>15060.54</v>
      </c>
      <c r="F5" s="101">
        <v>0.011007576260476222</v>
      </c>
      <c r="G5" s="102">
        <f>(+E5*F5)</f>
        <v>165.78004257395256</v>
      </c>
      <c r="H5" s="4">
        <f>+G5/12</f>
        <v>13.81500354782938</v>
      </c>
    </row>
    <row r="6" spans="1:8" ht="12.75" outlineLevel="2">
      <c r="A6" s="6" t="s">
        <v>74</v>
      </c>
      <c r="B6" s="2" t="s">
        <v>77</v>
      </c>
      <c r="C6" s="6" t="s">
        <v>78</v>
      </c>
      <c r="D6" s="98" t="s">
        <v>9</v>
      </c>
      <c r="E6" s="100">
        <v>1457.52</v>
      </c>
      <c r="F6" s="101">
        <v>0.011007576260476222</v>
      </c>
      <c r="G6" s="102">
        <f aca="true" t="shared" si="0" ref="G6:G13">(+E6*F6)</f>
        <v>16.0437625511693</v>
      </c>
      <c r="H6" s="4">
        <f aca="true" t="shared" si="1" ref="H6:H13">+G6/12</f>
        <v>1.3369802125974417</v>
      </c>
    </row>
    <row r="7" spans="1:8" ht="12.75" outlineLevel="2">
      <c r="A7" s="6" t="s">
        <v>104</v>
      </c>
      <c r="B7" s="2" t="s">
        <v>105</v>
      </c>
      <c r="C7" s="6" t="s">
        <v>106</v>
      </c>
      <c r="D7" s="98" t="s">
        <v>9</v>
      </c>
      <c r="E7" s="100">
        <v>75015.23</v>
      </c>
      <c r="F7" s="101">
        <v>0.006492007826888813</v>
      </c>
      <c r="G7" s="102">
        <f t="shared" si="0"/>
        <v>486.9994602958644</v>
      </c>
      <c r="H7" s="4">
        <f t="shared" si="1"/>
        <v>40.5832883579887</v>
      </c>
    </row>
    <row r="8" spans="1:8" ht="12.75" outlineLevel="2">
      <c r="A8" s="6" t="s">
        <v>95</v>
      </c>
      <c r="B8" s="2" t="s">
        <v>96</v>
      </c>
      <c r="C8" s="6" t="s">
        <v>97</v>
      </c>
      <c r="D8" s="98" t="s">
        <v>9</v>
      </c>
      <c r="E8" s="100">
        <v>152243.76</v>
      </c>
      <c r="F8" s="101">
        <v>0.00824173147222637</v>
      </c>
      <c r="G8" s="102">
        <f t="shared" si="0"/>
        <v>1254.752188242078</v>
      </c>
      <c r="H8" s="4">
        <f t="shared" si="1"/>
        <v>104.5626823535065</v>
      </c>
    </row>
    <row r="9" spans="1:8" ht="12.75" outlineLevel="2">
      <c r="A9" s="6" t="s">
        <v>95</v>
      </c>
      <c r="B9" s="2" t="s">
        <v>98</v>
      </c>
      <c r="C9" s="6" t="s">
        <v>99</v>
      </c>
      <c r="D9" s="98" t="s">
        <v>9</v>
      </c>
      <c r="E9" s="100">
        <v>29437.83</v>
      </c>
      <c r="F9" s="101">
        <v>0.00824173147222637</v>
      </c>
      <c r="G9" s="102">
        <f t="shared" si="0"/>
        <v>242.6186899850496</v>
      </c>
      <c r="H9" s="4">
        <f t="shared" si="1"/>
        <v>20.2182241654208</v>
      </c>
    </row>
    <row r="10" spans="1:8" ht="12.75" outlineLevel="2">
      <c r="A10" s="6" t="s">
        <v>123</v>
      </c>
      <c r="B10" s="2" t="s">
        <v>124</v>
      </c>
      <c r="C10" s="6" t="s">
        <v>125</v>
      </c>
      <c r="D10" s="98" t="s">
        <v>9</v>
      </c>
      <c r="E10" s="100">
        <v>74967.6</v>
      </c>
      <c r="F10" s="101">
        <v>0.003012166909987544</v>
      </c>
      <c r="G10" s="102">
        <f t="shared" si="0"/>
        <v>225.8149240411822</v>
      </c>
      <c r="H10" s="4">
        <f t="shared" si="1"/>
        <v>18.817910336765184</v>
      </c>
    </row>
    <row r="11" spans="1:8" ht="12.75" outlineLevel="2">
      <c r="A11" s="6" t="s">
        <v>123</v>
      </c>
      <c r="B11" s="2" t="s">
        <v>126</v>
      </c>
      <c r="C11" s="6" t="s">
        <v>127</v>
      </c>
      <c r="D11" s="98" t="s">
        <v>9</v>
      </c>
      <c r="E11" s="100">
        <v>23299.41</v>
      </c>
      <c r="F11" s="101">
        <v>0.003012166909987544</v>
      </c>
      <c r="G11" s="102">
        <f t="shared" si="0"/>
        <v>70.18171182423288</v>
      </c>
      <c r="H11" s="4">
        <f t="shared" si="1"/>
        <v>5.8484759853527395</v>
      </c>
    </row>
    <row r="12" spans="1:8" ht="12.75" outlineLevel="2">
      <c r="A12" s="6" t="s">
        <v>90</v>
      </c>
      <c r="B12" s="2" t="s">
        <v>91</v>
      </c>
      <c r="C12" s="6" t="s">
        <v>92</v>
      </c>
      <c r="D12" s="98" t="s">
        <v>9</v>
      </c>
      <c r="E12" s="100">
        <v>98051.42</v>
      </c>
      <c r="F12" s="101">
        <v>0.007772012540750026</v>
      </c>
      <c r="G12" s="102">
        <f t="shared" si="0"/>
        <v>762.0568658783479</v>
      </c>
      <c r="H12" s="4">
        <f t="shared" si="1"/>
        <v>63.50473882319566</v>
      </c>
    </row>
    <row r="13" spans="1:8" ht="12.75" outlineLevel="2">
      <c r="A13" s="6" t="s">
        <v>109</v>
      </c>
      <c r="B13" s="2" t="s">
        <v>110</v>
      </c>
      <c r="C13" s="6" t="s">
        <v>111</v>
      </c>
      <c r="D13" s="98" t="s">
        <v>9</v>
      </c>
      <c r="E13" s="100">
        <v>85362.37</v>
      </c>
      <c r="F13" s="101">
        <v>0.0051510553732480166</v>
      </c>
      <c r="G13" s="111">
        <f t="shared" si="0"/>
        <v>439.70629466168526</v>
      </c>
      <c r="H13" s="134">
        <f t="shared" si="1"/>
        <v>36.6421912218071</v>
      </c>
    </row>
    <row r="14" spans="1:8" ht="12.75" outlineLevel="1">
      <c r="A14" s="98"/>
      <c r="B14" s="99"/>
      <c r="C14" s="98"/>
      <c r="D14" s="131" t="s">
        <v>10</v>
      </c>
      <c r="E14" s="103">
        <f>SUBTOTAL(9,E5:E13)</f>
        <v>554895.6799999999</v>
      </c>
      <c r="F14" s="104"/>
      <c r="G14" s="105">
        <f>SUBTOTAL(9,G5:G13)</f>
        <v>3663.9539400535623</v>
      </c>
      <c r="H14" s="105">
        <f>SUBTOTAL(9,H5:H13)</f>
        <v>305.32949500446347</v>
      </c>
    </row>
    <row r="15" spans="1:7" ht="12.75" outlineLevel="1">
      <c r="A15" s="98"/>
      <c r="B15" s="99"/>
      <c r="C15" s="98"/>
      <c r="D15" s="131"/>
      <c r="E15" s="103"/>
      <c r="F15" s="104"/>
      <c r="G15" s="105"/>
    </row>
    <row r="16" spans="1:8" ht="12.75" outlineLevel="2">
      <c r="A16" s="6" t="s">
        <v>87</v>
      </c>
      <c r="B16" s="2" t="s">
        <v>88</v>
      </c>
      <c r="C16" s="6" t="s">
        <v>89</v>
      </c>
      <c r="D16" s="98" t="s">
        <v>32</v>
      </c>
      <c r="E16" s="100">
        <v>1610.73</v>
      </c>
      <c r="F16" s="101">
        <v>0</v>
      </c>
      <c r="G16" s="102">
        <f>(+E16*F16)</f>
        <v>0</v>
      </c>
      <c r="H16" s="4">
        <f aca="true" t="shared" si="2" ref="H16:H28">+G16/12</f>
        <v>0</v>
      </c>
    </row>
    <row r="17" spans="1:8" ht="12.75" outlineLevel="2">
      <c r="A17" s="6" t="s">
        <v>74</v>
      </c>
      <c r="B17" s="2" t="s">
        <v>79</v>
      </c>
      <c r="C17" s="6" t="s">
        <v>80</v>
      </c>
      <c r="D17" s="98" t="s">
        <v>32</v>
      </c>
      <c r="E17" s="100">
        <v>575455.72</v>
      </c>
      <c r="F17" s="101">
        <v>0.011007576260476222</v>
      </c>
      <c r="G17" s="102">
        <f aca="true" t="shared" si="3" ref="G17:G28">(+E17*F17)</f>
        <v>6334.372722427252</v>
      </c>
      <c r="H17" s="4">
        <f t="shared" si="2"/>
        <v>527.8643935356043</v>
      </c>
    </row>
    <row r="18" spans="1:8" ht="12.75" outlineLevel="2">
      <c r="A18" s="6" t="s">
        <v>109</v>
      </c>
      <c r="B18" s="2" t="s">
        <v>112</v>
      </c>
      <c r="C18" s="6" t="s">
        <v>113</v>
      </c>
      <c r="D18" s="98" t="s">
        <v>32</v>
      </c>
      <c r="E18" s="100">
        <v>9047.51</v>
      </c>
      <c r="F18" s="101">
        <v>0.0051510553732480166</v>
      </c>
      <c r="G18" s="102">
        <f t="shared" si="3"/>
        <v>46.60422500001516</v>
      </c>
      <c r="H18" s="4">
        <f t="shared" si="2"/>
        <v>3.88368541666793</v>
      </c>
    </row>
    <row r="19" spans="1:8" ht="12.75" outlineLevel="2">
      <c r="A19" s="6" t="s">
        <v>95</v>
      </c>
      <c r="B19" s="2" t="s">
        <v>100</v>
      </c>
      <c r="C19" s="6" t="s">
        <v>101</v>
      </c>
      <c r="D19" s="98" t="s">
        <v>32</v>
      </c>
      <c r="E19" s="100">
        <v>205868.82</v>
      </c>
      <c r="F19" s="101">
        <v>0.00824173147222637</v>
      </c>
      <c r="G19" s="102">
        <f t="shared" si="3"/>
        <v>1696.7155329441055</v>
      </c>
      <c r="H19" s="4">
        <f t="shared" si="2"/>
        <v>141.39296107867546</v>
      </c>
    </row>
    <row r="20" spans="1:8" ht="12.75" outlineLevel="2">
      <c r="A20" s="6" t="s">
        <v>90</v>
      </c>
      <c r="B20" s="2" t="s">
        <v>93</v>
      </c>
      <c r="C20" s="6" t="s">
        <v>94</v>
      </c>
      <c r="D20" s="98" t="s">
        <v>32</v>
      </c>
      <c r="E20" s="100">
        <v>58475.33</v>
      </c>
      <c r="F20" s="101">
        <v>0.007772012540750026</v>
      </c>
      <c r="G20" s="102">
        <f t="shared" si="3"/>
        <v>454.4709980844963</v>
      </c>
      <c r="H20" s="4">
        <f t="shared" si="2"/>
        <v>37.87258317370802</v>
      </c>
    </row>
    <row r="21" spans="1:8" ht="12.75" outlineLevel="2">
      <c r="A21" s="6" t="s">
        <v>123</v>
      </c>
      <c r="B21" s="2" t="s">
        <v>128</v>
      </c>
      <c r="C21" s="6" t="s">
        <v>129</v>
      </c>
      <c r="D21" s="98" t="s">
        <v>32</v>
      </c>
      <c r="E21" s="100">
        <v>95050.42</v>
      </c>
      <c r="F21" s="101">
        <v>0.003012166909987544</v>
      </c>
      <c r="G21" s="102">
        <f t="shared" si="3"/>
        <v>286.30772990441824</v>
      </c>
      <c r="H21" s="4">
        <f t="shared" si="2"/>
        <v>23.858977492034853</v>
      </c>
    </row>
    <row r="22" spans="1:8" ht="12.75" outlineLevel="2">
      <c r="A22" s="6" t="s">
        <v>130</v>
      </c>
      <c r="B22" s="2" t="s">
        <v>131</v>
      </c>
      <c r="C22" s="6" t="s">
        <v>132</v>
      </c>
      <c r="D22" s="98" t="s">
        <v>32</v>
      </c>
      <c r="E22" s="100">
        <v>185151.21</v>
      </c>
      <c r="F22" s="101">
        <v>0.003508208601584708</v>
      </c>
      <c r="G22" s="102">
        <f t="shared" si="3"/>
        <v>649.5490675158165</v>
      </c>
      <c r="H22" s="4">
        <f t="shared" si="2"/>
        <v>54.12908895965138</v>
      </c>
    </row>
    <row r="23" spans="1:8" ht="12.75" outlineLevel="2">
      <c r="A23" s="6" t="s">
        <v>133</v>
      </c>
      <c r="B23" s="2" t="s">
        <v>134</v>
      </c>
      <c r="C23" s="6" t="s">
        <v>135</v>
      </c>
      <c r="D23" s="98" t="s">
        <v>32</v>
      </c>
      <c r="E23" s="100">
        <v>48018.91</v>
      </c>
      <c r="F23" s="101">
        <v>0.0022707866487416697</v>
      </c>
      <c r="G23" s="102">
        <f t="shared" si="3"/>
        <v>109.04069971512786</v>
      </c>
      <c r="H23" s="4">
        <f t="shared" si="2"/>
        <v>9.086724976260655</v>
      </c>
    </row>
    <row r="24" spans="1:8" ht="12.75" outlineLevel="2">
      <c r="A24" s="6" t="s">
        <v>104</v>
      </c>
      <c r="B24" s="2" t="s">
        <v>107</v>
      </c>
      <c r="C24" s="6" t="s">
        <v>108</v>
      </c>
      <c r="D24" s="98" t="s">
        <v>32</v>
      </c>
      <c r="E24" s="100">
        <v>13208176.67</v>
      </c>
      <c r="F24" s="101">
        <v>0.006492007826888813</v>
      </c>
      <c r="G24" s="102">
        <f t="shared" si="3"/>
        <v>85747.58632057022</v>
      </c>
      <c r="H24" s="4">
        <f t="shared" si="2"/>
        <v>7145.632193380851</v>
      </c>
    </row>
    <row r="25" spans="1:8" ht="12.75" outlineLevel="2">
      <c r="A25" s="6" t="s">
        <v>74</v>
      </c>
      <c r="B25" s="2" t="s">
        <v>81</v>
      </c>
      <c r="C25" s="6" t="s">
        <v>82</v>
      </c>
      <c r="D25" s="98" t="s">
        <v>32</v>
      </c>
      <c r="E25" s="100">
        <v>2048.12</v>
      </c>
      <c r="F25" s="101">
        <v>0.011007576260476222</v>
      </c>
      <c r="G25" s="102">
        <f t="shared" si="3"/>
        <v>22.54483709060656</v>
      </c>
      <c r="H25" s="4">
        <f t="shared" si="2"/>
        <v>1.8787364242172133</v>
      </c>
    </row>
    <row r="26" spans="1:8" ht="12.75" outlineLevel="2">
      <c r="A26" s="6" t="s">
        <v>120</v>
      </c>
      <c r="B26" s="2" t="s">
        <v>121</v>
      </c>
      <c r="C26" s="6" t="s">
        <v>122</v>
      </c>
      <c r="D26" s="98" t="s">
        <v>32</v>
      </c>
      <c r="E26" s="100">
        <v>9792715.17</v>
      </c>
      <c r="F26" s="101">
        <v>0.005624998703597468</v>
      </c>
      <c r="G26" s="102">
        <f t="shared" si="3"/>
        <v>55084.010135949255</v>
      </c>
      <c r="H26" s="4">
        <f t="shared" si="2"/>
        <v>4590.334177995771</v>
      </c>
    </row>
    <row r="27" spans="1:8" ht="12.75" outlineLevel="2">
      <c r="A27" s="6" t="s">
        <v>133</v>
      </c>
      <c r="B27" s="2" t="s">
        <v>136</v>
      </c>
      <c r="C27" s="6" t="s">
        <v>137</v>
      </c>
      <c r="D27" s="98" t="s">
        <v>32</v>
      </c>
      <c r="E27" s="100">
        <v>16544368.66</v>
      </c>
      <c r="F27" s="101">
        <v>0.0022707866487416697</v>
      </c>
      <c r="G27" s="102">
        <f t="shared" si="3"/>
        <v>37568.73146498811</v>
      </c>
      <c r="H27" s="4">
        <f t="shared" si="2"/>
        <v>3130.7276220823424</v>
      </c>
    </row>
    <row r="28" spans="1:8" ht="12.75" outlineLevel="2">
      <c r="A28" s="6" t="s">
        <v>95</v>
      </c>
      <c r="B28" s="2" t="s">
        <v>102</v>
      </c>
      <c r="C28" s="6" t="s">
        <v>103</v>
      </c>
      <c r="D28" s="98" t="s">
        <v>32</v>
      </c>
      <c r="E28" s="100">
        <v>22796.26</v>
      </c>
      <c r="F28" s="101">
        <v>0.00824173147222637</v>
      </c>
      <c r="G28" s="111">
        <f t="shared" si="3"/>
        <v>187.88065349105509</v>
      </c>
      <c r="H28" s="134">
        <f t="shared" si="2"/>
        <v>15.65672112425459</v>
      </c>
    </row>
    <row r="29" spans="1:8" ht="12.75" outlineLevel="1">
      <c r="A29" s="98"/>
      <c r="B29" s="99"/>
      <c r="C29" s="98"/>
      <c r="D29" s="131" t="s">
        <v>33</v>
      </c>
      <c r="E29" s="103">
        <f>SUBTOTAL(9,E16:E28)</f>
        <v>40748783.529999994</v>
      </c>
      <c r="F29" s="104"/>
      <c r="G29" s="105">
        <f>SUBTOTAL(9,G16:G28)</f>
        <v>188187.8143876805</v>
      </c>
      <c r="H29" s="105">
        <f>SUBTOTAL(9,H16:H28)</f>
        <v>15682.31786564004</v>
      </c>
    </row>
    <row r="30" spans="1:7" ht="12.75" outlineLevel="1">
      <c r="A30" s="98"/>
      <c r="B30" s="99"/>
      <c r="C30" s="98"/>
      <c r="D30" s="131"/>
      <c r="E30" s="103"/>
      <c r="F30" s="104"/>
      <c r="G30" s="105"/>
    </row>
    <row r="31" spans="1:8" ht="12.75" outlineLevel="2">
      <c r="A31" s="6" t="s">
        <v>74</v>
      </c>
      <c r="B31" s="2" t="s">
        <v>83</v>
      </c>
      <c r="C31" s="6" t="s">
        <v>84</v>
      </c>
      <c r="D31" s="98" t="s">
        <v>85</v>
      </c>
      <c r="E31" s="100">
        <v>60940.44</v>
      </c>
      <c r="F31" s="101">
        <v>0.011007576260476222</v>
      </c>
      <c r="G31" s="111">
        <f>(+E31*F31)</f>
        <v>670.8065406469756</v>
      </c>
      <c r="H31" s="134">
        <f>+G31/12</f>
        <v>55.900545053914634</v>
      </c>
    </row>
    <row r="32" spans="1:8" ht="12.75" outlineLevel="1">
      <c r="A32" s="98"/>
      <c r="B32" s="99"/>
      <c r="C32" s="98"/>
      <c r="D32" s="131" t="s">
        <v>86</v>
      </c>
      <c r="E32" s="103">
        <f>SUBTOTAL(9,E31:E31)</f>
        <v>60940.44</v>
      </c>
      <c r="F32" s="104"/>
      <c r="G32" s="105">
        <f>SUBTOTAL(9,G31:G31)</f>
        <v>670.8065406469756</v>
      </c>
      <c r="H32" s="105">
        <f>SUBTOTAL(9,H31:H31)</f>
        <v>55.900545053914634</v>
      </c>
    </row>
    <row r="33" spans="1:7" ht="12.75" outlineLevel="1">
      <c r="A33" s="98"/>
      <c r="B33" s="99"/>
      <c r="C33" s="98"/>
      <c r="D33" s="131"/>
      <c r="E33" s="103"/>
      <c r="F33" s="104"/>
      <c r="G33" s="105"/>
    </row>
    <row r="34" spans="1:8" ht="12.75" outlineLevel="2">
      <c r="A34" s="6" t="s">
        <v>114</v>
      </c>
      <c r="B34" s="2" t="s">
        <v>115</v>
      </c>
      <c r="C34" s="6" t="s">
        <v>116</v>
      </c>
      <c r="D34" s="98" t="s">
        <v>117</v>
      </c>
      <c r="E34" s="100">
        <v>424021.64</v>
      </c>
      <c r="F34" s="101">
        <v>0</v>
      </c>
      <c r="G34" s="111">
        <f>(+E34*F34)</f>
        <v>0</v>
      </c>
      <c r="H34" s="134">
        <f>+G34/12</f>
        <v>0</v>
      </c>
    </row>
    <row r="35" spans="1:8" ht="12.75" outlineLevel="1">
      <c r="A35" s="98"/>
      <c r="B35" s="99"/>
      <c r="C35" s="98"/>
      <c r="D35" s="131" t="s">
        <v>118</v>
      </c>
      <c r="E35" s="103">
        <f>SUBTOTAL(9,E34:E34)</f>
        <v>424021.64</v>
      </c>
      <c r="F35" s="104"/>
      <c r="G35" s="105">
        <f>SUBTOTAL(9,G34:G34)</f>
        <v>0</v>
      </c>
      <c r="H35" s="105">
        <f>SUBTOTAL(9,H34:H34)</f>
        <v>0</v>
      </c>
    </row>
    <row r="36" spans="1:7" ht="12.75" outlineLevel="1">
      <c r="A36" s="98"/>
      <c r="B36" s="99"/>
      <c r="C36" s="98"/>
      <c r="D36" s="131"/>
      <c r="E36" s="103"/>
      <c r="F36" s="115"/>
      <c r="G36" s="116"/>
    </row>
    <row r="37" spans="1:8" ht="12.75" outlineLevel="2">
      <c r="A37" s="6" t="s">
        <v>141</v>
      </c>
      <c r="B37" s="2" t="s">
        <v>142</v>
      </c>
      <c r="C37" s="6" t="s">
        <v>143</v>
      </c>
      <c r="D37" s="98" t="s">
        <v>50</v>
      </c>
      <c r="E37" s="100">
        <v>219568.53</v>
      </c>
      <c r="F37" s="113">
        <v>0.003144650502381643</v>
      </c>
      <c r="G37" s="114">
        <f>(+E37*F37)</f>
        <v>690.4662881716988</v>
      </c>
      <c r="H37" s="4">
        <f aca="true" t="shared" si="4" ref="H37:H63">+G37/12</f>
        <v>57.53885734764157</v>
      </c>
    </row>
    <row r="38" spans="1:8" ht="12.75" outlineLevel="2">
      <c r="A38" s="6" t="s">
        <v>141</v>
      </c>
      <c r="B38" s="2" t="s">
        <v>144</v>
      </c>
      <c r="C38" s="6" t="s">
        <v>145</v>
      </c>
      <c r="D38" s="98" t="s">
        <v>50</v>
      </c>
      <c r="E38" s="100">
        <v>168758.5</v>
      </c>
      <c r="F38" s="113">
        <v>0.003144650502381643</v>
      </c>
      <c r="G38" s="114">
        <f aca="true" t="shared" si="5" ref="G38:G63">(+E38*F38)</f>
        <v>530.6865018061725</v>
      </c>
      <c r="H38" s="4">
        <f t="shared" si="4"/>
        <v>44.223875150514374</v>
      </c>
    </row>
    <row r="39" spans="1:8" ht="12.75" outlineLevel="2">
      <c r="A39" s="6" t="s">
        <v>141</v>
      </c>
      <c r="B39" s="2" t="s">
        <v>146</v>
      </c>
      <c r="C39" s="6" t="s">
        <v>147</v>
      </c>
      <c r="D39" s="98" t="s">
        <v>50</v>
      </c>
      <c r="E39" s="100">
        <v>220263.33</v>
      </c>
      <c r="F39" s="113">
        <v>0.003144650502381643</v>
      </c>
      <c r="G39" s="114">
        <f t="shared" si="5"/>
        <v>692.6511913407536</v>
      </c>
      <c r="H39" s="4">
        <f t="shared" si="4"/>
        <v>57.72093261172947</v>
      </c>
    </row>
    <row r="40" spans="1:8" ht="12.75" outlineLevel="2">
      <c r="A40" s="6" t="s">
        <v>141</v>
      </c>
      <c r="B40" s="2" t="s">
        <v>148</v>
      </c>
      <c r="C40" s="6" t="s">
        <v>149</v>
      </c>
      <c r="D40" s="98" t="s">
        <v>50</v>
      </c>
      <c r="E40" s="100">
        <v>691268.96</v>
      </c>
      <c r="F40" s="113">
        <v>0.003144650502381643</v>
      </c>
      <c r="G40" s="114">
        <f t="shared" si="5"/>
        <v>2173.799282344836</v>
      </c>
      <c r="H40" s="4">
        <f t="shared" si="4"/>
        <v>181.149940195403</v>
      </c>
    </row>
    <row r="41" spans="1:8" ht="12.75" outlineLevel="2">
      <c r="A41" s="6" t="s">
        <v>150</v>
      </c>
      <c r="B41" s="2" t="s">
        <v>151</v>
      </c>
      <c r="C41" s="6" t="s">
        <v>152</v>
      </c>
      <c r="D41" s="98" t="s">
        <v>50</v>
      </c>
      <c r="E41" s="100">
        <v>33622.06</v>
      </c>
      <c r="F41" s="113">
        <v>0.003144650502381643</v>
      </c>
      <c r="G41" s="114">
        <f t="shared" si="5"/>
        <v>105.72962787010573</v>
      </c>
      <c r="H41" s="4">
        <f t="shared" si="4"/>
        <v>8.810802322508811</v>
      </c>
    </row>
    <row r="42" spans="1:8" ht="12.75" outlineLevel="2">
      <c r="A42" s="6" t="s">
        <v>150</v>
      </c>
      <c r="B42" s="2" t="s">
        <v>153</v>
      </c>
      <c r="C42" s="6" t="s">
        <v>154</v>
      </c>
      <c r="D42" s="98" t="s">
        <v>50</v>
      </c>
      <c r="E42" s="100">
        <v>33622.07</v>
      </c>
      <c r="F42" s="113">
        <v>0.003144650502381643</v>
      </c>
      <c r="G42" s="114">
        <f t="shared" si="5"/>
        <v>105.72965931661076</v>
      </c>
      <c r="H42" s="4">
        <f t="shared" si="4"/>
        <v>8.810804943050897</v>
      </c>
    </row>
    <row r="43" spans="1:8" ht="12.75" outlineLevel="2">
      <c r="A43" s="6" t="s">
        <v>150</v>
      </c>
      <c r="B43" s="2" t="s">
        <v>155</v>
      </c>
      <c r="C43" s="6" t="s">
        <v>156</v>
      </c>
      <c r="D43" s="98" t="s">
        <v>50</v>
      </c>
      <c r="E43" s="100">
        <v>33622.06</v>
      </c>
      <c r="F43" s="113">
        <v>0.003144650502381643</v>
      </c>
      <c r="G43" s="114">
        <f t="shared" si="5"/>
        <v>105.72962787010573</v>
      </c>
      <c r="H43" s="4">
        <f t="shared" si="4"/>
        <v>8.810802322508811</v>
      </c>
    </row>
    <row r="44" spans="1:8" ht="12.75" outlineLevel="2">
      <c r="A44" s="6" t="s">
        <v>150</v>
      </c>
      <c r="B44" s="2" t="s">
        <v>157</v>
      </c>
      <c r="C44" s="6" t="s">
        <v>158</v>
      </c>
      <c r="D44" s="98" t="s">
        <v>50</v>
      </c>
      <c r="E44" s="100">
        <v>24100.71</v>
      </c>
      <c r="F44" s="113">
        <v>0.003144650502381643</v>
      </c>
      <c r="G44" s="114">
        <f t="shared" si="5"/>
        <v>75.78830980925429</v>
      </c>
      <c r="H44" s="4">
        <f t="shared" si="4"/>
        <v>6.315692484104524</v>
      </c>
    </row>
    <row r="45" spans="1:8" ht="12.75" outlineLevel="2">
      <c r="A45" s="6" t="s">
        <v>150</v>
      </c>
      <c r="B45" s="2" t="s">
        <v>159</v>
      </c>
      <c r="C45" s="6" t="s">
        <v>160</v>
      </c>
      <c r="D45" s="98" t="s">
        <v>50</v>
      </c>
      <c r="E45" s="100">
        <v>24100.71</v>
      </c>
      <c r="F45" s="113">
        <v>0.003144650502381643</v>
      </c>
      <c r="G45" s="114">
        <f t="shared" si="5"/>
        <v>75.78830980925429</v>
      </c>
      <c r="H45" s="4">
        <f t="shared" si="4"/>
        <v>6.315692484104524</v>
      </c>
    </row>
    <row r="46" spans="1:8" ht="12.75" outlineLevel="2">
      <c r="A46" s="6" t="s">
        <v>150</v>
      </c>
      <c r="B46" s="2" t="s">
        <v>161</v>
      </c>
      <c r="C46" s="6" t="s">
        <v>162</v>
      </c>
      <c r="D46" s="98" t="s">
        <v>50</v>
      </c>
      <c r="E46" s="100">
        <v>24100.71</v>
      </c>
      <c r="F46" s="113">
        <v>0.003144650502381643</v>
      </c>
      <c r="G46" s="114">
        <f t="shared" si="5"/>
        <v>75.78830980925429</v>
      </c>
      <c r="H46" s="4">
        <f t="shared" si="4"/>
        <v>6.315692484104524</v>
      </c>
    </row>
    <row r="47" spans="1:8" ht="12.75" outlineLevel="2">
      <c r="A47" s="6" t="s">
        <v>150</v>
      </c>
      <c r="B47" s="2" t="s">
        <v>163</v>
      </c>
      <c r="C47" s="6" t="s">
        <v>164</v>
      </c>
      <c r="D47" s="98" t="s">
        <v>50</v>
      </c>
      <c r="E47" s="100">
        <v>184187.16</v>
      </c>
      <c r="F47" s="113">
        <v>0.003144650502381643</v>
      </c>
      <c r="G47" s="114">
        <f t="shared" si="5"/>
        <v>579.2042452262481</v>
      </c>
      <c r="H47" s="4">
        <f t="shared" si="4"/>
        <v>48.26702043552067</v>
      </c>
    </row>
    <row r="48" spans="1:8" ht="12.75" outlineLevel="2">
      <c r="A48" s="6" t="s">
        <v>150</v>
      </c>
      <c r="B48" s="2" t="s">
        <v>165</v>
      </c>
      <c r="C48" s="6" t="s">
        <v>166</v>
      </c>
      <c r="D48" s="98" t="s">
        <v>50</v>
      </c>
      <c r="E48" s="100">
        <v>36468.24</v>
      </c>
      <c r="F48" s="113">
        <v>0.003144650502381643</v>
      </c>
      <c r="G48" s="114">
        <f t="shared" si="5"/>
        <v>114.67986923697433</v>
      </c>
      <c r="H48" s="4">
        <f t="shared" si="4"/>
        <v>9.556655769747861</v>
      </c>
    </row>
    <row r="49" spans="1:8" ht="12.75" outlineLevel="2">
      <c r="A49" s="6" t="s">
        <v>167</v>
      </c>
      <c r="B49" s="2" t="s">
        <v>168</v>
      </c>
      <c r="C49" s="6" t="s">
        <v>169</v>
      </c>
      <c r="D49" s="98" t="s">
        <v>50</v>
      </c>
      <c r="E49" s="100">
        <v>283272.59</v>
      </c>
      <c r="F49" s="113">
        <v>0.003144650502381643</v>
      </c>
      <c r="G49" s="114">
        <f t="shared" si="5"/>
        <v>890.7932924544492</v>
      </c>
      <c r="H49" s="4">
        <f t="shared" si="4"/>
        <v>74.2327743712041</v>
      </c>
    </row>
    <row r="50" spans="1:8" ht="12.75" outlineLevel="2">
      <c r="A50" s="6" t="s">
        <v>167</v>
      </c>
      <c r="B50" s="2" t="s">
        <v>170</v>
      </c>
      <c r="C50" s="6" t="s">
        <v>171</v>
      </c>
      <c r="D50" s="98" t="s">
        <v>50</v>
      </c>
      <c r="E50" s="100">
        <v>231171.5</v>
      </c>
      <c r="F50" s="113">
        <v>0.003144650502381643</v>
      </c>
      <c r="G50" s="114">
        <f t="shared" si="5"/>
        <v>726.953573611318</v>
      </c>
      <c r="H50" s="4">
        <f t="shared" si="4"/>
        <v>60.57946446760983</v>
      </c>
    </row>
    <row r="51" spans="1:8" ht="12.75" outlineLevel="2">
      <c r="A51" s="6" t="s">
        <v>172</v>
      </c>
      <c r="B51" s="2" t="s">
        <v>173</v>
      </c>
      <c r="C51" s="6" t="s">
        <v>174</v>
      </c>
      <c r="D51" s="98" t="s">
        <v>50</v>
      </c>
      <c r="E51" s="100">
        <v>600432.47</v>
      </c>
      <c r="F51" s="113">
        <v>0.003144650502381643</v>
      </c>
      <c r="G51" s="114">
        <f t="shared" si="5"/>
        <v>1888.1502684317506</v>
      </c>
      <c r="H51" s="4">
        <f t="shared" si="4"/>
        <v>157.34585570264588</v>
      </c>
    </row>
    <row r="52" spans="1:8" ht="12.75" outlineLevel="2">
      <c r="A52" s="6" t="s">
        <v>175</v>
      </c>
      <c r="B52" s="2" t="s">
        <v>176</v>
      </c>
      <c r="C52" s="6" t="s">
        <v>177</v>
      </c>
      <c r="D52" s="98" t="s">
        <v>50</v>
      </c>
      <c r="E52" s="100">
        <v>2109842.77</v>
      </c>
      <c r="F52" s="113">
        <v>0.003144650502381643</v>
      </c>
      <c r="G52" s="114">
        <f t="shared" si="5"/>
        <v>6634.718126626777</v>
      </c>
      <c r="H52" s="4">
        <f t="shared" si="4"/>
        <v>552.8931772188981</v>
      </c>
    </row>
    <row r="53" spans="1:8" ht="12.75" outlineLevel="2">
      <c r="A53" s="6" t="s">
        <v>175</v>
      </c>
      <c r="B53" s="2" t="s">
        <v>178</v>
      </c>
      <c r="C53" s="6" t="s">
        <v>179</v>
      </c>
      <c r="D53" s="98" t="s">
        <v>50</v>
      </c>
      <c r="E53" s="100">
        <v>639635.42</v>
      </c>
      <c r="F53" s="113">
        <v>0.003144650502381643</v>
      </c>
      <c r="G53" s="114">
        <f t="shared" si="5"/>
        <v>2011.4298448440934</v>
      </c>
      <c r="H53" s="4">
        <f t="shared" si="4"/>
        <v>167.6191537370078</v>
      </c>
    </row>
    <row r="54" spans="1:8" ht="12.75" outlineLevel="2">
      <c r="A54" s="6" t="s">
        <v>175</v>
      </c>
      <c r="B54" s="2" t="s">
        <v>180</v>
      </c>
      <c r="C54" s="6" t="s">
        <v>181</v>
      </c>
      <c r="D54" s="98" t="s">
        <v>50</v>
      </c>
      <c r="E54" s="100">
        <v>869693.72</v>
      </c>
      <c r="F54" s="113">
        <v>0.003144650502381643</v>
      </c>
      <c r="G54" s="114">
        <f t="shared" si="5"/>
        <v>2734.88279351616</v>
      </c>
      <c r="H54" s="4">
        <f t="shared" si="4"/>
        <v>227.90689945967998</v>
      </c>
    </row>
    <row r="55" spans="1:8" ht="12.75" outlineLevel="2">
      <c r="A55" s="6" t="s">
        <v>186</v>
      </c>
      <c r="B55" s="2" t="s">
        <v>187</v>
      </c>
      <c r="C55" s="6" t="s">
        <v>188</v>
      </c>
      <c r="D55" s="98" t="s">
        <v>50</v>
      </c>
      <c r="E55" s="100">
        <v>875400.43</v>
      </c>
      <c r="F55" s="113">
        <v>0.003144650502381643</v>
      </c>
      <c r="G55" s="114">
        <f t="shared" si="5"/>
        <v>2752.8284019846064</v>
      </c>
      <c r="H55" s="4">
        <f t="shared" si="4"/>
        <v>229.40236683205055</v>
      </c>
    </row>
    <row r="56" spans="1:8" ht="12.75" outlineLevel="2">
      <c r="A56" s="6" t="s">
        <v>186</v>
      </c>
      <c r="B56" s="2" t="s">
        <v>189</v>
      </c>
      <c r="C56" s="6" t="s">
        <v>190</v>
      </c>
      <c r="D56" s="98" t="s">
        <v>50</v>
      </c>
      <c r="E56" s="100">
        <v>946726.87</v>
      </c>
      <c r="F56" s="113">
        <v>0.003144650502381643</v>
      </c>
      <c r="G56" s="114">
        <f t="shared" si="5"/>
        <v>2977.1251273637004</v>
      </c>
      <c r="H56" s="4">
        <f t="shared" si="4"/>
        <v>248.0937606136417</v>
      </c>
    </row>
    <row r="57" spans="1:8" ht="12.75" outlineLevel="2">
      <c r="A57" s="6" t="s">
        <v>186</v>
      </c>
      <c r="B57" s="2" t="s">
        <v>191</v>
      </c>
      <c r="C57" s="6" t="s">
        <v>192</v>
      </c>
      <c r="D57" s="98" t="s">
        <v>50</v>
      </c>
      <c r="E57" s="100">
        <v>921294.17</v>
      </c>
      <c r="F57" s="113">
        <v>0.003144650502381643</v>
      </c>
      <c r="G57" s="114">
        <f t="shared" si="5"/>
        <v>2897.1481745317787</v>
      </c>
      <c r="H57" s="4">
        <f t="shared" si="4"/>
        <v>241.4290145443149</v>
      </c>
    </row>
    <row r="58" spans="1:8" ht="12.75" outlineLevel="2">
      <c r="A58" s="6" t="s">
        <v>186</v>
      </c>
      <c r="B58" s="2" t="s">
        <v>193</v>
      </c>
      <c r="C58" s="6" t="s">
        <v>194</v>
      </c>
      <c r="D58" s="98" t="s">
        <v>50</v>
      </c>
      <c r="E58" s="100">
        <v>940073.23</v>
      </c>
      <c r="F58" s="113">
        <v>0.003144650502381643</v>
      </c>
      <c r="G58" s="114">
        <f t="shared" si="5"/>
        <v>2956.2017549950338</v>
      </c>
      <c r="H58" s="4">
        <f t="shared" si="4"/>
        <v>246.35014624958615</v>
      </c>
    </row>
    <row r="59" spans="1:8" ht="12.75" outlineLevel="2">
      <c r="A59" s="6" t="s">
        <v>186</v>
      </c>
      <c r="B59" s="2" t="s">
        <v>195</v>
      </c>
      <c r="C59" s="6" t="s">
        <v>196</v>
      </c>
      <c r="D59" s="98" t="s">
        <v>50</v>
      </c>
      <c r="E59" s="100">
        <v>575468.31</v>
      </c>
      <c r="F59" s="113">
        <v>0.003144650502381643</v>
      </c>
      <c r="G59" s="114">
        <f t="shared" si="5"/>
        <v>1809.6467101462151</v>
      </c>
      <c r="H59" s="4">
        <f t="shared" si="4"/>
        <v>150.8038925121846</v>
      </c>
    </row>
    <row r="60" spans="1:8" ht="12.75" outlineLevel="2">
      <c r="A60" s="6" t="s">
        <v>186</v>
      </c>
      <c r="B60" s="2" t="s">
        <v>197</v>
      </c>
      <c r="C60" s="6" t="s">
        <v>198</v>
      </c>
      <c r="D60" s="98" t="s">
        <v>50</v>
      </c>
      <c r="E60" s="100">
        <v>572445.86</v>
      </c>
      <c r="F60" s="113">
        <v>0.003144650502381643</v>
      </c>
      <c r="G60" s="114">
        <f t="shared" si="5"/>
        <v>1800.1421612352915</v>
      </c>
      <c r="H60" s="4">
        <f t="shared" si="4"/>
        <v>150.01184676960762</v>
      </c>
    </row>
    <row r="61" spans="1:8" ht="12.75" outlineLevel="2">
      <c r="A61" s="6" t="s">
        <v>175</v>
      </c>
      <c r="B61" s="2" t="s">
        <v>182</v>
      </c>
      <c r="C61" s="6" t="s">
        <v>183</v>
      </c>
      <c r="D61" s="98" t="s">
        <v>50</v>
      </c>
      <c r="E61" s="100">
        <v>2481837.47</v>
      </c>
      <c r="F61" s="113">
        <v>0.003144650502381643</v>
      </c>
      <c r="G61" s="114">
        <f t="shared" si="5"/>
        <v>7804.511446865086</v>
      </c>
      <c r="H61" s="4">
        <f t="shared" si="4"/>
        <v>650.3759539054239</v>
      </c>
    </row>
    <row r="62" spans="1:8" ht="12.75" outlineLevel="2">
      <c r="A62" s="6" t="s">
        <v>175</v>
      </c>
      <c r="B62" s="2" t="s">
        <v>184</v>
      </c>
      <c r="C62" s="6" t="s">
        <v>185</v>
      </c>
      <c r="D62" s="98" t="s">
        <v>50</v>
      </c>
      <c r="E62" s="100">
        <v>4301009.46</v>
      </c>
      <c r="F62" s="113">
        <v>0.003144650502381643</v>
      </c>
      <c r="G62" s="114">
        <f t="shared" si="5"/>
        <v>13525.1715591372</v>
      </c>
      <c r="H62" s="4">
        <f t="shared" si="4"/>
        <v>1127.0976299280999</v>
      </c>
    </row>
    <row r="63" spans="1:8" ht="12.75" outlineLevel="2">
      <c r="A63" s="6" t="s">
        <v>138</v>
      </c>
      <c r="B63" s="2" t="s">
        <v>139</v>
      </c>
      <c r="C63" s="6" t="s">
        <v>140</v>
      </c>
      <c r="D63" s="98" t="s">
        <v>50</v>
      </c>
      <c r="E63" s="100">
        <v>933000</v>
      </c>
      <c r="F63" s="113">
        <v>0.003144650502381643</v>
      </c>
      <c r="G63" s="111">
        <f t="shared" si="5"/>
        <v>2933.9589187220727</v>
      </c>
      <c r="H63" s="134">
        <f t="shared" si="4"/>
        <v>244.4965765601727</v>
      </c>
    </row>
    <row r="64" spans="1:8" ht="12.75" outlineLevel="1">
      <c r="A64" s="98"/>
      <c r="B64" s="99"/>
      <c r="C64" s="98"/>
      <c r="D64" s="131" t="s">
        <v>502</v>
      </c>
      <c r="E64" s="121">
        <f>SUBTOTAL(9,E37:E63)</f>
        <v>18974987.31</v>
      </c>
      <c r="F64" s="122"/>
      <c r="G64" s="123">
        <f>SUBTOTAL(9,G37:G63)</f>
        <v>59669.703377076796</v>
      </c>
      <c r="H64" s="123">
        <f>SUBTOTAL(9,H37:H63)</f>
        <v>4972.475281423067</v>
      </c>
    </row>
    <row r="65" spans="1:8" ht="13.5" thickBot="1">
      <c r="A65" s="98"/>
      <c r="B65" s="99"/>
      <c r="C65" s="98"/>
      <c r="D65" s="131" t="s">
        <v>47</v>
      </c>
      <c r="E65" s="119">
        <f>SUBTOTAL(9,E5:E63)</f>
        <v>60763628.60000001</v>
      </c>
      <c r="F65" s="104"/>
      <c r="G65" s="120">
        <f>SUBTOTAL(9,G5:G63)</f>
        <v>252192.2782454579</v>
      </c>
      <c r="H65" s="120">
        <f>SUBTOTAL(9,H5:H63)</f>
        <v>21016.023187121496</v>
      </c>
    </row>
    <row r="66" ht="13.5" thickTop="1">
      <c r="D66" s="1"/>
    </row>
    <row r="67" spans="4:7" ht="12.75">
      <c r="D67" s="132"/>
      <c r="E67" s="9"/>
      <c r="G67" s="9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spans="3:5" ht="12.75">
      <c r="C72" s="87"/>
      <c r="D72" s="87"/>
      <c r="E72" s="4"/>
    </row>
    <row r="73" ht="12.75">
      <c r="D73" s="1"/>
    </row>
    <row r="74" ht="12.75">
      <c r="D74" s="1"/>
    </row>
    <row r="75" ht="12.75">
      <c r="D75" s="1"/>
    </row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portrait" scale="71" r:id="rId1"/>
  <headerFooter alignWithMargins="0">
    <oddFooter>&amp;L&amp;F\&amp;A&amp;RPage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 topLeftCell="A1">
      <selection activeCell="E18" sqref="E18"/>
    </sheetView>
  </sheetViews>
  <sheetFormatPr defaultColWidth="9.140625" defaultRowHeight="12.75" outlineLevelRow="2"/>
  <cols>
    <col min="1" max="1" width="8.421875" style="6" bestFit="1" customWidth="1"/>
    <col min="2" max="2" width="48.57421875" style="2" customWidth="1"/>
    <col min="3" max="3" width="15.28125" style="2" bestFit="1" customWidth="1"/>
    <col min="4" max="4" width="14.00390625" style="7" bestFit="1" customWidth="1"/>
    <col min="5" max="5" width="15.28125" style="3" bestFit="1" customWidth="1"/>
    <col min="6" max="6" width="6.421875" style="85" bestFit="1" customWidth="1"/>
    <col min="7" max="7" width="11.8515625" style="2" bestFit="1" customWidth="1"/>
    <col min="8" max="8" width="10.7109375" style="86" bestFit="1" customWidth="1"/>
    <col min="9" max="10" width="9.140625" style="2" customWidth="1"/>
    <col min="11" max="11" width="13.57421875" style="86" bestFit="1" customWidth="1"/>
    <col min="12" max="12" width="9.140625" style="86" customWidth="1"/>
    <col min="13" max="13" width="9.28125" style="86" bestFit="1" customWidth="1"/>
    <col min="14" max="16384" width="9.140625" style="2" customWidth="1"/>
  </cols>
  <sheetData>
    <row r="1" spans="1:8" ht="12.75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75">
      <c r="A2" s="139" t="s">
        <v>506</v>
      </c>
      <c r="B2" s="139"/>
      <c r="C2" s="139"/>
      <c r="D2" s="139"/>
      <c r="E2" s="139"/>
      <c r="F2" s="139"/>
      <c r="G2" s="139"/>
      <c r="H2" s="139"/>
    </row>
    <row r="3" spans="1:8" ht="12.75">
      <c r="A3" s="96"/>
      <c r="B3" s="88"/>
      <c r="C3" s="88"/>
      <c r="D3" s="88"/>
      <c r="E3" s="89"/>
      <c r="F3" s="90"/>
      <c r="G3" s="91" t="s">
        <v>505</v>
      </c>
      <c r="H3" s="84" t="s">
        <v>507</v>
      </c>
    </row>
    <row r="4" spans="1:13" s="5" customFormat="1" ht="12.75">
      <c r="A4" s="91" t="s">
        <v>1</v>
      </c>
      <c r="B4" s="95" t="s">
        <v>2</v>
      </c>
      <c r="C4" s="91" t="s">
        <v>3</v>
      </c>
      <c r="D4" s="91" t="s">
        <v>4</v>
      </c>
      <c r="E4" s="92" t="s">
        <v>5</v>
      </c>
      <c r="F4" s="93" t="s">
        <v>500</v>
      </c>
      <c r="G4" s="91" t="s">
        <v>501</v>
      </c>
      <c r="H4" s="84" t="s">
        <v>501</v>
      </c>
      <c r="K4" s="84"/>
      <c r="L4" s="84"/>
      <c r="M4" s="84"/>
    </row>
    <row r="5" spans="1:8" ht="12.75" outlineLevel="2">
      <c r="A5" s="6" t="s">
        <v>6</v>
      </c>
      <c r="B5" s="2" t="s">
        <v>7</v>
      </c>
      <c r="C5" s="6" t="s">
        <v>8</v>
      </c>
      <c r="D5" s="6" t="s">
        <v>9</v>
      </c>
      <c r="E5" s="112">
        <v>5430.86</v>
      </c>
      <c r="F5" s="106">
        <f>VLOOKUP(A5,'lge rates'!A$15:Y$181,25,FALSE)</f>
        <v>0</v>
      </c>
      <c r="G5" s="107">
        <f>(+E5*F5)</f>
        <v>0</v>
      </c>
      <c r="H5" s="86">
        <f>+G5/12</f>
        <v>0</v>
      </c>
    </row>
    <row r="6" spans="1:8" ht="12.75" outlineLevel="2">
      <c r="A6" s="6" t="s">
        <v>11</v>
      </c>
      <c r="B6" s="2" t="s">
        <v>20</v>
      </c>
      <c r="C6" s="6" t="s">
        <v>21</v>
      </c>
      <c r="D6" s="6" t="s">
        <v>9</v>
      </c>
      <c r="E6" s="112">
        <v>52270.95</v>
      </c>
      <c r="F6" s="106">
        <f>VLOOKUP(A6,'lge rates'!A$15:Y$181,25,FALSE)</f>
        <v>0.005181342309342001</v>
      </c>
      <c r="G6" s="107">
        <f aca="true" t="shared" si="0" ref="G6:G17">(+E6*F6)</f>
        <v>270.83368478450024</v>
      </c>
      <c r="H6" s="86">
        <f aca="true" t="shared" si="1" ref="H6:H32">+G6/12</f>
        <v>22.569473732041686</v>
      </c>
    </row>
    <row r="7" spans="1:8" ht="12.75" outlineLevel="2">
      <c r="A7" s="6" t="s">
        <v>11</v>
      </c>
      <c r="B7" s="2" t="s">
        <v>14</v>
      </c>
      <c r="C7" s="6" t="s">
        <v>15</v>
      </c>
      <c r="D7" s="6" t="s">
        <v>9</v>
      </c>
      <c r="E7" s="112">
        <v>14491.54</v>
      </c>
      <c r="F7" s="106">
        <f>VLOOKUP(A7,'lge rates'!A$15:Y$181,25,FALSE)</f>
        <v>0.005181342309342001</v>
      </c>
      <c r="G7" s="107">
        <f t="shared" si="0"/>
        <v>75.08562932952199</v>
      </c>
      <c r="H7" s="86">
        <f t="shared" si="1"/>
        <v>6.257135777460166</v>
      </c>
    </row>
    <row r="8" spans="1:8" ht="12.75" outlineLevel="2">
      <c r="A8" s="6" t="s">
        <v>11</v>
      </c>
      <c r="B8" s="2" t="s">
        <v>12</v>
      </c>
      <c r="C8" s="6" t="s">
        <v>13</v>
      </c>
      <c r="D8" s="6" t="s">
        <v>9</v>
      </c>
      <c r="E8" s="112">
        <v>38052.6</v>
      </c>
      <c r="F8" s="106">
        <f>VLOOKUP(A8,'lge rates'!A$15:Y$181,25,FALSE)</f>
        <v>0.005181342309342001</v>
      </c>
      <c r="G8" s="107">
        <f t="shared" si="0"/>
        <v>197.16354636046742</v>
      </c>
      <c r="H8" s="86">
        <f t="shared" si="1"/>
        <v>16.43029553003895</v>
      </c>
    </row>
    <row r="9" spans="1:8" ht="12.75" outlineLevel="2">
      <c r="A9" s="6" t="s">
        <v>40</v>
      </c>
      <c r="B9" s="2" t="s">
        <v>45</v>
      </c>
      <c r="C9" s="6" t="s">
        <v>46</v>
      </c>
      <c r="D9" s="6" t="s">
        <v>9</v>
      </c>
      <c r="E9" s="112">
        <v>236060.08</v>
      </c>
      <c r="F9" s="106">
        <f>VLOOKUP(A9,'lge rates'!A$15:Y$181,25,FALSE)</f>
        <v>0.0008746361591794117</v>
      </c>
      <c r="G9" s="107">
        <f t="shared" si="0"/>
        <v>206.46668170678464</v>
      </c>
      <c r="H9" s="86">
        <f t="shared" si="1"/>
        <v>17.20555680889872</v>
      </c>
    </row>
    <row r="10" spans="1:8" ht="12.75" outlineLevel="2">
      <c r="A10" s="6" t="s">
        <v>34</v>
      </c>
      <c r="B10" s="2" t="s">
        <v>35</v>
      </c>
      <c r="C10" s="6" t="s">
        <v>36</v>
      </c>
      <c r="D10" s="6" t="s">
        <v>9</v>
      </c>
      <c r="E10" s="112">
        <v>1136032.82</v>
      </c>
      <c r="F10" s="106">
        <f>VLOOKUP(A10,'lge rates'!A$15:Y$181,25,FALSE)</f>
        <v>0.002525253957234652</v>
      </c>
      <c r="G10" s="107">
        <f t="shared" si="0"/>
        <v>2868.7713742534415</v>
      </c>
      <c r="H10" s="86">
        <f t="shared" si="1"/>
        <v>239.0642811877868</v>
      </c>
    </row>
    <row r="11" spans="1:8" ht="12.75" outlineLevel="2">
      <c r="A11" s="6" t="s">
        <v>24</v>
      </c>
      <c r="B11" s="2" t="s">
        <v>25</v>
      </c>
      <c r="C11" s="6" t="s">
        <v>26</v>
      </c>
      <c r="D11" s="6" t="s">
        <v>9</v>
      </c>
      <c r="E11" s="112">
        <v>137000</v>
      </c>
      <c r="F11" s="106">
        <f>VLOOKUP(A11,'lge rates'!A$15:Y$181,25,FALSE)</f>
        <v>0.0037688385919968925</v>
      </c>
      <c r="G11" s="107">
        <f t="shared" si="0"/>
        <v>516.3308871035742</v>
      </c>
      <c r="H11" s="86">
        <f t="shared" si="1"/>
        <v>43.02757392529785</v>
      </c>
    </row>
    <row r="12" spans="1:8" ht="12.75" outlineLevel="2">
      <c r="A12" s="6" t="s">
        <v>11</v>
      </c>
      <c r="B12" s="2" t="s">
        <v>16</v>
      </c>
      <c r="C12" s="6" t="s">
        <v>17</v>
      </c>
      <c r="D12" s="6" t="s">
        <v>9</v>
      </c>
      <c r="E12" s="112">
        <v>766897.47</v>
      </c>
      <c r="F12" s="106">
        <f>VLOOKUP(A12,'lge rates'!A$15:Y$181,25,FALSE)</f>
        <v>0.005181342309342001</v>
      </c>
      <c r="G12" s="107">
        <f t="shared" si="0"/>
        <v>3973.5583082383378</v>
      </c>
      <c r="H12" s="86">
        <f t="shared" si="1"/>
        <v>331.1298590198615</v>
      </c>
    </row>
    <row r="13" spans="1:8" ht="12.75" outlineLevel="2">
      <c r="A13" s="6" t="s">
        <v>11</v>
      </c>
      <c r="B13" s="2" t="s">
        <v>18</v>
      </c>
      <c r="C13" s="6" t="s">
        <v>19</v>
      </c>
      <c r="D13" s="6" t="s">
        <v>9</v>
      </c>
      <c r="E13" s="112">
        <v>580956.24</v>
      </c>
      <c r="F13" s="106">
        <f>VLOOKUP(A13,'lge rates'!A$15:Y$181,25,FALSE)</f>
        <v>0.005181342309342001</v>
      </c>
      <c r="G13" s="107">
        <f t="shared" si="0"/>
        <v>3010.133146188246</v>
      </c>
      <c r="H13" s="86">
        <f t="shared" si="1"/>
        <v>250.8444288490205</v>
      </c>
    </row>
    <row r="14" spans="1:8" ht="12.75" outlineLevel="2">
      <c r="A14" s="6" t="s">
        <v>27</v>
      </c>
      <c r="B14" s="2" t="s">
        <v>28</v>
      </c>
      <c r="C14" s="6" t="s">
        <v>29</v>
      </c>
      <c r="D14" s="6" t="s">
        <v>9</v>
      </c>
      <c r="E14" s="112">
        <v>827215.41</v>
      </c>
      <c r="F14" s="106">
        <f>VLOOKUP(A14,'lge rates'!A$15:Y$181,25,FALSE)</f>
        <v>0.002964427938487335</v>
      </c>
      <c r="G14" s="107">
        <f t="shared" si="0"/>
        <v>2452.2204725512556</v>
      </c>
      <c r="H14" s="86">
        <f t="shared" si="1"/>
        <v>204.35170604593796</v>
      </c>
    </row>
    <row r="15" spans="1:8" ht="12.75" outlineLevel="2">
      <c r="A15" s="6" t="s">
        <v>11</v>
      </c>
      <c r="B15" s="2" t="s">
        <v>22</v>
      </c>
      <c r="C15" s="6" t="s">
        <v>23</v>
      </c>
      <c r="D15" s="6" t="s">
        <v>9</v>
      </c>
      <c r="E15" s="112">
        <v>1034853.81</v>
      </c>
      <c r="F15" s="106">
        <f>VLOOKUP(A15,'lge rates'!A$15:Y$181,25,FALSE)</f>
        <v>0.005181342309342001</v>
      </c>
      <c r="G15" s="107">
        <f t="shared" si="0"/>
        <v>5361.931829736769</v>
      </c>
      <c r="H15" s="86">
        <f t="shared" si="1"/>
        <v>446.82765247806407</v>
      </c>
    </row>
    <row r="16" spans="1:8" ht="12.75" outlineLevel="2">
      <c r="A16" s="6" t="s">
        <v>40</v>
      </c>
      <c r="B16" s="2" t="s">
        <v>43</v>
      </c>
      <c r="C16" s="6" t="s">
        <v>44</v>
      </c>
      <c r="D16" s="6" t="s">
        <v>9</v>
      </c>
      <c r="E16" s="112">
        <v>2289000.51</v>
      </c>
      <c r="F16" s="106">
        <f>VLOOKUP(A16,'lge rates'!A$15:Y$181,25,FALSE)</f>
        <v>0.0008746361591794117</v>
      </c>
      <c r="G16" s="107">
        <f t="shared" si="0"/>
        <v>2002.0426144261144</v>
      </c>
      <c r="H16" s="86">
        <f t="shared" si="1"/>
        <v>166.83688453550954</v>
      </c>
    </row>
    <row r="17" spans="1:8" ht="12.75" outlineLevel="2">
      <c r="A17" s="6" t="s">
        <v>40</v>
      </c>
      <c r="B17" s="2" t="s">
        <v>41</v>
      </c>
      <c r="C17" s="6" t="s">
        <v>42</v>
      </c>
      <c r="D17" s="6" t="s">
        <v>9</v>
      </c>
      <c r="E17" s="112">
        <v>2294960.32</v>
      </c>
      <c r="F17" s="106">
        <f>VLOOKUP(A17,'lge rates'!A$15:Y$181,25,FALSE)</f>
        <v>0.0008746361591794117</v>
      </c>
      <c r="G17" s="107">
        <f t="shared" si="0"/>
        <v>2007.2552797539533</v>
      </c>
      <c r="H17" s="86">
        <f t="shared" si="1"/>
        <v>167.27127331282944</v>
      </c>
    </row>
    <row r="18" spans="1:8" ht="12.75" outlineLevel="2">
      <c r="A18" s="6" t="s">
        <v>34</v>
      </c>
      <c r="B18" s="2" t="s">
        <v>504</v>
      </c>
      <c r="C18" s="6" t="s">
        <v>503</v>
      </c>
      <c r="D18" s="6" t="s">
        <v>9</v>
      </c>
      <c r="E18" s="112">
        <v>5151408.51</v>
      </c>
      <c r="F18" s="106">
        <f>VLOOKUP(A18,'lge rates'!A$15:Y$181,25,FALSE)</f>
        <v>0.002525253957234652</v>
      </c>
      <c r="G18" s="110">
        <f>(+E18*F18)</f>
        <v>13008.614725209762</v>
      </c>
      <c r="H18" s="135">
        <f t="shared" si="1"/>
        <v>1084.0512271008135</v>
      </c>
    </row>
    <row r="19" spans="3:8" ht="12.75" outlineLevel="1">
      <c r="C19" s="6"/>
      <c r="D19" s="5" t="s">
        <v>10</v>
      </c>
      <c r="E19" s="126">
        <f>SUBTOTAL(9,E5:E18)</f>
        <v>14564631.120000001</v>
      </c>
      <c r="F19" s="106"/>
      <c r="G19" s="109">
        <f>SUBTOTAL(9,G5:G18)</f>
        <v>35950.40817964273</v>
      </c>
      <c r="H19" s="109">
        <f>SUBTOTAL(9,H5:H18)</f>
        <v>2995.867348303561</v>
      </c>
    </row>
    <row r="20" spans="1:8" ht="12.75" outlineLevel="2">
      <c r="A20" s="6" t="s">
        <v>27</v>
      </c>
      <c r="B20" s="2" t="s">
        <v>30</v>
      </c>
      <c r="C20" s="6" t="s">
        <v>31</v>
      </c>
      <c r="D20" s="6" t="s">
        <v>32</v>
      </c>
      <c r="E20" s="112">
        <v>299504.8</v>
      </c>
      <c r="F20" s="106">
        <f>VLOOKUP(A20,'lge rates'!A$15:Y$181,25,FALSE)</f>
        <v>0.002964427938487335</v>
      </c>
      <c r="G20" s="107">
        <f>(+E20*F20)</f>
        <v>887.8603968310616</v>
      </c>
      <c r="H20" s="86">
        <f t="shared" si="1"/>
        <v>73.98836640258847</v>
      </c>
    </row>
    <row r="21" spans="1:8" ht="12.75" outlineLevel="2">
      <c r="A21" s="6" t="s">
        <v>37</v>
      </c>
      <c r="B21" s="2" t="s">
        <v>38</v>
      </c>
      <c r="C21" s="6" t="s">
        <v>39</v>
      </c>
      <c r="D21" s="6" t="s">
        <v>32</v>
      </c>
      <c r="E21" s="112">
        <v>339428.92</v>
      </c>
      <c r="F21" s="106">
        <f>VLOOKUP(A21,'lge rates'!A$15:Y$181,25,FALSE)</f>
        <v>0.004746834370559938</v>
      </c>
      <c r="G21" s="110">
        <f>(+E21*F21)</f>
        <v>1611.2128638180395</v>
      </c>
      <c r="H21" s="135">
        <f t="shared" si="1"/>
        <v>134.2677386515033</v>
      </c>
    </row>
    <row r="22" spans="3:8" ht="12.75" outlineLevel="1">
      <c r="C22" s="6"/>
      <c r="D22" s="5" t="s">
        <v>33</v>
      </c>
      <c r="E22" s="126">
        <f>SUBTOTAL(9,E20:E21)</f>
        <v>638933.72</v>
      </c>
      <c r="F22" s="106"/>
      <c r="G22" s="109">
        <f>SUBTOTAL(9,G20:G21)</f>
        <v>2499.073260649101</v>
      </c>
      <c r="H22" s="109">
        <f>SUBTOTAL(9,H20:H21)</f>
        <v>208.25610505409176</v>
      </c>
    </row>
    <row r="23" spans="1:8" ht="12.75" outlineLevel="2">
      <c r="A23" s="6" t="s">
        <v>11</v>
      </c>
      <c r="B23" s="2" t="s">
        <v>48</v>
      </c>
      <c r="C23" s="6" t="s">
        <v>49</v>
      </c>
      <c r="D23" s="6" t="s">
        <v>50</v>
      </c>
      <c r="E23" s="112">
        <v>1598209.62</v>
      </c>
      <c r="F23" s="106">
        <f>+'lge rates'!Y$126</f>
        <v>-1.0584359655396725E-09</v>
      </c>
      <c r="G23" s="107">
        <f aca="true" t="shared" si="2" ref="G23:G31">(+E23*F23)</f>
        <v>-0.0016916025422794932</v>
      </c>
      <c r="H23" s="86">
        <f t="shared" si="1"/>
        <v>-0.0001409668785232911</v>
      </c>
    </row>
    <row r="24" spans="1:8" ht="12.75" outlineLevel="2">
      <c r="A24" s="6" t="s">
        <v>51</v>
      </c>
      <c r="B24" s="2" t="s">
        <v>54</v>
      </c>
      <c r="C24" s="6" t="s">
        <v>55</v>
      </c>
      <c r="D24" s="6" t="s">
        <v>50</v>
      </c>
      <c r="E24" s="112">
        <v>234861.8</v>
      </c>
      <c r="F24" s="106">
        <f>+'lge rates'!Y$126</f>
        <v>-1.0584359655396725E-09</v>
      </c>
      <c r="G24" s="107">
        <f t="shared" si="2"/>
        <v>-0.00024858617605138546</v>
      </c>
      <c r="H24" s="86">
        <f t="shared" si="1"/>
        <v>-2.0715514670948787E-05</v>
      </c>
    </row>
    <row r="25" spans="1:8" ht="12.75" outlineLevel="2">
      <c r="A25" s="6" t="s">
        <v>51</v>
      </c>
      <c r="B25" s="2" t="s">
        <v>56</v>
      </c>
      <c r="C25" s="6" t="s">
        <v>57</v>
      </c>
      <c r="D25" s="6" t="s">
        <v>50</v>
      </c>
      <c r="E25" s="112">
        <v>1449356.01</v>
      </c>
      <c r="F25" s="106">
        <f>+'lge rates'!Y$126</f>
        <v>-1.0584359655396725E-09</v>
      </c>
      <c r="G25" s="107">
        <f t="shared" si="2"/>
        <v>-0.0015340505278550773</v>
      </c>
      <c r="H25" s="86">
        <f t="shared" si="1"/>
        <v>-0.0001278375439879231</v>
      </c>
    </row>
    <row r="26" spans="1:8" ht="12.75" outlineLevel="2">
      <c r="A26" s="6" t="s">
        <v>51</v>
      </c>
      <c r="B26" s="2" t="s">
        <v>52</v>
      </c>
      <c r="C26" s="6" t="s">
        <v>53</v>
      </c>
      <c r="D26" s="6" t="s">
        <v>50</v>
      </c>
      <c r="E26" s="112">
        <v>355520.97</v>
      </c>
      <c r="F26" s="106">
        <f>+'lge rates'!Y$126</f>
        <v>-1.0584359655396725E-09</v>
      </c>
      <c r="G26" s="107">
        <f t="shared" si="2"/>
        <v>-0.00037629618115155093</v>
      </c>
      <c r="H26" s="86">
        <f t="shared" si="1"/>
        <v>-3.135801509596258E-05</v>
      </c>
    </row>
    <row r="27" spans="1:8" ht="12.75" outlineLevel="2">
      <c r="A27" s="6" t="s">
        <v>58</v>
      </c>
      <c r="B27" s="2" t="s">
        <v>61</v>
      </c>
      <c r="C27" s="6" t="s">
        <v>62</v>
      </c>
      <c r="D27" s="6" t="s">
        <v>50</v>
      </c>
      <c r="E27" s="112">
        <v>610264.79</v>
      </c>
      <c r="F27" s="106">
        <f>+'lge rates'!Y$126</f>
        <v>-1.0584359655396725E-09</v>
      </c>
      <c r="G27" s="107">
        <f t="shared" si="2"/>
        <v>-0.0006459262022385155</v>
      </c>
      <c r="H27" s="86">
        <f t="shared" si="1"/>
        <v>-5.3827183519876296E-05</v>
      </c>
    </row>
    <row r="28" spans="1:8" ht="12.75" outlineLevel="2">
      <c r="A28" s="6" t="s">
        <v>69</v>
      </c>
      <c r="B28" s="2" t="s">
        <v>70</v>
      </c>
      <c r="C28" s="6" t="s">
        <v>71</v>
      </c>
      <c r="D28" s="6" t="s">
        <v>50</v>
      </c>
      <c r="E28" s="112">
        <v>3061086.37</v>
      </c>
      <c r="F28" s="106">
        <f>+'lge rates'!Y$126</f>
        <v>-1.0584359655396725E-09</v>
      </c>
      <c r="G28" s="107">
        <f t="shared" si="2"/>
        <v>-0.0032399639076312815</v>
      </c>
      <c r="H28" s="86">
        <f t="shared" si="1"/>
        <v>-0.0002699969923026068</v>
      </c>
    </row>
    <row r="29" spans="1:8" ht="12.75" outlineLevel="2">
      <c r="A29" s="6" t="s">
        <v>58</v>
      </c>
      <c r="B29" s="2" t="s">
        <v>59</v>
      </c>
      <c r="C29" s="6" t="s">
        <v>60</v>
      </c>
      <c r="D29" s="6" t="s">
        <v>50</v>
      </c>
      <c r="E29" s="112">
        <v>819763.01</v>
      </c>
      <c r="F29" s="106">
        <f>+'lge rates'!Y$126</f>
        <v>-1.0584359655396725E-09</v>
      </c>
      <c r="G29" s="107">
        <f t="shared" si="2"/>
        <v>-0.0008676666530030582</v>
      </c>
      <c r="H29" s="86">
        <f t="shared" si="1"/>
        <v>-7.230555441692152E-05</v>
      </c>
    </row>
    <row r="30" spans="1:8" ht="12.75" outlineLevel="2">
      <c r="A30" s="6" t="s">
        <v>58</v>
      </c>
      <c r="B30" s="2" t="s">
        <v>67</v>
      </c>
      <c r="C30" s="6" t="s">
        <v>68</v>
      </c>
      <c r="D30" s="6" t="s">
        <v>50</v>
      </c>
      <c r="E30" s="112">
        <v>974142.83</v>
      </c>
      <c r="F30" s="106">
        <f>+'lge rates'!Y$126</f>
        <v>-1.0584359655396725E-09</v>
      </c>
      <c r="G30" s="107">
        <f t="shared" si="2"/>
        <v>-0.001031067806844599</v>
      </c>
      <c r="H30" s="86">
        <f t="shared" si="1"/>
        <v>-8.592231723704992E-05</v>
      </c>
    </row>
    <row r="31" spans="1:8" ht="12.75" outlineLevel="2">
      <c r="A31" s="6" t="s">
        <v>58</v>
      </c>
      <c r="B31" s="2" t="s">
        <v>63</v>
      </c>
      <c r="C31" s="6" t="s">
        <v>64</v>
      </c>
      <c r="D31" s="6" t="s">
        <v>50</v>
      </c>
      <c r="E31" s="112">
        <v>1304057.1</v>
      </c>
      <c r="F31" s="106">
        <f>+'lge rates'!Y$126</f>
        <v>-1.0584359655396725E-09</v>
      </c>
      <c r="G31" s="107">
        <f t="shared" si="2"/>
        <v>-0.0013802609357573654</v>
      </c>
      <c r="H31" s="86">
        <f t="shared" si="1"/>
        <v>-0.00011502174464644712</v>
      </c>
    </row>
    <row r="32" spans="1:8" ht="12.75" outlineLevel="2">
      <c r="A32" s="6" t="s">
        <v>58</v>
      </c>
      <c r="B32" s="2" t="s">
        <v>65</v>
      </c>
      <c r="C32" s="6" t="s">
        <v>66</v>
      </c>
      <c r="D32" s="6" t="s">
        <v>50</v>
      </c>
      <c r="E32" s="112">
        <v>2134007.29</v>
      </c>
      <c r="F32" s="106">
        <f>+'lge rates'!Y$126</f>
        <v>-1.0584359655396725E-09</v>
      </c>
      <c r="G32" s="110">
        <f>(+E32*F32)</f>
        <v>-0.00225871006645985</v>
      </c>
      <c r="H32" s="135">
        <f t="shared" si="1"/>
        <v>-0.00018822583887165417</v>
      </c>
    </row>
    <row r="33" spans="1:8" ht="12.75" outlineLevel="1">
      <c r="A33" s="2"/>
      <c r="D33" s="5" t="s">
        <v>502</v>
      </c>
      <c r="E33" s="130">
        <f>SUBTOTAL(9,E23:E32)</f>
        <v>12541269.79</v>
      </c>
      <c r="F33" s="106"/>
      <c r="G33" s="129">
        <f>SUBTOTAL(9,G23:G32)</f>
        <v>-0.013274130999272176</v>
      </c>
      <c r="H33" s="129">
        <f>SUBTOTAL(9,H23:H32)</f>
        <v>-0.0011061775832726813</v>
      </c>
    </row>
    <row r="34" spans="1:8" ht="13.5" thickBot="1">
      <c r="A34" s="2"/>
      <c r="D34" s="5" t="s">
        <v>47</v>
      </c>
      <c r="E34" s="127">
        <f>SUBTOTAL(9,E5:E32)</f>
        <v>27744834.630000003</v>
      </c>
      <c r="F34" s="108"/>
      <c r="G34" s="128">
        <f>SUBTOTAL(9,G5:G32)</f>
        <v>38449.46816616083</v>
      </c>
      <c r="H34" s="128">
        <f>SUBTOTAL(9,H5:H32)</f>
        <v>3204.1223471800695</v>
      </c>
    </row>
    <row r="35" spans="5:8" ht="13.5" thickTop="1">
      <c r="E35" s="2"/>
      <c r="F35" s="2"/>
      <c r="H35" s="4"/>
    </row>
    <row r="36" spans="5:8" ht="12.75">
      <c r="E36" s="2"/>
      <c r="F36" s="124"/>
      <c r="G36" s="117"/>
      <c r="H36" s="4"/>
    </row>
    <row r="37" spans="5:8" ht="12.75">
      <c r="E37" s="2"/>
      <c r="F37" s="124"/>
      <c r="G37" s="117"/>
      <c r="H37" s="4"/>
    </row>
    <row r="38" spans="5:8" ht="12.75">
      <c r="E38" s="2"/>
      <c r="F38" s="124"/>
      <c r="G38" s="117"/>
      <c r="H38" s="4"/>
    </row>
    <row r="39" spans="5:8" ht="12.75">
      <c r="E39" s="2"/>
      <c r="F39" s="124"/>
      <c r="G39" s="117"/>
      <c r="H39" s="4"/>
    </row>
    <row r="40" spans="5:8" ht="12.75">
      <c r="E40" s="2"/>
      <c r="F40" s="124"/>
      <c r="G40" s="117"/>
      <c r="H40" s="4"/>
    </row>
    <row r="41" spans="5:8" ht="12.75">
      <c r="E41" s="2"/>
      <c r="F41" s="124"/>
      <c r="G41" s="117"/>
      <c r="H41" s="4"/>
    </row>
    <row r="42" spans="5:8" ht="12.75">
      <c r="E42" s="2"/>
      <c r="F42" s="124"/>
      <c r="G42" s="117"/>
      <c r="H42" s="4"/>
    </row>
    <row r="43" spans="5:8" ht="12.75">
      <c r="E43" s="2"/>
      <c r="F43" s="124"/>
      <c r="G43" s="117"/>
      <c r="H43" s="4"/>
    </row>
    <row r="44" spans="5:8" ht="12.75">
      <c r="E44" s="2"/>
      <c r="F44" s="124"/>
      <c r="G44" s="117"/>
      <c r="H44" s="4"/>
    </row>
    <row r="45" spans="5:8" ht="12.75">
      <c r="E45" s="2"/>
      <c r="F45" s="124"/>
      <c r="G45" s="117"/>
      <c r="H45" s="4"/>
    </row>
    <row r="46" spans="5:8" ht="12.75">
      <c r="E46" s="2"/>
      <c r="F46" s="124"/>
      <c r="G46" s="117"/>
      <c r="H46" s="4"/>
    </row>
    <row r="47" spans="5:8" ht="12.75">
      <c r="E47" s="2"/>
      <c r="F47" s="124"/>
      <c r="G47" s="117"/>
      <c r="H47" s="4"/>
    </row>
    <row r="48" spans="5:8" ht="12.75">
      <c r="E48" s="2"/>
      <c r="F48" s="124"/>
      <c r="G48" s="117"/>
      <c r="H48" s="4"/>
    </row>
    <row r="49" spans="5:8" ht="12.75">
      <c r="E49" s="2"/>
      <c r="F49" s="124"/>
      <c r="G49" s="117"/>
      <c r="H49" s="4"/>
    </row>
    <row r="50" spans="5:8" ht="12.75">
      <c r="E50" s="2"/>
      <c r="F50" s="124"/>
      <c r="G50" s="117"/>
      <c r="H50" s="4"/>
    </row>
    <row r="51" spans="5:8" ht="12.75">
      <c r="E51" s="2"/>
      <c r="F51" s="124"/>
      <c r="G51" s="117"/>
      <c r="H51" s="4"/>
    </row>
    <row r="52" spans="5:8" ht="12.75">
      <c r="E52" s="2"/>
      <c r="F52" s="124"/>
      <c r="G52" s="117"/>
      <c r="H52" s="4"/>
    </row>
    <row r="53" spans="5:8" ht="12.75">
      <c r="E53" s="2"/>
      <c r="F53" s="124"/>
      <c r="G53" s="117"/>
      <c r="H53" s="4"/>
    </row>
    <row r="54" spans="5:8" ht="12.75">
      <c r="E54" s="2"/>
      <c r="F54" s="124"/>
      <c r="G54" s="117"/>
      <c r="H54" s="4"/>
    </row>
    <row r="55" spans="5:8" ht="12.75">
      <c r="E55" s="2"/>
      <c r="F55" s="124"/>
      <c r="G55" s="117"/>
      <c r="H55" s="4"/>
    </row>
    <row r="56" spans="5:8" ht="12.75">
      <c r="E56" s="2"/>
      <c r="F56" s="124"/>
      <c r="G56" s="117"/>
      <c r="H56" s="4"/>
    </row>
    <row r="57" spans="5:8" ht="12.75">
      <c r="E57" s="2"/>
      <c r="F57" s="124"/>
      <c r="G57" s="117"/>
      <c r="H57" s="4"/>
    </row>
    <row r="58" spans="5:8" ht="12.75">
      <c r="E58" s="2"/>
      <c r="F58" s="124"/>
      <c r="G58" s="117"/>
      <c r="H58" s="4"/>
    </row>
    <row r="59" spans="5:8" ht="12.75">
      <c r="E59" s="2"/>
      <c r="F59" s="124"/>
      <c r="G59" s="117"/>
      <c r="H59" s="4"/>
    </row>
    <row r="60" spans="5:8" ht="12.75">
      <c r="E60" s="2"/>
      <c r="F60" s="124"/>
      <c r="G60" s="117"/>
      <c r="H60" s="4"/>
    </row>
    <row r="61" spans="5:8" ht="12.75">
      <c r="E61" s="2"/>
      <c r="F61" s="124"/>
      <c r="G61" s="117"/>
      <c r="H61" s="4"/>
    </row>
    <row r="62" spans="5:8" ht="12.75">
      <c r="E62" s="2"/>
      <c r="F62" s="124"/>
      <c r="G62" s="117"/>
      <c r="H62" s="4"/>
    </row>
    <row r="63" spans="5:8" ht="12.75">
      <c r="E63" s="2"/>
      <c r="F63" s="124"/>
      <c r="G63" s="117"/>
      <c r="H63" s="4"/>
    </row>
    <row r="64" spans="5:8" ht="12.75">
      <c r="E64" s="2"/>
      <c r="F64" s="124"/>
      <c r="G64" s="117"/>
      <c r="H64" s="4"/>
    </row>
    <row r="65" spans="5:8" ht="12.75">
      <c r="E65" s="2"/>
      <c r="F65" s="124"/>
      <c r="G65" s="117"/>
      <c r="H65" s="4"/>
    </row>
    <row r="66" spans="5:8" ht="12.75">
      <c r="E66" s="2"/>
      <c r="F66" s="124"/>
      <c r="G66" s="117"/>
      <c r="H66" s="4"/>
    </row>
    <row r="67" spans="5:8" ht="12.75">
      <c r="E67" s="2"/>
      <c r="F67" s="124"/>
      <c r="G67" s="117"/>
      <c r="H67" s="4"/>
    </row>
    <row r="68" spans="5:8" ht="12.75">
      <c r="E68" s="2"/>
      <c r="F68" s="124"/>
      <c r="G68" s="117"/>
      <c r="H68" s="4"/>
    </row>
    <row r="69" spans="5:8" ht="12.75">
      <c r="E69" s="2"/>
      <c r="F69" s="124"/>
      <c r="G69" s="117"/>
      <c r="H69" s="4"/>
    </row>
    <row r="70" spans="5:8" ht="12.75">
      <c r="E70" s="2"/>
      <c r="F70" s="124"/>
      <c r="G70" s="117"/>
      <c r="H70" s="4"/>
    </row>
    <row r="71" spans="5:8" ht="12.75">
      <c r="E71" s="2"/>
      <c r="F71" s="124"/>
      <c r="G71" s="117"/>
      <c r="H71" s="4"/>
    </row>
    <row r="72" spans="5:8" ht="12.75">
      <c r="E72" s="2"/>
      <c r="F72" s="124"/>
      <c r="G72" s="117"/>
      <c r="H72" s="4"/>
    </row>
    <row r="73" spans="5:8" ht="12.75">
      <c r="E73" s="2"/>
      <c r="F73" s="124"/>
      <c r="G73" s="117"/>
      <c r="H73" s="4"/>
    </row>
    <row r="74" spans="5:8" ht="12.75">
      <c r="E74" s="2"/>
      <c r="F74" s="124"/>
      <c r="G74" s="117"/>
      <c r="H74" s="4"/>
    </row>
    <row r="75" spans="5:8" ht="12.75">
      <c r="E75" s="2"/>
      <c r="F75" s="124"/>
      <c r="G75" s="117"/>
      <c r="H75" s="4"/>
    </row>
    <row r="76" spans="5:8" ht="12.75">
      <c r="E76" s="2"/>
      <c r="F76" s="124"/>
      <c r="G76" s="117"/>
      <c r="H76" s="4"/>
    </row>
    <row r="77" spans="5:8" ht="12.75">
      <c r="E77" s="2"/>
      <c r="F77" s="124"/>
      <c r="G77" s="117"/>
      <c r="H77" s="4"/>
    </row>
    <row r="78" spans="5:8" ht="12.75">
      <c r="E78" s="2"/>
      <c r="F78" s="124"/>
      <c r="G78" s="117"/>
      <c r="H78" s="4"/>
    </row>
    <row r="79" spans="5:8" ht="12.75">
      <c r="E79" s="2"/>
      <c r="F79" s="124"/>
      <c r="G79" s="117"/>
      <c r="H79" s="4"/>
    </row>
    <row r="80" spans="5:8" ht="12.75">
      <c r="E80" s="2"/>
      <c r="F80" s="124"/>
      <c r="G80" s="117"/>
      <c r="H80" s="4"/>
    </row>
    <row r="81" spans="5:8" ht="12.75">
      <c r="E81" s="2"/>
      <c r="F81" s="124"/>
      <c r="G81" s="117"/>
      <c r="H81" s="4"/>
    </row>
    <row r="82" spans="5:8" ht="12.75">
      <c r="E82" s="2"/>
      <c r="F82" s="124"/>
      <c r="G82" s="117"/>
      <c r="H82" s="4"/>
    </row>
    <row r="83" spans="5:8" ht="12.75">
      <c r="E83" s="2"/>
      <c r="F83" s="124"/>
      <c r="G83" s="117"/>
      <c r="H83" s="4"/>
    </row>
    <row r="84" spans="5:8" ht="12.75">
      <c r="E84" s="2"/>
      <c r="F84" s="124"/>
      <c r="G84" s="117"/>
      <c r="H84" s="4"/>
    </row>
    <row r="85" spans="5:8" ht="12.75">
      <c r="E85" s="2"/>
      <c r="F85" s="124"/>
      <c r="G85" s="117"/>
      <c r="H85" s="4"/>
    </row>
    <row r="86" spans="5:8" ht="12.75">
      <c r="E86" s="2"/>
      <c r="F86" s="124"/>
      <c r="G86" s="117"/>
      <c r="H86" s="4"/>
    </row>
    <row r="87" spans="5:8" ht="12.75">
      <c r="E87" s="2"/>
      <c r="F87" s="124"/>
      <c r="G87" s="117"/>
      <c r="H87" s="4"/>
    </row>
    <row r="88" spans="5:8" ht="12.75">
      <c r="E88" s="2"/>
      <c r="F88" s="124"/>
      <c r="G88" s="117"/>
      <c r="H88" s="4"/>
    </row>
    <row r="89" spans="5:8" ht="12.75">
      <c r="E89" s="2"/>
      <c r="F89" s="124"/>
      <c r="G89" s="117"/>
      <c r="H89" s="4"/>
    </row>
    <row r="90" spans="5:8" ht="12.75">
      <c r="E90" s="2"/>
      <c r="F90" s="124"/>
      <c r="G90" s="117"/>
      <c r="H90" s="4"/>
    </row>
    <row r="91" spans="5:8" ht="12.75">
      <c r="E91" s="2"/>
      <c r="F91" s="124"/>
      <c r="G91" s="117"/>
      <c r="H91" s="4"/>
    </row>
    <row r="92" spans="5:8" ht="12.75">
      <c r="E92" s="2"/>
      <c r="F92" s="124"/>
      <c r="G92" s="117"/>
      <c r="H92" s="4"/>
    </row>
    <row r="93" spans="5:8" ht="12.75">
      <c r="E93" s="2"/>
      <c r="F93" s="124"/>
      <c r="G93" s="117"/>
      <c r="H93" s="4"/>
    </row>
    <row r="94" spans="5:8" ht="12.75">
      <c r="E94" s="2"/>
      <c r="F94" s="124"/>
      <c r="G94" s="117"/>
      <c r="H94" s="4"/>
    </row>
    <row r="95" spans="5:8" ht="12.75">
      <c r="E95" s="2"/>
      <c r="F95" s="124"/>
      <c r="G95" s="117"/>
      <c r="H95" s="4"/>
    </row>
    <row r="96" spans="5:8" ht="12.75">
      <c r="E96" s="2"/>
      <c r="F96" s="124"/>
      <c r="G96" s="117"/>
      <c r="H96" s="4"/>
    </row>
    <row r="97" spans="5:8" ht="12.75">
      <c r="E97" s="2"/>
      <c r="F97" s="124"/>
      <c r="G97" s="117"/>
      <c r="H97" s="4"/>
    </row>
    <row r="98" spans="5:8" ht="12.75">
      <c r="E98" s="2"/>
      <c r="F98" s="124"/>
      <c r="G98" s="117"/>
      <c r="H98" s="4"/>
    </row>
    <row r="99" spans="5:8" ht="12.75">
      <c r="E99" s="2"/>
      <c r="F99" s="124"/>
      <c r="G99" s="117"/>
      <c r="H99" s="4"/>
    </row>
    <row r="100" spans="5:8" ht="12.75">
      <c r="E100" s="2"/>
      <c r="F100" s="124"/>
      <c r="G100" s="117"/>
      <c r="H100" s="4"/>
    </row>
    <row r="101" spans="5:8" ht="12.75">
      <c r="E101" s="2"/>
      <c r="F101" s="124"/>
      <c r="G101" s="117"/>
      <c r="H101" s="4"/>
    </row>
    <row r="102" spans="5:8" ht="12.75">
      <c r="E102" s="2"/>
      <c r="F102" s="124"/>
      <c r="G102" s="117"/>
      <c r="H102" s="4"/>
    </row>
    <row r="103" spans="5:8" ht="12.75">
      <c r="E103" s="2"/>
      <c r="F103" s="124"/>
      <c r="G103" s="117"/>
      <c r="H103" s="4"/>
    </row>
    <row r="104" spans="5:8" ht="12.75">
      <c r="E104" s="2"/>
      <c r="F104" s="124"/>
      <c r="G104" s="117"/>
      <c r="H104" s="4"/>
    </row>
    <row r="105" spans="5:8" ht="12.75">
      <c r="E105" s="2"/>
      <c r="F105" s="124"/>
      <c r="G105" s="117"/>
      <c r="H105" s="4"/>
    </row>
    <row r="106" spans="5:8" ht="12.75">
      <c r="E106" s="2"/>
      <c r="F106" s="124"/>
      <c r="G106" s="117"/>
      <c r="H106" s="4"/>
    </row>
    <row r="107" spans="5:8" ht="12.75">
      <c r="E107" s="2"/>
      <c r="F107" s="124"/>
      <c r="G107" s="117"/>
      <c r="H107" s="4"/>
    </row>
    <row r="108" spans="5:8" ht="12.75">
      <c r="E108" s="2"/>
      <c r="F108" s="124"/>
      <c r="G108" s="117"/>
      <c r="H108" s="4"/>
    </row>
    <row r="109" spans="5:8" ht="12.75">
      <c r="E109" s="2"/>
      <c r="F109" s="124"/>
      <c r="G109" s="117"/>
      <c r="H109" s="4"/>
    </row>
    <row r="110" spans="5:8" ht="12.75">
      <c r="E110" s="2"/>
      <c r="F110" s="124"/>
      <c r="G110" s="117"/>
      <c r="H110" s="4"/>
    </row>
    <row r="111" spans="5:8" ht="12.75">
      <c r="E111" s="2"/>
      <c r="F111" s="124"/>
      <c r="G111" s="117"/>
      <c r="H111" s="4"/>
    </row>
    <row r="112" spans="5:8" ht="12.75">
      <c r="E112" s="2"/>
      <c r="F112" s="124"/>
      <c r="G112" s="117"/>
      <c r="H112" s="4"/>
    </row>
    <row r="113" spans="5:8" ht="12.75">
      <c r="E113" s="2"/>
      <c r="F113" s="124"/>
      <c r="G113" s="117"/>
      <c r="H113" s="4"/>
    </row>
    <row r="114" spans="5:8" ht="12.75">
      <c r="E114" s="2"/>
      <c r="F114" s="124"/>
      <c r="G114" s="117"/>
      <c r="H114" s="4"/>
    </row>
    <row r="115" spans="5:8" ht="12.75">
      <c r="E115" s="2"/>
      <c r="F115" s="124"/>
      <c r="G115" s="117"/>
      <c r="H115" s="4"/>
    </row>
    <row r="116" spans="5:8" ht="12.75">
      <c r="E116" s="2"/>
      <c r="F116" s="124"/>
      <c r="G116" s="117"/>
      <c r="H116" s="4"/>
    </row>
    <row r="117" spans="5:8" ht="12.75">
      <c r="E117" s="2"/>
      <c r="F117" s="124"/>
      <c r="G117" s="117"/>
      <c r="H117" s="4"/>
    </row>
    <row r="118" spans="5:8" ht="12.75">
      <c r="E118" s="2"/>
      <c r="F118" s="124"/>
      <c r="G118" s="117"/>
      <c r="H118" s="4"/>
    </row>
    <row r="119" spans="5:8" ht="12.75">
      <c r="E119" s="2"/>
      <c r="F119" s="124"/>
      <c r="G119" s="117"/>
      <c r="H119" s="4"/>
    </row>
    <row r="120" spans="5:8" ht="12.75">
      <c r="E120" s="2"/>
      <c r="F120" s="124"/>
      <c r="G120" s="117"/>
      <c r="H120" s="4"/>
    </row>
    <row r="121" spans="5:8" ht="12.75">
      <c r="E121" s="2"/>
      <c r="F121" s="124"/>
      <c r="G121" s="117"/>
      <c r="H121" s="4"/>
    </row>
    <row r="122" spans="5:8" ht="12.75">
      <c r="E122" s="2"/>
      <c r="F122" s="124"/>
      <c r="G122" s="117"/>
      <c r="H122" s="4"/>
    </row>
    <row r="123" spans="5:8" ht="12.75">
      <c r="E123" s="2"/>
      <c r="F123" s="124"/>
      <c r="G123" s="117"/>
      <c r="H123" s="4"/>
    </row>
    <row r="124" spans="5:8" ht="12.75">
      <c r="E124" s="2"/>
      <c r="F124" s="124"/>
      <c r="G124" s="117"/>
      <c r="H124" s="4"/>
    </row>
    <row r="125" spans="5:8" ht="12.75">
      <c r="E125" s="2"/>
      <c r="F125" s="124"/>
      <c r="G125" s="117"/>
      <c r="H125" s="4"/>
    </row>
    <row r="126" spans="5:8" ht="12.75">
      <c r="E126" s="2"/>
      <c r="F126" s="124"/>
      <c r="G126" s="117"/>
      <c r="H126" s="4"/>
    </row>
    <row r="127" spans="5:8" ht="12.75">
      <c r="E127" s="2"/>
      <c r="F127" s="124"/>
      <c r="G127" s="117"/>
      <c r="H127" s="4"/>
    </row>
    <row r="128" spans="5:8" ht="12.75">
      <c r="E128" s="2"/>
      <c r="F128" s="124"/>
      <c r="G128" s="117"/>
      <c r="H128" s="4"/>
    </row>
    <row r="129" spans="5:8" ht="12.75">
      <c r="E129" s="2"/>
      <c r="F129" s="124"/>
      <c r="G129" s="117"/>
      <c r="H129" s="4"/>
    </row>
    <row r="130" spans="5:8" ht="12.75">
      <c r="E130" s="2"/>
      <c r="F130" s="124"/>
      <c r="G130" s="117"/>
      <c r="H130" s="4"/>
    </row>
    <row r="131" spans="5:8" ht="12.75">
      <c r="E131" s="2"/>
      <c r="F131" s="124"/>
      <c r="G131" s="117"/>
      <c r="H131" s="4"/>
    </row>
    <row r="132" spans="5:8" ht="12.75">
      <c r="E132" s="2"/>
      <c r="F132" s="124"/>
      <c r="G132" s="117"/>
      <c r="H132" s="4"/>
    </row>
    <row r="133" spans="5:8" ht="12.75">
      <c r="E133" s="2"/>
      <c r="F133" s="124"/>
      <c r="G133" s="117"/>
      <c r="H133" s="4"/>
    </row>
    <row r="134" spans="5:8" ht="12.75">
      <c r="E134" s="2"/>
      <c r="F134" s="124"/>
      <c r="G134" s="117"/>
      <c r="H134" s="4"/>
    </row>
    <row r="135" spans="5:8" ht="12.75">
      <c r="E135" s="2"/>
      <c r="F135" s="124"/>
      <c r="G135" s="117"/>
      <c r="H135" s="4"/>
    </row>
    <row r="136" spans="5:8" ht="12.75">
      <c r="E136" s="2"/>
      <c r="F136" s="124"/>
      <c r="G136" s="117"/>
      <c r="H136" s="4"/>
    </row>
    <row r="137" spans="5:8" ht="12.75">
      <c r="E137" s="2"/>
      <c r="F137" s="124"/>
      <c r="G137" s="117"/>
      <c r="H137" s="4"/>
    </row>
    <row r="138" spans="5:8" ht="12.75">
      <c r="E138" s="2"/>
      <c r="F138" s="124"/>
      <c r="G138" s="117"/>
      <c r="H138" s="4"/>
    </row>
    <row r="139" spans="5:8" ht="12.75">
      <c r="E139" s="2"/>
      <c r="F139" s="124"/>
      <c r="G139" s="117"/>
      <c r="H139" s="4"/>
    </row>
    <row r="140" spans="5:8" ht="12.75">
      <c r="E140" s="2"/>
      <c r="F140" s="124"/>
      <c r="G140" s="117"/>
      <c r="H140" s="4"/>
    </row>
    <row r="141" spans="6:8" ht="12.75">
      <c r="F141" s="124"/>
      <c r="G141" s="118"/>
      <c r="H141" s="4"/>
    </row>
    <row r="142" spans="6:8" ht="12.75">
      <c r="F142" s="124"/>
      <c r="G142" s="125"/>
      <c r="H142" s="4"/>
    </row>
    <row r="143" spans="6:8" ht="12.75">
      <c r="F143" s="124"/>
      <c r="G143" s="117"/>
      <c r="H143" s="4"/>
    </row>
    <row r="144" spans="6:8" ht="12.75">
      <c r="F144" s="124"/>
      <c r="G144" s="117"/>
      <c r="H144" s="4"/>
    </row>
    <row r="145" spans="6:8" ht="12.75">
      <c r="F145" s="124"/>
      <c r="G145" s="117"/>
      <c r="H145" s="4"/>
    </row>
    <row r="146" spans="6:8" ht="12.75">
      <c r="F146" s="124"/>
      <c r="G146" s="117"/>
      <c r="H146" s="4"/>
    </row>
    <row r="147" spans="6:8" ht="12.75">
      <c r="F147" s="124"/>
      <c r="G147" s="117"/>
      <c r="H147" s="4"/>
    </row>
    <row r="148" spans="6:8" ht="12.75">
      <c r="F148" s="124"/>
      <c r="G148" s="117"/>
      <c r="H148" s="4"/>
    </row>
    <row r="149" spans="6:8" ht="12.75">
      <c r="F149" s="124"/>
      <c r="G149" s="117"/>
      <c r="H149" s="4"/>
    </row>
    <row r="150" spans="6:8" ht="12.75">
      <c r="F150" s="124"/>
      <c r="G150" s="117"/>
      <c r="H150" s="4"/>
    </row>
    <row r="151" spans="6:8" ht="12.75">
      <c r="F151" s="124"/>
      <c r="G151" s="117"/>
      <c r="H151" s="4"/>
    </row>
    <row r="152" spans="6:8" ht="12.75">
      <c r="F152" s="124"/>
      <c r="G152" s="117"/>
      <c r="H152" s="4"/>
    </row>
    <row r="153" spans="6:8" ht="12.75">
      <c r="F153" s="124"/>
      <c r="G153" s="117"/>
      <c r="H153" s="4"/>
    </row>
    <row r="154" spans="6:8" ht="12.75">
      <c r="F154" s="124"/>
      <c r="G154" s="117"/>
      <c r="H154" s="4"/>
    </row>
    <row r="155" spans="6:8" ht="12.75">
      <c r="F155" s="124"/>
      <c r="G155" s="117"/>
      <c r="H155" s="4"/>
    </row>
    <row r="156" spans="6:8" ht="12.75">
      <c r="F156" s="124"/>
      <c r="G156" s="117"/>
      <c r="H156" s="4"/>
    </row>
  </sheetData>
  <mergeCells count="2">
    <mergeCell ref="A1:H1"/>
    <mergeCell ref="A2:H2"/>
  </mergeCells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Footer>&amp;L&amp;F\&amp;A&amp;RPage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Skaggs</dc:creator>
  <cp:keywords/>
  <dc:description/>
  <cp:lastModifiedBy>Leenerts</cp:lastModifiedBy>
  <cp:lastPrinted>2008-03-11T15:24:10Z</cp:lastPrinted>
  <dcterms:created xsi:type="dcterms:W3CDTF">2004-01-05T18:28:34Z</dcterms:created>
  <dcterms:modified xsi:type="dcterms:W3CDTF">2008-03-11T15:24:44Z</dcterms:modified>
  <cp:category/>
  <cp:version/>
  <cp:contentType/>
  <cp:contentStatus/>
</cp:coreProperties>
</file>